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alesMktg" sheetId="2" r:id="rId5"/>
    <sheet state="visible" name="Unit Economics" sheetId="3" r:id="rId6"/>
    <sheet state="visible" name="Hiring Plan" sheetId="4" r:id="rId7"/>
    <sheet state="visible" name="Salary Expense" sheetId="5" r:id="rId8"/>
    <sheet state="visible" name="Other Ops Expense" sheetId="6" r:id="rId9"/>
    <sheet state="visible" name="P&amp;L" sheetId="7" r:id="rId10"/>
    <sheet state="visible" name="Funding" sheetId="8" r:id="rId11"/>
    <sheet state="visible" name="Comps-Ratios" sheetId="9" r:id="rId12"/>
    <sheet state="visible" name="Comps-Exit" sheetId="10" r:id="rId13"/>
    <sheet state="visible" name="iCFO" sheetId="11" r:id="rId14"/>
  </sheets>
  <definedNames>
    <definedName name="churn">'Unit Economics'!#REF!</definedName>
    <definedName localSheetId="5" name="GEN_ADMIN">'Other Ops Expense'!#REF!</definedName>
    <definedName name="Month10">SalesMktg!#REF!</definedName>
    <definedName name="Month11">SalesMktg!#REF!</definedName>
    <definedName name="Month12">SalesMktg!#REF!</definedName>
    <definedName name="Month2">SalesMktg!#REF!</definedName>
    <definedName name="Month3">SalesMktg!#REF!</definedName>
    <definedName name="Month4">SalesMktg!#REF!</definedName>
    <definedName name="Month5">SalesMktg!#REF!</definedName>
    <definedName name="Month6">SalesMktg!#REF!</definedName>
    <definedName name="Month7">SalesMktg!#REF!</definedName>
    <definedName name="Month8">SalesMktg!#REF!</definedName>
    <definedName name="Month9">SalesMktg!#REF!</definedName>
    <definedName localSheetId="5" name="OPER_EXP_TO_REV">'Other Ops Expense'!#REF!</definedName>
    <definedName localSheetId="5" name="RES_DEVELOP">'Other Ops Expense'!#REF!</definedName>
    <definedName localSheetId="5" name="SALES_MARKET">'Other Ops Expense'!#REF!</definedName>
    <definedName localSheetId="3" name="TECH_SUP_COMP">'Hiring Plan'!#REF!</definedName>
    <definedName localSheetId="4" name="TECH_SUP_COMP">'Salary Expense'!#REF!</definedName>
    <definedName localSheetId="5" name="TECH_SUPPORT">'Other Ops Expense'!#REF!</definedName>
    <definedName localSheetId="5" name="TOTAL_OPER_EXP">'Other Ops Expense'!#REF!</definedName>
    <definedName localSheetId="5" name="TOTAL_REVENUE">'Other Ops Expense'!#REF!</definedName>
    <definedName name="Year_1">SalesMktg!#REF!</definedName>
    <definedName name="Year1">SalesMktg!#REF!</definedName>
    <definedName localSheetId="3" name="Total_Operating_Expenses">#REF!</definedName>
    <definedName localSheetId="7" name="Month4">#REF!</definedName>
    <definedName name="of_Revenue">#REF!</definedName>
    <definedName localSheetId="5" name="INTEREST__EXPENSE">#REF!</definedName>
    <definedName localSheetId="3" name="Total_Service_Revenue">#REF!</definedName>
    <definedName localSheetId="7" name="Month5">#REF!</definedName>
    <definedName localSheetId="5" name="ACQUISITION_COST">#REF!</definedName>
    <definedName localSheetId="5" name="INCOME_BEFORE_INTEREST___TAXES">#REF!</definedName>
    <definedName name="Month1r">#REF!</definedName>
    <definedName name="Corporate">#REF!</definedName>
    <definedName localSheetId="3" name="TECH_SUPPORT">#REF!</definedName>
    <definedName localSheetId="3" name="EXTRAORDINARY_INCOME____EXPENSE">#REF!</definedName>
    <definedName localSheetId="3" name="NET_REVENUES">#REF!</definedName>
    <definedName name="Year3">SalesMktg!$D$5</definedName>
    <definedName localSheetId="3" name="STD">#REF!</definedName>
    <definedName localSheetId="7" name="Month7">#REF!</definedName>
    <definedName name="OPER_EXP_TO_REV">#REF!</definedName>
    <definedName name="INCOME_BEFORE_INTEREST___TAXES">#REF!</definedName>
    <definedName name="Month11r">#REF!</definedName>
    <definedName localSheetId="3" name="Corporate">#REF!</definedName>
    <definedName name="General_and_Administration">#REF!</definedName>
    <definedName name="EXTRAORDINARY_INCOME____EXPENSE">#REF!</definedName>
    <definedName localSheetId="5" name="Research_and_Development">#REF!</definedName>
    <definedName localSheetId="3" name="OPER_EXP_TO_REV">#REF!</definedName>
    <definedName name="ACQUISITION_COST">#REF!</definedName>
    <definedName localSheetId="4" name="Technical_Support">#REF!</definedName>
    <definedName localSheetId="5" name="OPERATING_EXPENSES">#REF!</definedName>
    <definedName localSheetId="4" name="EXCESS">#REF!</definedName>
    <definedName localSheetId="3" name="OPERATING_EXPENSES">#REF!</definedName>
    <definedName localSheetId="4" name="Corporate">#REF!</definedName>
    <definedName localSheetId="4" name="ACQUISITION_COST">#REF!</definedName>
    <definedName localSheetId="7" name="Month9">#REF!</definedName>
    <definedName localSheetId="4" name="INCOME_BEFORE_INTEREST___TAXES">#REF!</definedName>
    <definedName name="TOTALOTHERASSETS">#REF!</definedName>
    <definedName localSheetId="7" name="Month8">#REF!</definedName>
    <definedName localSheetId="4" name="Total_Service_Revenue">#REF!</definedName>
    <definedName localSheetId="4" name="OPER_EXP_TO_REV">#REF!</definedName>
    <definedName localSheetId="3" name="INCOME_FROM_OPERATIONS">#REF!</definedName>
    <definedName localSheetId="4" name="OPERATING_EXPENSES">#REF!</definedName>
    <definedName name="Month9r">#REF!</definedName>
    <definedName localSheetId="3" name="Total_Product_Sales">#REF!</definedName>
    <definedName localSheetId="3" name="of_Revenue">#REF!</definedName>
    <definedName localSheetId="4" name="COST_OF_GOODS___SERVICES">#REF!</definedName>
    <definedName localSheetId="5" name="Total_Product_Sales">#REF!</definedName>
    <definedName name="NET_REVENUES">#REF!</definedName>
    <definedName localSheetId="4" name="of_Revenue">#REF!</definedName>
    <definedName localSheetId="4" name="INTEREST__EXPENSE">#REF!</definedName>
    <definedName name="INCOME_FROM_OPERATIONS">#REF!</definedName>
    <definedName localSheetId="7" name="Month3">#REF!</definedName>
    <definedName localSheetId="7" name="Month11">#REF!</definedName>
    <definedName localSheetId="4" name="Total_Operating_Expenses">#REF!</definedName>
    <definedName localSheetId="5" name="Corporate">#REF!</definedName>
    <definedName localSheetId="5" name="of_Revenue">#REF!</definedName>
    <definedName localSheetId="5" name="Total_Service_Revenue">#REF!</definedName>
    <definedName localSheetId="3" name="General_and_Administration">#REF!</definedName>
    <definedName name="Month1">SalesMktg!$B$5</definedName>
    <definedName localSheetId="4" name="Gross_Profit">#REF!</definedName>
    <definedName localSheetId="5" name="Total_Operating_Expenses">#REF!</definedName>
    <definedName name="Month3r">#REF!</definedName>
    <definedName localSheetId="5" name="AMORTIZATION">#REF!</definedName>
    <definedName localSheetId="3" name="Gross_Profit">#REF!</definedName>
    <definedName localSheetId="5" name="EXCESS">#REF!</definedName>
    <definedName localSheetId="4" name="NET_REVENUES">#REF!</definedName>
    <definedName localSheetId="5" name="of_Revenues">#REF!</definedName>
    <definedName localSheetId="3" name="AMORTIZATION">#REF!</definedName>
    <definedName localSheetId="5" name="Technical_Support">#REF!</definedName>
    <definedName name="Research_and_Development">#REF!</definedName>
    <definedName localSheetId="4" name="TOTALOTHERASSETS">#REF!</definedName>
    <definedName name="Year2">SalesMktg!$C$5</definedName>
    <definedName localSheetId="5" name="INCOME_FROM_OPERATIONS">#REF!</definedName>
    <definedName name="Month12r">#REF!</definedName>
    <definedName localSheetId="4" name="General_and_Administration">#REF!</definedName>
    <definedName name="OPERATING_EXPENSES">#REF!</definedName>
    <definedName name="TECH_SUP_COMP">#REF!</definedName>
    <definedName localSheetId="5" name="General_and_Administration">#REF!</definedName>
    <definedName localSheetId="5" name="TOTALOTHERASSETS">#REF!</definedName>
    <definedName localSheetId="4" name="of_Revenues">#REF!</definedName>
    <definedName localSheetId="4" name="Total_Product_Sales">#REF!</definedName>
    <definedName localSheetId="5" name="EXTRAORDINARY_INCOME____EXPENSE">#REF!</definedName>
    <definedName name="EXCESS">#REF!</definedName>
    <definedName localSheetId="5" name="STD">#REF!</definedName>
    <definedName name="Month6r">#REF!</definedName>
    <definedName name="Gross_Profit">#REF!</definedName>
    <definedName localSheetId="3" name="of_Revenues">#REF!</definedName>
    <definedName name="Month5r">#REF!</definedName>
    <definedName localSheetId="3" name="EXCESS">#REF!</definedName>
    <definedName localSheetId="3" name="INCOME_BEFORE_INTEREST___TAXES">#REF!</definedName>
    <definedName localSheetId="3" name="Research_and_Development">#REF!</definedName>
    <definedName name="TECH_SUPPORT">#REF!</definedName>
    <definedName localSheetId="3" name="Sales_and_Marketing">#REF!</definedName>
    <definedName localSheetId="7" name="Month2">#REF!</definedName>
    <definedName localSheetId="4" name="NET_INCOME_BEFORE_TAXES">#REF!</definedName>
    <definedName name="VentureName">SalesMktg!$A$1</definedName>
    <definedName name="Month2r">#REF!</definedName>
    <definedName localSheetId="3" name="NET_INCOME_BEFORE_TAXES">#REF!</definedName>
    <definedName localSheetId="7" name="Month1">#REF!</definedName>
    <definedName localSheetId="3" name="ACQUISITION_COST">#REF!</definedName>
    <definedName name="Total_Operating_Expenses">#REF!</definedName>
    <definedName name="of_Revenues">#REF!</definedName>
    <definedName localSheetId="5" name="Gross_Profit">#REF!</definedName>
    <definedName localSheetId="4" name="AMORTIZATION">#REF!</definedName>
    <definedName localSheetId="3" name="Technical_Support">#REF!</definedName>
    <definedName name="MOnth10r">#REF!</definedName>
    <definedName localSheetId="5" name="COST_OF_GOODS___SERVICES">#REF!</definedName>
    <definedName localSheetId="3" name="TOTALOTHERASSETS">#REF!</definedName>
    <definedName localSheetId="7" name="Month6">#REF!</definedName>
    <definedName localSheetId="4" name="STD">#REF!</definedName>
    <definedName localSheetId="5" name="Sales_and_Marketing">#REF!</definedName>
    <definedName name="BKHBKH">#REF!</definedName>
    <definedName name="Total_Service_Revenue">#REF!</definedName>
    <definedName name="INTEREST__EXPENSE">#REF!</definedName>
    <definedName localSheetId="3" name="COST_OF_GOODS___SERVICES">#REF!</definedName>
    <definedName name="STD">#REF!</definedName>
    <definedName localSheetId="4" name="INCOME_FROM_OPERATIONS">#REF!</definedName>
    <definedName name="Total_Product_Sales">#REF!</definedName>
    <definedName name="NET_INCOME_BEFORE_TAXES">#REF!</definedName>
    <definedName name="Sales_and_Marketing">#REF!</definedName>
    <definedName localSheetId="5" name="TECH_SUP_COMP">#REF!</definedName>
    <definedName localSheetId="4" name="EXTRAORDINARY_INCOME____EXPENSE">#REF!</definedName>
    <definedName localSheetId="4" name="Sales_and_Marketing">#REF!</definedName>
    <definedName localSheetId="5" name="NET_REVENUES">#REF!</definedName>
    <definedName name="Month7r">#REF!</definedName>
    <definedName localSheetId="5" name="NET_INCOME_BEFORE_TAXES">#REF!</definedName>
    <definedName name="Month4r">#REF!</definedName>
    <definedName localSheetId="3" name="INTEREST__EXPENSE">#REF!</definedName>
    <definedName name="Technical_Support">#REF!</definedName>
    <definedName localSheetId="7" name="Month12">#REF!</definedName>
    <definedName name="AMORTIZATION">#REF!</definedName>
    <definedName name="COST_OF_GOODS___SERVICES">#REF!</definedName>
    <definedName localSheetId="4" name="Research_and_Development">#REF!</definedName>
    <definedName localSheetId="7" name="Month10">#REF!</definedName>
    <definedName localSheetId="4" name="TECH_SUPPORT">#REF!</definedName>
    <definedName name="Month8r">#REF!</definedName>
    <definedName hidden="1" name="Google_Sheet_Link_1466580214">VentureName</definedName>
    <definedName hidden="1" name="Google_Sheet_Link_1484588244">Month1</definedName>
    <definedName hidden="1" name="Google_Sheet_Link_2121862448">Year3</definedName>
    <definedName hidden="1" name="Google_Sheet_Link_833387901">Year2</definedName>
  </definedNames>
  <calcPr/>
  <extLst>
    <ext uri="GoogleSheetsCustomDataVersion2">
      <go:sheetsCustomData xmlns:go="http://customooxmlschemas.google.com/" r:id="rId15" roundtripDataChecksum="abzhnaqPeJxtG2F/GEaagrkJ0m+phLXFUYVzmiYbR2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4">
      <text>
        <t xml:space="preserve">======
ID#AAABnzsAvBo
Vedant Subramanian    (2025-07-25 12:17:58)
Calculating using our funnel and conversion free to premium marketing costs.</t>
      </text>
    </comment>
    <comment authorId="0" ref="B51">
      <text>
        <t xml:space="preserve">======
ID#AAABnzsAvBk
Vedant Subramanian    (2025-07-25 12:17:21)
Calculated using those who bought THIɅK Clear. This does not factor in those who upgraded from base to premium.</t>
      </text>
    </comment>
    <comment authorId="0" ref="B46">
      <text>
        <t xml:space="preserve">======
ID#AAABnzsAvBg
Vedant Subramanian    (2025-07-25 12:16:18)
Those who bought THIɅK Clear.</t>
      </text>
    </comment>
    <comment authorId="0" ref="B39">
      <text>
        <t xml:space="preserve">======
ID#AAABnzsAvBc
Vedant Subramanian    (2025-07-25 12:15:53)
Those who signed up for a webinar from our retargeting emails.</t>
      </text>
    </comment>
    <comment authorId="0" ref="B33">
      <text>
        <t xml:space="preserve">======
ID#AAABnzsAvBY
Vedant Subramanian    (2025-07-25 12:15:06)
Those who engaged with our landing pages</t>
      </text>
    </comment>
    <comment authorId="0" ref="B27">
      <text>
        <t xml:space="preserve">======
ID#AAABnzsAvBU
Vedant Subramanian    (2025-07-25 12:14:31)
Those who clicked on our ads</t>
      </text>
    </comment>
    <comment authorId="0" ref="G60">
      <text>
        <t xml:space="preserve">======
ID#AAABmqdsckc
Vedant Subramanian    (2025-07-25 12:13:24)
LTV:CAC of ~4.5:1</t>
      </text>
    </comment>
    <comment authorId="0" ref="B48">
      <text>
        <t xml:space="preserve">======
ID#AAABmqdsckY
Vedant Subramanian    (2025-07-25 12:10:32)
Assuming exceptional conversion rate due to many core features (unlimited faces, matching games and statistics) being limited to the premium version.
Source: https://medium.com/@nicobottaro/monetization-strategies-how-spotify-slack-and-tinder-achieve-5x-premium-users-20-free-paid-801448e86576</t>
      </text>
    </comment>
    <comment authorId="0" ref="E18">
      <text>
        <t xml:space="preserve">======
ID#AAABmqdsckM
Vedant Subramanian    (2025-07-25 12:01:45)
Expanding past the U.S. to the 55 million with dementia globally and to other forms of memory loss</t>
      </text>
    </comment>
    <comment authorId="0" ref="B26">
      <text>
        <t xml:space="preserve">======
ID#AAABmqdsckA
Vedant Subramanian    (2025-07-25 12:00:11)
https://lineardesign.com/blog/how-long-does-it-take-to-design-a-landing-page/</t>
      </text>
    </comment>
    <comment authorId="0" ref="A52">
      <text>
        <t xml:space="preserve">======
ID#AAABnxAjuDk
Isaac He    (2025-07-25 01:34:29)
https://stripe.com/en-jp/resources/more/what-is-an-average-churn-rate-here-is-how-to-figure-it-out
SaaS average churn rate 4.67%</t>
      </text>
    </comment>
    <comment authorId="0" ref="A8">
      <text>
        <t xml:space="preserve">======
ID#AAABooJuac4
Isaac He    (2025-07-23 22:31:46)
10k flyers a year, average of 0.05 cents per flyer</t>
      </text>
    </comment>
    <comment authorId="0" ref="B45">
      <text>
        <t xml:space="preserve">======
ID#AAABntqNRW8
Vedant Subramanian    (2025-07-23 01:08:05)
(LTV of all premium subscribers* #estimated premium users)/3. Want roughly 3:1 LTV:CAC ratio. Source: https://www.simpletiger.com/blog/saas-marketing-budget</t>
      </text>
    </comment>
    <comment authorId="0" ref="A12">
      <text>
        <t xml:space="preserve">======
ID#AAABntqNRWs
Isaac He    (2025-07-23 00:28:55)
cost per engaged user per year $12 per Bain &amp; company</t>
      </text>
    </comment>
    <comment authorId="0" ref="A11">
      <text>
        <t xml:space="preserve">======
ID#AAABntqNRWo
Isaac He    (2025-07-23 00:27:04)
https://mailchimp.com/pricing/marketing/
we will just use mailchimp automatic emailing for 8160 a year.</t>
      </text>
    </comment>
    <comment authorId="0" ref="A9">
      <text>
        <t xml:space="preserve">======
ID#AAABntqNRWk
Isaac He    (2025-07-23 00:23:43)
first years customer support is done by founders. later, the budget will be scaled to 5% of marketing budget a year per hubspot average</t>
      </text>
    </comment>
    <comment authorId="0" ref="A10">
      <text>
        <t xml:space="preserve">======
ID#AAABntqNRWg
Isaac He    (2025-07-23 00:19:59)
around 16% of marketing budget
https://blog.hubspot.com/marketing/event-marketing-budget</t>
      </text>
    </comment>
    <comment authorId="0" ref="C18">
      <text>
        <t xml:space="preserve">======
ID#AAABmouc0bo
Vedant Subramanian    (2025-07-22 12:53:51)
Assuming 60% growth tracking the growth of cost</t>
      </text>
    </comment>
    <comment authorId="0" ref="B38">
      <text>
        <t xml:space="preserve">======
ID#AAABnj9-UqI
Vedant Subramanian    (2025-07-22 04:11:56)
Source: https://zoom.us/pricing/events#:~:text=Zoom%20Webinars,webinars%20at%20the%20chosen%20capacity</t>
      </text>
    </comment>
    <comment authorId="0" ref="B32">
      <text>
        <t xml:space="preserve">======
ID#AAABnj9-Upw
Vedant Subramanian    (2025-07-22 04:05:19)
$1 per 100 emails. Source: https://www.mobiloud.com/blog/how-much-does-email-marketing-cost</t>
      </text>
    </comment>
    <comment authorId="0" ref="B20">
      <text>
        <t xml:space="preserve">======
ID#AAABnj9-Ups
Vedant Subramanian    (2025-07-22 03:56:34)
https://www.businessofapps.com/marketplace/social-media-marketing/research/facebook-ads-cost</t>
      </text>
    </comment>
    <comment authorId="0" ref="B18">
      <text>
        <t xml:space="preserve">======
ID#AAABnj9-Upo
Vedant Subramanian    (2025-07-22 03:48:15)
(approx 16 million dementia caregivers) * (80% with access to internet for advertising) * (25% to reduce first year spend and allow for further growth); sources: 
https://pmc.ncbi.nlm.nih.gov/articles/PMC9047452/.
https://www.pewresearch.org/internet/2012/07/12/family-caregivers-online/</t>
      </text>
    </comment>
    <comment authorId="0" ref="E41">
      <text>
        <t xml:space="preserve">======
ID#AAABnj9-Upg
Vedant Subramanian    (2025-07-22 03:09:30)
starting to plateau because most optimization complete</t>
      </text>
    </comment>
    <comment authorId="0" ref="D41">
      <text>
        <t xml:space="preserve">======
ID#AAABnj9-Uh0
Vedant Subramanian    (2025-07-22 03:08:59)
see last</t>
      </text>
    </comment>
    <comment authorId="0" ref="E35">
      <text>
        <t xml:space="preserve">======
ID#AAABnj9-Uhs
Vedant Subramanian    (2025-07-22 03:08:18)
see above</t>
      </text>
    </comment>
    <comment authorId="0" ref="C35">
      <text>
        <t xml:space="preserve">======
ID#AAABnj9-Uho
Vedant Subramanian    (2025-07-22 03:08:06)
see above</t>
      </text>
    </comment>
    <comment authorId="0" ref="C29">
      <text>
        <t xml:space="preserve">======
ID#AAABnj9-Uhg
Vedant Subramanian    (2025-07-22 03:06:17)
See above</t>
      </text>
    </comment>
    <comment authorId="0" ref="E23">
      <text>
        <t xml:space="preserve">======
ID#AAABnj9-Uhc
Vedant Subramanian    (2025-07-22 03:05:06)
slight plateau due to saturation</t>
      </text>
    </comment>
    <comment authorId="0" ref="D23">
      <text>
        <t xml:space="preserve">======
ID#AAABnj9-UhY
Vedant Subramanian    (2025-07-22 03:04:48)
See previous comment</t>
      </text>
    </comment>
    <comment authorId="0" ref="C23">
      <text>
        <t xml:space="preserve">======
ID#AAABnj9-UhU
Vedant Subramanian    (2025-07-22 03:03:44)
expected increase due to CRO practices: https://www.hotjar.com/conversion-rate-optimization/benefits/</t>
      </text>
    </comment>
    <comment authorId="0" ref="B41">
      <text>
        <t xml:space="preserve">======
ID#AAABnjvUKL8
Vedant Subramanian    (2025-07-22 02:46:33)
source that suggests conversion rates around 56%: https://aevent.com/average-webinar-conversion-rate/
We took conservative estimate from that</t>
      </text>
    </comment>
    <comment authorId="0" ref="B35">
      <text>
        <t xml:space="preserve">======
ID#AAABnjvUKL0
Vedant Subramanian    (2025-07-22 02:39:08)
Around 3% in industry: https://www.campaignmonitor.com/resources/guides/email-marketing-benchmarks/</t>
      </text>
    </comment>
    <comment authorId="0" ref="B29">
      <text>
        <t xml:space="preserve">======
ID#AAABmoZATco
Vedant Subramanian    (2025-07-21 23:06:28)
Source: https://unbounce.com/average-conversion-rates-landing-pages/</t>
      </text>
    </comment>
    <comment authorId="0" ref="B23">
      <text>
        <t xml:space="preserve">======
ID#AAABmoZATcg
Vedant Subramanian    (2025-07-21 23:03:34)
META .83% CTR https://filipkonecny.com/2024/01/04/instagram-advertising-cost/; Amazon .5-.8% CTR https://www.adbadger.com/blog/amazon-advertising-stats/#CTR</t>
      </text>
    </comment>
  </commentList>
  <extLst>
    <ext uri="GoogleSheetsCustomDataVersion2">
      <go:sheetsCustomData xmlns:go="http://customooxmlschemas.google.com/" r:id="rId1" roundtripDataSignature="AMtx7mitcVtqD2s0ZKoVEG1S5I7bgKtJ7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4">
      <text>
        <t xml:space="preserve">======
ID#AAABnuXTZ74
Vedant Subramanian    (2025-07-23 17:14:25)
see comment on the right</t>
      </text>
    </comment>
    <comment authorId="0" ref="G24">
      <text>
        <t xml:space="preserve">======
ID#AAABntqNRW4
Vedant Subramanian    (2025-07-23 01:02:14)
Formulas adjusted for accurate Premium Subscription Revenue based on sales and marketing conversion estimates. See rows 44-49 in SalesMktg</t>
      </text>
    </comment>
    <comment authorId="0" ref="B13">
      <text>
        <t xml:space="preserve">======
ID#AAABmouc0b8
Isaac He    (2025-07-22 13:36:29)
72% of surveyed believe its a reasonable pricing.
Around 7x COGS</t>
      </text>
    </comment>
    <comment authorId="0" ref="B18">
      <text>
        <t xml:space="preserve">======
ID#AAABnjvUKLo
Vedant Subramanian    (2025-07-22 01:50:42)
Not final. Still need to revise SalesMktg metrics</t>
      </text>
    </comment>
    <comment authorId="0" ref="M26">
      <text>
        <t xml:space="preserve">======
ID#AAABnjb-w_M
Isaac He    (2025-07-21 20:38:58)
data for small unit costs isn't provided. has to be purchased in bulk</t>
      </text>
    </comment>
    <comment authorId="0" ref="L26">
      <text>
        <t xml:space="preserve">======
ID#AAABnjb-w_I
Isaac He    (2025-07-21 20:38:31)
~1.04 g/cm³ for ABS plastic
Our glasses require about 0.696 ounces per pair. 
https://rexplastics.com/plastic-injection-molds/how-much-do-plastic-injection-molds-cost/ states ABS injection printing is $1.30 per lb
The manufacturing cost is 6 cents per pair</t>
      </text>
    </comment>
    <comment authorId="0" ref="D14">
      <text>
        <t xml:space="preserve">======
ID#AAABnjME380
Isaac He    (2025-07-21 18:53:07)
As we are trying to keep services as affordable as possible, to target the 60% of dementia patients living in low-middle income countries, our Freemium model will charge $14.99 per month, adding up to $179.88 per year</t>
      </text>
    </comment>
    <comment authorId="0" ref="B41">
      <text>
        <t xml:space="preserve">======
ID#AAABnjME38w
Isaac He    (2025-07-21 18:51:29)
As we target caregivers for people in early-middle stage of dementia, which lasts 2-7 years out of the 4-8 years. This has a mean of 4.5 years
Dementia is highly individual, so no weighted distribution curve is available. 
https://www.alzheimers.org.uk/about-dementia/stages-and-symptoms/later-stages-dementia</t>
      </text>
    </comment>
    <comment authorId="0" ref="L3">
      <text>
        <t xml:space="preserve">======
ID#AAABnjME38s
Isaac He    (2025-07-21 18:43:36)
Much of Vuzix's R&amp;D is from its AR Development. While the specifics of their R&amp;D Cost is not listed, we will be quoting a 60% r&amp;d cost per year from them.
https://inziv.com/blog/the-brightness-challenge-in-ar-displays-and-why-microled-is-the-solution/#:~:text=For%20wearable%20devices%20like%20AR,brightness%20is%20a%20crucial%20challenge.</t>
      </text>
    </comment>
    <comment authorId="0" ref="N4">
      <text>
        <t xml:space="preserve">======
ID#AAABnjME38o
Isaac He    (2025-07-21 18:21:12)
https://compliancetesting.com/how-much-does-fcc-testing-cost/
Assumed lower end of the quoted range as our device has lower complexity compared to common FCC devices</t>
      </text>
    </comment>
    <comment authorId="0" ref="L4">
      <text>
        <t xml:space="preserve">======
ID#AAABnjCkN7E
Isaac He    (2025-07-21 18:19:30)
https://compliancetesting.com/fcc-certification-faqs/fcc-certification-cost/?utm_.com
FCC Compliance Ranges between 3-5k. This is a one-time R&amp;D cost</t>
      </text>
    </comment>
    <comment authorId="0" ref="L23">
      <text>
        <t xml:space="preserve">======
ID#AAABnjCkN68
Isaac He    (2025-07-21 18:18:54)
https://www.pcbgogo.com/pcb-fabrication-quote.html
For a 6 layer PCB required for EMI shielding, signal isolation, or additional IO (https://resources.altium.com/p/designing-6-layer-stackup-enhanced-emc?utm_source=chatgpt.com), the cost per thousand is 776.89.
The lowest units we can produce is 5, of which this costs 241.43. As a result, these custom PCBs are only viable to produce on a large scale.</t>
      </text>
    </comment>
    <comment authorId="0" ref="L17">
      <text>
        <t xml:space="preserve">======
ID#AAABnjCkN6w
Isaac He    (2025-07-21 17:51:26)
Assuming the printing cost per frame is
Front frame	25–35g
Temples  20–30g
Supports/waste	10–20g
Total	55–85g
Averaging out to 75g. This purchase can supply 13.3 grams. 24.99/13.3 makes a unit cost of 1.88</t>
      </text>
    </comment>
    <comment authorId="0" ref="J12">
      <text>
        <t xml:space="preserve">======
ID#AAABng8-sTY
Jeffrey Babin    (2025-07-20 18:26:53)
per customer</t>
      </text>
    </comment>
    <comment authorId="0" ref="C12">
      <text>
        <t xml:space="preserve">======
ID#AAABng8-sTM
Jeffrey Babin    (2025-07-20 18:26:53)
per customer</t>
      </text>
    </comment>
    <comment authorId="0" ref="H12">
      <text>
        <t xml:space="preserve">======
ID#AAABng8-sTQ
Jeffrey Babin    (2025-07-20 18:26:53)
per customer</t>
      </text>
    </comment>
    <comment authorId="0" ref="E12">
      <text>
        <t xml:space="preserve">======
ID#AAABng8-sTU
Jeffrey Babin    (2025-07-20 18:26:53)
per customer</t>
      </text>
    </comment>
  </commentList>
  <extLst>
    <ext uri="GoogleSheetsCustomDataVersion2">
      <go:sheetsCustomData xmlns:go="http://customooxmlschemas.google.com/" r:id="rId1" roundtripDataSignature="AMtx7mg5QGIPUhgRCyeJkkKUm3ElnWkhK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6">
      <text>
        <t xml:space="preserve">======
ID#AAABnuXTaNA
Isaac He    (2025-07-23 21:38:51)
on this scale we will be producing almost 3k units a year. on this scale we want someone to directly oversee the manufacturing to ensure quality and to make changes on a mass scale</t>
      </text>
    </comment>
    <comment authorId="0" ref="G7">
      <text>
        <t xml:space="preserve">======
ID#AAABnuXTaM8
Isaac He    (2025-07-23 21:36:57)
as we expand our marketing operations, we want to move our old smarketing officer to manager and add more people to their team to increase our reach</t>
      </text>
    </comment>
    <comment authorId="0" ref="D10">
      <text>
        <t xml:space="preserve">======
ID#AAABnuXTaM4
Isaac He    (2025-07-23 21:28:16)
year 3 we surpass 1000 customers. need someone to manage and retain customers</t>
      </text>
    </comment>
    <comment authorId="0" ref="A5">
      <text>
        <t xml:space="preserve">======
ID#AAABnuXTaM0
Isaac He    (2025-07-23 21:27:13)
hiring is largely based on estimated strategic priorities as we scale</t>
      </text>
    </comment>
    <comment authorId="0" ref="C27">
      <text>
        <t xml:space="preserve">======
ID#AAABnuXTaMk
Isaac He    (2025-07-23 20:56:08)
beginning to distribute out to market. need someone to help with ads/marketing while founder finds direct clients</t>
      </text>
    </comment>
    <comment authorId="0" ref="C18">
      <text>
        <t xml:space="preserve">======
ID#AAABnuXTaMg
Isaac He    (2025-07-23 20:55:44)
add more engineers to balance the workload. move from MVP design to finalized design</t>
      </text>
    </comment>
    <comment authorId="0" ref="B17">
      <text>
        <t xml:space="preserve">======
ID#AAABnuXTaMY
Isaac He    (2025-07-23 20:50:17)
founder - need one in charge of researching and manufacturing the initial product</t>
      </text>
    </comment>
    <comment authorId="0" ref="B24">
      <text>
        <t xml:space="preserve">======
ID#AAABnuXTZ70
Vedant Subramanian    (2025-07-23 17:06:04)
Don't need all 5 of us on staff to run a company. Source: Professor Babin
------
ID#AAABnuXTaMc
Isaac He    (2025-07-23 20:50:32)
executive officer in charge of balancing business side, marketing etc.</t>
      </text>
    </comment>
  </commentList>
  <extLst>
    <ext uri="GoogleSheetsCustomDataVersion2">
      <go:sheetsCustomData xmlns:go="http://customooxmlschemas.google.com/" r:id="rId1" roundtripDataSignature="AMtx7mgyIxIXItqJe/+FuK3Ob/Qpj0bTQQ=="/>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I51">
      <text>
        <t xml:space="preserve">======
ID#AAABmqdscj8
Vedant Subramanian    (2025-07-25 11:58:20)
https://www.glassdoor.com/Salaries/manufacturing-manager-salary-SRCH_KO0,21.htm</t>
      </text>
    </comment>
    <comment authorId="0" ref="I35">
      <text>
        <t xml:space="preserve">======
ID#AAABnuXTaMU
Vedant Subramanian    (2025-07-23 19:44:38)
https://www.indeed.com/career/executive-officer/salaries</t>
      </text>
    </comment>
    <comment authorId="0" ref="I23">
      <text>
        <t xml:space="preserve">======
ID#AAABntqNRWU
Vedant Subramanian    (2025-07-22 23:01:25)
https://www.glassdoor.com/Salaries/research-and-development-manager-salary-SRCH_KO0,32.htm</t>
      </text>
    </comment>
    <comment authorId="0" ref="I11">
      <text>
        <t xml:space="preserve">======
ID#AAABnlXa2bA
Vedant Subramanian    (2025-07-22 22:45:57)
https://www.glassdoor.com/Salaries/philadelphia-pa-sales-representative-salary-SRCH_IL.0,15_IM676_KO16,36.htm</t>
      </text>
    </comment>
    <comment authorId="0" ref="I57">
      <text>
        <t xml:space="preserve">======
ID#AAABnlXa2a8
Vedant Subramanian    (2025-07-22 22:43:56)
https://www.glassdoor.com/Salaries/operation-manager-salary-SRCH_KO0,17.htm?utm_source=google&amp;utm_medium=cpc&amp;utm_campaign=search_rau_nonbrand_salary_specific&amp;gad_source=1&amp;gad_campaignid=22739696560&amp;gbraid=0AAAAApDj--eM9VWx_bPE2t9iUey7GhIPR&amp;gclid=EAIaIQobChMIt9PwlMXRjgMVU3JHAR3EBCsDEAAYASAAEgLbdvD_BwE</t>
      </text>
    </comment>
    <comment authorId="0" ref="I53">
      <text>
        <t xml:space="preserve">======
ID#AAABnlXa2L4
Vedant Subramanian    (2025-07-22 22:43:19)
https://www.glassdoor.com/Salaries/quality-control-manager-salary-SRCH_KO0,23.htm</t>
      </text>
    </comment>
    <comment authorId="0" ref="I40">
      <text>
        <t xml:space="preserve">======
ID#AAABnlXa2L0
Vedant Subramanian    (2025-07-22 22:42:36)
https://www.glassdoor.com/Salaries/account-executive-salary-SRCH_KO0,17.htm</t>
      </text>
    </comment>
    <comment authorId="0" ref="I38">
      <text>
        <t xml:space="preserve">======
ID#AAABnlXa2Lw
Vedant Subramanian    (2025-07-22 22:41:56)
https://www.glassdoor.com/Salaries/marketing-officer-salary-SRCH_KO0,17.htm</t>
      </text>
    </comment>
    <comment authorId="0" ref="B3">
      <text>
        <t xml:space="preserve">======
ID#AAABnlXa2Ls
Vedant Subramanian    (2025-07-22 22:40:27)
https://www.rippling.com/blog/payroll-as-a-percentage-of-revenue-by-industry</t>
      </text>
    </comment>
    <comment authorId="0" ref="I24">
      <text>
        <t xml:space="preserve">======
ID#AAABnlXa2Lo
Vedant Subramanian    (2025-07-22 22:39:49)
https://www.glassdoor.com/Salaries/philadelphia-pa-engineer-salary-SRCH_IL.0,15_IM676_KO16,24.htm</t>
      </text>
    </comment>
    <comment authorId="0" ref="I12">
      <text>
        <t xml:space="preserve">======
ID#AAABnlXa2Lg
Vedant Subramanian    (2025-07-22 22:38:28)
https://www.glassdoor.com/Salaries/philadelphia-pa-customer-service-representative-salary-SRCH_IL.0,15_IM676_KO16,47.htm</t>
      </text>
    </comment>
  </commentList>
  <extLst>
    <ext uri="GoogleSheetsCustomDataVersion2">
      <go:sheetsCustomData xmlns:go="http://customooxmlschemas.google.com/" r:id="rId1" roundtripDataSignature="AMtx7mhJeO5VdstkfimVpcwNVjVXKZjVfw=="/>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0">
      <text>
        <t xml:space="preserve">======
ID#AAABnuXTaMQ
Isaac He    (2025-07-23 18:40:29)
counted in legal fees</t>
      </text>
    </comment>
    <comment authorId="0" ref="A29">
      <text>
        <t xml:space="preserve">======
ID#AAABnuXTaMM
Isaac He    (2025-07-23 18:40:18)
counted in r&amp;d</t>
      </text>
    </comment>
    <comment authorId="0" ref="A28">
      <text>
        <t xml:space="preserve">======
ID#AAABnuXTaMI
Isaac He    (2025-07-23 18:40:10)
no equipment leases</t>
      </text>
    </comment>
    <comment authorId="0" ref="A27">
      <text>
        <t xml:space="preserve">======
ID#AAABnuXTaME
Isaac He    (2025-07-23 18:38:14)
internet costs counted in R&amp;D</t>
      </text>
    </comment>
    <comment authorId="0" ref="A31">
      <text>
        <t xml:space="preserve">======
ID#AAABnuXTaMA
Isaac He    (2025-07-23 18:37:28)
https://www.google.com/search?q=average+shipping+costs+for+small+business&amp;sca_esv=a324f93b4d046afe&amp;rlz=1C5CHFA_enUS1102US1106&amp;sxsrf=AE3TifPpW55Tt5dS3csDS_O3KvfuCc7_GQ%3A1753295814747&amp;ei=xiuBaIyiLd_W5NoPnJKQkAQ&amp;oq=average+shipping+costs+for+s&amp;gs_lp=Egxnd3Mtd2l6LXNlcnAiHGF2ZXJhZ2Ugc2hpcHBpbmcgY29zdHMgZm9yIHMqAggAMgUQABiABDIGEAAYFhgeMgYQABgWGB4yBhAAGBYYHjIGEAAYFhgeMgYQABgWGB4yBhAAGBYYHjIGEAAYFhgeMgYQABgWGB4yBhAAGBYYHkioD1DoAVjjCHABeAGQAQCYAWOgAYAEqgEBNrgBAcgBAPgBAZgCB6ACmwTCAgoQABiwAxjWBBhHwgINEAAYgAQYsAMYQxiKBcICCxAAGIAEGJECGIoFmAMAiAYBkAYJkgcDNS4yoAeuMLIHAzQuMrgHlQTCBwUwLjMuNMgHFg&amp;sclient=gws-wiz-serp
shipping 18 dollars per unit</t>
      </text>
    </comment>
    <comment authorId="0" ref="A12">
      <text>
        <t xml:space="preserve">======
ID#AAABnuXTaL4
Isaac He    (2025-07-23 18:34:28)
costs accounted for in G&amp;A. no R&amp;D cost
------
ID#AAABnuXTaL8
Isaac He    (2025-07-23 18:34:48)
manufacturing costs accounted in materials</t>
      </text>
    </comment>
    <comment authorId="0" ref="A26">
      <text>
        <t xml:space="preserve">======
ID#AAABnuXTaL0
Isaac He    (2025-07-23 18:34:07)
https://blog.mytsp.net/how-much-does-it-cost-to-outsource-it-typical-price-ranges#:~:text=THE%20AVERAGE%20COST%20TO%20OUTSOURCE,in%20most%20of%20the%20country.
IT costs = 100 per computer/employee 
400 per server. for startup size 2 physical servers</t>
      </text>
    </comment>
    <comment authorId="0" ref="A25">
      <text>
        <t xml:space="preserve">======
ID#AAABnuXTaLg
Isaac He    (2025-07-23 18:32:49)
legal 5-3k for contracts, avg 1.75k 
1.5k for business structure LLC
3k for IP protection
------
ID#AAABnuXTaLk
Isaac He    (2025-07-23 18:32:55)
https://www.brex.com/spend-trends/startup/business-startup-costs</t>
      </text>
    </comment>
    <comment authorId="0" ref="A13">
      <text>
        <t xml:space="preserve">======
ID#AAABnuXTaLc
Isaac He    (2025-07-23 18:31:07)
no laboratory used</t>
      </text>
    </comment>
    <comment authorId="0" ref="A24">
      <text>
        <t xml:space="preserve">======
ID#AAABnuXTaLU
Isaac He    (2025-07-23 18:30:51)
32.12 dollars per square foot * 250 square foot per employee 
https://www.corporatesuites.com/what-is-the-average-price-per-square-foot-for-office-space-in-philadelphia/</t>
      </text>
    </comment>
    <comment authorId="0" ref="A14">
      <text>
        <t xml:space="preserve">======
ID#AAABnuXTZ8o
Isaac He    (2025-07-23 18:23:30)
2k per computer per employee
https://www.brex.com/spend-trends/startup/business-startup-costs</t>
      </text>
    </comment>
    <comment authorId="0" ref="A15">
      <text>
        <t xml:space="preserve">======
ID#AAABnuXTZ8Y
Isaac He    (2025-07-23 18:16:03)
assuming we overproduce per the amount of customers by 20% (so we never run out), we multiply unit cost of production by num of consumers * 1.2</t>
      </text>
    </comment>
    <comment authorId="0" ref="A16">
      <text>
        <t xml:space="preserve">======
ID#AAABnuXTZ8I
Isaac He    (2025-07-23 18:10:39)
https://www.brex.com/spend-trends/startup/business-startup-costs
domains and wifi costs around $100-500 per year averaging at 300
------
ID#AAABnuXTZ8M
Isaac He    (2025-07-23 18:11:25)
as we scale with more employees, it is worth investing in a higher-end cost going up to 500
------
ID#AAABnuXTZ8k
Isaac He    (2025-07-23 18:20:52)
phone is 300/month = 3600 a year</t>
      </text>
    </comment>
    <comment authorId="0" ref="A17">
      <text>
        <t xml:space="preserve">======
ID#AAABnuXTZ78
Isaac He    (2025-07-23 18:08:16)
https://www.travelperk.com/blog/average-cost-of-business-travel/
The average US business trip takes $1449 in totality.
Each business traveler takes an average of 6.8 trips per year, multiplied by the amount of employees</t>
      </text>
    </comment>
  </commentList>
  <extLst>
    <ext uri="GoogleSheetsCustomDataVersion2">
      <go:sheetsCustomData xmlns:go="http://customooxmlschemas.google.com/" r:id="rId1" roundtripDataSignature="AMtx7mjuCbCnS5jOtFJg5CYNqGH2GclMFQ=="/>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
ID#AAABmqCOE1U
Isaac He    (2025-07-24 19:51:22)
need proceeds for 6 years because we're not profitable</t>
      </text>
    </comment>
    <comment authorId="0" ref="F5">
      <text>
        <t xml:space="preserve">======
ID#AAABmqCOE1I
Isaac He    (2025-07-24 19:48:22)
series A go to market</t>
      </text>
    </comment>
    <comment authorId="0" ref="D5">
      <text>
        <t xml:space="preserve">======
ID#AAABmqCOE1A
Isaac He    (2025-07-24 19:47:55)
seed to cover expenses</t>
      </text>
    </comment>
    <comment authorId="0" ref="C5">
      <text>
        <t xml:space="preserve">======
ID#AAABmqCOE08
Isaac He    (2025-07-24 19:47:44)
bootstrap + small angel round</t>
      </text>
    </comment>
  </commentList>
  <extLst>
    <ext uri="GoogleSheetsCustomDataVersion2">
      <go:sheetsCustomData xmlns:go="http://customooxmlschemas.google.com/" r:id="rId1" roundtripDataSignature="AMtx7mjEqoi9iK0nQ2av9IvEGvLs+SdiZQ=="/>
    </ext>
  </extLst>
</comments>
</file>

<file path=xl/sharedStrings.xml><?xml version="1.0" encoding="utf-8"?>
<sst xmlns="http://schemas.openxmlformats.org/spreadsheetml/2006/main" count="493" uniqueCount="363">
  <si>
    <t>Instructions</t>
  </si>
  <si>
    <t>This workbook is intended to help you create a sales &amp; marketing-driven proforma P&amp;L. It has 5 separate worksheets that are used to drive a 6th worksheet, which is the P&amp;L:</t>
  </si>
  <si>
    <r>
      <rPr>
        <rFont val="Arial"/>
        <b/>
        <color rgb="FF000000"/>
        <sz val="10.0"/>
      </rPr>
      <t>SalesMktg</t>
    </r>
    <r>
      <rPr>
        <rFont val="Arial"/>
        <color rgb="FF000000"/>
        <sz val="10.0"/>
      </rPr>
      <t>: Walks you through the sales and marketing activities/expenses required to lead customers through the pipeline to completed sales.</t>
    </r>
  </si>
  <si>
    <r>
      <rPr>
        <rFont val="Arial"/>
        <b/>
        <color rgb="FF000000"/>
        <sz val="10.0"/>
      </rPr>
      <t>Unit Economics</t>
    </r>
    <r>
      <rPr>
        <rFont val="Arial"/>
        <color rgb="FF000000"/>
        <sz val="10.0"/>
      </rPr>
      <t>: Details the major revenue model and cost of goods sold (COGS) for the company</t>
    </r>
  </si>
  <si>
    <r>
      <rPr>
        <rFont val="Arial"/>
        <b/>
        <color rgb="FF000000"/>
        <sz val="10.0"/>
      </rPr>
      <t>Hiring Plan</t>
    </r>
    <r>
      <rPr>
        <rFont val="Arial"/>
        <color rgb="FF000000"/>
        <sz val="10.0"/>
      </rPr>
      <t>: allows you to enter the specific people/roles you will need to hire to execute your plan.</t>
    </r>
  </si>
  <si>
    <r>
      <rPr>
        <rFont val="Arial"/>
        <b/>
        <color rgb="FF000000"/>
        <sz val="10.0"/>
      </rPr>
      <t>Salary Expense</t>
    </r>
    <r>
      <rPr>
        <rFont val="Arial"/>
        <color rgb="FF000000"/>
        <sz val="10.0"/>
      </rPr>
      <t>: allows you to enter salary information (see far right of sheet) for each role and then calculates the salary related expenses you will incur each year of your plan</t>
    </r>
  </si>
  <si>
    <r>
      <rPr>
        <rFont val="Arial"/>
        <b/>
        <color rgb="FF000000"/>
        <sz val="10.0"/>
      </rPr>
      <t>Other Ops Expense</t>
    </r>
    <r>
      <rPr>
        <rFont val="Arial"/>
        <color rgb="FF000000"/>
        <sz val="10.0"/>
      </rPr>
      <t xml:space="preserve">: requires you to estimate other non-salary related expenses for each functional area (e.g., sales, R&amp;D).  Note that you are only being asked to input a high level number for each, rather entering every individual expense.  Consider major expenses such as rent, equipment needs, etc. in order to come up with your number in each area. </t>
    </r>
  </si>
  <si>
    <r>
      <rPr>
        <rFont val="Arial"/>
        <b/>
        <color rgb="FF000000"/>
        <sz val="10.0"/>
      </rPr>
      <t>P&amp;L</t>
    </r>
    <r>
      <rPr>
        <rFont val="Arial"/>
        <color rgb="FF000000"/>
        <sz val="10.0"/>
      </rPr>
      <t xml:space="preserve">: Incorporates info from the previous 5 worksheets to create a high level P&amp;L.  </t>
    </r>
  </si>
  <si>
    <r>
      <rPr>
        <rFont val="Arial"/>
        <color rgb="FF000000"/>
        <sz val="10.0"/>
      </rPr>
      <t xml:space="preserve">In addition, the workbook has a </t>
    </r>
    <r>
      <rPr>
        <rFont val="Arial"/>
        <b/>
        <color rgb="FF000000"/>
        <sz val="10.0"/>
      </rPr>
      <t>Funding Worksheet</t>
    </r>
    <r>
      <rPr>
        <rFont val="Arial"/>
        <color rgb="FF000000"/>
        <sz val="10.0"/>
      </rPr>
      <t>, to reflect the funding requirements based on your P&amp;L.</t>
    </r>
  </si>
  <si>
    <t>Finally, three additional worksheets provide the opportunity to identify and record financial information and ratios for comparable companies. The three additional worksheets are:</t>
  </si>
  <si>
    <r>
      <rPr>
        <rFont val="Arial"/>
        <b/>
        <color rgb="FF000000"/>
        <sz val="10.0"/>
      </rPr>
      <t>Comps-Ratio</t>
    </r>
    <r>
      <rPr>
        <rFont val="Arial"/>
        <color rgb="FF000000"/>
        <sz val="10.0"/>
      </rPr>
      <t>: select up to five publically-traded companies that are in the same industry as your venture. Compare how your financial model looks compared to these companies.</t>
    </r>
  </si>
  <si>
    <r>
      <rPr>
        <rFont val="Arial"/>
        <b/>
        <color rgb="FF000000"/>
        <sz val="10.0"/>
      </rPr>
      <t>Comps-Exit</t>
    </r>
    <r>
      <rPr>
        <rFont val="Arial"/>
        <color rgb="FF000000"/>
        <sz val="10.0"/>
      </rPr>
      <t>: requires you to record valuation metrics for your public comparable companies. In addition, identify acquisition deals that have happened in your space and recortd the terms of the deals (as available).</t>
    </r>
  </si>
  <si>
    <r>
      <rPr>
        <rFont val="Arial"/>
        <b/>
        <color rgb="FF000000"/>
        <sz val="10.0"/>
      </rPr>
      <t>iCFO</t>
    </r>
    <r>
      <rPr>
        <rFont val="Arial"/>
        <color rgb="FF000000"/>
        <sz val="10.0"/>
      </rPr>
      <t>: allows you to compare the financial models of public and private companies like your. Select filters to obtain at least 7 comparable companies and record the financial information to compare to your venture's financial model.</t>
    </r>
  </si>
  <si>
    <t>Annotate this spreadhseet to reflect all of your assumptions for each line items. This will help you both explain your underlying rationale for numbers, as well as highlight those assumptions that you need to validate to gain stronger confidence in your forecasts.</t>
  </si>
  <si>
    <t>GREEN shaded cells are intended for data entry.</t>
  </si>
  <si>
    <t>YELLOW shaded cells are calculated.</t>
  </si>
  <si>
    <t>Enter the name of your Venture in the "SalesMktg" worksheet</t>
  </si>
  <si>
    <t>Change "Month [n]" and "Year [n]" on "Sales &amp; Marketing" worksheet to actual months/years</t>
  </si>
  <si>
    <t>revised</t>
  </si>
  <si>
    <t>1:15pm</t>
  </si>
  <si>
    <t>Revision history</t>
  </si>
  <si>
    <t>Corrected Other Ops Expenses cell B7 and subsequent years to refer to total SalesMktg Expenses (B58)</t>
  </si>
  <si>
    <t>Corrected B8 (and other years) formula to REF B$7/B$5</t>
  </si>
  <si>
    <t>Corrected Salary Expense tab data to correctly reference Salary Data (for R&amp;D, G&amp;A, etc.)</t>
  </si>
  <si>
    <t>Rounded prospects &amp; customers (SalesMktg) to ensure no "fractional" customers</t>
  </si>
  <si>
    <t>Added CLV (Unit Econ) and CAC (SalesMktg) calculations</t>
  </si>
  <si>
    <t>Added Total Operating Expenses Formula (P&amp;L) to correct Net Income</t>
  </si>
  <si>
    <t>Corrected taxes to be $0 if Earning from Ops &lt; $0</t>
  </si>
  <si>
    <t>Changed pipeline activities to provide total cost of activity (and calculate cost/prospect) instead of cost per prospect and calculate total activity cost.</t>
  </si>
  <si>
    <t>Format $ to no cents (except for pricing, pipeline activity cost/customer, CLV, CAC)</t>
  </si>
  <si>
    <t>THIɅK Clear</t>
  </si>
  <si>
    <t>Sales &amp; Marketing Expenses</t>
  </si>
  <si>
    <r>
      <rPr>
        <rFont val="Arial"/>
        <color theme="1"/>
        <sz val="10.0"/>
      </rPr>
      <t xml:space="preserve">Develop a list of general and pipeline conversion marketing activities. Think about how the number &amp; type of marketing activities and conversion work together to yield customers.
(EX. X emails--&gt;y meetings &amp; demo--&gt;sale). Provide rates to convert prospects from one activity to the next.
</t>
    </r>
    <r>
      <rPr>
        <rFont val="Arial"/>
        <i/>
        <color theme="1"/>
        <sz val="10.0"/>
      </rPr>
      <t>NOTE: These activities and expenses only come into consideration once you launch and begin selling.</t>
    </r>
  </si>
  <si>
    <t>Marketing activities</t>
  </si>
  <si>
    <t>Yr1</t>
  </si>
  <si>
    <t>Yr2</t>
  </si>
  <si>
    <t>Yr3</t>
  </si>
  <si>
    <t>Yr4</t>
  </si>
  <si>
    <t>Yr5</t>
  </si>
  <si>
    <t>Yr6</t>
  </si>
  <si>
    <t>General sales &amp; marketing expense</t>
  </si>
  <si>
    <t>These activities support the company and existing customers and may not lead directly to new customers. Enter activity description &amp; cost.</t>
  </si>
  <si>
    <t>Print Materials for Clinics and Care Homes</t>
  </si>
  <si>
    <t>Customer support &amp; onboarding for current users</t>
  </si>
  <si>
    <t>Caregiver expos</t>
  </si>
  <si>
    <t>Email support</t>
  </si>
  <si>
    <t>Loyalty Programs</t>
  </si>
  <si>
    <t>Total General sales &amp; marketing expense</t>
  </si>
  <si>
    <t>Pipeline conversion activities</t>
  </si>
  <si>
    <t>Tthese activities work together to lead prospects through a pipeline, yielding a new customer. For each activity, provide the total expense, the number of prospects it targets, and the percentage conversion of prospects for the next activity. You may have less than 5 activities in which case, adjust the below accordingly. You may have morethan 5, which requires copying and pasting rows for additional activities.  Regardless of the number of pipeline activities, the final activity converts prospects to new customers.</t>
  </si>
  <si>
    <t>Total Prospects</t>
  </si>
  <si>
    <t>Facebook, Instagram, and Amazon Ads</t>
  </si>
  <si>
    <t>Total cost</t>
  </si>
  <si>
    <t>Prospects</t>
  </si>
  <si>
    <t>Cost per prospect</t>
  </si>
  <si>
    <t>Conversion rate</t>
  </si>
  <si>
    <t>Prospects remaining in funnel</t>
  </si>
  <si>
    <t>Website/Amazon Landing Page Engagement/ &amp; email opt-in</t>
  </si>
  <si>
    <t xml:space="preserve">Email Marketing &amp; Retargeting </t>
  </si>
  <si>
    <t>Webinars</t>
  </si>
  <si>
    <t>Conversion from free to premium subscription</t>
  </si>
  <si>
    <t>Net New Customers</t>
  </si>
  <si>
    <t>Churn rate (% of customers lost each year)</t>
  </si>
  <si>
    <t>NA</t>
  </si>
  <si>
    <t>Total Customers</t>
  </si>
  <si>
    <t>Total Pipeline conversion sales &amp; marketing expense</t>
  </si>
  <si>
    <t>Total Sales &amp; Marketing Expenses</t>
  </si>
  <si>
    <t>Customer Acquisition Cost (CAC)</t>
  </si>
  <si>
    <t>Unit economics</t>
  </si>
  <si>
    <t xml:space="preserve">R&amp;D Cost </t>
  </si>
  <si>
    <t>Price Range</t>
  </si>
  <si>
    <t>Assumed Price</t>
  </si>
  <si>
    <t>Overall R&amp;D Cost</t>
  </si>
  <si>
    <t>See to the right</t>
  </si>
  <si>
    <t>Provide line items that reflects the units, price of your offering</t>
  </si>
  <si>
    <t>Compliance &amp; Validation (FCC prep)</t>
  </si>
  <si>
    <t>3000-5000</t>
  </si>
  <si>
    <t>together with those that are one time purchase or recurring revenue.</t>
  </si>
  <si>
    <t>Since there are so many variations to revenue models,</t>
  </si>
  <si>
    <t>Create yours on this worksheet and be sure that the bottom line</t>
  </si>
  <si>
    <t>revenue number is reflected in the monthly and annual sums</t>
  </si>
  <si>
    <t>highlighted in yellow. These will be referenced in the P&amp;L worksheet.</t>
  </si>
  <si>
    <t>Revenue Streams</t>
  </si>
  <si>
    <t>Cost of Goods Sold (COGS)</t>
  </si>
  <si>
    <t>Bill of Materials (Current Model)</t>
  </si>
  <si>
    <t>Unit Cost</t>
  </si>
  <si>
    <t>Unit Cost Per Thousand</t>
  </si>
  <si>
    <t>Initial Purchase</t>
  </si>
  <si>
    <t>Annual Recurring</t>
  </si>
  <si>
    <t>Initial COGS</t>
  </si>
  <si>
    <t>Ultra Tiny USB Webcam Camera with GC0307 Sensor</t>
  </si>
  <si>
    <t>Offering description</t>
  </si>
  <si>
    <t>Price</t>
  </si>
  <si>
    <t>Unit</t>
  </si>
  <si>
    <t>Cost</t>
  </si>
  <si>
    <t>Stereo 2.1W Class D Audio Amplifier - TPA2012</t>
  </si>
  <si>
    <t>1 THIɅK Clear Glasses</t>
  </si>
  <si>
    <t>Raspberry Pi AI Kit with M.2 HAT+ and Hailo AI Module (13T)</t>
  </si>
  <si>
    <t>2 Premium Subscription</t>
  </si>
  <si>
    <t>Breadboard-Friendly 3.5mm Stereo Headphone Jack</t>
  </si>
  <si>
    <t>Bone Conductor Transducer with Wires - 8 Ohm 1 Watt</t>
  </si>
  <si>
    <t>Right-Angle 3.5mm Stereo Plug to Pigtail Cable</t>
  </si>
  <si>
    <t>ELEGOO Carbon Fiber PLA Filament 1.75mm Black 1KG, PLA-CF Strong 3D Printer Filament Dimensional Accuracy +/- 0.02mm, 1kg Cardboard Spool(2.2lbs) for Most FDM 3D Printers</t>
  </si>
  <si>
    <t>Customers</t>
  </si>
  <si>
    <t>FINAL PRICE</t>
  </si>
  <si>
    <t>New customers</t>
  </si>
  <si>
    <t>Existing customers</t>
  </si>
  <si>
    <t>Revenue</t>
  </si>
  <si>
    <t>Bill of Materials (Final Model)</t>
  </si>
  <si>
    <t>Custom PCB (Multi-Layered)</t>
  </si>
  <si>
    <t>Injection Filler ABS Plastic</t>
  </si>
  <si>
    <t>Total Revenue</t>
  </si>
  <si>
    <t>COGS</t>
  </si>
  <si>
    <t>Total COGS</t>
  </si>
  <si>
    <t>Customer Lifetime Value (CLV)</t>
  </si>
  <si>
    <t>Initial Purchase (per customer)</t>
  </si>
  <si>
    <t>Average lifespan of customer (years)</t>
  </si>
  <si>
    <t>Annual recurring revenue (per customer)</t>
  </si>
  <si>
    <t>CLV</t>
  </si>
  <si>
    <t>Salaried Personnel</t>
  </si>
  <si>
    <t>Enter the number of employees for each position</t>
  </si>
  <si>
    <t>Sales &amp; Marketing</t>
  </si>
  <si>
    <t xml:space="preserve">   Sales Manager</t>
  </si>
  <si>
    <t xml:space="preserve">   Marketing Manager</t>
  </si>
  <si>
    <t xml:space="preserve">   Public Relations Manager</t>
  </si>
  <si>
    <t xml:space="preserve">   Sales Reps</t>
  </si>
  <si>
    <t xml:space="preserve">   Customer Service</t>
  </si>
  <si>
    <t xml:space="preserve">   Marketing Associate</t>
  </si>
  <si>
    <t xml:space="preserve">   Sales Support Rep</t>
  </si>
  <si>
    <t>Total Sales and Marketing People</t>
  </si>
  <si>
    <t>Research and Development</t>
  </si>
  <si>
    <t>R &amp; D Manager</t>
  </si>
  <si>
    <t xml:space="preserve">   Engineers</t>
  </si>
  <si>
    <t xml:space="preserve">   Technicians</t>
  </si>
  <si>
    <t>Total R&amp;D People</t>
  </si>
  <si>
    <t>General &amp; Administration</t>
  </si>
  <si>
    <t xml:space="preserve">   Executive Officer</t>
  </si>
  <si>
    <t xml:space="preserve">   Financial Officer</t>
  </si>
  <si>
    <t xml:space="preserve">   Technology Officer</t>
  </si>
  <si>
    <t xml:space="preserve">   Marketing Officer</t>
  </si>
  <si>
    <t xml:space="preserve">   Operating Officer</t>
  </si>
  <si>
    <t xml:space="preserve">   Accounting</t>
  </si>
  <si>
    <t xml:space="preserve">   Secretarial</t>
  </si>
  <si>
    <t xml:space="preserve">   Human Resources Manager</t>
  </si>
  <si>
    <t>Total G$A People</t>
  </si>
  <si>
    <t>Manufacturing/COGS</t>
  </si>
  <si>
    <t xml:space="preserve">   Manufacturing Manager</t>
  </si>
  <si>
    <t xml:space="preserve">   Manufacturing Analyst</t>
  </si>
  <si>
    <t xml:space="preserve">   Quality Control Manager</t>
  </si>
  <si>
    <t xml:space="preserve">   Quality Control Technician</t>
  </si>
  <si>
    <t xml:space="preserve">   Procurement Manager</t>
  </si>
  <si>
    <t xml:space="preserve">   Procurement Analyst</t>
  </si>
  <si>
    <t xml:space="preserve">   Operations Manager</t>
  </si>
  <si>
    <t xml:space="preserve">   Operations Analyst</t>
  </si>
  <si>
    <t>Total Manufacturing/COGS People</t>
  </si>
  <si>
    <t>Total People</t>
  </si>
  <si>
    <t xml:space="preserve">  Benefits &amp; Payroll Taxes allocation (%)</t>
  </si>
  <si>
    <t>Salary Data</t>
  </si>
  <si>
    <t>Enter the annual salary for each position</t>
  </si>
  <si>
    <t xml:space="preserve">   Total Salary</t>
  </si>
  <si>
    <t xml:space="preserve">   Benefits &amp; Payroll Taxes</t>
  </si>
  <si>
    <t xml:space="preserve">      Percent (%)</t>
  </si>
  <si>
    <t xml:space="preserve">       Amount</t>
  </si>
  <si>
    <t xml:space="preserve">   Total Sales &amp; Marketing Compensation</t>
  </si>
  <si>
    <t xml:space="preserve">      % of Revenue</t>
  </si>
  <si>
    <t xml:space="preserve">   Total R &amp; D Compensation</t>
  </si>
  <si>
    <t>Total Salary</t>
  </si>
  <si>
    <t xml:space="preserve">   Percent (%)</t>
  </si>
  <si>
    <t xml:space="preserve">   Total G &amp; A Compensation</t>
  </si>
  <si>
    <t>Manufacturing/Cost of Goods Sold</t>
  </si>
  <si>
    <t xml:space="preserve">   Total COG's Compensation</t>
  </si>
  <si>
    <t>Total Benefits</t>
  </si>
  <si>
    <t>Total Salary &amp; Benefits</t>
  </si>
  <si>
    <t>Operating Expenses</t>
  </si>
  <si>
    <t>Net Revenues</t>
  </si>
  <si>
    <t>Research &amp; Development</t>
  </si>
  <si>
    <t>Other Research &amp; Development Costs</t>
  </si>
  <si>
    <t>Subcontract Services</t>
  </si>
  <si>
    <t>Laboratory Rent and Utilities</t>
  </si>
  <si>
    <t>Equipment</t>
  </si>
  <si>
    <t>Materials</t>
  </si>
  <si>
    <t>Internet &amp; phone</t>
  </si>
  <si>
    <t>Travel and Entertainment</t>
  </si>
  <si>
    <t>Subtotal Other R&amp;D Costs</t>
  </si>
  <si>
    <t>Other General &amp; Administraion costs</t>
  </si>
  <si>
    <t>Rent and Utilities</t>
  </si>
  <si>
    <t>Legal and Accounting</t>
  </si>
  <si>
    <t>Equipment Leases</t>
  </si>
  <si>
    <t>Insurance</t>
  </si>
  <si>
    <t>Supplies and Postage</t>
  </si>
  <si>
    <t>Subtotal Other G &amp; A Costs</t>
  </si>
  <si>
    <t>Total Operating Expenses</t>
  </si>
  <si>
    <t>% of Revenue</t>
  </si>
  <si>
    <t>Income Statement</t>
  </si>
  <si>
    <t>Costs of Goods Sold</t>
  </si>
  <si>
    <t xml:space="preserve">          % of Revenues</t>
  </si>
  <si>
    <t>Gross Profit</t>
  </si>
  <si>
    <t xml:space="preserve">   Sales &amp; Marketing</t>
  </si>
  <si>
    <t xml:space="preserve">   Research &amp; Development</t>
  </si>
  <si>
    <t xml:space="preserve">   General and Administration</t>
  </si>
  <si>
    <t>Earnings from Operations</t>
  </si>
  <si>
    <t>Taxes (enter tax rate below)</t>
  </si>
  <si>
    <t>Net Income (Loss)</t>
  </si>
  <si>
    <t>Inception</t>
  </si>
  <si>
    <t>Year 1</t>
  </si>
  <si>
    <t>Year 2</t>
  </si>
  <si>
    <t>Year 3</t>
  </si>
  <si>
    <t>Year 4</t>
  </si>
  <si>
    <t>Year 5</t>
  </si>
  <si>
    <t>Year 6</t>
  </si>
  <si>
    <t>"Cash" at Start of period</t>
  </si>
  <si>
    <t>Financing Proceeds</t>
  </si>
  <si>
    <t>Net Income for Year</t>
  </si>
  <si>
    <t>"Cash" at End of period</t>
  </si>
  <si>
    <t>NOTE: We are simplifying for the purposes of this exercise. Never forget that Net Income does NOT equal cash.  
That's why "Cash" is in quotes. And cash is king/queen; credit is queen/king.</t>
  </si>
  <si>
    <t>Start of the period called INCEPTION is the moment just before initial financing, and  thus remains $0</t>
  </si>
  <si>
    <t>End of the period called INCEPTION is the moment just after initial financing</t>
  </si>
  <si>
    <t>"Net Income for Year" is not applicable for the period of INCEPTION</t>
  </si>
  <si>
    <t>Industry Ratios</t>
  </si>
  <si>
    <t xml:space="preserve">Name:  </t>
  </si>
  <si>
    <t>Company 1 Name</t>
  </si>
  <si>
    <t>Company 2  Name</t>
  </si>
  <si>
    <t>Company 3 Name</t>
  </si>
  <si>
    <t>Company 4  Name</t>
  </si>
  <si>
    <t>Company 5  Name</t>
  </si>
  <si>
    <t xml:space="preserve">Source:  </t>
  </si>
  <si>
    <t>source</t>
  </si>
  <si>
    <t>INCOME STATEMENT</t>
  </si>
  <si>
    <t>Net Sales</t>
  </si>
  <si>
    <t>Gross Margin</t>
  </si>
  <si>
    <t>Operating Margin</t>
  </si>
  <si>
    <t>Taxes</t>
  </si>
  <si>
    <t>Net Earnings (After-Tax)</t>
  </si>
  <si>
    <t>BALANCE SHEET</t>
  </si>
  <si>
    <t>Assets</t>
  </si>
  <si>
    <t>Cash &amp; Cash Equivalents</t>
  </si>
  <si>
    <t>Accounts Receivable</t>
  </si>
  <si>
    <t>Inventory</t>
  </si>
  <si>
    <t>Other Current Assets</t>
  </si>
  <si>
    <t>Total Current Assets</t>
  </si>
  <si>
    <t>Net Fixed Assets</t>
  </si>
  <si>
    <t>Other Non-Current Assets</t>
  </si>
  <si>
    <t>Total assets</t>
  </si>
  <si>
    <t>Liabilities</t>
  </si>
  <si>
    <t>Short Term Debt</t>
  </si>
  <si>
    <t>Accounts Payable</t>
  </si>
  <si>
    <t>Other Current Liabilities</t>
  </si>
  <si>
    <t>Total Current Liabilities</t>
  </si>
  <si>
    <t>Long Term Debt</t>
  </si>
  <si>
    <t>Other Non-Current Liabilities</t>
  </si>
  <si>
    <t>Total liabilities</t>
  </si>
  <si>
    <t>Stockholders Equity</t>
  </si>
  <si>
    <t>Total Liabilties and Equity</t>
  </si>
  <si>
    <t>RATIOS (Based on Above Values)</t>
  </si>
  <si>
    <t>Solvency</t>
  </si>
  <si>
    <t xml:space="preserve">   Current Ratio</t>
  </si>
  <si>
    <t>Quick Ratio</t>
  </si>
  <si>
    <t xml:space="preserve">   Debt to Capital (LT + Equity)</t>
  </si>
  <si>
    <t>Efficiency</t>
  </si>
  <si>
    <t>Collection Period (Days)</t>
  </si>
  <si>
    <t>Payables Period (Days)</t>
  </si>
  <si>
    <t>Inventory Turnover (Days)</t>
  </si>
  <si>
    <t>Asset Turnover Ratio</t>
  </si>
  <si>
    <t>Fixed Asset Turnover Ratio</t>
  </si>
  <si>
    <t>Profitability</t>
  </si>
  <si>
    <t>Gross Profit %</t>
  </si>
  <si>
    <t>Net Earnings (After-Tax) %</t>
  </si>
  <si>
    <t>Return on Assets</t>
  </si>
  <si>
    <t>Return on Equity</t>
  </si>
  <si>
    <t>Return on Capital (LT + Equity)</t>
  </si>
  <si>
    <t>COMPARABLE ANALYSIS</t>
  </si>
  <si>
    <t>COMPARABLE COMPANY</t>
  </si>
  <si>
    <t>VALUATION METRICS - PUBLIC COMPANIES</t>
  </si>
  <si>
    <t>Median</t>
  </si>
  <si>
    <t>Current Valuation (i.e. market cap)</t>
  </si>
  <si>
    <t>P/E (valuation as a multiple of earnings)</t>
  </si>
  <si>
    <t>P/R (valuation as a multiple of revenue)</t>
  </si>
  <si>
    <t>P/EBIT (valuation as multiple of EBIT)</t>
  </si>
  <si>
    <t>Other comments</t>
  </si>
  <si>
    <t>VALUATION METRICS - RECENT ACQUSITIONS</t>
  </si>
  <si>
    <t>Target Company</t>
  </si>
  <si>
    <t>Acquired by</t>
  </si>
  <si>
    <t>Value (up front)</t>
  </si>
  <si>
    <t>Value (milestones)</t>
  </si>
  <si>
    <t>Revenue of target</t>
  </si>
  <si>
    <t>Other metrics</t>
  </si>
  <si>
    <t>Acquisition 1</t>
  </si>
  <si>
    <t>Target 1</t>
  </si>
  <si>
    <t>Acq 1</t>
  </si>
  <si>
    <t>Acquisition 2</t>
  </si>
  <si>
    <t>Target 2</t>
  </si>
  <si>
    <t>Acq 2</t>
  </si>
  <si>
    <t>Acquisition 3</t>
  </si>
  <si>
    <t>Target 3</t>
  </si>
  <si>
    <t>Acq 3</t>
  </si>
  <si>
    <t>YOUR COMPANY AT EXIT</t>
  </si>
  <si>
    <t>$ (from your P&amp;L)</t>
  </si>
  <si>
    <t>Multiple Applied</t>
  </si>
  <si>
    <t>Implied Valuation</t>
  </si>
  <si>
    <t>EBIT</t>
  </si>
  <si>
    <t>Earnings</t>
  </si>
  <si>
    <t>iCFO Industry Metrics</t>
  </si>
  <si>
    <t>Source:</t>
  </si>
  <si>
    <t>Lippincott Library Online Reference (requires PennKey login)</t>
  </si>
  <si>
    <t>URL</t>
  </si>
  <si>
    <t>http://hdl.library.upenn.edu/1017/106509</t>
  </si>
  <si>
    <t>SIC</t>
  </si>
  <si>
    <t>NAICS</t>
  </si>
  <si>
    <t>Name</t>
  </si>
  <si>
    <t>Brief description of filters applied</t>
  </si>
  <si>
    <t>Number of Enterprises</t>
  </si>
  <si>
    <t>Year</t>
  </si>
  <si>
    <t>% of Net Sales</t>
  </si>
  <si>
    <t>Cost of Sales</t>
  </si>
  <si>
    <t>Material Cost</t>
  </si>
  <si>
    <t>Labor Cost</t>
  </si>
  <si>
    <t>Overhead</t>
  </si>
  <si>
    <t>Salaries / Wages</t>
  </si>
  <si>
    <t>Rent</t>
  </si>
  <si>
    <t>Bad Debt</t>
  </si>
  <si>
    <t>Advertising / Marketing</t>
  </si>
  <si>
    <t>Other Operating Expenses</t>
  </si>
  <si>
    <t>EBITDA</t>
  </si>
  <si>
    <t>Depreciation &amp; Amortization</t>
  </si>
  <si>
    <t>Interest Expense</t>
  </si>
  <si>
    <t>Other Expense</t>
  </si>
  <si>
    <t>EBT</t>
  </si>
  <si>
    <t>Income Taxes</t>
  </si>
  <si>
    <t>Net Income</t>
  </si>
  <si>
    <t>Balance Sheet</t>
  </si>
  <si>
    <t xml:space="preserve">% of Total Assets    </t>
  </si>
  <si>
    <t>Total Assets</t>
  </si>
  <si>
    <t>Cash</t>
  </si>
  <si>
    <t>Prepaid Expenses</t>
  </si>
  <si>
    <t>Total Non-Current Assets</t>
  </si>
  <si>
    <t>Fixed Assets</t>
  </si>
  <si>
    <t>Intangible Assets</t>
  </si>
  <si>
    <t>Long-Term Investments</t>
  </si>
  <si>
    <t>Total Liabilities</t>
  </si>
  <si>
    <t>ST Notes Payable</t>
  </si>
  <si>
    <t>Bank Loan Payable</t>
  </si>
  <si>
    <t>Current Maturities of LT Debt</t>
  </si>
  <si>
    <t>Total Long Term Liabilities</t>
  </si>
  <si>
    <t>LT Notes Payable</t>
  </si>
  <si>
    <t>Net Worth</t>
  </si>
  <si>
    <t>Financial Ratios</t>
  </si>
  <si>
    <t>Liquidity Ratios</t>
  </si>
  <si>
    <t>Current Ratio</t>
  </si>
  <si>
    <t>Current Liabilities to Net Worth</t>
  </si>
  <si>
    <t>Current Liabilities to Inventory</t>
  </si>
  <si>
    <t>Total Liabilities to Net Worth</t>
  </si>
  <si>
    <t>Fixed Assets to Net Worth</t>
  </si>
  <si>
    <t>Interest Coverage</t>
  </si>
  <si>
    <t>Asset Efficiency Ratios</t>
  </si>
  <si>
    <t>Collection Period</t>
  </si>
  <si>
    <t>Inventory Turnover</t>
  </si>
  <si>
    <t>Assets to Sales</t>
  </si>
  <si>
    <t>Sales to Working Capital</t>
  </si>
  <si>
    <t>Accounts Payable to Sales</t>
  </si>
  <si>
    <t>Profitability Ratios</t>
  </si>
  <si>
    <t>Return on Investment</t>
  </si>
  <si>
    <t>Sales per Employee</t>
  </si>
  <si>
    <t>Profit per Employee</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</si>
</sst>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yyyy\-mm\-dd"/>
    <numFmt numFmtId="165" formatCode="m/d/yy"/>
    <numFmt numFmtId="166" formatCode="_(&quot;$&quot;* #,##0.00_);_(&quot;$&quot;* \(#,##0.00\);_(&quot;$&quot;* &quot;-&quot;??_);_(@_)"/>
    <numFmt numFmtId="167" formatCode="_(&quot;$&quot;* #,##0_);_(&quot;$&quot;* \(#,##0\);_(&quot;$&quot;* &quot;-&quot;??_);_(@_)"/>
    <numFmt numFmtId="168" formatCode="_(* #,##0_);_(* \(#,##0\);_(* &quot;-&quot;??_);_(@_)"/>
    <numFmt numFmtId="169" formatCode="0.0%"/>
    <numFmt numFmtId="170" formatCode="_(* #,##0.00_);_(* \(#,##0.00\);_(* &quot;-&quot;??_);_(@_)"/>
    <numFmt numFmtId="171" formatCode="&quot;$&quot;#,##0.00"/>
    <numFmt numFmtId="172" formatCode="&quot;$&quot;#,##0"/>
    <numFmt numFmtId="173" formatCode="&quot;$&quot;#,##0.0"/>
    <numFmt numFmtId="174" formatCode="&quot;$&quot;#,##0_);[Red]\(&quot;$&quot;#,##0\)"/>
    <numFmt numFmtId="175" formatCode="0.0"/>
  </numFmts>
  <fonts count="44">
    <font>
      <sz val="10.0"/>
      <color rgb="FF000000"/>
      <name val="Arimo"/>
      <scheme val="minor"/>
    </font>
    <font>
      <b/>
      <sz val="18.0"/>
      <color theme="1"/>
      <name val="Arial"/>
    </font>
    <font>
      <sz val="10.0"/>
      <color theme="1"/>
      <name val="Arial"/>
    </font>
    <font>
      <sz val="10.0"/>
      <color rgb="FF000000"/>
      <name val="Arial"/>
    </font>
    <font>
      <sz val="8.0"/>
      <color rgb="FF000000"/>
      <name val="Arial"/>
    </font>
    <font>
      <sz val="8.0"/>
      <color theme="1"/>
      <name val="Arial"/>
    </font>
    <font>
      <b/>
      <sz val="10.0"/>
      <color theme="1"/>
      <name val="Arial"/>
    </font>
    <font>
      <b/>
      <u/>
      <sz val="10.0"/>
      <color theme="1"/>
      <name val="Arial"/>
    </font>
    <font>
      <b/>
      <u/>
      <sz val="10.0"/>
      <color theme="1"/>
      <name val="Arial"/>
    </font>
    <font>
      <b/>
      <u/>
      <sz val="10.0"/>
      <color theme="1"/>
      <name val="Arial"/>
    </font>
    <font>
      <b/>
      <u/>
      <sz val="10.0"/>
      <color theme="1"/>
      <name val="Arial"/>
    </font>
    <font>
      <b/>
      <sz val="16.0"/>
      <color theme="1"/>
      <name val="Arial"/>
    </font>
    <font>
      <sz val="12.0"/>
      <color theme="1"/>
      <name val="Arial"/>
    </font>
    <font>
      <color theme="1"/>
      <name val="Arimo"/>
    </font>
    <font>
      <b/>
      <u/>
      <sz val="10.0"/>
      <color theme="1"/>
      <name val="Arial"/>
    </font>
    <font>
      <color theme="1"/>
      <name val="Arimo"/>
      <scheme val="minor"/>
    </font>
    <font>
      <u/>
      <sz val="10.0"/>
      <color rgb="FF0000FF"/>
      <name val="Arial"/>
    </font>
    <font>
      <b/>
      <u/>
      <sz val="10.0"/>
      <color theme="1"/>
      <name val="Arial"/>
    </font>
    <font>
      <u/>
      <sz val="10.0"/>
      <color rgb="FF467886"/>
      <name val="Arial"/>
    </font>
    <font>
      <b/>
      <u/>
      <sz val="10.0"/>
      <color theme="1"/>
      <name val="Arial"/>
    </font>
    <font>
      <b/>
      <u/>
      <color theme="1"/>
      <name val="Arial"/>
    </font>
    <font>
      <u/>
      <sz val="10.0"/>
      <color theme="1"/>
      <name val="Arial"/>
    </font>
    <font>
      <color rgb="FF000000"/>
      <name val="Arial"/>
    </font>
    <font>
      <color theme="1"/>
      <name val="Arial"/>
    </font>
    <font>
      <b/>
      <u/>
      <sz val="10.0"/>
      <color theme="1"/>
      <name val="Arial"/>
    </font>
    <font>
      <b/>
      <u/>
      <sz val="12.0"/>
      <color theme="1"/>
      <name val="Arial"/>
    </font>
    <font>
      <b/>
      <sz val="12.0"/>
      <color theme="1"/>
      <name val="Arial"/>
    </font>
    <font>
      <sz val="11.0"/>
      <color rgb="FF000000"/>
      <name val="Arial"/>
    </font>
    <font>
      <i/>
      <sz val="10.0"/>
      <color theme="1"/>
      <name val="Arial"/>
    </font>
    <font>
      <b/>
      <sz val="10.0"/>
      <color rgb="FFC00000"/>
      <name val="Arial"/>
    </font>
    <font>
      <u/>
      <sz val="10.0"/>
      <color theme="1"/>
      <name val="Arial"/>
    </font>
    <font>
      <b/>
      <u/>
      <sz val="10.0"/>
      <color theme="1"/>
      <name val="Arial"/>
    </font>
    <font>
      <sz val="11.0"/>
      <color theme="1"/>
      <name val="Arial"/>
    </font>
    <font>
      <b/>
      <sz val="18.0"/>
      <color theme="1"/>
      <name val="Aptos Narrow"/>
    </font>
    <font>
      <sz val="10.0"/>
      <color theme="1"/>
      <name val="Arimo"/>
    </font>
    <font>
      <sz val="12.0"/>
      <color theme="1"/>
      <name val="Arimo"/>
      <scheme val="minor"/>
    </font>
    <font>
      <sz val="12.0"/>
      <color theme="1"/>
      <name val="Arimo"/>
    </font>
    <font>
      <sz val="11.0"/>
      <color theme="1"/>
      <name val="Arimo"/>
    </font>
    <font>
      <sz val="10.0"/>
      <color theme="1"/>
      <name val="Arimo"/>
      <scheme val="minor"/>
    </font>
    <font/>
    <font>
      <b/>
      <sz val="9.0"/>
      <color theme="1"/>
      <name val="Arial Narrow"/>
    </font>
    <font>
      <b/>
      <i/>
      <sz val="10.0"/>
      <color theme="1"/>
      <name val="Arial"/>
    </font>
    <font>
      <u/>
      <sz val="10.0"/>
      <color theme="10"/>
      <name val="Arial"/>
    </font>
    <font>
      <b/>
      <sz val="10.0"/>
      <color rgb="FF000000"/>
      <name val="Arial"/>
    </font>
  </fonts>
  <fills count="7">
    <fill>
      <patternFill patternType="none"/>
    </fill>
    <fill>
      <patternFill patternType="lightGray"/>
    </fill>
    <fill>
      <patternFill patternType="solid">
        <fgColor rgb="FFD9F2D0"/>
        <bgColor rgb="FFD9F2D0"/>
      </patternFill>
    </fill>
    <fill>
      <patternFill patternType="solid">
        <fgColor rgb="FFFFFFCC"/>
        <bgColor rgb="FFFFFFCC"/>
      </patternFill>
    </fill>
    <fill>
      <patternFill patternType="solid">
        <fgColor rgb="FFDAF2D0"/>
        <bgColor rgb="FFDAF2D0"/>
      </patternFill>
    </fill>
    <fill>
      <patternFill patternType="solid">
        <fgColor rgb="FFF2F2F2"/>
        <bgColor rgb="FFF2F2F2"/>
      </patternFill>
    </fill>
    <fill>
      <patternFill patternType="solid">
        <fgColor rgb="FF99CCFF"/>
        <bgColor rgb="FF99CCFF"/>
      </patternFill>
    </fill>
  </fills>
  <borders count="21">
    <border/>
    <border>
      <left/>
      <right/>
      <top/>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medium">
        <color rgb="FF000000"/>
      </left>
      <right style="medium">
        <color rgb="FF000000"/>
      </right>
      <top style="medium">
        <color rgb="FF000000"/>
      </top>
      <bottom style="medium">
        <color rgb="FF000000"/>
      </bottom>
    </border>
    <border>
      <left/>
      <right/>
      <top/>
      <bottom style="thin">
        <color rgb="FF000000"/>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top style="thin">
        <color rgb="FF000000"/>
      </top>
      <bottom style="medium">
        <color rgb="FF000000"/>
      </bottom>
    </border>
    <border>
      <left/>
      <right/>
      <top/>
      <bottom style="medium">
        <color rgb="FF000000"/>
      </bottom>
    </border>
    <border>
      <left/>
      <right/>
      <top style="thin">
        <color rgb="FF000000"/>
      </top>
      <bottom/>
    </border>
    <border>
      <left/>
      <top/>
      <bottom/>
    </border>
    <border>
      <top/>
      <bottom/>
    </border>
    <border>
      <right/>
      <top/>
      <bottom/>
    </border>
    <border>
      <left/>
      <right style="medium">
        <color rgb="FF000000"/>
      </right>
      <top/>
      <bottom style="medium">
        <color rgb="FF000000"/>
      </bottom>
    </border>
    <border>
      <left/>
      <right/>
      <top style="thin">
        <color rgb="FF000000"/>
      </top>
      <bottom style="thin">
        <color rgb="FF000000"/>
      </bottom>
    </border>
    <border>
      <left style="medium">
        <color rgb="FF000000"/>
      </left>
      <right/>
      <top style="medium">
        <color rgb="FF000000"/>
      </top>
      <bottom style="medium">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0" fontId="3" numFmtId="0" xfId="0" applyAlignment="1" applyFont="1">
      <alignment horizontal="left" shrinkToFit="0" vertical="center" wrapText="1"/>
    </xf>
    <xf borderId="0" fillId="0" fontId="2" numFmtId="0" xfId="0" applyAlignment="1" applyFont="1">
      <alignment horizontal="left" shrinkToFit="0" vertical="center" wrapText="1"/>
    </xf>
    <xf borderId="1" fillId="2" fontId="3" numFmtId="0" xfId="0" applyAlignment="1" applyBorder="1" applyFill="1" applyFont="1">
      <alignment horizontal="left"/>
    </xf>
    <xf borderId="1" fillId="3" fontId="3" numFmtId="0" xfId="0" applyAlignment="1" applyBorder="1" applyFill="1" applyFont="1">
      <alignment horizontal="left"/>
    </xf>
    <xf borderId="0" fillId="0" fontId="4" numFmtId="0" xfId="0" applyAlignment="1" applyFont="1">
      <alignment shrinkToFit="0" wrapText="1"/>
    </xf>
    <xf borderId="0" fillId="0" fontId="5" numFmtId="164" xfId="0" applyAlignment="1" applyFont="1" applyNumberFormat="1">
      <alignment horizontal="left"/>
    </xf>
    <xf borderId="0" fillId="0" fontId="5" numFmtId="18" xfId="0" applyAlignment="1" applyFont="1" applyNumberFormat="1">
      <alignment horizontal="left"/>
    </xf>
    <xf borderId="2" fillId="0" fontId="6" numFmtId="0" xfId="0" applyBorder="1" applyFont="1"/>
    <xf borderId="0" fillId="0" fontId="2" numFmtId="165" xfId="0" applyFont="1" applyNumberFormat="1"/>
    <xf borderId="1" fillId="2" fontId="1" numFmtId="0" xfId="0" applyAlignment="1" applyBorder="1" applyFont="1">
      <alignment readingOrder="0"/>
    </xf>
    <xf borderId="0" fillId="0" fontId="6" numFmtId="0" xfId="0" applyFont="1"/>
    <xf borderId="0" fillId="0" fontId="2" numFmtId="0" xfId="0" applyAlignment="1" applyFont="1">
      <alignment readingOrder="0" shrinkToFit="0" wrapText="1"/>
    </xf>
    <xf borderId="0" fillId="0" fontId="2" numFmtId="166" xfId="0" applyAlignment="1" applyFont="1" applyNumberFormat="1">
      <alignment horizontal="right"/>
    </xf>
    <xf quotePrefix="1" borderId="0" fillId="0" fontId="7" numFmtId="0" xfId="0" applyAlignment="1" applyFont="1">
      <alignment horizontal="left"/>
    </xf>
    <xf borderId="1" fillId="2" fontId="8" numFmtId="0" xfId="0" applyAlignment="1" applyBorder="1" applyFont="1">
      <alignment horizontal="center"/>
    </xf>
    <xf borderId="0" fillId="0" fontId="9" numFmtId="0" xfId="0" applyAlignment="1" applyFont="1">
      <alignment horizontal="center"/>
    </xf>
    <xf quotePrefix="1" borderId="0" fillId="0" fontId="2" numFmtId="0" xfId="0" applyAlignment="1" applyFont="1">
      <alignment shrinkToFit="0" vertical="top" wrapText="1"/>
    </xf>
    <xf borderId="1" fillId="2" fontId="2" numFmtId="0" xfId="0" applyAlignment="1" applyBorder="1" applyFont="1">
      <alignment horizontal="left" readingOrder="0"/>
    </xf>
    <xf borderId="3" fillId="2" fontId="2" numFmtId="166" xfId="0" applyAlignment="1" applyBorder="1" applyFont="1" applyNumberFormat="1">
      <alignment horizontal="center" readingOrder="0"/>
    </xf>
    <xf borderId="0" fillId="0" fontId="6" numFmtId="0" xfId="0" applyAlignment="1" applyFont="1">
      <alignment horizontal="left"/>
    </xf>
    <xf borderId="1" fillId="3" fontId="6" numFmtId="167" xfId="0" applyAlignment="1" applyBorder="1" applyFont="1" applyNumberFormat="1">
      <alignment horizontal="right"/>
    </xf>
    <xf borderId="0" fillId="0" fontId="2" numFmtId="0" xfId="0" applyAlignment="1" applyFont="1">
      <alignment readingOrder="0"/>
    </xf>
    <xf quotePrefix="1" borderId="1" fillId="2" fontId="2" numFmtId="0" xfId="0" applyAlignment="1" applyBorder="1" applyFont="1">
      <alignment shrinkToFit="0" vertical="top" wrapText="1"/>
    </xf>
    <xf borderId="3" fillId="2" fontId="2" numFmtId="168" xfId="0" applyAlignment="1" applyBorder="1" applyFont="1" applyNumberFormat="1">
      <alignment horizontal="right" readingOrder="0"/>
    </xf>
    <xf borderId="0" fillId="0" fontId="2" numFmtId="0" xfId="0" applyAlignment="1" applyFont="1">
      <alignment readingOrder="0"/>
    </xf>
    <xf borderId="0" fillId="0" fontId="6" numFmtId="0" xfId="0" applyAlignment="1" applyFont="1">
      <alignment horizontal="left" readingOrder="0"/>
    </xf>
    <xf borderId="3" fillId="0" fontId="2" numFmtId="166" xfId="0" applyAlignment="1" applyBorder="1" applyFont="1" applyNumberFormat="1">
      <alignment horizontal="right"/>
    </xf>
    <xf borderId="0" fillId="0" fontId="2" numFmtId="0" xfId="0" applyAlignment="1" applyFont="1">
      <alignment horizontal="left"/>
    </xf>
    <xf borderId="3" fillId="2" fontId="2" numFmtId="166" xfId="0" applyAlignment="1" applyBorder="1" applyFont="1" applyNumberFormat="1">
      <alignment horizontal="right" readingOrder="0"/>
    </xf>
    <xf borderId="3" fillId="3" fontId="2" numFmtId="166" xfId="0" applyAlignment="1" applyBorder="1" applyFont="1" applyNumberFormat="1">
      <alignment horizontal="right"/>
    </xf>
    <xf borderId="3" fillId="2" fontId="2" numFmtId="169" xfId="0" applyAlignment="1" applyBorder="1" applyFont="1" applyNumberFormat="1">
      <alignment horizontal="right" readingOrder="0"/>
    </xf>
    <xf borderId="3" fillId="3" fontId="2" numFmtId="170" xfId="0" applyAlignment="1" applyBorder="1" applyFont="1" applyNumberFormat="1">
      <alignment horizontal="right"/>
    </xf>
    <xf borderId="0" fillId="0" fontId="2" numFmtId="10" xfId="0" applyAlignment="1" applyFont="1" applyNumberFormat="1">
      <alignment horizontal="right"/>
    </xf>
    <xf borderId="1" fillId="3" fontId="10" numFmtId="168" xfId="0" applyAlignment="1" applyBorder="1" applyFont="1" applyNumberFormat="1">
      <alignment horizontal="right"/>
    </xf>
    <xf borderId="4" fillId="3" fontId="2" numFmtId="9" xfId="0" applyAlignment="1" applyBorder="1" applyFont="1" applyNumberFormat="1">
      <alignment horizontal="right"/>
    </xf>
    <xf borderId="4" fillId="4" fontId="2" numFmtId="10" xfId="0" applyAlignment="1" applyBorder="1" applyFill="1" applyFont="1" applyNumberFormat="1">
      <alignment horizontal="right" readingOrder="0"/>
    </xf>
    <xf borderId="1" fillId="3" fontId="2" numFmtId="168" xfId="0" applyBorder="1" applyFont="1" applyNumberFormat="1"/>
    <xf borderId="1" fillId="3" fontId="6" numFmtId="167" xfId="0" applyBorder="1" applyFont="1" applyNumberFormat="1"/>
    <xf borderId="1" fillId="3" fontId="2" numFmtId="171" xfId="0" applyAlignment="1" applyBorder="1" applyFont="1" applyNumberFormat="1">
      <alignment horizontal="center"/>
    </xf>
    <xf borderId="1" fillId="3" fontId="11" numFmtId="0" xfId="0" applyBorder="1" applyFont="1"/>
    <xf borderId="0" fillId="0" fontId="12" numFmtId="0" xfId="0" applyFont="1"/>
    <xf borderId="0" fillId="0" fontId="13" numFmtId="0" xfId="0" applyAlignment="1" applyFont="1">
      <alignment vertical="bottom"/>
    </xf>
    <xf borderId="0" fillId="0" fontId="14" numFmtId="0" xfId="0" applyAlignment="1" applyFont="1">
      <alignment readingOrder="0"/>
    </xf>
    <xf borderId="0" fillId="0" fontId="15" numFmtId="0" xfId="0" applyAlignment="1" applyFont="1">
      <alignment readingOrder="0"/>
    </xf>
    <xf borderId="0" fillId="0" fontId="2" numFmtId="172" xfId="0" applyAlignment="1" applyFont="1" applyNumberFormat="1">
      <alignment readingOrder="0"/>
    </xf>
    <xf borderId="0" fillId="0" fontId="2" numFmtId="173" xfId="0" applyFont="1" applyNumberFormat="1"/>
    <xf borderId="0" fillId="0" fontId="2" numFmtId="3" xfId="0" applyAlignment="1" applyFont="1" applyNumberFormat="1">
      <alignment readingOrder="0"/>
    </xf>
    <xf borderId="0" fillId="0" fontId="16" numFmtId="0" xfId="0" applyAlignment="1" applyFont="1">
      <alignment readingOrder="0"/>
    </xf>
    <xf borderId="0" fillId="0" fontId="17" numFmtId="0" xfId="0" applyAlignment="1" applyFont="1">
      <alignment horizontal="left"/>
    </xf>
    <xf borderId="3" fillId="2" fontId="2" numFmtId="0" xfId="0" applyAlignment="1" applyBorder="1" applyFont="1">
      <alignment horizontal="left" readingOrder="0"/>
    </xf>
    <xf borderId="3" fillId="2" fontId="2" numFmtId="0" xfId="0" applyAlignment="1" applyBorder="1" applyFont="1">
      <alignment horizontal="center" readingOrder="0"/>
    </xf>
    <xf borderId="3" fillId="2" fontId="2" numFmtId="0" xfId="0" applyAlignment="1" applyBorder="1" applyFont="1">
      <alignment horizontal="left"/>
    </xf>
    <xf borderId="3" fillId="2" fontId="2" numFmtId="166" xfId="0" applyAlignment="1" applyBorder="1" applyFont="1" applyNumberFormat="1">
      <alignment horizontal="center"/>
    </xf>
    <xf borderId="3" fillId="2" fontId="2" numFmtId="0" xfId="0" applyAlignment="1" applyBorder="1" applyFont="1">
      <alignment horizontal="center"/>
    </xf>
    <xf borderId="0" fillId="0" fontId="18" numFmtId="0" xfId="0" applyAlignment="1" applyFont="1">
      <alignment readingOrder="0" shrinkToFit="0" wrapText="0"/>
    </xf>
    <xf borderId="1" fillId="3" fontId="19" numFmtId="0" xfId="0" applyAlignment="1" applyBorder="1" applyFont="1">
      <alignment horizontal="center"/>
    </xf>
    <xf borderId="0" fillId="0" fontId="2" numFmtId="0" xfId="0" applyAlignment="1" applyFont="1">
      <alignment vertical="top"/>
    </xf>
    <xf borderId="0" fillId="0" fontId="2" numFmtId="168" xfId="0" applyFont="1" applyNumberFormat="1"/>
    <xf borderId="0" fillId="0" fontId="6" numFmtId="0" xfId="0" applyAlignment="1" applyFont="1">
      <alignment horizontal="center"/>
    </xf>
    <xf borderId="0" fillId="0" fontId="20" numFmtId="0" xfId="0" applyAlignment="1" applyFont="1">
      <alignment vertical="bottom"/>
    </xf>
    <xf borderId="1" fillId="3" fontId="2" numFmtId="0" xfId="0" applyAlignment="1" applyBorder="1" applyFont="1">
      <alignment horizontal="left"/>
    </xf>
    <xf borderId="1" fillId="3" fontId="2" numFmtId="167" xfId="0" applyAlignment="1" applyBorder="1" applyFont="1" applyNumberFormat="1">
      <alignment horizontal="right"/>
    </xf>
    <xf borderId="1" fillId="3" fontId="21" numFmtId="167" xfId="0" applyAlignment="1" applyBorder="1" applyFont="1" applyNumberFormat="1">
      <alignment horizontal="right"/>
    </xf>
    <xf borderId="0" fillId="0" fontId="22" numFmtId="0" xfId="0" applyAlignment="1" applyFont="1">
      <alignment readingOrder="0" shrinkToFit="0" vertical="bottom" wrapText="0"/>
    </xf>
    <xf borderId="0" fillId="0" fontId="23" numFmtId="0" xfId="0" applyAlignment="1" applyFont="1">
      <alignment horizontal="right" readingOrder="0" vertical="bottom"/>
    </xf>
    <xf borderId="0" fillId="0" fontId="24" numFmtId="0" xfId="0" applyAlignment="1" applyFont="1">
      <alignment horizontal="right"/>
    </xf>
    <xf borderId="0" fillId="0" fontId="25" numFmtId="0" xfId="0" applyAlignment="1" applyFont="1">
      <alignment horizontal="right"/>
    </xf>
    <xf borderId="1" fillId="3" fontId="2" numFmtId="166" xfId="0" applyBorder="1" applyFont="1" applyNumberFormat="1"/>
    <xf borderId="5" fillId="2" fontId="2" numFmtId="170" xfId="0" applyAlignment="1" applyBorder="1" applyFont="1" applyNumberFormat="1">
      <alignment readingOrder="0"/>
    </xf>
    <xf borderId="5" fillId="3" fontId="6" numFmtId="166" xfId="0" applyBorder="1" applyFont="1" applyNumberFormat="1"/>
    <xf borderId="0" fillId="0" fontId="26" numFmtId="0" xfId="0" applyFont="1"/>
    <xf borderId="1" fillId="2" fontId="2" numFmtId="168" xfId="0" applyBorder="1" applyFont="1" applyNumberFormat="1"/>
    <xf borderId="1" fillId="2" fontId="2" numFmtId="168" xfId="0" applyAlignment="1" applyBorder="1" applyFont="1" applyNumberFormat="1">
      <alignment readingOrder="0"/>
    </xf>
    <xf borderId="0" fillId="0" fontId="27" numFmtId="0" xfId="0" applyAlignment="1" applyFont="1">
      <alignment readingOrder="0"/>
    </xf>
    <xf borderId="6" fillId="2" fontId="2" numFmtId="168" xfId="0" applyBorder="1" applyFont="1" applyNumberFormat="1"/>
    <xf borderId="0" fillId="0" fontId="28" numFmtId="0" xfId="0" applyAlignment="1" applyFont="1">
      <alignment horizontal="left"/>
    </xf>
    <xf borderId="0" fillId="0" fontId="28" numFmtId="0" xfId="0" applyFont="1"/>
    <xf borderId="0" fillId="0" fontId="2" numFmtId="37" xfId="0" applyFont="1" applyNumberFormat="1"/>
    <xf borderId="0" fillId="0" fontId="2" numFmtId="169" xfId="0" applyFont="1" applyNumberFormat="1"/>
    <xf borderId="5" fillId="2" fontId="2" numFmtId="9" xfId="0" applyAlignment="1" applyBorder="1" applyFont="1" applyNumberFormat="1">
      <alignment readingOrder="0"/>
    </xf>
    <xf borderId="0" fillId="0" fontId="2" numFmtId="9" xfId="0" applyFont="1" applyNumberFormat="1"/>
    <xf borderId="1" fillId="3" fontId="2" numFmtId="167" xfId="0" applyBorder="1" applyFont="1" applyNumberFormat="1"/>
    <xf borderId="7" fillId="2" fontId="2" numFmtId="167" xfId="0" applyBorder="1" applyFont="1" applyNumberFormat="1"/>
    <xf borderId="8" fillId="2" fontId="2" numFmtId="167" xfId="0" applyBorder="1" applyFont="1" applyNumberFormat="1"/>
    <xf borderId="8" fillId="2" fontId="2" numFmtId="167" xfId="0" applyAlignment="1" applyBorder="1" applyFont="1" applyNumberFormat="1">
      <alignment readingOrder="0"/>
    </xf>
    <xf borderId="6" fillId="3" fontId="2" numFmtId="167" xfId="0" applyBorder="1" applyFont="1" applyNumberFormat="1"/>
    <xf borderId="9" fillId="2" fontId="2" numFmtId="167" xfId="0" applyBorder="1" applyFont="1" applyNumberFormat="1"/>
    <xf borderId="1" fillId="3" fontId="2" numFmtId="9" xfId="0" applyBorder="1" applyFont="1" applyNumberFormat="1"/>
    <xf borderId="10" fillId="3" fontId="2" numFmtId="167" xfId="0" applyBorder="1" applyFont="1" applyNumberFormat="1"/>
    <xf borderId="1" fillId="3" fontId="2" numFmtId="169" xfId="0" applyBorder="1" applyFont="1" applyNumberFormat="1"/>
    <xf borderId="7" fillId="2" fontId="2" numFmtId="167" xfId="0" applyAlignment="1" applyBorder="1" applyFont="1" applyNumberFormat="1">
      <alignment readingOrder="0"/>
    </xf>
    <xf borderId="6" fillId="3" fontId="2" numFmtId="37" xfId="0" applyBorder="1" applyFont="1" applyNumberFormat="1"/>
    <xf borderId="10" fillId="3" fontId="2" numFmtId="37" xfId="0" applyBorder="1" applyFont="1" applyNumberFormat="1"/>
    <xf borderId="0" fillId="0" fontId="29" numFmtId="0" xfId="0" applyFont="1"/>
    <xf borderId="11" fillId="3" fontId="6" numFmtId="0" xfId="0" applyAlignment="1" applyBorder="1" applyFont="1">
      <alignment horizontal="center"/>
    </xf>
    <xf borderId="0" fillId="0" fontId="2" numFmtId="10" xfId="0" applyFont="1" applyNumberFormat="1"/>
    <xf borderId="1" fillId="2" fontId="2" numFmtId="166" xfId="0" applyAlignment="1" applyBorder="1" applyFont="1" applyNumberFormat="1">
      <alignment readingOrder="0" shrinkToFit="0" vertical="center" wrapText="1"/>
    </xf>
    <xf borderId="1" fillId="2" fontId="2" numFmtId="166" xfId="0" applyAlignment="1" applyBorder="1" applyFont="1" applyNumberFormat="1">
      <alignment shrinkToFit="0" vertical="center" wrapText="1"/>
    </xf>
    <xf borderId="12" fillId="3" fontId="2" numFmtId="167" xfId="0" applyBorder="1" applyFont="1" applyNumberFormat="1"/>
    <xf borderId="1" fillId="2" fontId="2" numFmtId="166" xfId="0" applyBorder="1" applyFont="1" applyNumberFormat="1"/>
    <xf borderId="6" fillId="2" fontId="2" numFmtId="166" xfId="0" applyBorder="1" applyFont="1" applyNumberFormat="1"/>
    <xf borderId="0" fillId="0" fontId="2" numFmtId="174" xfId="0" applyFont="1" applyNumberFormat="1"/>
    <xf borderId="1" fillId="3" fontId="2" numFmtId="169" xfId="0" applyAlignment="1" applyBorder="1" applyFont="1" applyNumberFormat="1">
      <alignment horizontal="center"/>
    </xf>
    <xf borderId="2" fillId="0" fontId="2" numFmtId="37" xfId="0" applyBorder="1" applyFont="1" applyNumberFormat="1"/>
    <xf borderId="1" fillId="3" fontId="6" numFmtId="166" xfId="0" applyBorder="1" applyFont="1" applyNumberFormat="1"/>
    <xf borderId="3" fillId="3" fontId="2" numFmtId="166" xfId="0" applyBorder="1" applyFont="1" applyNumberFormat="1"/>
    <xf borderId="3" fillId="3" fontId="6" numFmtId="166" xfId="0" applyBorder="1" applyFont="1" applyNumberFormat="1"/>
    <xf borderId="0" fillId="0" fontId="12" numFmtId="37" xfId="0" applyFont="1" applyNumberFormat="1"/>
    <xf borderId="1" fillId="3" fontId="30" numFmtId="166" xfId="0" applyBorder="1" applyFont="1" applyNumberFormat="1"/>
    <xf borderId="3" fillId="2" fontId="2" numFmtId="9" xfId="0" applyAlignment="1" applyBorder="1" applyFont="1" applyNumberFormat="1">
      <alignment horizontal="left" readingOrder="0"/>
    </xf>
    <xf borderId="1" fillId="3" fontId="31" numFmtId="166" xfId="0" applyBorder="1" applyFont="1" applyNumberFormat="1"/>
    <xf borderId="0" fillId="0" fontId="32" numFmtId="0" xfId="0" applyFont="1"/>
    <xf borderId="0" fillId="0" fontId="32" numFmtId="37" xfId="0" applyFont="1" applyNumberFormat="1"/>
    <xf borderId="0" fillId="0" fontId="33" numFmtId="0" xfId="0" applyFont="1"/>
    <xf borderId="0" fillId="0" fontId="34" numFmtId="0" xfId="0" applyFont="1"/>
    <xf borderId="0" fillId="0" fontId="34" numFmtId="166" xfId="0" applyFont="1" applyNumberFormat="1"/>
    <xf borderId="1" fillId="3" fontId="34" numFmtId="166" xfId="0" applyBorder="1" applyFont="1" applyNumberFormat="1"/>
    <xf borderId="1" fillId="2" fontId="35" numFmtId="167" xfId="0" applyAlignment="1" applyBorder="1" applyFont="1" applyNumberFormat="1">
      <alignment readingOrder="0"/>
    </xf>
    <xf borderId="1" fillId="2" fontId="36" numFmtId="167" xfId="0" applyAlignment="1" applyBorder="1" applyFont="1" applyNumberFormat="1">
      <alignment readingOrder="0"/>
    </xf>
    <xf borderId="1" fillId="2" fontId="37" numFmtId="167" xfId="0" applyAlignment="1" applyBorder="1" applyFont="1" applyNumberFormat="1">
      <alignment readingOrder="0"/>
    </xf>
    <xf borderId="0" fillId="0" fontId="38" numFmtId="166" xfId="0" applyFont="1" applyNumberFormat="1"/>
    <xf borderId="1" fillId="3" fontId="38" numFmtId="166" xfId="0" applyBorder="1" applyFont="1" applyNumberFormat="1"/>
    <xf borderId="1" fillId="3" fontId="38" numFmtId="167" xfId="0" applyBorder="1" applyFont="1" applyNumberFormat="1"/>
    <xf borderId="13" fillId="5" fontId="34" numFmtId="0" xfId="0" applyAlignment="1" applyBorder="1" applyFill="1" applyFont="1">
      <alignment horizontal="center" shrinkToFit="0" vertical="center" wrapText="1"/>
    </xf>
    <xf borderId="14" fillId="0" fontId="39" numFmtId="0" xfId="0" applyBorder="1" applyFont="1"/>
    <xf borderId="15" fillId="0" fontId="39" numFmtId="0" xfId="0" applyBorder="1" applyFont="1"/>
    <xf borderId="1" fillId="6" fontId="1" numFmtId="0" xfId="0" applyBorder="1" applyFill="1" applyFont="1"/>
    <xf borderId="0" fillId="0" fontId="40" numFmtId="169" xfId="0" applyAlignment="1" applyFont="1" applyNumberFormat="1">
      <alignment horizontal="center" shrinkToFit="0" wrapText="1"/>
    </xf>
    <xf borderId="0" fillId="0" fontId="26" numFmtId="0" xfId="0" applyAlignment="1" applyFont="1">
      <alignment horizontal="right"/>
    </xf>
    <xf borderId="3" fillId="2" fontId="2" numFmtId="166" xfId="0" applyBorder="1" applyFont="1" applyNumberFormat="1"/>
    <xf borderId="9" fillId="2" fontId="2" numFmtId="166" xfId="0" applyBorder="1" applyFont="1" applyNumberFormat="1"/>
    <xf borderId="16" fillId="2" fontId="2" numFmtId="166" xfId="0" applyBorder="1" applyFont="1" applyNumberFormat="1"/>
    <xf borderId="17" fillId="6" fontId="6" numFmtId="0" xfId="0" applyAlignment="1" applyBorder="1" applyFont="1">
      <alignment horizontal="left"/>
    </xf>
    <xf borderId="17" fillId="6" fontId="2" numFmtId="169" xfId="0" applyBorder="1" applyFont="1" applyNumberFormat="1"/>
    <xf borderId="0" fillId="0" fontId="2" numFmtId="0" xfId="0" applyAlignment="1" applyFont="1">
      <alignment horizontal="right"/>
    </xf>
    <xf borderId="0" fillId="0" fontId="6" numFmtId="169" xfId="0" applyAlignment="1" applyFont="1" applyNumberFormat="1">
      <alignment horizontal="right"/>
    </xf>
    <xf borderId="0" fillId="0" fontId="41" numFmtId="0" xfId="0" applyAlignment="1" applyFont="1">
      <alignment horizontal="right"/>
    </xf>
    <xf borderId="0" fillId="0" fontId="28" numFmtId="0" xfId="0" applyAlignment="1" applyFont="1">
      <alignment horizontal="right"/>
    </xf>
    <xf borderId="17" fillId="6" fontId="6" numFmtId="0" xfId="0" applyBorder="1" applyFont="1"/>
    <xf borderId="1" fillId="6" fontId="6" numFmtId="0" xfId="0" applyBorder="1" applyFont="1"/>
    <xf borderId="1" fillId="6" fontId="2" numFmtId="169" xfId="0" applyBorder="1" applyFont="1" applyNumberFormat="1"/>
    <xf borderId="1" fillId="3" fontId="2" numFmtId="2" xfId="0" applyAlignment="1" applyBorder="1" applyFont="1" applyNumberFormat="1">
      <alignment horizontal="center"/>
    </xf>
    <xf borderId="0" fillId="0" fontId="2" numFmtId="175" xfId="0" applyFont="1" applyNumberFormat="1"/>
    <xf borderId="0" fillId="0" fontId="6" numFmtId="169" xfId="0" applyFont="1" applyNumberFormat="1"/>
    <xf borderId="17" fillId="6" fontId="2" numFmtId="175" xfId="0" applyBorder="1" applyFont="1" applyNumberFormat="1"/>
    <xf borderId="17" fillId="6" fontId="6" numFmtId="169" xfId="0" applyBorder="1" applyFont="1" applyNumberFormat="1"/>
    <xf borderId="0" fillId="0" fontId="2" numFmtId="175" xfId="0" applyAlignment="1" applyFont="1" applyNumberFormat="1">
      <alignment horizontal="center"/>
    </xf>
    <xf borderId="0" fillId="0" fontId="6" numFmtId="169" xfId="0" applyAlignment="1" applyFont="1" applyNumberFormat="1">
      <alignment horizontal="center"/>
    </xf>
    <xf borderId="17" fillId="6" fontId="2" numFmtId="175" xfId="0" applyAlignment="1" applyBorder="1" applyFont="1" applyNumberFormat="1">
      <alignment horizontal="center"/>
    </xf>
    <xf borderId="17" fillId="6" fontId="6" numFmtId="169" xfId="0" applyAlignment="1" applyBorder="1" applyFont="1" applyNumberFormat="1">
      <alignment horizontal="center"/>
    </xf>
    <xf borderId="1" fillId="3" fontId="2" numFmtId="10" xfId="0" applyAlignment="1" applyBorder="1" applyFont="1" applyNumberFormat="1">
      <alignment horizontal="center"/>
    </xf>
    <xf borderId="18" fillId="2" fontId="2" numFmtId="166" xfId="0" applyBorder="1" applyFont="1" applyNumberFormat="1"/>
    <xf borderId="0" fillId="0" fontId="2" numFmtId="0" xfId="0" applyAlignment="1" applyFont="1">
      <alignment horizontal="center"/>
    </xf>
    <xf borderId="0" fillId="0" fontId="2" numFmtId="166" xfId="0" applyFont="1" applyNumberFormat="1"/>
    <xf borderId="19" fillId="0" fontId="2" numFmtId="169" xfId="0" applyAlignment="1" applyBorder="1" applyFont="1" applyNumberFormat="1">
      <alignment horizontal="right"/>
    </xf>
    <xf borderId="1" fillId="2" fontId="2" numFmtId="0" xfId="0" applyBorder="1" applyFont="1"/>
    <xf borderId="0" fillId="0" fontId="2" numFmtId="170" xfId="0" applyFont="1" applyNumberFormat="1"/>
    <xf borderId="0" fillId="0" fontId="42" numFmtId="0" xfId="0" applyFont="1"/>
    <xf borderId="20" fillId="0" fontId="26" numFmtId="0" xfId="0" applyAlignment="1" applyBorder="1" applyFont="1">
      <alignment horizontal="center"/>
    </xf>
    <xf borderId="12" fillId="2" fontId="2" numFmtId="167" xfId="0" applyBorder="1" applyFont="1" applyNumberFormat="1"/>
    <xf borderId="0" fillId="0" fontId="26" numFmtId="0" xfId="0" applyAlignment="1" applyFont="1">
      <alignment horizontal="center"/>
    </xf>
    <xf borderId="1" fillId="2" fontId="2" numFmtId="167" xfId="0" applyBorder="1" applyFont="1" applyNumberFormat="1"/>
    <xf borderId="2" fillId="0" fontId="26" numFmtId="0" xfId="0" applyAlignment="1" applyBorder="1" applyFont="1">
      <alignment horizontal="center"/>
    </xf>
    <xf borderId="6" fillId="2" fontId="2" numFmtId="167" xfId="0" applyBorder="1" applyFont="1" applyNumberFormat="1"/>
    <xf borderId="1" fillId="2" fontId="2" numFmtId="37" xfId="0" applyAlignment="1" applyBorder="1" applyFont="1" applyNumberFormat="1">
      <alignment horizontal="center" shrinkToFit="0" vertical="top" wrapText="1"/>
    </xf>
    <xf borderId="1" fillId="2" fontId="2" numFmtId="37" xfId="0" applyAlignment="1" applyBorder="1" applyFont="1" applyNumberFormat="1">
      <alignment horizontal="center"/>
    </xf>
    <xf borderId="1" fillId="2" fontId="2" numFmtId="49" xfId="0" applyAlignment="1" applyBorder="1" applyFont="1" applyNumberFormat="1">
      <alignment horizontal="center"/>
    </xf>
    <xf borderId="0" fillId="0" fontId="43" numFmtId="0" xfId="0" applyFont="1"/>
    <xf borderId="1" fillId="2" fontId="6" numFmtId="169" xfId="0" applyBorder="1" applyFont="1" applyNumberFormat="1"/>
    <xf borderId="0" fillId="0" fontId="3" numFmtId="0" xfId="0" applyAlignment="1" applyFont="1">
      <alignment horizontal="left"/>
    </xf>
    <xf borderId="1" fillId="2" fontId="2" numFmtId="169" xfId="0" applyBorder="1" applyFont="1" applyNumberFormat="1"/>
    <xf borderId="0" fillId="0" fontId="3" numFmtId="0" xfId="0" applyFont="1"/>
    <xf borderId="0" fillId="0" fontId="43" numFmtId="0" xfId="0" applyAlignment="1" applyFont="1">
      <alignment horizontal="left"/>
    </xf>
    <xf borderId="1" fillId="2" fontId="3" numFmtId="170" xfId="0" applyBorder="1" applyFont="1" applyNumberFormat="1"/>
    <xf borderId="1" fillId="2" fontId="3" numFmtId="169" xfId="0" applyBorder="1" applyFont="1" applyNumberFormat="1"/>
    <xf borderId="1" fillId="2" fontId="3" numFmtId="166" xfId="0" applyBorder="1"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adafruit.com/product/1699" TargetMode="External"/><Relationship Id="rId10" Type="http://schemas.openxmlformats.org/officeDocument/2006/relationships/hyperlink" Target="https://www.adafruit.com/product/1552" TargetMode="External"/><Relationship Id="rId13" Type="http://schemas.openxmlformats.org/officeDocument/2006/relationships/hyperlink" Target="https://www.adafruit.com/product/1700" TargetMode="External"/><Relationship Id="rId12" Type="http://schemas.openxmlformats.org/officeDocument/2006/relationships/hyperlink" Target="https://www.adafruit.com/product/1674" TargetMode="External"/><Relationship Id="rId1" Type="http://schemas.openxmlformats.org/officeDocument/2006/relationships/comments" Target="../comments2.xml"/><Relationship Id="rId2" Type="http://schemas.openxmlformats.org/officeDocument/2006/relationships/hyperlink" Target="https://www.adafruit.com/product/5733" TargetMode="External"/><Relationship Id="rId3" Type="http://schemas.openxmlformats.org/officeDocument/2006/relationships/hyperlink" Target="https://www.adafruit.com/product/1552" TargetMode="External"/><Relationship Id="rId4" Type="http://schemas.openxmlformats.org/officeDocument/2006/relationships/hyperlink" Target="https://www.adafruit.com/product/5979" TargetMode="External"/><Relationship Id="rId9" Type="http://schemas.openxmlformats.org/officeDocument/2006/relationships/hyperlink" Target="https://www.adafruit.com/product/5733" TargetMode="External"/><Relationship Id="rId15" Type="http://schemas.openxmlformats.org/officeDocument/2006/relationships/vmlDrawing" Target="../drawings/vmlDrawing2.vml"/><Relationship Id="rId14" Type="http://schemas.openxmlformats.org/officeDocument/2006/relationships/drawing" Target="../drawings/drawing3.xml"/><Relationship Id="rId5" Type="http://schemas.openxmlformats.org/officeDocument/2006/relationships/hyperlink" Target="https://www.adafruit.com/product/1699" TargetMode="External"/><Relationship Id="rId6" Type="http://schemas.openxmlformats.org/officeDocument/2006/relationships/hyperlink" Target="https://www.adafruit.com/product/1674" TargetMode="External"/><Relationship Id="rId7" Type="http://schemas.openxmlformats.org/officeDocument/2006/relationships/hyperlink" Target="https://www.adafruit.com/product/1700" TargetMode="External"/><Relationship Id="rId8" Type="http://schemas.openxmlformats.org/officeDocument/2006/relationships/hyperlink" Target="https://www.amazon.com/ELEGOO-Filament-Dimensional-Accuracy-Cardboard/dp/B0D86M3RM4?source=ps-sl-shoppingads-lpcontext&amp;ref_=fplfs&amp;psc=1&amp;smid=A2WWHQ25ENKVJ1"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hdl.library.upenn.edu/1017/106509"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9.43"/>
    <col customWidth="1" min="2" max="2" width="8.57"/>
    <col customWidth="1" min="3" max="3" width="36.57"/>
    <col customWidth="1" min="4" max="26" width="8.57"/>
  </cols>
  <sheetData>
    <row r="1" ht="12.75"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2"/>
      <c r="C2" s="2"/>
      <c r="D2" s="2"/>
      <c r="E2" s="2"/>
      <c r="F2" s="2"/>
      <c r="G2" s="2"/>
      <c r="H2" s="2"/>
      <c r="I2" s="2"/>
      <c r="J2" s="2"/>
      <c r="K2" s="2"/>
      <c r="L2" s="2"/>
      <c r="M2" s="2"/>
      <c r="N2" s="2"/>
      <c r="O2" s="2"/>
      <c r="P2" s="2"/>
      <c r="Q2" s="2"/>
      <c r="R2" s="2"/>
      <c r="S2" s="2"/>
      <c r="T2" s="2"/>
      <c r="U2" s="2"/>
      <c r="V2" s="2"/>
      <c r="W2" s="2"/>
      <c r="X2" s="2"/>
      <c r="Y2" s="2"/>
      <c r="Z2" s="2"/>
    </row>
    <row r="3" ht="12.75" customHeight="1">
      <c r="A3" s="4" t="s">
        <v>2</v>
      </c>
      <c r="B3" s="2"/>
      <c r="C3" s="2"/>
      <c r="D3" s="2"/>
      <c r="E3" s="2"/>
      <c r="F3" s="2"/>
      <c r="G3" s="2"/>
      <c r="H3" s="2"/>
      <c r="I3" s="2"/>
      <c r="J3" s="2"/>
      <c r="K3" s="2"/>
      <c r="L3" s="2"/>
      <c r="M3" s="2"/>
      <c r="N3" s="2"/>
      <c r="O3" s="2"/>
      <c r="P3" s="2"/>
      <c r="Q3" s="2"/>
      <c r="R3" s="2"/>
      <c r="S3" s="2"/>
      <c r="T3" s="2"/>
      <c r="U3" s="2"/>
      <c r="V3" s="2"/>
      <c r="W3" s="2"/>
      <c r="X3" s="2"/>
      <c r="Y3" s="2"/>
      <c r="Z3" s="2"/>
    </row>
    <row r="4" ht="12.75" customHeight="1">
      <c r="A4" s="4" t="s">
        <v>3</v>
      </c>
      <c r="B4" s="2"/>
      <c r="C4" s="2"/>
      <c r="D4" s="2"/>
      <c r="E4" s="2"/>
      <c r="F4" s="2"/>
      <c r="G4" s="2"/>
      <c r="H4" s="2"/>
      <c r="I4" s="2"/>
      <c r="J4" s="2"/>
      <c r="K4" s="2"/>
      <c r="L4" s="2"/>
      <c r="M4" s="2"/>
      <c r="N4" s="2"/>
      <c r="O4" s="2"/>
      <c r="P4" s="2"/>
      <c r="Q4" s="2"/>
      <c r="R4" s="2"/>
      <c r="S4" s="2"/>
      <c r="T4" s="2"/>
      <c r="U4" s="2"/>
      <c r="V4" s="2"/>
      <c r="W4" s="2"/>
      <c r="X4" s="2"/>
      <c r="Y4" s="2"/>
      <c r="Z4" s="2"/>
    </row>
    <row r="5" ht="12.75" customHeight="1">
      <c r="A5" s="4" t="s">
        <v>4</v>
      </c>
      <c r="B5" s="2"/>
      <c r="C5" s="2"/>
      <c r="D5" s="2"/>
      <c r="E5" s="2"/>
      <c r="F5" s="2"/>
      <c r="G5" s="2"/>
      <c r="H5" s="2"/>
      <c r="I5" s="2"/>
      <c r="J5" s="2"/>
      <c r="K5" s="2"/>
      <c r="L5" s="2"/>
      <c r="M5" s="2"/>
      <c r="N5" s="2"/>
      <c r="O5" s="2"/>
      <c r="P5" s="2"/>
      <c r="Q5" s="2"/>
      <c r="R5" s="2"/>
      <c r="S5" s="2"/>
      <c r="T5" s="2"/>
      <c r="U5" s="2"/>
      <c r="V5" s="2"/>
      <c r="W5" s="2"/>
      <c r="X5" s="2"/>
      <c r="Y5" s="2"/>
      <c r="Z5" s="2"/>
    </row>
    <row r="6" ht="12.75" customHeight="1">
      <c r="A6" s="4" t="s">
        <v>5</v>
      </c>
      <c r="B6" s="2"/>
      <c r="C6" s="2"/>
      <c r="D6" s="2"/>
      <c r="E6" s="2"/>
      <c r="F6" s="2"/>
      <c r="G6" s="2"/>
      <c r="H6" s="2"/>
      <c r="I6" s="2"/>
      <c r="J6" s="2"/>
      <c r="K6" s="2"/>
      <c r="L6" s="2"/>
      <c r="M6" s="2"/>
      <c r="N6" s="2"/>
      <c r="O6" s="2"/>
      <c r="P6" s="2"/>
      <c r="Q6" s="2"/>
      <c r="R6" s="2"/>
      <c r="S6" s="2"/>
      <c r="T6" s="2"/>
      <c r="U6" s="2"/>
      <c r="V6" s="2"/>
      <c r="W6" s="2"/>
      <c r="X6" s="2"/>
      <c r="Y6" s="2"/>
      <c r="Z6" s="2"/>
    </row>
    <row r="7" ht="12.75" customHeight="1">
      <c r="A7" s="4" t="s">
        <v>6</v>
      </c>
      <c r="B7" s="2"/>
      <c r="C7" s="2"/>
      <c r="D7" s="2"/>
      <c r="E7" s="2"/>
      <c r="F7" s="2"/>
      <c r="G7" s="2"/>
      <c r="H7" s="2"/>
      <c r="I7" s="2"/>
      <c r="J7" s="2"/>
      <c r="K7" s="2"/>
      <c r="L7" s="2"/>
      <c r="M7" s="2"/>
      <c r="N7" s="2"/>
      <c r="O7" s="2"/>
      <c r="P7" s="2"/>
      <c r="Q7" s="2"/>
      <c r="R7" s="2"/>
      <c r="S7" s="2"/>
      <c r="T7" s="2"/>
      <c r="U7" s="2"/>
      <c r="V7" s="2"/>
      <c r="W7" s="2"/>
      <c r="X7" s="2"/>
      <c r="Y7" s="2"/>
      <c r="Z7" s="2"/>
    </row>
    <row r="8" ht="12.75" customHeight="1">
      <c r="A8" s="4" t="s">
        <v>7</v>
      </c>
      <c r="B8" s="2"/>
      <c r="C8" s="2"/>
      <c r="D8" s="2"/>
      <c r="E8" s="2"/>
      <c r="F8" s="2"/>
      <c r="G8" s="2"/>
      <c r="H8" s="2"/>
      <c r="I8" s="2"/>
      <c r="J8" s="2"/>
      <c r="K8" s="2"/>
      <c r="L8" s="2"/>
      <c r="M8" s="2"/>
      <c r="N8" s="2"/>
      <c r="O8" s="2"/>
      <c r="P8" s="2"/>
      <c r="Q8" s="2"/>
      <c r="R8" s="2"/>
      <c r="S8" s="2"/>
      <c r="T8" s="2"/>
      <c r="U8" s="2"/>
      <c r="V8" s="2"/>
      <c r="W8" s="2"/>
      <c r="X8" s="2"/>
      <c r="Y8" s="2"/>
      <c r="Z8" s="2"/>
    </row>
    <row r="9" ht="12.75" customHeight="1">
      <c r="A9" s="4"/>
      <c r="B9" s="2"/>
      <c r="C9" s="2"/>
      <c r="D9" s="2"/>
      <c r="E9" s="2"/>
      <c r="F9" s="2"/>
      <c r="G9" s="2"/>
      <c r="H9" s="2"/>
      <c r="I9" s="2"/>
      <c r="J9" s="2"/>
      <c r="K9" s="2"/>
      <c r="L9" s="2"/>
      <c r="M9" s="2"/>
      <c r="N9" s="2"/>
      <c r="O9" s="2"/>
      <c r="P9" s="2"/>
      <c r="Q9" s="2"/>
      <c r="R9" s="2"/>
      <c r="S9" s="2"/>
      <c r="T9" s="2"/>
      <c r="U9" s="2"/>
      <c r="V9" s="2"/>
      <c r="W9" s="2"/>
      <c r="X9" s="2"/>
      <c r="Y9" s="2"/>
      <c r="Z9" s="2"/>
    </row>
    <row r="10" ht="12.75" customHeight="1">
      <c r="A10" s="4" t="s">
        <v>8</v>
      </c>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4"/>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4" t="s">
        <v>10</v>
      </c>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4" t="s">
        <v>12</v>
      </c>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5"/>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6" t="s">
        <v>14</v>
      </c>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7" t="s">
        <v>15</v>
      </c>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3" t="s">
        <v>16</v>
      </c>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3" t="s">
        <v>17</v>
      </c>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8" t="s">
        <v>18</v>
      </c>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9">
        <v>45811.0</v>
      </c>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0" t="s">
        <v>19</v>
      </c>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11" t="s">
        <v>20</v>
      </c>
      <c r="C27" s="11"/>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12">
        <v>45748.0</v>
      </c>
      <c r="C28" s="2" t="s">
        <v>21</v>
      </c>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12">
        <v>45748.0</v>
      </c>
      <c r="C29" s="2" t="s">
        <v>22</v>
      </c>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12">
        <v>45747.0</v>
      </c>
      <c r="C30" s="2" t="s">
        <v>23</v>
      </c>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12">
        <v>45787.0</v>
      </c>
      <c r="C31" s="2" t="s">
        <v>24</v>
      </c>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12"/>
      <c r="C32" s="2" t="s">
        <v>25</v>
      </c>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12"/>
      <c r="C33" s="2" t="s">
        <v>26</v>
      </c>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12"/>
      <c r="C34" s="2" t="s">
        <v>27</v>
      </c>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12">
        <v>45811.0</v>
      </c>
      <c r="C35" s="2" t="s">
        <v>28</v>
      </c>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12"/>
      <c r="C36" s="2" t="s">
        <v>29</v>
      </c>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1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1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1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1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1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1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1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1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1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1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1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55.29"/>
    <col customWidth="1" min="2" max="7" width="15.71"/>
    <col customWidth="1" min="8" max="26" width="55.29"/>
  </cols>
  <sheetData>
    <row r="1" ht="12.75" customHeight="1">
      <c r="A1" s="13" t="s">
        <v>30</v>
      </c>
      <c r="B1" s="2"/>
      <c r="C1" s="2"/>
      <c r="D1" s="2"/>
      <c r="E1" s="2"/>
      <c r="F1" s="2"/>
      <c r="G1" s="2"/>
      <c r="H1" s="2"/>
      <c r="I1" s="2"/>
      <c r="J1" s="2"/>
      <c r="K1" s="2"/>
      <c r="L1" s="2"/>
      <c r="M1" s="2"/>
      <c r="N1" s="2"/>
      <c r="O1" s="2"/>
      <c r="P1" s="2"/>
      <c r="Q1" s="2"/>
      <c r="R1" s="2"/>
      <c r="S1" s="2"/>
      <c r="T1" s="2"/>
      <c r="U1" s="2"/>
      <c r="V1" s="2"/>
      <c r="W1" s="2"/>
      <c r="X1" s="2"/>
      <c r="Y1" s="2"/>
      <c r="Z1" s="2"/>
    </row>
    <row r="2" ht="12.75" customHeight="1">
      <c r="A2" s="14" t="s">
        <v>31</v>
      </c>
      <c r="B2" s="2"/>
      <c r="C2" s="2"/>
      <c r="D2" s="2"/>
      <c r="E2" s="2"/>
      <c r="F2" s="2"/>
      <c r="G2" s="2"/>
      <c r="H2" s="2"/>
      <c r="I2" s="2"/>
      <c r="J2" s="2"/>
      <c r="K2" s="2"/>
      <c r="L2" s="2"/>
      <c r="M2" s="2"/>
      <c r="N2" s="2"/>
      <c r="O2" s="2"/>
      <c r="P2" s="2"/>
      <c r="Q2" s="2"/>
      <c r="R2" s="2"/>
      <c r="S2" s="2"/>
      <c r="T2" s="2"/>
      <c r="U2" s="2"/>
      <c r="V2" s="2"/>
      <c r="W2" s="2"/>
      <c r="X2" s="2"/>
      <c r="Y2" s="2"/>
      <c r="Z2" s="2"/>
    </row>
    <row r="3" ht="12.75" customHeight="1">
      <c r="A3" s="15" t="s">
        <v>32</v>
      </c>
      <c r="B3" s="2"/>
      <c r="C3" s="2"/>
      <c r="D3" s="2"/>
      <c r="E3" s="2"/>
      <c r="F3" s="2"/>
      <c r="G3" s="2"/>
      <c r="H3" s="2"/>
      <c r="I3" s="2"/>
      <c r="J3" s="2"/>
      <c r="K3" s="2"/>
      <c r="L3" s="2"/>
      <c r="M3" s="2"/>
      <c r="N3" s="2"/>
      <c r="O3" s="2"/>
      <c r="P3" s="2"/>
      <c r="Q3" s="2"/>
      <c r="R3" s="2"/>
      <c r="S3" s="2"/>
      <c r="T3" s="2"/>
      <c r="U3" s="2"/>
      <c r="V3" s="2"/>
      <c r="W3" s="2"/>
      <c r="X3" s="2"/>
      <c r="Y3" s="2"/>
      <c r="Z3" s="2"/>
    </row>
    <row r="4" ht="12.75" customHeight="1">
      <c r="A4" s="2"/>
      <c r="B4" s="16"/>
      <c r="C4" s="16"/>
      <c r="D4" s="16"/>
      <c r="E4" s="16"/>
      <c r="F4" s="16"/>
      <c r="G4" s="16"/>
      <c r="H4" s="2"/>
      <c r="I4" s="2"/>
      <c r="J4" s="2"/>
      <c r="K4" s="2"/>
      <c r="L4" s="2"/>
      <c r="M4" s="2"/>
      <c r="N4" s="2"/>
      <c r="O4" s="2"/>
      <c r="P4" s="2"/>
      <c r="Q4" s="2"/>
      <c r="R4" s="2"/>
      <c r="S4" s="2"/>
      <c r="T4" s="2"/>
      <c r="U4" s="2"/>
      <c r="V4" s="2"/>
      <c r="W4" s="2"/>
      <c r="X4" s="2"/>
      <c r="Y4" s="2"/>
      <c r="Z4" s="2"/>
    </row>
    <row r="5" ht="12.75" customHeight="1">
      <c r="A5" s="17" t="s">
        <v>33</v>
      </c>
      <c r="B5" s="18" t="s">
        <v>34</v>
      </c>
      <c r="C5" s="18" t="s">
        <v>35</v>
      </c>
      <c r="D5" s="18" t="s">
        <v>36</v>
      </c>
      <c r="E5" s="18" t="s">
        <v>37</v>
      </c>
      <c r="F5" s="18" t="s">
        <v>38</v>
      </c>
      <c r="G5" s="18" t="s">
        <v>39</v>
      </c>
      <c r="H5" s="2"/>
      <c r="I5" s="2"/>
      <c r="J5" s="2"/>
      <c r="K5" s="2"/>
      <c r="L5" s="2"/>
      <c r="M5" s="2"/>
      <c r="N5" s="2"/>
      <c r="O5" s="2"/>
      <c r="P5" s="2"/>
      <c r="Q5" s="2"/>
      <c r="R5" s="2"/>
      <c r="S5" s="2"/>
      <c r="T5" s="2"/>
      <c r="U5" s="2"/>
      <c r="V5" s="2"/>
      <c r="W5" s="2"/>
      <c r="X5" s="2"/>
      <c r="Y5" s="2"/>
      <c r="Z5" s="2"/>
    </row>
    <row r="6" ht="12.75" customHeight="1">
      <c r="A6" s="14" t="s">
        <v>40</v>
      </c>
      <c r="B6" s="19"/>
      <c r="C6" s="19"/>
      <c r="D6" s="19"/>
      <c r="E6" s="19"/>
      <c r="F6" s="19"/>
      <c r="G6" s="19"/>
      <c r="H6" s="2"/>
      <c r="I6" s="2"/>
      <c r="J6" s="2"/>
      <c r="K6" s="2"/>
      <c r="L6" s="2"/>
      <c r="M6" s="2"/>
      <c r="N6" s="2"/>
      <c r="O6" s="2"/>
      <c r="P6" s="2"/>
      <c r="Q6" s="2"/>
      <c r="R6" s="2"/>
      <c r="S6" s="2"/>
      <c r="T6" s="2"/>
      <c r="U6" s="2"/>
      <c r="V6" s="2"/>
      <c r="W6" s="2"/>
      <c r="X6" s="2"/>
      <c r="Y6" s="2"/>
      <c r="Z6" s="2"/>
    </row>
    <row r="7" ht="12.75" customHeight="1">
      <c r="A7" s="20" t="s">
        <v>41</v>
      </c>
      <c r="B7" s="19"/>
      <c r="C7" s="19"/>
      <c r="D7" s="19"/>
      <c r="E7" s="19"/>
      <c r="F7" s="19"/>
      <c r="G7" s="19"/>
      <c r="H7" s="2"/>
      <c r="I7" s="2"/>
      <c r="J7" s="2"/>
      <c r="K7" s="2"/>
      <c r="L7" s="2"/>
      <c r="M7" s="2"/>
      <c r="N7" s="2"/>
      <c r="O7" s="2"/>
      <c r="P7" s="2"/>
      <c r="Q7" s="2"/>
      <c r="R7" s="2"/>
      <c r="S7" s="2"/>
      <c r="T7" s="2"/>
      <c r="U7" s="2"/>
      <c r="V7" s="2"/>
      <c r="W7" s="2"/>
      <c r="X7" s="2"/>
      <c r="Y7" s="2"/>
      <c r="Z7" s="2"/>
    </row>
    <row r="8" ht="12.75" customHeight="1">
      <c r="A8" s="21" t="s">
        <v>42</v>
      </c>
      <c r="B8" s="22">
        <f t="shared" ref="B8:G8" si="1">0.05*10000</f>
        <v>500</v>
      </c>
      <c r="C8" s="22">
        <f t="shared" si="1"/>
        <v>500</v>
      </c>
      <c r="D8" s="22">
        <f t="shared" si="1"/>
        <v>500</v>
      </c>
      <c r="E8" s="22">
        <f t="shared" si="1"/>
        <v>500</v>
      </c>
      <c r="F8" s="22">
        <f t="shared" si="1"/>
        <v>500</v>
      </c>
      <c r="G8" s="22">
        <f t="shared" si="1"/>
        <v>500</v>
      </c>
      <c r="H8" s="2"/>
      <c r="I8" s="2"/>
      <c r="J8" s="2"/>
      <c r="K8" s="2"/>
      <c r="L8" s="2"/>
      <c r="M8" s="2"/>
      <c r="N8" s="2"/>
      <c r="O8" s="2"/>
      <c r="P8" s="2"/>
      <c r="Q8" s="2"/>
      <c r="R8" s="2"/>
      <c r="S8" s="2"/>
      <c r="T8" s="2"/>
      <c r="U8" s="2"/>
      <c r="V8" s="2"/>
      <c r="W8" s="2"/>
      <c r="X8" s="2"/>
      <c r="Y8" s="2"/>
      <c r="Z8" s="2"/>
    </row>
    <row r="9" ht="12.75" customHeight="1">
      <c r="A9" s="21" t="s">
        <v>43</v>
      </c>
      <c r="B9" s="22">
        <f t="shared" ref="B9:G9" si="2">0.05*B20</f>
        <v>1568</v>
      </c>
      <c r="C9" s="22">
        <f t="shared" si="2"/>
        <v>2508.8</v>
      </c>
      <c r="D9" s="22">
        <f t="shared" si="2"/>
        <v>4014.08</v>
      </c>
      <c r="E9" s="22">
        <f t="shared" si="2"/>
        <v>6422.528</v>
      </c>
      <c r="F9" s="22">
        <f t="shared" si="2"/>
        <v>10276.0448</v>
      </c>
      <c r="G9" s="22">
        <f t="shared" si="2"/>
        <v>16441.67168</v>
      </c>
      <c r="H9" s="2"/>
      <c r="I9" s="2"/>
      <c r="J9" s="2"/>
      <c r="K9" s="2"/>
      <c r="L9" s="2"/>
      <c r="M9" s="2"/>
      <c r="N9" s="2"/>
      <c r="O9" s="2"/>
      <c r="P9" s="2"/>
      <c r="Q9" s="2"/>
      <c r="R9" s="2"/>
      <c r="S9" s="2"/>
      <c r="T9" s="2"/>
      <c r="U9" s="2"/>
      <c r="V9" s="2"/>
      <c r="W9" s="2"/>
      <c r="X9" s="2"/>
      <c r="Y9" s="2"/>
      <c r="Z9" s="2"/>
    </row>
    <row r="10" ht="12.75" customHeight="1">
      <c r="A10" s="21" t="s">
        <v>44</v>
      </c>
      <c r="B10" s="22">
        <f t="shared" ref="B10:G10" si="3">0.16*B20</f>
        <v>5017.6</v>
      </c>
      <c r="C10" s="22">
        <f t="shared" si="3"/>
        <v>8028.16</v>
      </c>
      <c r="D10" s="22">
        <f t="shared" si="3"/>
        <v>12845.056</v>
      </c>
      <c r="E10" s="22">
        <f t="shared" si="3"/>
        <v>20552.0896</v>
      </c>
      <c r="F10" s="22">
        <f t="shared" si="3"/>
        <v>32883.34336</v>
      </c>
      <c r="G10" s="22">
        <f t="shared" si="3"/>
        <v>52613.34938</v>
      </c>
      <c r="H10" s="2"/>
      <c r="I10" s="2"/>
      <c r="J10" s="2"/>
      <c r="K10" s="2"/>
      <c r="L10" s="2"/>
      <c r="M10" s="2"/>
      <c r="N10" s="2"/>
      <c r="O10" s="2"/>
      <c r="P10" s="2"/>
      <c r="Q10" s="2"/>
      <c r="R10" s="2"/>
      <c r="S10" s="2"/>
      <c r="T10" s="2"/>
      <c r="U10" s="2"/>
      <c r="V10" s="2"/>
      <c r="W10" s="2"/>
      <c r="X10" s="2"/>
      <c r="Y10" s="2"/>
      <c r="Z10" s="2"/>
    </row>
    <row r="11" ht="12.75" customHeight="1">
      <c r="A11" s="21" t="s">
        <v>45</v>
      </c>
      <c r="B11" s="22">
        <v>8160.0</v>
      </c>
      <c r="C11" s="22">
        <v>8160.0</v>
      </c>
      <c r="D11" s="22">
        <v>8160.0</v>
      </c>
      <c r="E11" s="22">
        <v>8160.0</v>
      </c>
      <c r="F11" s="22">
        <v>8160.0</v>
      </c>
      <c r="G11" s="22">
        <v>8160.0</v>
      </c>
      <c r="H11" s="2"/>
      <c r="I11" s="2"/>
      <c r="J11" s="2"/>
      <c r="K11" s="2"/>
      <c r="L11" s="2"/>
      <c r="M11" s="2"/>
      <c r="N11" s="2"/>
      <c r="O11" s="2"/>
      <c r="P11" s="2"/>
      <c r="Q11" s="2"/>
      <c r="R11" s="2"/>
      <c r="S11" s="2"/>
      <c r="T11" s="2"/>
      <c r="U11" s="2"/>
      <c r="V11" s="2"/>
      <c r="W11" s="2"/>
      <c r="X11" s="2"/>
      <c r="Y11" s="2"/>
      <c r="Z11" s="2"/>
    </row>
    <row r="12" ht="12.75" customHeight="1">
      <c r="A12" s="21" t="s">
        <v>46</v>
      </c>
      <c r="B12" s="22">
        <f>12*'Unit Economics'!B19</f>
        <v>2172</v>
      </c>
      <c r="C12" s="22">
        <f>12*'Unit Economics'!C19</f>
        <v>4332</v>
      </c>
      <c r="D12" s="22">
        <f>12*'Unit Economics'!D19</f>
        <v>8328</v>
      </c>
      <c r="E12" s="22">
        <f>12*'Unit Economics'!E19</f>
        <v>14424</v>
      </c>
      <c r="F12" s="22">
        <f>12*'Unit Economics'!F19</f>
        <v>23088</v>
      </c>
      <c r="G12" s="22">
        <f>12*'Unit Economics'!G19</f>
        <v>36936</v>
      </c>
      <c r="H12" s="2"/>
      <c r="I12" s="2"/>
      <c r="J12" s="2"/>
      <c r="K12" s="2"/>
      <c r="L12" s="2"/>
      <c r="M12" s="2"/>
      <c r="N12" s="2"/>
      <c r="O12" s="2"/>
      <c r="P12" s="2"/>
      <c r="Q12" s="2"/>
      <c r="R12" s="2"/>
      <c r="S12" s="2"/>
      <c r="T12" s="2"/>
      <c r="U12" s="2"/>
      <c r="V12" s="2"/>
      <c r="W12" s="2"/>
      <c r="X12" s="2"/>
      <c r="Y12" s="2"/>
      <c r="Z12" s="2"/>
    </row>
    <row r="13" ht="12.75" customHeight="1">
      <c r="A13" s="2"/>
      <c r="B13" s="19"/>
      <c r="C13" s="19"/>
      <c r="D13" s="19"/>
      <c r="E13" s="19"/>
      <c r="F13" s="19"/>
      <c r="G13" s="19"/>
      <c r="H13" s="2"/>
      <c r="I13" s="2"/>
      <c r="J13" s="2"/>
      <c r="K13" s="2"/>
      <c r="L13" s="2"/>
      <c r="M13" s="2"/>
      <c r="N13" s="2"/>
      <c r="O13" s="2"/>
      <c r="P13" s="2"/>
      <c r="Q13" s="2"/>
      <c r="R13" s="2"/>
      <c r="S13" s="2"/>
      <c r="T13" s="2"/>
      <c r="U13" s="2"/>
      <c r="V13" s="2"/>
      <c r="W13" s="2"/>
      <c r="X13" s="2"/>
      <c r="Y13" s="2"/>
      <c r="Z13" s="2"/>
    </row>
    <row r="14" ht="12.75" customHeight="1">
      <c r="A14" s="23" t="s">
        <v>47</v>
      </c>
      <c r="B14" s="24">
        <f t="shared" ref="B14:G14" si="4">SUM(B8:B12)</f>
        <v>17417.6</v>
      </c>
      <c r="C14" s="24">
        <f t="shared" si="4"/>
        <v>23528.96</v>
      </c>
      <c r="D14" s="24">
        <f t="shared" si="4"/>
        <v>33847.136</v>
      </c>
      <c r="E14" s="24">
        <f t="shared" si="4"/>
        <v>50058.6176</v>
      </c>
      <c r="F14" s="24">
        <f t="shared" si="4"/>
        <v>74907.38816</v>
      </c>
      <c r="G14" s="24">
        <f t="shared" si="4"/>
        <v>114651.0211</v>
      </c>
      <c r="H14" s="2"/>
      <c r="I14" s="2"/>
      <c r="J14" s="2"/>
      <c r="K14" s="2"/>
      <c r="L14" s="2"/>
      <c r="M14" s="2"/>
      <c r="N14" s="2"/>
      <c r="O14" s="2"/>
      <c r="P14" s="2"/>
      <c r="Q14" s="2"/>
      <c r="R14" s="2"/>
      <c r="S14" s="2"/>
      <c r="T14" s="2"/>
      <c r="U14" s="2"/>
      <c r="V14" s="2"/>
      <c r="W14" s="2"/>
      <c r="X14" s="2"/>
      <c r="Y14" s="2"/>
      <c r="Z14" s="2"/>
    </row>
    <row r="15" ht="12.75" customHeight="1">
      <c r="A15" s="2"/>
      <c r="B15" s="19"/>
      <c r="C15" s="19"/>
      <c r="D15" s="19"/>
      <c r="E15" s="19"/>
      <c r="F15" s="19"/>
      <c r="G15" s="19"/>
      <c r="H15" s="2"/>
      <c r="I15" s="2"/>
      <c r="J15" s="2"/>
      <c r="K15" s="2"/>
      <c r="L15" s="2"/>
      <c r="M15" s="2"/>
      <c r="N15" s="2"/>
      <c r="O15" s="2"/>
      <c r="P15" s="2"/>
      <c r="Q15" s="2"/>
      <c r="R15" s="2"/>
      <c r="S15" s="2"/>
      <c r="T15" s="2"/>
      <c r="U15" s="2"/>
      <c r="V15" s="2"/>
      <c r="W15" s="2"/>
      <c r="X15" s="2"/>
      <c r="Y15" s="2"/>
      <c r="Z15" s="2"/>
    </row>
    <row r="16" ht="12.75" customHeight="1">
      <c r="A16" s="14" t="s">
        <v>48</v>
      </c>
      <c r="B16" s="19"/>
      <c r="C16" s="19"/>
      <c r="D16" s="19"/>
      <c r="E16" s="19"/>
      <c r="F16" s="19"/>
      <c r="G16" s="19"/>
      <c r="H16" s="2"/>
      <c r="I16" s="2"/>
      <c r="J16" s="2"/>
      <c r="K16" s="2"/>
      <c r="L16" s="2"/>
      <c r="M16" s="2"/>
      <c r="N16" s="2"/>
      <c r="O16" s="2"/>
      <c r="P16" s="2"/>
      <c r="Q16" s="2"/>
      <c r="R16" s="2"/>
      <c r="S16" s="2"/>
      <c r="T16" s="2"/>
      <c r="U16" s="2"/>
      <c r="V16" s="2"/>
      <c r="W16" s="2"/>
      <c r="X16" s="2"/>
      <c r="Y16" s="2"/>
      <c r="Z16" s="2"/>
    </row>
    <row r="17" ht="12.75" customHeight="1">
      <c r="A17" s="20" t="s">
        <v>49</v>
      </c>
      <c r="B17" s="19"/>
      <c r="C17" s="19"/>
      <c r="D17" s="19"/>
      <c r="E17" s="19"/>
      <c r="F17" s="19"/>
      <c r="G17" s="19"/>
      <c r="H17" s="25"/>
      <c r="I17" s="2"/>
      <c r="J17" s="2"/>
      <c r="K17" s="2"/>
      <c r="L17" s="2"/>
      <c r="M17" s="2"/>
      <c r="N17" s="2"/>
      <c r="O17" s="2"/>
      <c r="P17" s="2"/>
      <c r="Q17" s="2"/>
      <c r="R17" s="2"/>
      <c r="S17" s="2"/>
      <c r="T17" s="2"/>
      <c r="U17" s="2"/>
      <c r="V17" s="2"/>
      <c r="W17" s="2"/>
      <c r="X17" s="2"/>
      <c r="Y17" s="2"/>
      <c r="Z17" s="2"/>
    </row>
    <row r="18" ht="12.75" customHeight="1">
      <c r="A18" s="26" t="s">
        <v>50</v>
      </c>
      <c r="B18" s="27">
        <f>16000000*0.8*0.35</f>
        <v>4480000</v>
      </c>
      <c r="C18" s="27">
        <f t="shared" ref="C18:G18" si="5">1.6*B18</f>
        <v>7168000</v>
      </c>
      <c r="D18" s="27">
        <f t="shared" si="5"/>
        <v>11468800</v>
      </c>
      <c r="E18" s="27">
        <f t="shared" si="5"/>
        <v>18350080</v>
      </c>
      <c r="F18" s="27">
        <f t="shared" si="5"/>
        <v>29360128</v>
      </c>
      <c r="G18" s="27">
        <f t="shared" si="5"/>
        <v>46976204.8</v>
      </c>
      <c r="H18" s="28"/>
      <c r="I18" s="2"/>
      <c r="J18" s="2"/>
      <c r="K18" s="2"/>
      <c r="L18" s="2"/>
      <c r="M18" s="2"/>
      <c r="N18" s="2"/>
      <c r="O18" s="2"/>
      <c r="P18" s="2"/>
      <c r="Q18" s="2"/>
      <c r="R18" s="2"/>
      <c r="S18" s="2"/>
      <c r="T18" s="2"/>
      <c r="U18" s="2"/>
      <c r="V18" s="2"/>
      <c r="W18" s="2"/>
      <c r="X18" s="2"/>
      <c r="Y18" s="2"/>
      <c r="Z18" s="2"/>
    </row>
    <row r="19" ht="12.75" customHeight="1">
      <c r="A19" s="29" t="s">
        <v>51</v>
      </c>
      <c r="B19" s="30"/>
      <c r="C19" s="30"/>
      <c r="D19" s="30"/>
      <c r="E19" s="30"/>
      <c r="F19" s="30"/>
      <c r="G19" s="30"/>
      <c r="H19" s="2"/>
      <c r="I19" s="2"/>
      <c r="J19" s="2"/>
      <c r="K19" s="2"/>
      <c r="L19" s="2"/>
      <c r="M19" s="2"/>
      <c r="N19" s="2"/>
      <c r="O19" s="2"/>
      <c r="P19" s="2"/>
      <c r="Q19" s="2"/>
      <c r="R19" s="2"/>
      <c r="S19" s="2"/>
      <c r="T19" s="2"/>
      <c r="U19" s="2"/>
      <c r="V19" s="2"/>
      <c r="W19" s="2"/>
      <c r="X19" s="2"/>
      <c r="Y19" s="2"/>
      <c r="Z19" s="2"/>
    </row>
    <row r="20" ht="12.75" customHeight="1">
      <c r="A20" s="31" t="s">
        <v>52</v>
      </c>
      <c r="B20" s="32">
        <f>(4480000/1000)*7</f>
        <v>31360</v>
      </c>
      <c r="C20" s="32">
        <f t="shared" ref="C20:G20" si="6">1.6*B20</f>
        <v>50176</v>
      </c>
      <c r="D20" s="32">
        <f t="shared" si="6"/>
        <v>80281.6</v>
      </c>
      <c r="E20" s="32">
        <f t="shared" si="6"/>
        <v>128450.56</v>
      </c>
      <c r="F20" s="32">
        <f t="shared" si="6"/>
        <v>205520.896</v>
      </c>
      <c r="G20" s="32">
        <f t="shared" si="6"/>
        <v>328833.4336</v>
      </c>
      <c r="H20" s="2"/>
      <c r="I20" s="2"/>
      <c r="J20" s="2"/>
      <c r="K20" s="2"/>
      <c r="L20" s="2"/>
      <c r="M20" s="2"/>
      <c r="N20" s="2"/>
      <c r="O20" s="2"/>
      <c r="P20" s="2"/>
      <c r="Q20" s="2"/>
      <c r="R20" s="2"/>
      <c r="S20" s="2"/>
      <c r="T20" s="2"/>
      <c r="U20" s="2"/>
      <c r="V20" s="2"/>
      <c r="W20" s="2"/>
      <c r="X20" s="2"/>
      <c r="Y20" s="2"/>
      <c r="Z20" s="2"/>
    </row>
    <row r="21" ht="12.75" customHeight="1">
      <c r="A21" s="31" t="s">
        <v>53</v>
      </c>
      <c r="B21" s="27">
        <f>16000000*0.8*0.35</f>
        <v>4480000</v>
      </c>
      <c r="C21" s="27">
        <f t="shared" ref="C21:G21" si="7">1.6*B21</f>
        <v>7168000</v>
      </c>
      <c r="D21" s="27">
        <f t="shared" si="7"/>
        <v>11468800</v>
      </c>
      <c r="E21" s="27">
        <f t="shared" si="7"/>
        <v>18350080</v>
      </c>
      <c r="F21" s="27">
        <f t="shared" si="7"/>
        <v>29360128</v>
      </c>
      <c r="G21" s="27">
        <f t="shared" si="7"/>
        <v>46976204.8</v>
      </c>
      <c r="H21" s="2"/>
      <c r="I21" s="2"/>
      <c r="J21" s="2"/>
      <c r="K21" s="2"/>
      <c r="L21" s="2"/>
      <c r="M21" s="2"/>
      <c r="N21" s="2"/>
      <c r="O21" s="2"/>
      <c r="P21" s="2"/>
      <c r="Q21" s="2"/>
      <c r="R21" s="2"/>
      <c r="S21" s="2"/>
      <c r="T21" s="2"/>
      <c r="U21" s="2"/>
      <c r="V21" s="2"/>
      <c r="W21" s="2"/>
      <c r="X21" s="2"/>
      <c r="Y21" s="2"/>
      <c r="Z21" s="2"/>
    </row>
    <row r="22" ht="12.75" customHeight="1">
      <c r="A22" s="31" t="s">
        <v>54</v>
      </c>
      <c r="B22" s="33">
        <f t="shared" ref="B22:G22" si="8">IF(B21=0,"n/a",B20/B21)</f>
        <v>0.007</v>
      </c>
      <c r="C22" s="33">
        <f t="shared" si="8"/>
        <v>0.007</v>
      </c>
      <c r="D22" s="33">
        <f t="shared" si="8"/>
        <v>0.007</v>
      </c>
      <c r="E22" s="33">
        <f t="shared" si="8"/>
        <v>0.007</v>
      </c>
      <c r="F22" s="33">
        <f t="shared" si="8"/>
        <v>0.007</v>
      </c>
      <c r="G22" s="33">
        <f t="shared" si="8"/>
        <v>0.007</v>
      </c>
      <c r="H22" s="2"/>
      <c r="I22" s="2"/>
      <c r="J22" s="2"/>
      <c r="K22" s="2"/>
      <c r="L22" s="2"/>
      <c r="M22" s="2"/>
      <c r="N22" s="2"/>
      <c r="O22" s="2"/>
      <c r="P22" s="2"/>
      <c r="Q22" s="2"/>
      <c r="R22" s="2"/>
      <c r="S22" s="2"/>
      <c r="T22" s="2"/>
      <c r="U22" s="2"/>
      <c r="V22" s="2"/>
      <c r="W22" s="2"/>
      <c r="X22" s="2"/>
      <c r="Y22" s="2"/>
      <c r="Z22" s="2"/>
    </row>
    <row r="23" ht="12.75" customHeight="1">
      <c r="A23" s="31" t="s">
        <v>55</v>
      </c>
      <c r="B23" s="34">
        <v>0.008</v>
      </c>
      <c r="C23" s="34">
        <v>0.01</v>
      </c>
      <c r="D23" s="34">
        <v>0.012</v>
      </c>
      <c r="E23" s="34">
        <v>0.013</v>
      </c>
      <c r="F23" s="34">
        <v>0.013</v>
      </c>
      <c r="G23" s="34">
        <v>0.013</v>
      </c>
      <c r="H23" s="2"/>
      <c r="I23" s="2"/>
      <c r="J23" s="2"/>
      <c r="K23" s="2"/>
      <c r="L23" s="2"/>
      <c r="M23" s="2"/>
      <c r="N23" s="2"/>
      <c r="O23" s="2"/>
      <c r="P23" s="2"/>
      <c r="Q23" s="2"/>
      <c r="R23" s="2"/>
      <c r="S23" s="2"/>
      <c r="T23" s="2"/>
      <c r="U23" s="2"/>
      <c r="V23" s="2"/>
      <c r="W23" s="2"/>
      <c r="X23" s="2"/>
      <c r="Y23" s="2"/>
      <c r="Z23" s="2"/>
    </row>
    <row r="24" ht="12.75" customHeight="1">
      <c r="A24" s="31" t="s">
        <v>56</v>
      </c>
      <c r="B24" s="35">
        <f t="shared" ref="B24:G24" si="9">ROUND(B23*B21,0)</f>
        <v>35840</v>
      </c>
      <c r="C24" s="35">
        <f t="shared" si="9"/>
        <v>71680</v>
      </c>
      <c r="D24" s="35">
        <f t="shared" si="9"/>
        <v>137626</v>
      </c>
      <c r="E24" s="35">
        <f t="shared" si="9"/>
        <v>238551</v>
      </c>
      <c r="F24" s="35">
        <f t="shared" si="9"/>
        <v>381682</v>
      </c>
      <c r="G24" s="35">
        <f t="shared" si="9"/>
        <v>610691</v>
      </c>
      <c r="H24" s="2"/>
      <c r="I24" s="2"/>
      <c r="J24" s="2"/>
      <c r="K24" s="2"/>
      <c r="L24" s="2"/>
      <c r="M24" s="2"/>
      <c r="N24" s="2"/>
      <c r="O24" s="2"/>
      <c r="P24" s="2"/>
      <c r="Q24" s="2"/>
      <c r="R24" s="2"/>
      <c r="S24" s="2"/>
      <c r="T24" s="2"/>
      <c r="U24" s="2"/>
      <c r="V24" s="2"/>
      <c r="W24" s="2"/>
      <c r="X24" s="2"/>
      <c r="Y24" s="2"/>
      <c r="Z24" s="2"/>
    </row>
    <row r="25" ht="12.75" customHeight="1">
      <c r="A25" s="29" t="s">
        <v>57</v>
      </c>
      <c r="B25" s="30"/>
      <c r="C25" s="30"/>
      <c r="D25" s="30"/>
      <c r="E25" s="30"/>
      <c r="F25" s="30"/>
      <c r="G25" s="30"/>
      <c r="H25" s="28"/>
      <c r="I25" s="2"/>
      <c r="J25" s="2"/>
      <c r="K25" s="2"/>
      <c r="L25" s="2"/>
      <c r="M25" s="2"/>
      <c r="N25" s="2"/>
      <c r="O25" s="2"/>
      <c r="P25" s="2"/>
      <c r="Q25" s="2"/>
      <c r="R25" s="2"/>
      <c r="S25" s="2"/>
      <c r="T25" s="2"/>
      <c r="U25" s="2"/>
      <c r="V25" s="2"/>
      <c r="W25" s="2"/>
      <c r="X25" s="2"/>
      <c r="Y25" s="2"/>
      <c r="Z25" s="2"/>
    </row>
    <row r="26" ht="12.75" customHeight="1">
      <c r="A26" s="31" t="s">
        <v>52</v>
      </c>
      <c r="B26" s="32">
        <v>1500.0</v>
      </c>
      <c r="C26" s="32">
        <v>0.0</v>
      </c>
      <c r="D26" s="32">
        <v>0.0</v>
      </c>
      <c r="E26" s="32">
        <v>0.0</v>
      </c>
      <c r="F26" s="32">
        <v>0.0</v>
      </c>
      <c r="G26" s="32">
        <v>0.0</v>
      </c>
      <c r="H26" s="2"/>
      <c r="I26" s="2"/>
      <c r="J26" s="2"/>
      <c r="K26" s="2"/>
      <c r="L26" s="2"/>
      <c r="M26" s="2"/>
      <c r="N26" s="2"/>
      <c r="O26" s="2"/>
      <c r="P26" s="2"/>
      <c r="Q26" s="2"/>
      <c r="R26" s="2"/>
      <c r="S26" s="2"/>
      <c r="T26" s="2"/>
      <c r="U26" s="2"/>
      <c r="V26" s="2"/>
      <c r="W26" s="2"/>
      <c r="X26" s="2"/>
      <c r="Y26" s="2"/>
      <c r="Z26" s="2"/>
    </row>
    <row r="27" ht="12.75" customHeight="1">
      <c r="A27" s="31" t="s">
        <v>53</v>
      </c>
      <c r="B27" s="27">
        <f t="shared" ref="B27:G27" si="10">B23*B21</f>
        <v>35840</v>
      </c>
      <c r="C27" s="27">
        <f t="shared" si="10"/>
        <v>71680</v>
      </c>
      <c r="D27" s="27">
        <f t="shared" si="10"/>
        <v>137625.6</v>
      </c>
      <c r="E27" s="27">
        <f t="shared" si="10"/>
        <v>238551.04</v>
      </c>
      <c r="F27" s="27">
        <f t="shared" si="10"/>
        <v>381681.664</v>
      </c>
      <c r="G27" s="27">
        <f t="shared" si="10"/>
        <v>610690.6624</v>
      </c>
      <c r="H27" s="2"/>
      <c r="I27" s="2"/>
      <c r="J27" s="2"/>
      <c r="K27" s="2"/>
      <c r="L27" s="2"/>
      <c r="M27" s="2"/>
      <c r="N27" s="2"/>
      <c r="O27" s="2"/>
      <c r="P27" s="2"/>
      <c r="Q27" s="2"/>
      <c r="R27" s="2"/>
      <c r="S27" s="2"/>
      <c r="T27" s="2"/>
      <c r="U27" s="2"/>
      <c r="V27" s="2"/>
      <c r="W27" s="2"/>
      <c r="X27" s="2"/>
      <c r="Y27" s="2"/>
      <c r="Z27" s="2"/>
    </row>
    <row r="28" ht="12.75" customHeight="1">
      <c r="A28" s="31" t="s">
        <v>54</v>
      </c>
      <c r="B28" s="33">
        <f t="shared" ref="B28:G28" si="11">IF(B27=0,"n/a",B26/B27)</f>
        <v>0.04185267857</v>
      </c>
      <c r="C28" s="33">
        <f t="shared" si="11"/>
        <v>0</v>
      </c>
      <c r="D28" s="33">
        <f t="shared" si="11"/>
        <v>0</v>
      </c>
      <c r="E28" s="33">
        <f t="shared" si="11"/>
        <v>0</v>
      </c>
      <c r="F28" s="33">
        <f t="shared" si="11"/>
        <v>0</v>
      </c>
      <c r="G28" s="33">
        <f t="shared" si="11"/>
        <v>0</v>
      </c>
      <c r="H28" s="2"/>
      <c r="I28" s="2"/>
      <c r="J28" s="2"/>
      <c r="K28" s="2"/>
      <c r="L28" s="2"/>
      <c r="M28" s="2"/>
      <c r="N28" s="2"/>
      <c r="O28" s="2"/>
      <c r="P28" s="2"/>
      <c r="Q28" s="2"/>
      <c r="R28" s="2"/>
      <c r="S28" s="2"/>
      <c r="T28" s="2"/>
      <c r="U28" s="2"/>
      <c r="V28" s="2"/>
      <c r="W28" s="2"/>
      <c r="X28" s="2"/>
      <c r="Y28" s="2"/>
      <c r="Z28" s="2"/>
    </row>
    <row r="29" ht="12.75" customHeight="1">
      <c r="A29" s="31" t="s">
        <v>55</v>
      </c>
      <c r="B29" s="34">
        <v>0.05</v>
      </c>
      <c r="C29" s="34">
        <v>0.055</v>
      </c>
      <c r="D29" s="34">
        <v>0.06</v>
      </c>
      <c r="E29" s="34">
        <v>0.06</v>
      </c>
      <c r="F29" s="34">
        <v>0.06</v>
      </c>
      <c r="G29" s="34">
        <v>0.06</v>
      </c>
      <c r="H29" s="2"/>
      <c r="I29" s="2"/>
      <c r="J29" s="2"/>
      <c r="K29" s="2"/>
      <c r="L29" s="2"/>
      <c r="M29" s="2"/>
      <c r="N29" s="2"/>
      <c r="O29" s="2"/>
      <c r="P29" s="2"/>
      <c r="Q29" s="2"/>
      <c r="R29" s="2"/>
      <c r="S29" s="2"/>
      <c r="T29" s="2"/>
      <c r="U29" s="2"/>
      <c r="V29" s="2"/>
      <c r="W29" s="2"/>
      <c r="X29" s="2"/>
      <c r="Y29" s="2"/>
      <c r="Z29" s="2"/>
    </row>
    <row r="30" ht="12.75" customHeight="1">
      <c r="A30" s="31" t="s">
        <v>56</v>
      </c>
      <c r="B30" s="35">
        <f t="shared" ref="B30:G30" si="12">ROUND(B29*B27,0)</f>
        <v>1792</v>
      </c>
      <c r="C30" s="35">
        <f t="shared" si="12"/>
        <v>3942</v>
      </c>
      <c r="D30" s="35">
        <f t="shared" si="12"/>
        <v>8258</v>
      </c>
      <c r="E30" s="35">
        <f t="shared" si="12"/>
        <v>14313</v>
      </c>
      <c r="F30" s="35">
        <f t="shared" si="12"/>
        <v>22901</v>
      </c>
      <c r="G30" s="35">
        <f t="shared" si="12"/>
        <v>36641</v>
      </c>
      <c r="H30" s="2"/>
      <c r="I30" s="2"/>
      <c r="J30" s="2"/>
      <c r="K30" s="2"/>
      <c r="L30" s="2"/>
      <c r="M30" s="2"/>
      <c r="N30" s="2"/>
      <c r="O30" s="2"/>
      <c r="P30" s="2"/>
      <c r="Q30" s="2"/>
      <c r="R30" s="2"/>
      <c r="S30" s="2"/>
      <c r="T30" s="2"/>
      <c r="U30" s="2"/>
      <c r="V30" s="2"/>
      <c r="W30" s="2"/>
      <c r="X30" s="2"/>
      <c r="Y30" s="2"/>
      <c r="Z30" s="2"/>
    </row>
    <row r="31" ht="12.75" customHeight="1">
      <c r="A31" s="29" t="s">
        <v>58</v>
      </c>
      <c r="B31" s="30"/>
      <c r="C31" s="30"/>
      <c r="D31" s="30"/>
      <c r="E31" s="30"/>
      <c r="F31" s="30"/>
      <c r="G31" s="30"/>
      <c r="H31" s="28"/>
      <c r="I31" s="2"/>
      <c r="J31" s="2"/>
      <c r="K31" s="2"/>
      <c r="L31" s="2"/>
      <c r="M31" s="2"/>
      <c r="N31" s="2"/>
      <c r="O31" s="2"/>
      <c r="P31" s="2"/>
      <c r="Q31" s="2"/>
      <c r="R31" s="2"/>
      <c r="S31" s="2"/>
      <c r="T31" s="2"/>
      <c r="U31" s="2"/>
      <c r="V31" s="2"/>
      <c r="W31" s="2"/>
      <c r="X31" s="2"/>
      <c r="Y31" s="2"/>
      <c r="Z31" s="2"/>
    </row>
    <row r="32" ht="12.75" customHeight="1">
      <c r="A32" s="31" t="s">
        <v>52</v>
      </c>
      <c r="B32" s="32">
        <f t="shared" ref="B32:G32" si="13">1*(B33/100)</f>
        <v>107.52</v>
      </c>
      <c r="C32" s="32">
        <f t="shared" si="13"/>
        <v>215.04</v>
      </c>
      <c r="D32" s="32">
        <f t="shared" si="13"/>
        <v>412.8768</v>
      </c>
      <c r="E32" s="32">
        <f t="shared" si="13"/>
        <v>715.65312</v>
      </c>
      <c r="F32" s="32">
        <f t="shared" si="13"/>
        <v>1145.044992</v>
      </c>
      <c r="G32" s="32">
        <f t="shared" si="13"/>
        <v>1832.071987</v>
      </c>
      <c r="H32" s="2"/>
      <c r="I32" s="2"/>
      <c r="J32" s="2"/>
      <c r="K32" s="2"/>
      <c r="L32" s="2"/>
      <c r="M32" s="2"/>
      <c r="N32" s="2"/>
      <c r="O32" s="2"/>
      <c r="P32" s="2"/>
      <c r="Q32" s="2"/>
      <c r="R32" s="2"/>
      <c r="S32" s="2"/>
      <c r="T32" s="2"/>
      <c r="U32" s="2"/>
      <c r="V32" s="2"/>
      <c r="W32" s="2"/>
      <c r="X32" s="2"/>
      <c r="Y32" s="2"/>
      <c r="Z32" s="2"/>
    </row>
    <row r="33" ht="12.75" customHeight="1">
      <c r="A33" s="31" t="s">
        <v>53</v>
      </c>
      <c r="B33" s="27">
        <f t="shared" ref="B33:G33" si="14">0.3*B27</f>
        <v>10752</v>
      </c>
      <c r="C33" s="27">
        <f t="shared" si="14"/>
        <v>21504</v>
      </c>
      <c r="D33" s="27">
        <f t="shared" si="14"/>
        <v>41287.68</v>
      </c>
      <c r="E33" s="27">
        <f t="shared" si="14"/>
        <v>71565.312</v>
      </c>
      <c r="F33" s="27">
        <f t="shared" si="14"/>
        <v>114504.4992</v>
      </c>
      <c r="G33" s="27">
        <f t="shared" si="14"/>
        <v>183207.1987</v>
      </c>
      <c r="H33" s="2"/>
      <c r="I33" s="2"/>
      <c r="J33" s="2"/>
      <c r="K33" s="2"/>
      <c r="L33" s="2"/>
      <c r="M33" s="2"/>
      <c r="N33" s="2"/>
      <c r="O33" s="2"/>
      <c r="P33" s="2"/>
      <c r="Q33" s="2"/>
      <c r="R33" s="2"/>
      <c r="S33" s="2"/>
      <c r="T33" s="2"/>
      <c r="U33" s="2"/>
      <c r="V33" s="2"/>
      <c r="W33" s="2"/>
      <c r="X33" s="2"/>
      <c r="Y33" s="2"/>
      <c r="Z33" s="2"/>
    </row>
    <row r="34" ht="12.75" customHeight="1">
      <c r="A34" s="31" t="s">
        <v>54</v>
      </c>
      <c r="B34" s="33">
        <f t="shared" ref="B34:G34" si="15">IF(B33=0,"n/a",B32/B33)</f>
        <v>0.01</v>
      </c>
      <c r="C34" s="33">
        <f t="shared" si="15"/>
        <v>0.01</v>
      </c>
      <c r="D34" s="33">
        <f t="shared" si="15"/>
        <v>0.01</v>
      </c>
      <c r="E34" s="33">
        <f t="shared" si="15"/>
        <v>0.01</v>
      </c>
      <c r="F34" s="33">
        <f t="shared" si="15"/>
        <v>0.01</v>
      </c>
      <c r="G34" s="33">
        <f t="shared" si="15"/>
        <v>0.01</v>
      </c>
      <c r="H34" s="2"/>
      <c r="I34" s="2"/>
      <c r="J34" s="2"/>
      <c r="K34" s="2"/>
      <c r="L34" s="2"/>
      <c r="M34" s="2"/>
      <c r="N34" s="2"/>
      <c r="O34" s="2"/>
      <c r="P34" s="2"/>
      <c r="Q34" s="2"/>
      <c r="R34" s="2"/>
      <c r="S34" s="2"/>
      <c r="T34" s="2"/>
      <c r="U34" s="2"/>
      <c r="V34" s="2"/>
      <c r="W34" s="2"/>
      <c r="X34" s="2"/>
      <c r="Y34" s="2"/>
      <c r="Z34" s="2"/>
    </row>
    <row r="35" ht="12.75" customHeight="1">
      <c r="A35" s="31" t="s">
        <v>55</v>
      </c>
      <c r="B35" s="34">
        <v>0.03</v>
      </c>
      <c r="C35" s="34">
        <v>0.035</v>
      </c>
      <c r="D35" s="34">
        <v>0.04</v>
      </c>
      <c r="E35" s="34">
        <v>0.04</v>
      </c>
      <c r="F35" s="34">
        <v>0.04</v>
      </c>
      <c r="G35" s="34">
        <v>0.04</v>
      </c>
      <c r="H35" s="2"/>
      <c r="I35" s="2"/>
      <c r="J35" s="2"/>
      <c r="K35" s="2"/>
      <c r="L35" s="2"/>
      <c r="M35" s="2"/>
      <c r="N35" s="2"/>
      <c r="O35" s="2"/>
      <c r="P35" s="2"/>
      <c r="Q35" s="2"/>
      <c r="R35" s="2"/>
      <c r="S35" s="2"/>
      <c r="T35" s="2"/>
      <c r="U35" s="2"/>
      <c r="V35" s="2"/>
      <c r="W35" s="2"/>
      <c r="X35" s="2"/>
      <c r="Y35" s="2"/>
      <c r="Z35" s="2"/>
    </row>
    <row r="36" ht="12.75" customHeight="1">
      <c r="A36" s="31" t="s">
        <v>56</v>
      </c>
      <c r="B36" s="35">
        <f t="shared" ref="B36:G36" si="16">ROUND(B35*B33,0)</f>
        <v>323</v>
      </c>
      <c r="C36" s="35">
        <f t="shared" si="16"/>
        <v>753</v>
      </c>
      <c r="D36" s="35">
        <f t="shared" si="16"/>
        <v>1652</v>
      </c>
      <c r="E36" s="35">
        <f t="shared" si="16"/>
        <v>2863</v>
      </c>
      <c r="F36" s="35">
        <f t="shared" si="16"/>
        <v>4580</v>
      </c>
      <c r="G36" s="35">
        <f t="shared" si="16"/>
        <v>7328</v>
      </c>
      <c r="H36" s="28"/>
      <c r="I36" s="2"/>
      <c r="J36" s="2"/>
      <c r="K36" s="2"/>
      <c r="L36" s="2"/>
      <c r="M36" s="2"/>
      <c r="N36" s="2"/>
      <c r="O36" s="2"/>
      <c r="P36" s="2"/>
      <c r="Q36" s="2"/>
      <c r="R36" s="2"/>
      <c r="S36" s="2"/>
      <c r="T36" s="2"/>
      <c r="U36" s="2"/>
      <c r="V36" s="2"/>
      <c r="W36" s="2"/>
      <c r="X36" s="2"/>
      <c r="Y36" s="2"/>
      <c r="Z36" s="2"/>
    </row>
    <row r="37" ht="12.75" customHeight="1">
      <c r="A37" s="29" t="s">
        <v>59</v>
      </c>
      <c r="B37" s="30"/>
      <c r="C37" s="30"/>
      <c r="D37" s="30"/>
      <c r="E37" s="30"/>
      <c r="F37" s="30"/>
      <c r="G37" s="30"/>
      <c r="H37" s="28"/>
      <c r="I37" s="2"/>
      <c r="J37" s="2"/>
      <c r="K37" s="2"/>
      <c r="L37" s="2"/>
      <c r="M37" s="2"/>
      <c r="N37" s="2"/>
      <c r="O37" s="2"/>
      <c r="P37" s="2"/>
      <c r="Q37" s="2"/>
      <c r="R37" s="2"/>
      <c r="S37" s="2"/>
      <c r="T37" s="2"/>
      <c r="U37" s="2"/>
      <c r="V37" s="2"/>
      <c r="W37" s="2"/>
      <c r="X37" s="2"/>
      <c r="Y37" s="2"/>
      <c r="Z37" s="2"/>
    </row>
    <row r="38" ht="12.75" customHeight="1">
      <c r="A38" s="31" t="s">
        <v>52</v>
      </c>
      <c r="B38" s="32">
        <v>690.0</v>
      </c>
      <c r="C38" s="32">
        <v>690.0</v>
      </c>
      <c r="D38" s="32">
        <v>690.0</v>
      </c>
      <c r="E38" s="32">
        <v>690.0</v>
      </c>
      <c r="F38" s="32">
        <v>690.0</v>
      </c>
      <c r="G38" s="32">
        <v>690.0</v>
      </c>
      <c r="I38" s="2"/>
      <c r="J38" s="2"/>
      <c r="K38" s="2"/>
      <c r="L38" s="2"/>
      <c r="M38" s="2"/>
      <c r="N38" s="2"/>
      <c r="O38" s="2"/>
      <c r="P38" s="2"/>
      <c r="Q38" s="2"/>
      <c r="R38" s="2"/>
      <c r="S38" s="2"/>
      <c r="T38" s="2"/>
      <c r="U38" s="2"/>
      <c r="V38" s="2"/>
      <c r="W38" s="2"/>
      <c r="X38" s="2"/>
      <c r="Y38" s="2"/>
      <c r="Z38" s="2"/>
    </row>
    <row r="39" ht="12.75" customHeight="1">
      <c r="A39" s="31" t="s">
        <v>53</v>
      </c>
      <c r="B39" s="27">
        <f t="shared" ref="B39:G39" si="17">0.03*B33</f>
        <v>322.56</v>
      </c>
      <c r="C39" s="27">
        <f t="shared" si="17"/>
        <v>645.12</v>
      </c>
      <c r="D39" s="27">
        <f t="shared" si="17"/>
        <v>1238.6304</v>
      </c>
      <c r="E39" s="27">
        <f t="shared" si="17"/>
        <v>2146.95936</v>
      </c>
      <c r="F39" s="27">
        <f t="shared" si="17"/>
        <v>3435.134976</v>
      </c>
      <c r="G39" s="27">
        <f t="shared" si="17"/>
        <v>5496.215962</v>
      </c>
      <c r="I39" s="2"/>
      <c r="J39" s="2"/>
      <c r="K39" s="2"/>
      <c r="L39" s="2"/>
      <c r="M39" s="2"/>
      <c r="N39" s="2"/>
      <c r="O39" s="2"/>
      <c r="P39" s="2"/>
      <c r="Q39" s="2"/>
      <c r="R39" s="2"/>
      <c r="S39" s="2"/>
      <c r="T39" s="2"/>
      <c r="U39" s="2"/>
      <c r="V39" s="2"/>
      <c r="W39" s="2"/>
      <c r="X39" s="2"/>
      <c r="Y39" s="2"/>
      <c r="Z39" s="2"/>
    </row>
    <row r="40" ht="12.75" customHeight="1">
      <c r="A40" s="31" t="s">
        <v>54</v>
      </c>
      <c r="B40" s="33">
        <f t="shared" ref="B40:G40" si="18">IF(B39=0,"n/a",B38/B39)</f>
        <v>2.139136905</v>
      </c>
      <c r="C40" s="33">
        <f t="shared" si="18"/>
        <v>1.069568452</v>
      </c>
      <c r="D40" s="33">
        <f t="shared" si="18"/>
        <v>0.5570669023</v>
      </c>
      <c r="E40" s="33">
        <f t="shared" si="18"/>
        <v>0.3213847513</v>
      </c>
      <c r="F40" s="33">
        <f t="shared" si="18"/>
        <v>0.2008654696</v>
      </c>
      <c r="G40" s="33">
        <f t="shared" si="18"/>
        <v>0.1255409185</v>
      </c>
      <c r="I40" s="2"/>
      <c r="J40" s="2"/>
      <c r="K40" s="2"/>
      <c r="L40" s="2"/>
      <c r="M40" s="2"/>
      <c r="N40" s="2"/>
      <c r="O40" s="2"/>
      <c r="P40" s="2"/>
      <c r="Q40" s="2"/>
      <c r="R40" s="2"/>
      <c r="S40" s="2"/>
      <c r="T40" s="2"/>
      <c r="U40" s="2"/>
      <c r="V40" s="2"/>
      <c r="W40" s="2"/>
      <c r="X40" s="2"/>
      <c r="Y40" s="2"/>
      <c r="Z40" s="2"/>
    </row>
    <row r="41" ht="12.75" customHeight="1">
      <c r="A41" s="31" t="s">
        <v>55</v>
      </c>
      <c r="B41" s="34">
        <v>0.56</v>
      </c>
      <c r="C41" s="34">
        <v>0.56</v>
      </c>
      <c r="D41" s="34">
        <v>0.56</v>
      </c>
      <c r="E41" s="34">
        <v>0.56</v>
      </c>
      <c r="F41" s="34">
        <v>0.56</v>
      </c>
      <c r="G41" s="34">
        <v>0.56</v>
      </c>
      <c r="I41" s="2"/>
      <c r="J41" s="2"/>
      <c r="K41" s="2"/>
      <c r="L41" s="2"/>
      <c r="M41" s="2"/>
      <c r="N41" s="2"/>
      <c r="O41" s="2"/>
      <c r="P41" s="2"/>
      <c r="Q41" s="2"/>
      <c r="R41" s="2"/>
      <c r="S41" s="2"/>
      <c r="T41" s="2"/>
      <c r="U41" s="2"/>
      <c r="V41" s="2"/>
      <c r="W41" s="2"/>
      <c r="X41" s="2"/>
      <c r="Y41" s="2"/>
      <c r="Z41" s="2"/>
    </row>
    <row r="42" ht="12.75" customHeight="1">
      <c r="A42" s="31" t="s">
        <v>56</v>
      </c>
      <c r="B42" s="35">
        <f t="shared" ref="B42:G42" si="19">ROUND(B41*B39,0)</f>
        <v>181</v>
      </c>
      <c r="C42" s="35">
        <f t="shared" si="19"/>
        <v>361</v>
      </c>
      <c r="D42" s="35">
        <f t="shared" si="19"/>
        <v>694</v>
      </c>
      <c r="E42" s="35">
        <f t="shared" si="19"/>
        <v>1202</v>
      </c>
      <c r="F42" s="35">
        <f t="shared" si="19"/>
        <v>1924</v>
      </c>
      <c r="G42" s="35">
        <f t="shared" si="19"/>
        <v>3078</v>
      </c>
      <c r="I42" s="2"/>
      <c r="J42" s="2"/>
      <c r="K42" s="2"/>
      <c r="L42" s="2"/>
      <c r="M42" s="2"/>
      <c r="N42" s="2"/>
      <c r="O42" s="2"/>
      <c r="P42" s="2"/>
      <c r="Q42" s="2"/>
      <c r="R42" s="2"/>
      <c r="S42" s="2"/>
      <c r="T42" s="2"/>
      <c r="U42" s="2"/>
      <c r="V42" s="2"/>
      <c r="W42" s="2"/>
      <c r="X42" s="2"/>
      <c r="Y42" s="2"/>
      <c r="Z42" s="2"/>
    </row>
    <row r="43" ht="12.75" customHeight="1">
      <c r="A43" s="23"/>
      <c r="B43" s="36"/>
      <c r="C43" s="36"/>
      <c r="D43" s="36"/>
      <c r="E43" s="36"/>
      <c r="F43" s="36"/>
      <c r="G43" s="36"/>
      <c r="H43" s="2"/>
      <c r="I43" s="2"/>
      <c r="J43" s="2"/>
      <c r="K43" s="2"/>
      <c r="L43" s="2"/>
      <c r="M43" s="2"/>
      <c r="N43" s="2"/>
      <c r="O43" s="2"/>
      <c r="P43" s="2"/>
      <c r="Q43" s="2"/>
      <c r="R43" s="2"/>
      <c r="S43" s="2"/>
      <c r="T43" s="2"/>
      <c r="U43" s="2"/>
      <c r="V43" s="2"/>
      <c r="W43" s="2"/>
      <c r="X43" s="2"/>
      <c r="Y43" s="2"/>
      <c r="Z43" s="2"/>
    </row>
    <row r="44" ht="12.75" customHeight="1">
      <c r="A44" s="29" t="s">
        <v>60</v>
      </c>
      <c r="B44" s="16"/>
      <c r="C44" s="16"/>
      <c r="D44" s="16"/>
      <c r="E44" s="16"/>
      <c r="F44" s="16"/>
      <c r="G44" s="16"/>
      <c r="H44" s="2"/>
      <c r="I44" s="2"/>
      <c r="J44" s="2"/>
      <c r="K44" s="2"/>
      <c r="L44" s="2"/>
      <c r="M44" s="2"/>
      <c r="N44" s="2"/>
      <c r="O44" s="2"/>
      <c r="P44" s="2"/>
      <c r="Q44" s="2"/>
      <c r="R44" s="2"/>
      <c r="S44" s="2"/>
      <c r="T44" s="2"/>
      <c r="U44" s="2"/>
      <c r="V44" s="2"/>
      <c r="W44" s="2"/>
      <c r="X44" s="2"/>
      <c r="Y44" s="2"/>
      <c r="Z44" s="2"/>
    </row>
    <row r="45" ht="12.75" customHeight="1">
      <c r="A45" s="31" t="s">
        <v>52</v>
      </c>
      <c r="B45" s="32">
        <f>(B49*'Unit Economics'!B43)/3</f>
        <v>20148.45</v>
      </c>
      <c r="C45" s="32">
        <f>(C49*'Unit Economics'!B43)/3</f>
        <v>40296.9</v>
      </c>
      <c r="D45" s="32">
        <f>(D49*'Unit Economics'!B43)/3</f>
        <v>77715.45</v>
      </c>
      <c r="E45" s="32">
        <f>(E49*'Unit Economics'!B43)/3</f>
        <v>134642.8167</v>
      </c>
      <c r="F45" s="32">
        <f>(F49*'Unit Economics'!B43)/3</f>
        <v>215236.6167</v>
      </c>
      <c r="G45" s="32">
        <f>(G49*'Unit Economics'!B43)/3</f>
        <v>344442.55</v>
      </c>
      <c r="H45" s="2"/>
      <c r="I45" s="2"/>
      <c r="J45" s="2"/>
      <c r="K45" s="2"/>
      <c r="L45" s="2"/>
      <c r="M45" s="2"/>
      <c r="N45" s="2"/>
      <c r="O45" s="2"/>
      <c r="P45" s="2"/>
      <c r="Q45" s="2"/>
      <c r="R45" s="2"/>
      <c r="S45" s="2"/>
      <c r="T45" s="2"/>
      <c r="U45" s="2"/>
      <c r="V45" s="2"/>
      <c r="W45" s="2"/>
      <c r="X45" s="2"/>
      <c r="Y45" s="2"/>
      <c r="Z45" s="2"/>
    </row>
    <row r="46" ht="12.75" customHeight="1">
      <c r="A46" s="31" t="s">
        <v>53</v>
      </c>
      <c r="B46" s="27">
        <f t="shared" ref="B46:G46" si="20">B42</f>
        <v>181</v>
      </c>
      <c r="C46" s="27">
        <f t="shared" si="20"/>
        <v>361</v>
      </c>
      <c r="D46" s="27">
        <f t="shared" si="20"/>
        <v>694</v>
      </c>
      <c r="E46" s="27">
        <f t="shared" si="20"/>
        <v>1202</v>
      </c>
      <c r="F46" s="27">
        <f t="shared" si="20"/>
        <v>1924</v>
      </c>
      <c r="G46" s="27">
        <f t="shared" si="20"/>
        <v>3078</v>
      </c>
      <c r="H46" s="2"/>
      <c r="I46" s="2"/>
      <c r="J46" s="2"/>
      <c r="K46" s="2"/>
      <c r="L46" s="2"/>
      <c r="M46" s="2"/>
      <c r="N46" s="2"/>
      <c r="O46" s="2"/>
      <c r="P46" s="2"/>
      <c r="Q46" s="2"/>
      <c r="R46" s="2"/>
      <c r="S46" s="2"/>
      <c r="T46" s="2"/>
      <c r="U46" s="2"/>
      <c r="V46" s="2"/>
      <c r="W46" s="2"/>
      <c r="X46" s="2"/>
      <c r="Y46" s="2"/>
      <c r="Z46" s="2"/>
    </row>
    <row r="47" ht="12.75" customHeight="1">
      <c r="A47" s="31" t="s">
        <v>54</v>
      </c>
      <c r="B47" s="33">
        <f t="shared" ref="B47:G47" si="21">IF(B46=0,"n/a",B45/B46)</f>
        <v>111.3174033</v>
      </c>
      <c r="C47" s="33">
        <f t="shared" si="21"/>
        <v>111.6257618</v>
      </c>
      <c r="D47" s="33">
        <f t="shared" si="21"/>
        <v>111.9819164</v>
      </c>
      <c r="E47" s="33">
        <f t="shared" si="21"/>
        <v>112.0156545</v>
      </c>
      <c r="F47" s="33">
        <f t="shared" si="21"/>
        <v>111.8693434</v>
      </c>
      <c r="G47" s="33">
        <f t="shared" si="21"/>
        <v>111.9046621</v>
      </c>
      <c r="H47" s="2"/>
      <c r="I47" s="2"/>
      <c r="J47" s="2"/>
      <c r="K47" s="2"/>
      <c r="L47" s="2"/>
      <c r="M47" s="2"/>
      <c r="N47" s="2"/>
      <c r="O47" s="2"/>
      <c r="P47" s="2"/>
      <c r="Q47" s="2"/>
      <c r="R47" s="2"/>
      <c r="S47" s="2"/>
      <c r="T47" s="2"/>
      <c r="U47" s="2"/>
      <c r="V47" s="2"/>
      <c r="W47" s="2"/>
      <c r="X47" s="2"/>
      <c r="Y47" s="2"/>
      <c r="Z47" s="2"/>
    </row>
    <row r="48" ht="12.75" customHeight="1">
      <c r="A48" s="31" t="s">
        <v>55</v>
      </c>
      <c r="B48" s="34">
        <v>0.35</v>
      </c>
      <c r="C48" s="34">
        <v>0.35</v>
      </c>
      <c r="D48" s="34">
        <v>0.35</v>
      </c>
      <c r="E48" s="34">
        <v>0.35</v>
      </c>
      <c r="F48" s="34">
        <v>0.35</v>
      </c>
      <c r="G48" s="34">
        <v>0.35</v>
      </c>
      <c r="H48" s="2"/>
      <c r="I48" s="2"/>
      <c r="J48" s="2"/>
      <c r="K48" s="2"/>
      <c r="L48" s="2"/>
      <c r="M48" s="2"/>
      <c r="N48" s="2"/>
      <c r="O48" s="2"/>
      <c r="P48" s="2"/>
      <c r="Q48" s="2"/>
      <c r="R48" s="2"/>
      <c r="S48" s="2"/>
      <c r="T48" s="2"/>
      <c r="U48" s="2"/>
      <c r="V48" s="2"/>
      <c r="W48" s="2"/>
      <c r="X48" s="2"/>
      <c r="Y48" s="2"/>
      <c r="Z48" s="2"/>
    </row>
    <row r="49" ht="12.75" customHeight="1">
      <c r="A49" s="31" t="s">
        <v>56</v>
      </c>
      <c r="B49" s="35">
        <f t="shared" ref="B49:G49" si="22">ROUND(B48*B46,0)</f>
        <v>63</v>
      </c>
      <c r="C49" s="35">
        <f t="shared" si="22"/>
        <v>126</v>
      </c>
      <c r="D49" s="35">
        <f t="shared" si="22"/>
        <v>243</v>
      </c>
      <c r="E49" s="35">
        <f t="shared" si="22"/>
        <v>421</v>
      </c>
      <c r="F49" s="35">
        <f t="shared" si="22"/>
        <v>673</v>
      </c>
      <c r="G49" s="35">
        <f t="shared" si="22"/>
        <v>1077</v>
      </c>
      <c r="H49" s="28"/>
      <c r="I49" s="2"/>
      <c r="J49" s="2"/>
      <c r="K49" s="2"/>
      <c r="L49" s="2"/>
      <c r="M49" s="2"/>
      <c r="N49" s="2"/>
      <c r="O49" s="2"/>
      <c r="P49" s="2"/>
      <c r="Q49" s="2"/>
      <c r="R49" s="2"/>
      <c r="S49" s="2"/>
      <c r="T49" s="2"/>
      <c r="U49" s="2"/>
      <c r="V49" s="2"/>
      <c r="W49" s="2"/>
      <c r="X49" s="2"/>
      <c r="Y49" s="2"/>
      <c r="Z49" s="2"/>
    </row>
    <row r="50" ht="12.75" customHeight="1">
      <c r="A50" s="23"/>
      <c r="B50" s="36"/>
      <c r="C50" s="36"/>
      <c r="D50" s="36"/>
      <c r="E50" s="36"/>
      <c r="F50" s="36"/>
      <c r="G50" s="36"/>
      <c r="H50" s="2"/>
      <c r="I50" s="2"/>
      <c r="J50" s="2"/>
      <c r="K50" s="2"/>
      <c r="L50" s="2"/>
      <c r="M50" s="2"/>
      <c r="N50" s="2"/>
      <c r="O50" s="2"/>
      <c r="P50" s="2"/>
      <c r="Q50" s="2"/>
      <c r="R50" s="2"/>
      <c r="S50" s="2"/>
      <c r="T50" s="2"/>
      <c r="U50" s="2"/>
      <c r="V50" s="2"/>
      <c r="W50" s="2"/>
      <c r="X50" s="2"/>
      <c r="Y50" s="2"/>
      <c r="Z50" s="2"/>
    </row>
    <row r="51" ht="12.75" customHeight="1">
      <c r="A51" s="14" t="s">
        <v>61</v>
      </c>
      <c r="B51" s="37">
        <f t="shared" ref="B51:G51" si="23">B42</f>
        <v>181</v>
      </c>
      <c r="C51" s="37">
        <f t="shared" si="23"/>
        <v>361</v>
      </c>
      <c r="D51" s="37">
        <f t="shared" si="23"/>
        <v>694</v>
      </c>
      <c r="E51" s="37">
        <f t="shared" si="23"/>
        <v>1202</v>
      </c>
      <c r="F51" s="37">
        <f t="shared" si="23"/>
        <v>1924</v>
      </c>
      <c r="G51" s="37">
        <f t="shared" si="23"/>
        <v>3078</v>
      </c>
      <c r="H51" s="2"/>
      <c r="I51" s="2"/>
      <c r="J51" s="2"/>
      <c r="K51" s="2"/>
      <c r="L51" s="2"/>
      <c r="M51" s="2"/>
      <c r="N51" s="2"/>
      <c r="O51" s="2"/>
      <c r="P51" s="2"/>
      <c r="Q51" s="2"/>
      <c r="R51" s="2"/>
      <c r="S51" s="2"/>
      <c r="T51" s="2"/>
      <c r="U51" s="2"/>
      <c r="V51" s="2"/>
      <c r="W51" s="2"/>
      <c r="X51" s="2"/>
      <c r="Y51" s="2"/>
      <c r="Z51" s="2"/>
    </row>
    <row r="52" ht="12.75" customHeight="1">
      <c r="A52" s="14" t="s">
        <v>62</v>
      </c>
      <c r="B52" s="38" t="s">
        <v>63</v>
      </c>
      <c r="C52" s="39">
        <v>0.0467</v>
      </c>
      <c r="D52" s="39">
        <v>0.0467</v>
      </c>
      <c r="E52" s="39">
        <v>0.0467</v>
      </c>
      <c r="F52" s="39">
        <v>0.0467</v>
      </c>
      <c r="G52" s="39">
        <v>0.0467</v>
      </c>
      <c r="H52" s="2"/>
      <c r="I52" s="2"/>
      <c r="J52" s="2"/>
      <c r="K52" s="2"/>
      <c r="L52" s="2"/>
      <c r="M52" s="2"/>
      <c r="N52" s="2"/>
      <c r="O52" s="2"/>
      <c r="P52" s="2"/>
      <c r="Q52" s="2"/>
      <c r="R52" s="2"/>
      <c r="S52" s="2"/>
      <c r="T52" s="2"/>
      <c r="U52" s="2"/>
      <c r="V52" s="2"/>
      <c r="W52" s="2"/>
      <c r="X52" s="2"/>
      <c r="Y52" s="2"/>
      <c r="Z52" s="2"/>
    </row>
    <row r="53" ht="12.75" customHeight="1">
      <c r="A53" s="14" t="s">
        <v>64</v>
      </c>
      <c r="B53" s="40">
        <f>ROUND(B51,0)</f>
        <v>181</v>
      </c>
      <c r="C53" s="40">
        <f t="shared" ref="C53:G53" si="24">ROUND((C51+B53)-(C52*B53),0)</f>
        <v>534</v>
      </c>
      <c r="D53" s="40">
        <f t="shared" si="24"/>
        <v>1203</v>
      </c>
      <c r="E53" s="40">
        <f t="shared" si="24"/>
        <v>2349</v>
      </c>
      <c r="F53" s="40">
        <f t="shared" si="24"/>
        <v>4163</v>
      </c>
      <c r="G53" s="40">
        <f t="shared" si="24"/>
        <v>7047</v>
      </c>
      <c r="H53" s="2"/>
      <c r="I53" s="2"/>
      <c r="J53" s="2"/>
      <c r="K53" s="2"/>
      <c r="L53" s="2"/>
      <c r="M53" s="2"/>
      <c r="N53" s="2"/>
      <c r="O53" s="2"/>
      <c r="P53" s="2"/>
      <c r="Q53" s="2"/>
      <c r="R53" s="2"/>
      <c r="S53" s="2"/>
      <c r="T53" s="2"/>
      <c r="U53" s="2"/>
      <c r="V53" s="2"/>
      <c r="W53" s="2"/>
      <c r="X53" s="2"/>
      <c r="Y53" s="2"/>
      <c r="Z53" s="2"/>
    </row>
    <row r="54" ht="12.75" customHeight="1">
      <c r="A54" s="14" t="s">
        <v>65</v>
      </c>
      <c r="B54" s="41">
        <f t="shared" ref="B54:G54" si="25">B20+B26+B32+B38+B45</f>
        <v>53805.97</v>
      </c>
      <c r="C54" s="41">
        <f t="shared" si="25"/>
        <v>91377.94</v>
      </c>
      <c r="D54" s="41">
        <f t="shared" si="25"/>
        <v>159099.9268</v>
      </c>
      <c r="E54" s="41">
        <f t="shared" si="25"/>
        <v>264499.0298</v>
      </c>
      <c r="F54" s="41">
        <f t="shared" si="25"/>
        <v>422592.5577</v>
      </c>
      <c r="G54" s="41">
        <f t="shared" si="25"/>
        <v>675798.0556</v>
      </c>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4" t="s">
        <v>66</v>
      </c>
      <c r="B56" s="41">
        <f t="shared" ref="B56:G56" si="26">B14+B54</f>
        <v>71223.57</v>
      </c>
      <c r="C56" s="41">
        <f t="shared" si="26"/>
        <v>114906.9</v>
      </c>
      <c r="D56" s="41">
        <f t="shared" si="26"/>
        <v>192947.0628</v>
      </c>
      <c r="E56" s="41">
        <f t="shared" si="26"/>
        <v>314557.6474</v>
      </c>
      <c r="F56" s="41">
        <f t="shared" si="26"/>
        <v>497499.9458</v>
      </c>
      <c r="G56" s="41">
        <f t="shared" si="26"/>
        <v>790449.0766</v>
      </c>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19" t="s">
        <v>34</v>
      </c>
      <c r="C59" s="19" t="s">
        <v>35</v>
      </c>
      <c r="D59" s="19" t="s">
        <v>36</v>
      </c>
      <c r="E59" s="19" t="s">
        <v>37</v>
      </c>
      <c r="F59" s="19" t="s">
        <v>38</v>
      </c>
      <c r="G59" s="19" t="s">
        <v>39</v>
      </c>
      <c r="H59" s="2"/>
      <c r="I59" s="2"/>
      <c r="J59" s="2"/>
      <c r="K59" s="2"/>
      <c r="L59" s="2"/>
      <c r="M59" s="2"/>
      <c r="N59" s="2"/>
      <c r="O59" s="2"/>
      <c r="P59" s="2"/>
      <c r="Q59" s="2"/>
      <c r="R59" s="2"/>
      <c r="S59" s="2"/>
      <c r="T59" s="2"/>
      <c r="U59" s="2"/>
      <c r="V59" s="2"/>
      <c r="W59" s="2"/>
      <c r="X59" s="2"/>
      <c r="Y59" s="2"/>
      <c r="Z59" s="2"/>
    </row>
    <row r="60" ht="12.75" customHeight="1">
      <c r="A60" s="14" t="s">
        <v>67</v>
      </c>
      <c r="B60" s="42">
        <f t="shared" ref="B60:G60" si="27">IF(B51=0,"n/a",B54/B51)</f>
        <v>297.2705525</v>
      </c>
      <c r="C60" s="42">
        <f t="shared" si="27"/>
        <v>253.1244875</v>
      </c>
      <c r="D60" s="42">
        <f t="shared" si="27"/>
        <v>229.250615</v>
      </c>
      <c r="E60" s="42">
        <f t="shared" si="27"/>
        <v>220.0491096</v>
      </c>
      <c r="F60" s="42">
        <f t="shared" si="27"/>
        <v>219.6427015</v>
      </c>
      <c r="G60" s="42">
        <f t="shared" si="27"/>
        <v>219.5575229</v>
      </c>
      <c r="H60" s="2"/>
      <c r="I60" s="2"/>
      <c r="J60" s="2"/>
      <c r="K60" s="2"/>
      <c r="L60" s="2"/>
      <c r="M60" s="2"/>
      <c r="N60" s="2"/>
      <c r="O60" s="2"/>
      <c r="P60" s="2"/>
      <c r="Q60" s="2"/>
      <c r="R60" s="2"/>
      <c r="S60" s="2"/>
      <c r="T60" s="2"/>
      <c r="U60" s="2"/>
      <c r="V60" s="2"/>
      <c r="W60" s="2"/>
      <c r="X60" s="2"/>
      <c r="Y60" s="2"/>
      <c r="Z60" s="2"/>
    </row>
    <row r="61" ht="12.75" customHeight="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
      <c r="I1002" s="2"/>
      <c r="J1002" s="2"/>
      <c r="K1002" s="2"/>
      <c r="L1002" s="2"/>
      <c r="M1002" s="2"/>
      <c r="N1002" s="2"/>
      <c r="O1002" s="2"/>
      <c r="P1002" s="2"/>
      <c r="Q1002" s="2"/>
      <c r="R1002" s="2"/>
      <c r="S1002" s="2"/>
      <c r="T1002" s="2"/>
      <c r="U1002" s="2"/>
      <c r="V1002" s="2"/>
      <c r="W1002" s="2"/>
      <c r="X1002" s="2"/>
      <c r="Y1002" s="2"/>
      <c r="Z1002" s="2"/>
    </row>
    <row r="1003" ht="12.75" customHeight="1">
      <c r="A1003" s="2"/>
      <c r="I1003" s="2"/>
      <c r="J1003" s="2"/>
      <c r="K1003" s="2"/>
      <c r="L1003" s="2"/>
      <c r="M1003" s="2"/>
      <c r="N1003" s="2"/>
      <c r="O1003" s="2"/>
      <c r="P1003" s="2"/>
      <c r="Q1003" s="2"/>
      <c r="R1003" s="2"/>
      <c r="S1003" s="2"/>
      <c r="T1003" s="2"/>
      <c r="U1003" s="2"/>
      <c r="V1003" s="2"/>
      <c r="W1003" s="2"/>
      <c r="X1003" s="2"/>
      <c r="Y1003" s="2"/>
      <c r="Z1003" s="2"/>
    </row>
    <row r="1004" ht="12.75" customHeight="1">
      <c r="A1004" s="2"/>
      <c r="I1004" s="2"/>
      <c r="J1004" s="2"/>
      <c r="K1004" s="2"/>
      <c r="L1004" s="2"/>
      <c r="M1004" s="2"/>
      <c r="N1004" s="2"/>
      <c r="O1004" s="2"/>
      <c r="P1004" s="2"/>
      <c r="Q1004" s="2"/>
      <c r="R1004" s="2"/>
      <c r="S1004" s="2"/>
      <c r="T1004" s="2"/>
      <c r="U1004" s="2"/>
      <c r="V1004" s="2"/>
      <c r="W1004" s="2"/>
      <c r="X1004" s="2"/>
      <c r="Y1004" s="2"/>
      <c r="Z1004" s="2"/>
    </row>
    <row r="1005" ht="12.75" customHeight="1">
      <c r="A1005" s="2"/>
      <c r="I1005" s="2"/>
      <c r="J1005" s="2"/>
      <c r="K1005" s="2"/>
      <c r="L1005" s="2"/>
      <c r="M1005" s="2"/>
      <c r="N1005" s="2"/>
      <c r="O1005" s="2"/>
      <c r="P1005" s="2"/>
      <c r="Q1005" s="2"/>
      <c r="R1005" s="2"/>
      <c r="S1005" s="2"/>
      <c r="T1005" s="2"/>
      <c r="U1005" s="2"/>
      <c r="V1005" s="2"/>
      <c r="W1005" s="2"/>
      <c r="X1005" s="2"/>
      <c r="Y1005" s="2"/>
      <c r="Z1005" s="2"/>
    </row>
    <row r="1006" ht="12.75" customHeight="1">
      <c r="A1006" s="2"/>
      <c r="I1006" s="2"/>
      <c r="J1006" s="2"/>
      <c r="K1006" s="2"/>
      <c r="L1006" s="2"/>
      <c r="M1006" s="2"/>
      <c r="N1006" s="2"/>
      <c r="O1006" s="2"/>
      <c r="P1006" s="2"/>
      <c r="Q1006" s="2"/>
      <c r="R1006" s="2"/>
      <c r="S1006" s="2"/>
      <c r="T1006" s="2"/>
      <c r="U1006" s="2"/>
      <c r="V1006" s="2"/>
      <c r="W1006" s="2"/>
      <c r="X1006" s="2"/>
      <c r="Y1006" s="2"/>
      <c r="Z1006" s="2"/>
    </row>
    <row r="1007" ht="12.75" customHeight="1">
      <c r="A1007" s="2"/>
      <c r="I1007" s="2"/>
      <c r="J1007" s="2"/>
      <c r="K1007" s="2"/>
      <c r="L1007" s="2"/>
      <c r="M1007" s="2"/>
      <c r="N1007" s="2"/>
      <c r="O1007" s="2"/>
      <c r="P1007" s="2"/>
      <c r="Q1007" s="2"/>
      <c r="R1007" s="2"/>
      <c r="S1007" s="2"/>
      <c r="T1007" s="2"/>
      <c r="U1007" s="2"/>
      <c r="V1007" s="2"/>
      <c r="W1007" s="2"/>
      <c r="X1007" s="2"/>
      <c r="Y1007" s="2"/>
      <c r="Z1007" s="2"/>
    </row>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45.57"/>
    <col customWidth="1" min="2" max="11" width="8.86"/>
    <col customWidth="1" min="12" max="12" width="32.57"/>
    <col customWidth="1" min="13" max="13" width="8.86"/>
    <col customWidth="1" min="14" max="14" width="22.86"/>
    <col customWidth="1" min="15" max="26" width="8.86"/>
  </cols>
  <sheetData>
    <row r="1">
      <c r="A1" s="43" t="str">
        <f>VentureName</f>
        <v>THIɅK Clear</v>
      </c>
      <c r="B1" s="44"/>
      <c r="C1" s="44"/>
      <c r="D1" s="44"/>
      <c r="E1" s="44"/>
      <c r="F1" s="44"/>
      <c r="G1" s="44"/>
      <c r="H1" s="44"/>
      <c r="I1" s="44"/>
      <c r="J1" s="44"/>
      <c r="K1" s="44"/>
      <c r="L1" s="44"/>
      <c r="M1" s="44"/>
      <c r="N1" s="44"/>
      <c r="O1" s="44"/>
      <c r="P1" s="44"/>
      <c r="Q1" s="44"/>
      <c r="R1" s="44"/>
      <c r="S1" s="44"/>
      <c r="T1" s="44"/>
      <c r="U1" s="44"/>
      <c r="V1" s="44"/>
      <c r="W1" s="44"/>
      <c r="X1" s="44"/>
      <c r="Y1" s="44"/>
      <c r="Z1" s="44"/>
    </row>
    <row r="2">
      <c r="A2" s="14" t="s">
        <v>68</v>
      </c>
      <c r="B2" s="2"/>
      <c r="C2" s="2"/>
      <c r="D2" s="45"/>
      <c r="E2" s="45"/>
      <c r="F2" s="45"/>
      <c r="G2" s="45"/>
      <c r="H2" s="45"/>
      <c r="I2" s="45"/>
      <c r="J2" s="2"/>
      <c r="K2" s="2"/>
      <c r="L2" s="46" t="s">
        <v>69</v>
      </c>
      <c r="M2" s="46" t="s">
        <v>70</v>
      </c>
      <c r="N2" s="46" t="s">
        <v>71</v>
      </c>
      <c r="O2" s="2"/>
      <c r="P2" s="2"/>
      <c r="Q2" s="28"/>
      <c r="R2" s="2"/>
      <c r="S2" s="2"/>
      <c r="T2" s="28"/>
      <c r="U2" s="2"/>
      <c r="V2" s="28"/>
      <c r="W2" s="28"/>
      <c r="X2" s="28"/>
      <c r="Y2" s="2"/>
      <c r="Z2" s="2"/>
    </row>
    <row r="3">
      <c r="A3" s="2"/>
      <c r="B3" s="2"/>
      <c r="C3" s="2"/>
      <c r="D3" s="45"/>
      <c r="E3" s="45"/>
      <c r="F3" s="45"/>
      <c r="G3" s="45"/>
      <c r="H3" s="45"/>
      <c r="I3" s="45"/>
      <c r="J3" s="2"/>
      <c r="K3" s="2"/>
      <c r="L3" s="47" t="s">
        <v>72</v>
      </c>
      <c r="M3" s="28" t="s">
        <v>73</v>
      </c>
      <c r="N3" s="2"/>
      <c r="O3" s="2"/>
      <c r="P3" s="2"/>
      <c r="Q3" s="2"/>
      <c r="R3" s="28"/>
      <c r="S3" s="48"/>
      <c r="T3" s="2"/>
      <c r="U3" s="2"/>
      <c r="V3" s="28"/>
      <c r="W3" s="49"/>
      <c r="X3" s="2"/>
      <c r="Y3" s="2"/>
      <c r="Z3" s="2"/>
    </row>
    <row r="4">
      <c r="A4" s="2" t="s">
        <v>74</v>
      </c>
      <c r="B4" s="2"/>
      <c r="C4" s="2"/>
      <c r="D4" s="45"/>
      <c r="E4" s="45"/>
      <c r="F4" s="45"/>
      <c r="G4" s="45"/>
      <c r="H4" s="45"/>
      <c r="I4" s="45"/>
      <c r="J4" s="2"/>
      <c r="K4" s="2"/>
      <c r="L4" s="28" t="s">
        <v>75</v>
      </c>
      <c r="M4" s="28" t="s">
        <v>76</v>
      </c>
      <c r="N4" s="50">
        <v>3500.0</v>
      </c>
      <c r="O4" s="2"/>
      <c r="P4" s="2"/>
      <c r="Q4" s="2"/>
      <c r="R4" s="28"/>
      <c r="S4" s="48"/>
      <c r="T4" s="2"/>
      <c r="U4" s="2"/>
      <c r="V4" s="28"/>
      <c r="W4" s="49"/>
      <c r="X4" s="2"/>
      <c r="Y4" s="2"/>
      <c r="Z4" s="2"/>
    </row>
    <row r="5">
      <c r="A5" s="2" t="s">
        <v>77</v>
      </c>
      <c r="B5" s="2"/>
      <c r="C5" s="2"/>
      <c r="D5" s="45"/>
      <c r="E5" s="45"/>
      <c r="F5" s="45"/>
      <c r="G5" s="45"/>
      <c r="H5" s="45"/>
      <c r="I5" s="45"/>
      <c r="J5" s="2"/>
      <c r="K5" s="2"/>
      <c r="L5" s="28"/>
      <c r="M5" s="2"/>
      <c r="N5" s="2"/>
      <c r="O5" s="2"/>
      <c r="P5" s="2"/>
      <c r="Q5" s="2"/>
      <c r="R5" s="28"/>
      <c r="S5" s="48"/>
      <c r="T5" s="2"/>
      <c r="U5" s="2"/>
      <c r="V5" s="28"/>
      <c r="W5" s="49"/>
      <c r="X5" s="2"/>
      <c r="Y5" s="2"/>
      <c r="Z5" s="2"/>
    </row>
    <row r="6">
      <c r="A6" s="2" t="s">
        <v>78</v>
      </c>
      <c r="B6" s="2"/>
      <c r="C6" s="2"/>
      <c r="D6" s="45"/>
      <c r="E6" s="45"/>
      <c r="F6" s="45"/>
      <c r="G6" s="45"/>
      <c r="H6" s="45"/>
      <c r="I6" s="45"/>
      <c r="J6" s="2"/>
      <c r="K6" s="2"/>
      <c r="L6" s="28"/>
      <c r="M6" s="2"/>
      <c r="N6" s="2"/>
      <c r="O6" s="2"/>
      <c r="P6" s="2"/>
      <c r="Q6" s="2"/>
      <c r="R6" s="28"/>
      <c r="S6" s="48"/>
      <c r="T6" s="2"/>
      <c r="U6" s="2"/>
      <c r="V6" s="28"/>
      <c r="W6" s="49"/>
      <c r="X6" s="2"/>
      <c r="Y6" s="2"/>
      <c r="Z6" s="2"/>
    </row>
    <row r="7">
      <c r="A7" s="2" t="s">
        <v>79</v>
      </c>
      <c r="B7" s="2"/>
      <c r="C7" s="2"/>
      <c r="D7" s="45"/>
      <c r="E7" s="45"/>
      <c r="F7" s="45"/>
      <c r="G7" s="45"/>
      <c r="H7" s="45"/>
      <c r="I7" s="45"/>
      <c r="J7" s="2"/>
      <c r="K7" s="2"/>
      <c r="L7" s="2"/>
      <c r="M7" s="2"/>
      <c r="N7" s="2"/>
      <c r="O7" s="2"/>
      <c r="P7" s="2"/>
      <c r="Q7" s="2"/>
      <c r="R7" s="28"/>
      <c r="S7" s="48"/>
      <c r="T7" s="2"/>
      <c r="U7" s="2"/>
      <c r="V7" s="28"/>
      <c r="W7" s="49"/>
      <c r="X7" s="2"/>
      <c r="Y7" s="2"/>
      <c r="Z7" s="2"/>
    </row>
    <row r="8">
      <c r="A8" s="2" t="s">
        <v>80</v>
      </c>
      <c r="B8" s="2"/>
      <c r="C8" s="2"/>
      <c r="D8" s="45"/>
      <c r="E8" s="45"/>
      <c r="F8" s="45"/>
      <c r="G8" s="45"/>
      <c r="H8" s="45"/>
      <c r="I8" s="45"/>
      <c r="J8" s="2"/>
      <c r="K8" s="2"/>
      <c r="L8" s="2"/>
      <c r="M8" s="2"/>
      <c r="N8" s="2"/>
      <c r="O8" s="2"/>
      <c r="P8" s="2"/>
      <c r="Q8" s="2"/>
      <c r="R8" s="28"/>
      <c r="S8" s="48"/>
      <c r="T8" s="2"/>
      <c r="U8" s="2"/>
      <c r="V8" s="28"/>
      <c r="W8" s="49"/>
      <c r="X8" s="2"/>
      <c r="Y8" s="2"/>
      <c r="Z8" s="2"/>
    </row>
    <row r="9">
      <c r="A9" s="2" t="s">
        <v>81</v>
      </c>
      <c r="B9" s="2"/>
      <c r="C9" s="2"/>
      <c r="J9" s="2"/>
      <c r="K9" s="2"/>
      <c r="L9" s="2"/>
      <c r="M9" s="2"/>
      <c r="N9" s="2"/>
      <c r="O9" s="2"/>
      <c r="P9" s="2"/>
      <c r="Q9" s="2"/>
      <c r="R9" s="28"/>
      <c r="S9" s="48"/>
      <c r="T9" s="2"/>
      <c r="U9" s="2"/>
      <c r="V9" s="28"/>
      <c r="W9" s="49"/>
      <c r="X9" s="2"/>
      <c r="Y9" s="2"/>
      <c r="Z9" s="2"/>
    </row>
    <row r="10">
      <c r="A10" s="2"/>
      <c r="B10" s="19" t="s">
        <v>82</v>
      </c>
      <c r="F10" s="2"/>
      <c r="G10" s="19" t="s">
        <v>83</v>
      </c>
      <c r="K10" s="2"/>
      <c r="L10" s="46" t="s">
        <v>84</v>
      </c>
      <c r="M10" s="46" t="s">
        <v>85</v>
      </c>
      <c r="N10" s="46" t="s">
        <v>86</v>
      </c>
      <c r="O10" s="2"/>
      <c r="P10" s="2"/>
      <c r="Q10" s="2"/>
      <c r="R10" s="28"/>
      <c r="S10" s="48"/>
      <c r="T10" s="2"/>
      <c r="U10" s="2"/>
      <c r="V10" s="28"/>
      <c r="W10" s="49"/>
      <c r="X10" s="2"/>
      <c r="Y10" s="2"/>
      <c r="Z10" s="2"/>
    </row>
    <row r="11">
      <c r="A11" s="14"/>
      <c r="B11" s="19" t="s">
        <v>87</v>
      </c>
      <c r="D11" s="19" t="s">
        <v>88</v>
      </c>
      <c r="F11" s="2"/>
      <c r="G11" s="19" t="s">
        <v>89</v>
      </c>
      <c r="I11" s="19" t="s">
        <v>88</v>
      </c>
      <c r="K11" s="2"/>
      <c r="L11" s="51" t="s">
        <v>90</v>
      </c>
      <c r="M11" s="28">
        <v>6.95</v>
      </c>
      <c r="N11" s="28">
        <v>5.56</v>
      </c>
      <c r="O11" s="2"/>
      <c r="P11" s="2"/>
      <c r="Q11" s="28"/>
      <c r="R11" s="28"/>
      <c r="S11" s="48"/>
      <c r="T11" s="2"/>
      <c r="U11" s="2"/>
      <c r="V11" s="28"/>
      <c r="W11" s="49"/>
      <c r="X11" s="2"/>
      <c r="Y11" s="2"/>
      <c r="Z11" s="2"/>
    </row>
    <row r="12">
      <c r="A12" s="52" t="s">
        <v>91</v>
      </c>
      <c r="B12" s="19" t="s">
        <v>92</v>
      </c>
      <c r="C12" s="19" t="s">
        <v>93</v>
      </c>
      <c r="D12" s="19" t="s">
        <v>92</v>
      </c>
      <c r="E12" s="19" t="s">
        <v>93</v>
      </c>
      <c r="F12" s="2"/>
      <c r="G12" s="19" t="s">
        <v>94</v>
      </c>
      <c r="H12" s="19" t="s">
        <v>93</v>
      </c>
      <c r="I12" s="19" t="s">
        <v>94</v>
      </c>
      <c r="J12" s="19" t="s">
        <v>93</v>
      </c>
      <c r="K12" s="2"/>
      <c r="L12" s="51" t="s">
        <v>95</v>
      </c>
      <c r="M12" s="28">
        <v>9.95</v>
      </c>
      <c r="N12" s="28">
        <v>7.96</v>
      </c>
      <c r="O12" s="2"/>
      <c r="P12" s="2"/>
      <c r="Q12" s="2"/>
      <c r="R12" s="28"/>
      <c r="S12" s="48"/>
      <c r="T12" s="2"/>
      <c r="U12" s="2"/>
      <c r="V12" s="28"/>
      <c r="W12" s="49"/>
      <c r="X12" s="2"/>
      <c r="Y12" s="2"/>
      <c r="Z12" s="2"/>
    </row>
    <row r="13">
      <c r="A13" s="53" t="s">
        <v>96</v>
      </c>
      <c r="B13" s="22">
        <v>149.99</v>
      </c>
      <c r="C13" s="54">
        <v>1.0</v>
      </c>
      <c r="D13" s="22">
        <v>0.0</v>
      </c>
      <c r="E13" s="54">
        <v>0.0</v>
      </c>
      <c r="F13" s="2"/>
      <c r="G13" s="22">
        <v>23.83689</v>
      </c>
      <c r="H13" s="54">
        <v>1.0</v>
      </c>
      <c r="I13" s="22">
        <v>0.0</v>
      </c>
      <c r="J13" s="54">
        <v>0.0</v>
      </c>
      <c r="K13" s="2"/>
      <c r="L13" s="51" t="s">
        <v>97</v>
      </c>
      <c r="M13" s="28">
        <v>109.9</v>
      </c>
      <c r="N13" s="28">
        <v>109.9</v>
      </c>
      <c r="O13" s="2"/>
      <c r="P13" s="2"/>
      <c r="Q13" s="2"/>
      <c r="R13" s="28"/>
      <c r="S13" s="48"/>
      <c r="T13" s="2"/>
      <c r="U13" s="2"/>
      <c r="V13" s="28"/>
      <c r="W13" s="49"/>
      <c r="X13" s="2"/>
      <c r="Y13" s="2"/>
      <c r="Z13" s="2"/>
    </row>
    <row r="14">
      <c r="A14" s="53" t="s">
        <v>98</v>
      </c>
      <c r="B14" s="22">
        <v>0.0</v>
      </c>
      <c r="C14" s="54">
        <v>0.0</v>
      </c>
      <c r="D14" s="22">
        <v>179.88</v>
      </c>
      <c r="E14" s="54">
        <v>1.0</v>
      </c>
      <c r="F14" s="2"/>
      <c r="G14" s="22">
        <v>0.0</v>
      </c>
      <c r="H14" s="54">
        <v>0.0</v>
      </c>
      <c r="I14" s="22">
        <v>0.0</v>
      </c>
      <c r="J14" s="54">
        <v>0.0</v>
      </c>
      <c r="K14" s="2"/>
      <c r="L14" s="51" t="s">
        <v>99</v>
      </c>
      <c r="M14" s="28">
        <v>0.95</v>
      </c>
      <c r="N14" s="28">
        <v>0.76</v>
      </c>
      <c r="O14" s="2"/>
      <c r="P14" s="2"/>
      <c r="Q14" s="2"/>
      <c r="R14" s="28"/>
      <c r="S14" s="48"/>
      <c r="T14" s="2"/>
      <c r="U14" s="2"/>
      <c r="V14" s="28"/>
      <c r="W14" s="49"/>
      <c r="X14" s="2"/>
      <c r="Y14" s="2"/>
      <c r="Z14" s="2"/>
    </row>
    <row r="15">
      <c r="A15" s="55">
        <v>3.0</v>
      </c>
      <c r="B15" s="56"/>
      <c r="C15" s="57"/>
      <c r="D15" s="56"/>
      <c r="E15" s="57"/>
      <c r="F15" s="2"/>
      <c r="G15" s="56"/>
      <c r="H15" s="57"/>
      <c r="I15" s="56"/>
      <c r="J15" s="57"/>
      <c r="K15" s="2"/>
      <c r="L15" s="51" t="s">
        <v>100</v>
      </c>
      <c r="M15" s="28">
        <v>8.95</v>
      </c>
      <c r="N15" s="28">
        <v>7.16</v>
      </c>
      <c r="O15" s="2"/>
      <c r="P15" s="2"/>
      <c r="Q15" s="2"/>
      <c r="R15" s="28"/>
      <c r="S15" s="48"/>
      <c r="T15" s="2"/>
      <c r="U15" s="2"/>
      <c r="V15" s="28"/>
      <c r="W15" s="49"/>
      <c r="X15" s="2"/>
      <c r="Y15" s="2"/>
      <c r="Z15" s="2"/>
    </row>
    <row r="16">
      <c r="A16" s="55">
        <v>4.0</v>
      </c>
      <c r="B16" s="56"/>
      <c r="C16" s="57"/>
      <c r="D16" s="56"/>
      <c r="E16" s="57"/>
      <c r="F16" s="2"/>
      <c r="G16" s="56"/>
      <c r="H16" s="57"/>
      <c r="I16" s="56"/>
      <c r="J16" s="57"/>
      <c r="K16" s="2"/>
      <c r="L16" s="51" t="s">
        <v>101</v>
      </c>
      <c r="M16" s="28">
        <v>1.95</v>
      </c>
      <c r="N16" s="28">
        <v>1.56</v>
      </c>
      <c r="O16" s="2"/>
      <c r="P16" s="2"/>
      <c r="Q16" s="2"/>
      <c r="R16" s="2"/>
      <c r="S16" s="2"/>
      <c r="T16" s="2"/>
      <c r="U16" s="2"/>
      <c r="V16" s="2"/>
      <c r="W16" s="2"/>
      <c r="X16" s="2"/>
      <c r="Y16" s="2"/>
      <c r="Z16" s="2"/>
    </row>
    <row r="17">
      <c r="A17" s="2"/>
      <c r="B17" s="19"/>
      <c r="C17" s="19"/>
      <c r="D17" s="19"/>
      <c r="E17" s="2"/>
      <c r="F17" s="2"/>
      <c r="G17" s="2"/>
      <c r="H17" s="2"/>
      <c r="I17" s="2"/>
      <c r="J17" s="2"/>
      <c r="K17" s="2"/>
      <c r="L17" s="58" t="s">
        <v>102</v>
      </c>
      <c r="M17" s="28">
        <v>1.88</v>
      </c>
      <c r="N17" s="28">
        <v>1.88</v>
      </c>
      <c r="O17" s="2"/>
      <c r="P17" s="2"/>
      <c r="Q17" s="2"/>
      <c r="R17" s="2"/>
      <c r="S17" s="2"/>
      <c r="T17" s="2"/>
      <c r="U17" s="2"/>
      <c r="V17" s="2"/>
      <c r="W17" s="2"/>
      <c r="X17" s="2"/>
      <c r="Y17" s="2"/>
      <c r="Z17" s="2"/>
    </row>
    <row r="18">
      <c r="A18" s="17" t="s">
        <v>103</v>
      </c>
      <c r="B18" s="59" t="str">
        <f>SalesMktg!B5</f>
        <v>Yr1</v>
      </c>
      <c r="C18" s="59" t="str">
        <f>SalesMktg!C5</f>
        <v>Yr2</v>
      </c>
      <c r="D18" s="59" t="str">
        <f>SalesMktg!D5</f>
        <v>Yr3</v>
      </c>
      <c r="E18" s="59" t="str">
        <f>SalesMktg!E5</f>
        <v>Yr4</v>
      </c>
      <c r="F18" s="59" t="str">
        <f>SalesMktg!F5</f>
        <v>Yr5</v>
      </c>
      <c r="G18" s="59" t="str">
        <f>SalesMktg!G5</f>
        <v>Yr6</v>
      </c>
      <c r="H18" s="2"/>
      <c r="I18" s="2"/>
      <c r="J18" s="2"/>
      <c r="K18" s="2"/>
      <c r="L18" s="28" t="s">
        <v>104</v>
      </c>
      <c r="M18" s="2">
        <f> SUM(M11:M17)</f>
        <v>140.53</v>
      </c>
      <c r="N18" s="2">
        <f>SUM(N11:N17)</f>
        <v>134.78</v>
      </c>
      <c r="O18" s="2"/>
      <c r="P18" s="2"/>
      <c r="Q18" s="2"/>
      <c r="R18" s="2"/>
      <c r="S18" s="2"/>
      <c r="T18" s="2"/>
      <c r="U18" s="2"/>
      <c r="V18" s="2"/>
      <c r="W18" s="2"/>
      <c r="X18" s="2"/>
      <c r="Y18" s="2"/>
      <c r="Z18" s="2"/>
    </row>
    <row r="19">
      <c r="A19" s="2" t="s">
        <v>105</v>
      </c>
      <c r="B19" s="40">
        <f>SalesMktg!B51</f>
        <v>181</v>
      </c>
      <c r="C19" s="40">
        <f>SalesMktg!C51</f>
        <v>361</v>
      </c>
      <c r="D19" s="40">
        <f>SalesMktg!D51</f>
        <v>694</v>
      </c>
      <c r="E19" s="40">
        <f>SalesMktg!E51</f>
        <v>1202</v>
      </c>
      <c r="F19" s="40">
        <f>SalesMktg!F51</f>
        <v>1924</v>
      </c>
      <c r="G19" s="40">
        <f>SalesMktg!G51</f>
        <v>3078</v>
      </c>
      <c r="H19" s="2"/>
      <c r="I19" s="2"/>
      <c r="J19" s="2"/>
      <c r="K19" s="2"/>
      <c r="L19" s="46"/>
      <c r="M19" s="46"/>
      <c r="N19" s="46"/>
      <c r="O19" s="2"/>
      <c r="P19" s="2"/>
      <c r="Q19" s="2"/>
      <c r="R19" s="2"/>
      <c r="S19" s="2"/>
      <c r="T19" s="2"/>
      <c r="U19" s="2"/>
      <c r="V19" s="2"/>
      <c r="W19" s="2"/>
      <c r="X19" s="2"/>
      <c r="Y19" s="2"/>
      <c r="Z19" s="2"/>
    </row>
    <row r="20">
      <c r="A20" s="60" t="s">
        <v>106</v>
      </c>
      <c r="B20" s="61"/>
      <c r="C20" s="40">
        <f>SalesMktg!C53</f>
        <v>534</v>
      </c>
      <c r="D20" s="40">
        <f>SalesMktg!D53</f>
        <v>1203</v>
      </c>
      <c r="E20" s="40">
        <f>SalesMktg!E53</f>
        <v>2349</v>
      </c>
      <c r="F20" s="40">
        <f>SalesMktg!F53</f>
        <v>4163</v>
      </c>
      <c r="G20" s="40">
        <f>SalesMktg!G53</f>
        <v>7047</v>
      </c>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7" t="s">
        <v>107</v>
      </c>
      <c r="B22" s="62"/>
      <c r="C22" s="62"/>
      <c r="D22" s="62"/>
      <c r="E22" s="62"/>
      <c r="F22" s="62"/>
      <c r="G22" s="62"/>
      <c r="H22" s="2"/>
      <c r="I22" s="2"/>
      <c r="J22" s="2"/>
      <c r="K22" s="2"/>
      <c r="L22" s="63" t="s">
        <v>108</v>
      </c>
      <c r="M22" s="63" t="s">
        <v>85</v>
      </c>
      <c r="N22" s="63" t="s">
        <v>86</v>
      </c>
      <c r="O22" s="2"/>
      <c r="P22" s="2"/>
      <c r="Q22" s="2"/>
      <c r="R22" s="2"/>
      <c r="S22" s="2"/>
      <c r="T22" s="2"/>
      <c r="U22" s="2"/>
      <c r="V22" s="2"/>
      <c r="W22" s="2"/>
      <c r="X22" s="2"/>
      <c r="Y22" s="2"/>
      <c r="Z22" s="2"/>
    </row>
    <row r="23" ht="15.75" customHeight="1">
      <c r="A23" s="64" t="str">
        <f t="shared" ref="A23:A26" si="2">$A13</f>
        <v>1 THIɅK Clear Glasses</v>
      </c>
      <c r="B23" s="65">
        <f t="shared" ref="B23:G23" si="1">($B13*B$19)+($D13*B$20)</f>
        <v>27148.19</v>
      </c>
      <c r="C23" s="65">
        <f t="shared" si="1"/>
        <v>54146.39</v>
      </c>
      <c r="D23" s="65">
        <f t="shared" si="1"/>
        <v>104093.06</v>
      </c>
      <c r="E23" s="65">
        <f t="shared" si="1"/>
        <v>180287.98</v>
      </c>
      <c r="F23" s="65">
        <f t="shared" si="1"/>
        <v>288580.76</v>
      </c>
      <c r="G23" s="65">
        <f t="shared" si="1"/>
        <v>461669.22</v>
      </c>
      <c r="H23" s="2"/>
      <c r="I23" s="2"/>
      <c r="J23" s="2"/>
      <c r="K23" s="2"/>
      <c r="L23" s="28" t="s">
        <v>109</v>
      </c>
      <c r="M23" s="28">
        <v>42.826</v>
      </c>
      <c r="N23" s="28">
        <v>0.77689</v>
      </c>
      <c r="O23" s="2"/>
      <c r="P23" s="2"/>
      <c r="Q23" s="2"/>
      <c r="R23" s="2"/>
      <c r="S23" s="2"/>
      <c r="T23" s="2"/>
      <c r="U23" s="2"/>
      <c r="V23" s="2"/>
      <c r="W23" s="2"/>
      <c r="X23" s="2"/>
      <c r="Y23" s="2"/>
      <c r="Z23" s="2"/>
    </row>
    <row r="24" ht="15.75" customHeight="1">
      <c r="A24" s="64" t="str">
        <f t="shared" si="2"/>
        <v>2 Premium Subscription</v>
      </c>
      <c r="B24" s="65">
        <f t="shared" ref="B24:B26" si="3">($B14*B$19)+($D14*B$20)</f>
        <v>0</v>
      </c>
      <c r="C24" s="65">
        <f>(($B14*C$19)+($D14*C$20))*(SalesMktg!B49/SalesMktg!B42)</f>
        <v>33433.82851</v>
      </c>
      <c r="D24" s="65">
        <f>($B14*D$19)+($D14*D$20)*(SalesMktg!C49/SalesMktg!C42)</f>
        <v>75528.67213</v>
      </c>
      <c r="E24" s="65">
        <f>($B14*E$19)+($D14*E$20)*(SalesMktg!D49/SalesMktg!D42)</f>
        <v>147949.2265</v>
      </c>
      <c r="F24" s="65">
        <f>($B14*F$19)+($D14*F$20)*(SalesMktg!E49/SalesMktg!E42)</f>
        <v>262281.0526</v>
      </c>
      <c r="G24" s="65">
        <f>($B14*G$19)+($D14*G$20)*(SalesMktg!F49/SalesMktg!F42)</f>
        <v>443401.4887</v>
      </c>
      <c r="H24" s="2"/>
      <c r="I24" s="2"/>
      <c r="J24" s="2"/>
      <c r="K24" s="2"/>
      <c r="L24" s="51" t="s">
        <v>90</v>
      </c>
      <c r="M24" s="28">
        <v>6.95</v>
      </c>
      <c r="N24" s="28">
        <v>5.56</v>
      </c>
      <c r="O24" s="2"/>
      <c r="P24" s="2"/>
      <c r="Q24" s="2"/>
      <c r="R24" s="2"/>
      <c r="S24" s="2"/>
      <c r="T24" s="2"/>
      <c r="U24" s="2"/>
      <c r="V24" s="2"/>
      <c r="W24" s="2"/>
      <c r="X24" s="2"/>
      <c r="Y24" s="2"/>
      <c r="Z24" s="2"/>
    </row>
    <row r="25" ht="15.75" customHeight="1">
      <c r="A25" s="64">
        <f t="shared" si="2"/>
        <v>3</v>
      </c>
      <c r="B25" s="65">
        <f t="shared" si="3"/>
        <v>0</v>
      </c>
      <c r="C25" s="65">
        <f t="shared" ref="C25:G25" si="4">($B15*C$19)+($D15*C$20)</f>
        <v>0</v>
      </c>
      <c r="D25" s="65">
        <f t="shared" si="4"/>
        <v>0</v>
      </c>
      <c r="E25" s="65">
        <f t="shared" si="4"/>
        <v>0</v>
      </c>
      <c r="F25" s="65">
        <f t="shared" si="4"/>
        <v>0</v>
      </c>
      <c r="G25" s="65">
        <f t="shared" si="4"/>
        <v>0</v>
      </c>
      <c r="H25" s="2"/>
      <c r="I25" s="2"/>
      <c r="J25" s="2"/>
      <c r="K25" s="2"/>
      <c r="L25" s="51" t="s">
        <v>95</v>
      </c>
      <c r="M25" s="28">
        <v>9.95</v>
      </c>
      <c r="N25" s="28">
        <v>7.96</v>
      </c>
      <c r="O25" s="2"/>
      <c r="P25" s="2"/>
      <c r="Q25" s="2"/>
      <c r="R25" s="2"/>
      <c r="S25" s="2"/>
      <c r="T25" s="2"/>
      <c r="U25" s="2"/>
      <c r="V25" s="2"/>
      <c r="W25" s="2"/>
      <c r="X25" s="2"/>
      <c r="Y25" s="2"/>
      <c r="Z25" s="2"/>
    </row>
    <row r="26" ht="15.75" customHeight="1">
      <c r="A26" s="64">
        <f t="shared" si="2"/>
        <v>4</v>
      </c>
      <c r="B26" s="66">
        <f t="shared" si="3"/>
        <v>0</v>
      </c>
      <c r="C26" s="66">
        <f t="shared" ref="C26:G26" si="5">($B16*C$19)+($D16*C$20)</f>
        <v>0</v>
      </c>
      <c r="D26" s="66">
        <f t="shared" si="5"/>
        <v>0</v>
      </c>
      <c r="E26" s="66">
        <f t="shared" si="5"/>
        <v>0</v>
      </c>
      <c r="F26" s="66">
        <f t="shared" si="5"/>
        <v>0</v>
      </c>
      <c r="G26" s="66">
        <f t="shared" si="5"/>
        <v>0</v>
      </c>
      <c r="H26" s="2"/>
      <c r="I26" s="2"/>
      <c r="J26" s="2"/>
      <c r="K26" s="2"/>
      <c r="L26" s="67" t="s">
        <v>110</v>
      </c>
      <c r="M26" s="68">
        <v>0.06</v>
      </c>
      <c r="N26" s="68">
        <v>0.06</v>
      </c>
      <c r="O26" s="2"/>
      <c r="P26" s="2"/>
      <c r="Q26" s="2"/>
      <c r="R26" s="2"/>
      <c r="S26" s="2"/>
      <c r="T26" s="2"/>
      <c r="U26" s="2"/>
      <c r="V26" s="2"/>
      <c r="W26" s="2"/>
      <c r="X26" s="2"/>
      <c r="Y26" s="2"/>
      <c r="Z26" s="2"/>
    </row>
    <row r="27" ht="15.75" customHeight="1">
      <c r="A27" s="31"/>
      <c r="B27" s="69"/>
      <c r="C27" s="19"/>
      <c r="D27" s="19"/>
      <c r="E27" s="19"/>
      <c r="F27" s="19"/>
      <c r="G27" s="19"/>
      <c r="H27" s="2"/>
      <c r="I27" s="2"/>
      <c r="J27" s="2"/>
      <c r="K27" s="2"/>
      <c r="L27" s="51" t="s">
        <v>99</v>
      </c>
      <c r="M27" s="28">
        <v>0.95</v>
      </c>
      <c r="N27" s="28">
        <v>0.76</v>
      </c>
      <c r="O27" s="2"/>
      <c r="P27" s="2"/>
      <c r="Q27" s="2"/>
      <c r="R27" s="2"/>
      <c r="S27" s="2"/>
      <c r="T27" s="2"/>
      <c r="U27" s="2"/>
      <c r="V27" s="2"/>
      <c r="W27" s="2"/>
      <c r="X27" s="2"/>
      <c r="Y27" s="2"/>
      <c r="Z27" s="2"/>
    </row>
    <row r="28" ht="15.75" customHeight="1">
      <c r="A28" s="23" t="s">
        <v>111</v>
      </c>
      <c r="B28" s="24">
        <f t="shared" ref="B28:G28" si="6">SUM(B23:B26)</f>
        <v>27148.19</v>
      </c>
      <c r="C28" s="24">
        <f t="shared" si="6"/>
        <v>87580.21851</v>
      </c>
      <c r="D28" s="24">
        <f t="shared" si="6"/>
        <v>179621.7321</v>
      </c>
      <c r="E28" s="24">
        <f t="shared" si="6"/>
        <v>328237.2065</v>
      </c>
      <c r="F28" s="24">
        <f t="shared" si="6"/>
        <v>550861.8126</v>
      </c>
      <c r="G28" s="24">
        <f t="shared" si="6"/>
        <v>905070.7087</v>
      </c>
      <c r="H28" s="2"/>
      <c r="I28" s="2"/>
      <c r="J28" s="2"/>
      <c r="K28" s="2"/>
      <c r="L28" s="51" t="s">
        <v>100</v>
      </c>
      <c r="M28" s="28">
        <v>8.95</v>
      </c>
      <c r="N28" s="28">
        <v>7.16</v>
      </c>
      <c r="O28" s="2"/>
      <c r="P28" s="2"/>
      <c r="Q28" s="2"/>
      <c r="R28" s="2"/>
      <c r="S28" s="2"/>
      <c r="T28" s="2"/>
      <c r="U28" s="2"/>
      <c r="V28" s="2"/>
      <c r="W28" s="2"/>
      <c r="X28" s="2"/>
      <c r="Y28" s="2"/>
      <c r="Z28" s="2"/>
    </row>
    <row r="29" ht="15.75" customHeight="1">
      <c r="A29" s="2"/>
      <c r="B29" s="69"/>
      <c r="C29" s="19"/>
      <c r="D29" s="19"/>
      <c r="E29" s="19"/>
      <c r="F29" s="19"/>
      <c r="G29" s="19"/>
      <c r="H29" s="2"/>
      <c r="I29" s="2"/>
      <c r="J29" s="2"/>
      <c r="K29" s="2"/>
      <c r="L29" s="51" t="s">
        <v>101</v>
      </c>
      <c r="M29" s="28">
        <v>1.95</v>
      </c>
      <c r="N29" s="28">
        <v>1.56</v>
      </c>
      <c r="O29" s="2"/>
      <c r="P29" s="2"/>
      <c r="Q29" s="2"/>
      <c r="R29" s="2"/>
      <c r="S29" s="2"/>
      <c r="T29" s="2"/>
      <c r="U29" s="2"/>
      <c r="V29" s="2"/>
      <c r="W29" s="2"/>
      <c r="X29" s="2"/>
      <c r="Y29" s="2"/>
      <c r="Z29" s="2"/>
    </row>
    <row r="30" ht="15.75" customHeight="1">
      <c r="A30" s="17" t="s">
        <v>112</v>
      </c>
      <c r="B30" s="69"/>
      <c r="C30" s="19"/>
      <c r="D30" s="19"/>
      <c r="E30" s="19"/>
      <c r="F30" s="19"/>
      <c r="G30" s="19"/>
      <c r="H30" s="2"/>
      <c r="I30" s="2"/>
      <c r="J30" s="2"/>
      <c r="K30" s="2"/>
      <c r="L30" s="58"/>
      <c r="M30" s="28"/>
      <c r="N30" s="28"/>
      <c r="O30" s="2"/>
      <c r="P30" s="2"/>
      <c r="Q30" s="2"/>
      <c r="R30" s="2"/>
      <c r="S30" s="2"/>
      <c r="T30" s="2"/>
      <c r="U30" s="2"/>
      <c r="V30" s="2"/>
      <c r="W30" s="2"/>
      <c r="X30" s="2"/>
      <c r="Y30" s="2"/>
      <c r="Z30" s="2"/>
    </row>
    <row r="31" ht="15.75" customHeight="1">
      <c r="A31" s="64" t="str">
        <f t="shared" ref="A31:A34" si="9">$A13</f>
        <v>1 THIɅK Clear Glasses</v>
      </c>
      <c r="B31" s="65">
        <f t="shared" ref="B31:G31" si="7">($G13*B$19)+($I13*B$20)</f>
        <v>4314.47709</v>
      </c>
      <c r="C31" s="65">
        <f t="shared" si="7"/>
        <v>8605.11729</v>
      </c>
      <c r="D31" s="65">
        <f t="shared" si="7"/>
        <v>16542.80166</v>
      </c>
      <c r="E31" s="65">
        <f t="shared" si="7"/>
        <v>28651.94178</v>
      </c>
      <c r="F31" s="65">
        <f t="shared" si="7"/>
        <v>45862.17636</v>
      </c>
      <c r="G31" s="65">
        <f t="shared" si="7"/>
        <v>73369.94742</v>
      </c>
      <c r="H31" s="2"/>
      <c r="I31" s="2"/>
      <c r="J31" s="2"/>
      <c r="K31" s="2"/>
      <c r="L31" s="28" t="s">
        <v>104</v>
      </c>
      <c r="M31" s="2">
        <f t="shared" ref="M31:N31" si="8">SUM(M23:M29)</f>
        <v>71.636</v>
      </c>
      <c r="N31" s="2">
        <f t="shared" si="8"/>
        <v>23.83689</v>
      </c>
      <c r="O31" s="2"/>
      <c r="P31" s="2"/>
      <c r="Q31" s="2"/>
      <c r="R31" s="2"/>
      <c r="S31" s="2"/>
      <c r="T31" s="2"/>
      <c r="U31" s="2"/>
      <c r="V31" s="2"/>
      <c r="W31" s="2"/>
      <c r="X31" s="2"/>
      <c r="Y31" s="2"/>
      <c r="Z31" s="2"/>
    </row>
    <row r="32" ht="15.75" customHeight="1">
      <c r="A32" s="64" t="str">
        <f t="shared" si="9"/>
        <v>2 Premium Subscription</v>
      </c>
      <c r="B32" s="65">
        <f t="shared" ref="B32:G32" si="10">($G14*B$19)+($I14*B$20)</f>
        <v>0</v>
      </c>
      <c r="C32" s="65">
        <f t="shared" si="10"/>
        <v>0</v>
      </c>
      <c r="D32" s="65">
        <f t="shared" si="10"/>
        <v>0</v>
      </c>
      <c r="E32" s="65">
        <f t="shared" si="10"/>
        <v>0</v>
      </c>
      <c r="F32" s="65">
        <f t="shared" si="10"/>
        <v>0</v>
      </c>
      <c r="G32" s="65">
        <f t="shared" si="10"/>
        <v>0</v>
      </c>
      <c r="H32" s="2"/>
      <c r="I32" s="2"/>
      <c r="J32" s="2"/>
      <c r="K32" s="2"/>
      <c r="L32" s="2"/>
      <c r="M32" s="2"/>
      <c r="N32" s="2"/>
      <c r="O32" s="2"/>
      <c r="P32" s="2"/>
      <c r="Q32" s="2"/>
      <c r="R32" s="2"/>
      <c r="S32" s="2"/>
      <c r="T32" s="2"/>
      <c r="U32" s="2"/>
      <c r="V32" s="2"/>
      <c r="W32" s="2"/>
      <c r="X32" s="2"/>
      <c r="Y32" s="2"/>
      <c r="Z32" s="2"/>
    </row>
    <row r="33" ht="15.75" customHeight="1">
      <c r="A33" s="64">
        <f t="shared" si="9"/>
        <v>3</v>
      </c>
      <c r="B33" s="65">
        <f t="shared" ref="B33:G33" si="11">($G15*B$19)+($I15*B$20)</f>
        <v>0</v>
      </c>
      <c r="C33" s="65">
        <f t="shared" si="11"/>
        <v>0</v>
      </c>
      <c r="D33" s="65">
        <f t="shared" si="11"/>
        <v>0</v>
      </c>
      <c r="E33" s="65">
        <f t="shared" si="11"/>
        <v>0</v>
      </c>
      <c r="F33" s="65">
        <f t="shared" si="11"/>
        <v>0</v>
      </c>
      <c r="G33" s="65">
        <f t="shared" si="11"/>
        <v>0</v>
      </c>
      <c r="H33" s="2"/>
      <c r="I33" s="2"/>
      <c r="J33" s="2"/>
      <c r="K33" s="2"/>
      <c r="L33" s="2"/>
      <c r="M33" s="2"/>
      <c r="N33" s="2"/>
      <c r="O33" s="2"/>
      <c r="P33" s="2"/>
      <c r="Q33" s="2"/>
      <c r="R33" s="2"/>
      <c r="S33" s="2"/>
      <c r="T33" s="2"/>
      <c r="U33" s="2"/>
      <c r="V33" s="2"/>
      <c r="W33" s="2"/>
      <c r="X33" s="2"/>
      <c r="Y33" s="2"/>
      <c r="Z33" s="2"/>
    </row>
    <row r="34" ht="15.75" customHeight="1">
      <c r="A34" s="64">
        <f t="shared" si="9"/>
        <v>4</v>
      </c>
      <c r="B34" s="66">
        <f t="shared" ref="B34:G34" si="12">($G16*B$19)+($I16*B$20)</f>
        <v>0</v>
      </c>
      <c r="C34" s="66">
        <f t="shared" si="12"/>
        <v>0</v>
      </c>
      <c r="D34" s="66">
        <f t="shared" si="12"/>
        <v>0</v>
      </c>
      <c r="E34" s="66">
        <f t="shared" si="12"/>
        <v>0</v>
      </c>
      <c r="F34" s="66">
        <f t="shared" si="12"/>
        <v>0</v>
      </c>
      <c r="G34" s="66">
        <f t="shared" si="12"/>
        <v>0</v>
      </c>
      <c r="H34" s="2"/>
      <c r="I34" s="2"/>
      <c r="J34" s="2"/>
      <c r="K34" s="2"/>
      <c r="L34" s="2"/>
      <c r="M34" s="2"/>
      <c r="N34" s="2"/>
      <c r="O34" s="2"/>
      <c r="P34" s="2"/>
      <c r="Q34" s="2"/>
      <c r="R34" s="2"/>
      <c r="S34" s="2"/>
      <c r="T34" s="2"/>
      <c r="U34" s="2"/>
      <c r="V34" s="2"/>
      <c r="W34" s="2"/>
      <c r="X34" s="2"/>
      <c r="Y34" s="2"/>
      <c r="Z34" s="2"/>
    </row>
    <row r="35" ht="15.75" customHeight="1">
      <c r="A35" s="2"/>
      <c r="B35" s="69"/>
      <c r="C35" s="19"/>
      <c r="D35" s="19"/>
      <c r="E35" s="19"/>
      <c r="F35" s="19"/>
      <c r="G35" s="19"/>
      <c r="H35" s="2"/>
      <c r="I35" s="2"/>
      <c r="J35" s="2"/>
      <c r="K35" s="2"/>
      <c r="L35" s="2"/>
      <c r="M35" s="2"/>
      <c r="N35" s="2"/>
      <c r="O35" s="2"/>
      <c r="P35" s="2"/>
      <c r="Q35" s="2"/>
      <c r="R35" s="2"/>
      <c r="S35" s="2"/>
      <c r="T35" s="2"/>
      <c r="U35" s="2"/>
      <c r="V35" s="2"/>
      <c r="W35" s="2"/>
      <c r="X35" s="2"/>
      <c r="Y35" s="2"/>
      <c r="Z35" s="2"/>
    </row>
    <row r="36" ht="15.75" customHeight="1">
      <c r="A36" s="23" t="s">
        <v>113</v>
      </c>
      <c r="B36" s="24">
        <f t="shared" ref="B36:G36" si="13">SUM(B31:B34)</f>
        <v>4314.47709</v>
      </c>
      <c r="C36" s="24">
        <f t="shared" si="13"/>
        <v>8605.11729</v>
      </c>
      <c r="D36" s="24">
        <f t="shared" si="13"/>
        <v>16542.80166</v>
      </c>
      <c r="E36" s="24">
        <f t="shared" si="13"/>
        <v>28651.94178</v>
      </c>
      <c r="F36" s="24">
        <f t="shared" si="13"/>
        <v>45862.17636</v>
      </c>
      <c r="G36" s="24">
        <f t="shared" si="13"/>
        <v>73369.94742</v>
      </c>
      <c r="H36" s="2"/>
      <c r="I36" s="2"/>
      <c r="J36" s="2"/>
      <c r="K36" s="2"/>
      <c r="L36" s="2"/>
      <c r="M36" s="2"/>
      <c r="N36" s="2"/>
      <c r="O36" s="2"/>
      <c r="P36" s="2"/>
      <c r="Q36" s="2"/>
      <c r="R36" s="2"/>
      <c r="S36" s="2"/>
      <c r="T36" s="2"/>
      <c r="U36" s="2"/>
      <c r="V36" s="2"/>
      <c r="W36" s="2"/>
      <c r="X36" s="2"/>
      <c r="Y36" s="2"/>
      <c r="Z36" s="2"/>
    </row>
    <row r="37" ht="15.75" customHeight="1">
      <c r="A37" s="44"/>
      <c r="B37" s="70"/>
      <c r="C37" s="70"/>
      <c r="D37" s="70"/>
      <c r="E37" s="70"/>
      <c r="F37" s="70"/>
      <c r="G37" s="70"/>
      <c r="H37" s="70"/>
      <c r="I37" s="70"/>
      <c r="J37" s="70"/>
      <c r="K37" s="70"/>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17" t="s">
        <v>114</v>
      </c>
      <c r="B39" s="2"/>
      <c r="C39" s="2"/>
      <c r="D39" s="2"/>
      <c r="E39" s="2"/>
      <c r="F39" s="2"/>
      <c r="G39" s="2"/>
      <c r="H39" s="44"/>
      <c r="I39" s="44"/>
      <c r="J39" s="44"/>
      <c r="K39" s="44"/>
      <c r="L39" s="44"/>
      <c r="M39" s="44"/>
      <c r="N39" s="44"/>
      <c r="O39" s="44"/>
      <c r="P39" s="44"/>
      <c r="Q39" s="44"/>
      <c r="R39" s="44"/>
      <c r="S39" s="44"/>
      <c r="T39" s="44"/>
      <c r="U39" s="44"/>
      <c r="V39" s="44"/>
      <c r="W39" s="44"/>
      <c r="X39" s="44"/>
      <c r="Y39" s="44"/>
      <c r="Z39" s="44"/>
    </row>
    <row r="40" ht="15.75" customHeight="1">
      <c r="A40" s="2" t="s">
        <v>115</v>
      </c>
      <c r="B40" s="71">
        <f>SUM(B13:B16)</f>
        <v>149.99</v>
      </c>
      <c r="C40" s="2"/>
      <c r="D40" s="2"/>
      <c r="E40" s="2"/>
      <c r="F40" s="2"/>
      <c r="G40" s="2"/>
      <c r="H40" s="44"/>
      <c r="I40" s="44"/>
      <c r="J40" s="44"/>
      <c r="K40" s="44"/>
      <c r="L40" s="44"/>
      <c r="M40" s="44"/>
      <c r="N40" s="44"/>
      <c r="O40" s="44"/>
      <c r="P40" s="44"/>
      <c r="Q40" s="44"/>
      <c r="R40" s="44"/>
      <c r="S40" s="44"/>
      <c r="T40" s="44"/>
      <c r="U40" s="44"/>
      <c r="V40" s="44"/>
      <c r="W40" s="44"/>
      <c r="X40" s="44"/>
      <c r="Y40" s="44"/>
      <c r="Z40" s="44"/>
    </row>
    <row r="41" ht="15.75" customHeight="1">
      <c r="A41" s="2" t="s">
        <v>116</v>
      </c>
      <c r="B41" s="72">
        <v>4.5</v>
      </c>
      <c r="C41" s="2"/>
      <c r="D41" s="2"/>
      <c r="E41" s="2"/>
      <c r="F41" s="2"/>
      <c r="G41" s="2"/>
      <c r="H41" s="44"/>
      <c r="I41" s="44"/>
      <c r="J41" s="44"/>
      <c r="K41" s="44"/>
      <c r="L41" s="44"/>
      <c r="M41" s="44"/>
      <c r="N41" s="44"/>
      <c r="O41" s="44"/>
      <c r="P41" s="44"/>
      <c r="Q41" s="44"/>
      <c r="R41" s="44"/>
      <c r="S41" s="44"/>
      <c r="T41" s="44"/>
      <c r="U41" s="44"/>
      <c r="V41" s="44"/>
      <c r="W41" s="44"/>
      <c r="X41" s="44"/>
      <c r="Y41" s="44"/>
      <c r="Z41" s="44"/>
    </row>
    <row r="42" ht="15.75" customHeight="1">
      <c r="A42" s="2" t="s">
        <v>117</v>
      </c>
      <c r="B42" s="71">
        <f>SUM(D13:D16)</f>
        <v>179.88</v>
      </c>
      <c r="C42" s="2"/>
      <c r="D42" s="2"/>
      <c r="E42" s="2"/>
      <c r="F42" s="2"/>
      <c r="G42" s="2"/>
      <c r="H42" s="44"/>
      <c r="I42" s="44"/>
      <c r="J42" s="44"/>
      <c r="K42" s="44"/>
      <c r="L42" s="44"/>
      <c r="M42" s="44"/>
      <c r="N42" s="44"/>
      <c r="O42" s="44"/>
      <c r="P42" s="44"/>
      <c r="Q42" s="44"/>
      <c r="R42" s="44"/>
      <c r="S42" s="44"/>
      <c r="T42" s="44"/>
      <c r="U42" s="44"/>
      <c r="V42" s="44"/>
      <c r="W42" s="44"/>
      <c r="X42" s="44"/>
      <c r="Y42" s="44"/>
      <c r="Z42" s="44"/>
    </row>
    <row r="43" ht="15.75" customHeight="1">
      <c r="A43" s="14" t="s">
        <v>118</v>
      </c>
      <c r="B43" s="73">
        <f>B40+(B41*B42)</f>
        <v>959.45</v>
      </c>
      <c r="C43" s="2"/>
      <c r="D43" s="2"/>
      <c r="E43" s="2"/>
      <c r="F43" s="2"/>
      <c r="G43" s="2"/>
      <c r="H43" s="44"/>
      <c r="I43" s="44"/>
      <c r="J43" s="44"/>
      <c r="K43" s="44"/>
      <c r="L43" s="44"/>
      <c r="M43" s="44"/>
      <c r="N43" s="44"/>
      <c r="O43" s="44"/>
      <c r="P43" s="44"/>
      <c r="Q43" s="44"/>
      <c r="R43" s="44"/>
      <c r="S43" s="44"/>
      <c r="T43" s="44"/>
      <c r="U43" s="44"/>
      <c r="V43" s="44"/>
      <c r="W43" s="44"/>
      <c r="X43" s="44"/>
      <c r="Y43" s="44"/>
      <c r="Z43" s="44"/>
    </row>
    <row r="44" ht="15.75" customHeight="1">
      <c r="A44" s="2"/>
      <c r="B44" s="2"/>
      <c r="C44" s="2"/>
      <c r="D44" s="2"/>
      <c r="E44" s="2"/>
      <c r="F44" s="2"/>
      <c r="G44" s="2"/>
      <c r="H44" s="44"/>
      <c r="I44" s="44"/>
      <c r="J44" s="44"/>
      <c r="K44" s="44"/>
      <c r="L44" s="44"/>
      <c r="M44" s="44"/>
      <c r="N44" s="44"/>
      <c r="O44" s="44"/>
      <c r="P44" s="44"/>
      <c r="Q44" s="44"/>
      <c r="R44" s="44"/>
      <c r="S44" s="44"/>
      <c r="T44" s="44"/>
      <c r="U44" s="44"/>
      <c r="V44" s="44"/>
      <c r="W44" s="44"/>
      <c r="X44" s="44"/>
      <c r="Y44" s="44"/>
      <c r="Z44" s="44"/>
    </row>
    <row r="45" ht="15.75" customHeight="1">
      <c r="A45" s="2"/>
      <c r="B45" s="2"/>
      <c r="C45" s="2"/>
      <c r="D45" s="2"/>
      <c r="E45" s="2"/>
      <c r="F45" s="2"/>
      <c r="G45" s="2"/>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6">
    <mergeCell ref="B10:E10"/>
    <mergeCell ref="G10:J10"/>
    <mergeCell ref="B11:C11"/>
    <mergeCell ref="D11:E11"/>
    <mergeCell ref="G11:H11"/>
    <mergeCell ref="I11:J11"/>
  </mergeCells>
  <hyperlinks>
    <hyperlink r:id="rId2" ref="L11"/>
    <hyperlink r:id="rId3" ref="L12"/>
    <hyperlink r:id="rId4" ref="L13"/>
    <hyperlink r:id="rId5" ref="L14"/>
    <hyperlink r:id="rId6" ref="L15"/>
    <hyperlink r:id="rId7" ref="L16"/>
    <hyperlink r:id="rId8" ref="L17"/>
    <hyperlink r:id="rId9" ref="L24"/>
    <hyperlink r:id="rId10" ref="L25"/>
    <hyperlink r:id="rId11" ref="L27"/>
    <hyperlink r:id="rId12" ref="L28"/>
    <hyperlink r:id="rId13" ref="L29"/>
  </hyperlinks>
  <printOptions/>
  <pageMargins bottom="0.75" footer="0.0" header="0.0" left="0.7" right="0.7" top="0.75"/>
  <pageSetup orientation="portrait"/>
  <drawing r:id="rId14"/>
  <legacy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42.14"/>
    <col customWidth="1" min="2" max="7" width="15.71"/>
    <col customWidth="1" min="8" max="26" width="8.57"/>
  </cols>
  <sheetData>
    <row r="1" ht="12.75" customHeight="1">
      <c r="A1" s="43" t="str">
        <f>VentureName</f>
        <v>THIɅK Clear</v>
      </c>
      <c r="B1" s="2"/>
      <c r="C1" s="2"/>
      <c r="D1" s="2"/>
      <c r="E1" s="2"/>
      <c r="F1" s="2"/>
      <c r="G1" s="2"/>
      <c r="H1" s="2"/>
      <c r="I1" s="2"/>
      <c r="J1" s="2"/>
      <c r="K1" s="2"/>
      <c r="L1" s="2"/>
      <c r="M1" s="2"/>
      <c r="N1" s="2"/>
      <c r="O1" s="2"/>
      <c r="P1" s="2"/>
      <c r="Q1" s="2"/>
      <c r="R1" s="2"/>
      <c r="S1" s="2"/>
      <c r="T1" s="2"/>
      <c r="U1" s="2"/>
      <c r="V1" s="2"/>
      <c r="W1" s="2"/>
      <c r="X1" s="2"/>
      <c r="Y1" s="2"/>
      <c r="Z1" s="2"/>
    </row>
    <row r="2" ht="12.75" customHeight="1">
      <c r="A2" s="74" t="s">
        <v>119</v>
      </c>
      <c r="B2" s="2"/>
      <c r="C2" s="2"/>
      <c r="D2" s="2"/>
      <c r="E2" s="2"/>
      <c r="F2" s="2"/>
      <c r="G2" s="2"/>
      <c r="H2" s="2"/>
      <c r="I2" s="2"/>
      <c r="J2" s="2"/>
      <c r="K2" s="2"/>
      <c r="L2" s="2"/>
      <c r="M2" s="2"/>
      <c r="N2" s="2"/>
      <c r="O2" s="2"/>
      <c r="P2" s="2"/>
      <c r="Q2" s="2"/>
      <c r="R2" s="2"/>
      <c r="S2" s="2"/>
      <c r="T2" s="2"/>
      <c r="U2" s="2"/>
      <c r="V2" s="2"/>
      <c r="W2" s="2"/>
      <c r="X2" s="2"/>
      <c r="Y2" s="2"/>
      <c r="Z2" s="2"/>
    </row>
    <row r="3" ht="12.75" customHeight="1">
      <c r="A3" s="31" t="s">
        <v>120</v>
      </c>
      <c r="B3" s="2"/>
      <c r="C3" s="2"/>
      <c r="D3" s="2"/>
      <c r="E3" s="2"/>
      <c r="F3" s="2"/>
      <c r="G3" s="2"/>
      <c r="H3" s="2"/>
      <c r="I3" s="2"/>
      <c r="J3" s="2"/>
      <c r="K3" s="2"/>
      <c r="L3" s="2"/>
      <c r="M3" s="2"/>
      <c r="N3" s="2"/>
      <c r="O3" s="2"/>
      <c r="P3" s="2"/>
      <c r="Q3" s="2"/>
      <c r="R3" s="2"/>
      <c r="S3" s="2"/>
      <c r="T3" s="2"/>
      <c r="U3" s="2"/>
      <c r="V3" s="2"/>
      <c r="W3" s="2"/>
      <c r="X3" s="2"/>
      <c r="Y3" s="2"/>
      <c r="Z3" s="2"/>
    </row>
    <row r="4" ht="12.75" customHeight="1">
      <c r="A4" s="2"/>
      <c r="B4" s="59" t="str">
        <f>'Unit Economics'!B18</f>
        <v>Yr1</v>
      </c>
      <c r="C4" s="59" t="str">
        <f>'Unit Economics'!C18</f>
        <v>Yr2</v>
      </c>
      <c r="D4" s="59" t="str">
        <f>'Unit Economics'!D18</f>
        <v>Yr3</v>
      </c>
      <c r="E4" s="59" t="str">
        <f>'Unit Economics'!E18</f>
        <v>Yr4</v>
      </c>
      <c r="F4" s="59" t="str">
        <f>'Unit Economics'!F18</f>
        <v>Yr5</v>
      </c>
      <c r="G4" s="59" t="str">
        <f>'Unit Economics'!G18</f>
        <v>Yr6</v>
      </c>
      <c r="H4" s="2"/>
      <c r="I4" s="2"/>
      <c r="J4" s="2"/>
      <c r="K4" s="2"/>
      <c r="L4" s="2"/>
      <c r="M4" s="2"/>
      <c r="N4" s="2"/>
      <c r="O4" s="2"/>
      <c r="P4" s="2"/>
      <c r="Q4" s="2"/>
      <c r="R4" s="2"/>
      <c r="S4" s="2"/>
      <c r="T4" s="2"/>
      <c r="U4" s="2"/>
      <c r="V4" s="2"/>
      <c r="W4" s="2"/>
      <c r="X4" s="2"/>
      <c r="Y4" s="2"/>
      <c r="Z4" s="2"/>
    </row>
    <row r="5" ht="12.75" customHeight="1">
      <c r="A5" s="14" t="s">
        <v>121</v>
      </c>
      <c r="B5" s="2"/>
      <c r="C5" s="2"/>
      <c r="D5" s="2"/>
      <c r="E5" s="2"/>
      <c r="F5" s="2"/>
      <c r="G5" s="2"/>
      <c r="H5" s="2"/>
      <c r="I5" s="2"/>
      <c r="J5" s="2"/>
      <c r="K5" s="2"/>
      <c r="L5" s="2"/>
      <c r="M5" s="2"/>
      <c r="N5" s="2"/>
      <c r="O5" s="2"/>
      <c r="P5" s="2"/>
      <c r="Q5" s="2"/>
      <c r="R5" s="2"/>
      <c r="S5" s="2"/>
      <c r="T5" s="2"/>
      <c r="U5" s="2"/>
      <c r="V5" s="2"/>
      <c r="W5" s="2"/>
      <c r="X5" s="2"/>
      <c r="Y5" s="2"/>
      <c r="Z5" s="2"/>
    </row>
    <row r="6" ht="12.75" customHeight="1">
      <c r="A6" s="31" t="s">
        <v>122</v>
      </c>
      <c r="B6" s="75"/>
      <c r="C6" s="75"/>
      <c r="D6" s="75"/>
      <c r="E6" s="75"/>
      <c r="F6" s="75"/>
      <c r="G6" s="75"/>
      <c r="H6" s="2"/>
      <c r="I6" s="2"/>
      <c r="J6" s="2"/>
      <c r="K6" s="2"/>
      <c r="L6" s="2"/>
      <c r="M6" s="2"/>
      <c r="N6" s="2"/>
      <c r="O6" s="2"/>
      <c r="P6" s="2"/>
      <c r="Q6" s="2"/>
      <c r="R6" s="2"/>
      <c r="S6" s="2"/>
      <c r="T6" s="2"/>
      <c r="U6" s="2"/>
      <c r="V6" s="2"/>
      <c r="W6" s="2"/>
      <c r="X6" s="2"/>
      <c r="Y6" s="2"/>
      <c r="Z6" s="2"/>
    </row>
    <row r="7" ht="12.75" customHeight="1">
      <c r="A7" s="2" t="s">
        <v>123</v>
      </c>
      <c r="B7" s="76"/>
      <c r="C7" s="75"/>
      <c r="D7" s="75"/>
      <c r="E7" s="75"/>
      <c r="F7" s="75"/>
      <c r="G7" s="76">
        <v>1.0</v>
      </c>
      <c r="H7" s="2"/>
      <c r="I7" s="2"/>
      <c r="J7" s="2"/>
      <c r="K7" s="2"/>
      <c r="L7" s="2"/>
      <c r="M7" s="2"/>
      <c r="N7" s="2"/>
      <c r="O7" s="2"/>
      <c r="P7" s="2"/>
      <c r="Q7" s="2"/>
      <c r="R7" s="2"/>
      <c r="S7" s="2"/>
      <c r="T7" s="2"/>
      <c r="U7" s="2"/>
      <c r="V7" s="2"/>
      <c r="W7" s="2"/>
      <c r="X7" s="2"/>
      <c r="Y7" s="2"/>
      <c r="Z7" s="2"/>
    </row>
    <row r="8" ht="12.75" customHeight="1">
      <c r="A8" s="2" t="s">
        <v>124</v>
      </c>
      <c r="B8" s="75"/>
      <c r="C8" s="75"/>
      <c r="D8" s="75"/>
      <c r="E8" s="75"/>
      <c r="F8" s="75"/>
      <c r="G8" s="75"/>
      <c r="H8" s="2"/>
      <c r="I8" s="2"/>
      <c r="J8" s="2"/>
      <c r="K8" s="2"/>
      <c r="L8" s="2"/>
      <c r="M8" s="2"/>
      <c r="N8" s="2"/>
      <c r="O8" s="2"/>
      <c r="P8" s="2"/>
      <c r="Q8" s="2"/>
      <c r="R8" s="2"/>
      <c r="S8" s="2"/>
      <c r="T8" s="2"/>
      <c r="U8" s="2"/>
      <c r="V8" s="2"/>
      <c r="W8" s="2"/>
      <c r="X8" s="2"/>
      <c r="Y8" s="2"/>
      <c r="Z8" s="2"/>
    </row>
    <row r="9" ht="12.75" customHeight="1">
      <c r="A9" s="2" t="s">
        <v>125</v>
      </c>
      <c r="B9" s="75"/>
      <c r="C9" s="75"/>
      <c r="D9" s="75"/>
      <c r="E9" s="76"/>
      <c r="F9" s="76"/>
      <c r="G9" s="76"/>
      <c r="H9" s="2"/>
      <c r="I9" s="2"/>
      <c r="J9" s="2"/>
      <c r="K9" s="2"/>
      <c r="L9" s="2"/>
      <c r="M9" s="2"/>
      <c r="N9" s="2"/>
      <c r="O9" s="2"/>
      <c r="P9" s="2"/>
      <c r="Q9" s="2"/>
      <c r="R9" s="2"/>
      <c r="S9" s="2"/>
      <c r="T9" s="2"/>
      <c r="U9" s="2"/>
      <c r="V9" s="2"/>
      <c r="W9" s="2"/>
      <c r="X9" s="2"/>
      <c r="Y9" s="2"/>
      <c r="Z9" s="2"/>
    </row>
    <row r="10" ht="12.75" customHeight="1">
      <c r="A10" s="31" t="s">
        <v>126</v>
      </c>
      <c r="B10" s="75"/>
      <c r="C10" s="75"/>
      <c r="D10" s="76">
        <v>1.0</v>
      </c>
      <c r="E10" s="76">
        <v>1.0</v>
      </c>
      <c r="F10" s="76">
        <v>1.0</v>
      </c>
      <c r="G10" s="76">
        <v>1.0</v>
      </c>
      <c r="H10" s="2"/>
      <c r="I10" s="77"/>
      <c r="J10" s="2"/>
      <c r="K10" s="2"/>
      <c r="L10" s="2"/>
      <c r="M10" s="2"/>
      <c r="N10" s="2"/>
      <c r="O10" s="2"/>
      <c r="P10" s="2"/>
      <c r="Q10" s="2"/>
      <c r="R10" s="2"/>
      <c r="S10" s="2"/>
      <c r="T10" s="2"/>
      <c r="U10" s="2"/>
      <c r="V10" s="2"/>
      <c r="W10" s="2"/>
      <c r="X10" s="2"/>
      <c r="Y10" s="2"/>
      <c r="Z10" s="2"/>
    </row>
    <row r="11" ht="12.75" customHeight="1">
      <c r="A11" s="2" t="s">
        <v>127</v>
      </c>
      <c r="B11" s="75"/>
      <c r="C11" s="75"/>
      <c r="D11" s="75"/>
      <c r="E11" s="75"/>
      <c r="F11" s="75"/>
      <c r="G11" s="75"/>
      <c r="H11" s="2"/>
      <c r="I11" s="2"/>
      <c r="J11" s="2"/>
      <c r="K11" s="2"/>
      <c r="L11" s="2"/>
      <c r="M11" s="2"/>
      <c r="N11" s="2"/>
      <c r="O11" s="2"/>
      <c r="P11" s="2"/>
      <c r="Q11" s="2"/>
      <c r="R11" s="2"/>
      <c r="S11" s="2"/>
      <c r="T11" s="2"/>
      <c r="U11" s="2"/>
      <c r="V11" s="2"/>
      <c r="W11" s="2"/>
      <c r="X11" s="2"/>
      <c r="Y11" s="2"/>
      <c r="Z11" s="2"/>
    </row>
    <row r="12" ht="12.75" customHeight="1">
      <c r="A12" s="2" t="s">
        <v>128</v>
      </c>
      <c r="B12" s="78"/>
      <c r="C12" s="78"/>
      <c r="D12" s="78"/>
      <c r="E12" s="78"/>
      <c r="F12" s="78"/>
      <c r="G12" s="78"/>
      <c r="H12" s="2"/>
      <c r="I12" s="2"/>
      <c r="J12" s="2"/>
      <c r="K12" s="2"/>
      <c r="L12" s="2"/>
      <c r="M12" s="2"/>
      <c r="N12" s="2"/>
      <c r="O12" s="2"/>
      <c r="P12" s="2"/>
      <c r="Q12" s="2"/>
      <c r="R12" s="2"/>
      <c r="S12" s="2"/>
      <c r="T12" s="2"/>
      <c r="U12" s="2"/>
      <c r="V12" s="2"/>
      <c r="W12" s="2"/>
      <c r="X12" s="2"/>
      <c r="Y12" s="2"/>
      <c r="Z12" s="2"/>
    </row>
    <row r="13" ht="12.75" customHeight="1">
      <c r="A13" s="79" t="s">
        <v>129</v>
      </c>
      <c r="B13" s="40">
        <f t="shared" ref="B13:G13" si="1">SUM(B6:B12)</f>
        <v>0</v>
      </c>
      <c r="C13" s="40">
        <f t="shared" si="1"/>
        <v>0</v>
      </c>
      <c r="D13" s="40">
        <f t="shared" si="1"/>
        <v>1</v>
      </c>
      <c r="E13" s="40">
        <f t="shared" si="1"/>
        <v>1</v>
      </c>
      <c r="F13" s="40">
        <f t="shared" si="1"/>
        <v>1</v>
      </c>
      <c r="G13" s="40">
        <f t="shared" si="1"/>
        <v>2</v>
      </c>
      <c r="H13" s="2"/>
      <c r="I13" s="2"/>
      <c r="J13" s="2"/>
      <c r="K13" s="2"/>
      <c r="L13" s="2"/>
      <c r="M13" s="2"/>
      <c r="N13" s="2"/>
      <c r="O13" s="2"/>
      <c r="P13" s="2"/>
      <c r="Q13" s="2"/>
      <c r="R13" s="2"/>
      <c r="S13" s="2"/>
      <c r="T13" s="2"/>
      <c r="U13" s="2"/>
      <c r="V13" s="2"/>
      <c r="W13" s="2"/>
      <c r="X13" s="2"/>
      <c r="Y13" s="2"/>
      <c r="Z13" s="2"/>
    </row>
    <row r="14" ht="12.75" customHeight="1">
      <c r="A14" s="80"/>
      <c r="B14" s="81"/>
      <c r="C14" s="81"/>
      <c r="D14" s="81"/>
      <c r="F14" s="81"/>
      <c r="G14" s="81"/>
      <c r="H14" s="2"/>
      <c r="I14" s="2"/>
      <c r="J14" s="2"/>
      <c r="K14" s="2"/>
      <c r="L14" s="2"/>
      <c r="M14" s="2"/>
      <c r="N14" s="2"/>
      <c r="O14" s="2"/>
      <c r="P14" s="2"/>
      <c r="Q14" s="2"/>
      <c r="R14" s="2"/>
      <c r="S14" s="2"/>
      <c r="T14" s="2"/>
      <c r="U14" s="2"/>
      <c r="V14" s="2"/>
      <c r="W14" s="2"/>
      <c r="X14" s="2"/>
      <c r="Y14" s="2"/>
      <c r="Z14" s="2"/>
    </row>
    <row r="15" ht="12.75" customHeight="1">
      <c r="A15" s="2"/>
      <c r="B15" s="81"/>
      <c r="C15" s="81"/>
      <c r="D15" s="81"/>
      <c r="E15" s="81"/>
      <c r="F15" s="81"/>
      <c r="G15" s="81"/>
      <c r="H15" s="2"/>
      <c r="I15" s="2"/>
      <c r="J15" s="2"/>
      <c r="K15" s="2"/>
      <c r="L15" s="2"/>
      <c r="M15" s="2"/>
      <c r="N15" s="2"/>
      <c r="O15" s="2"/>
      <c r="P15" s="2"/>
      <c r="Q15" s="2"/>
      <c r="R15" s="2"/>
      <c r="S15" s="2"/>
      <c r="T15" s="2"/>
      <c r="U15" s="2"/>
      <c r="V15" s="2"/>
      <c r="W15" s="2"/>
      <c r="X15" s="2"/>
      <c r="Y15" s="2"/>
      <c r="Z15" s="2"/>
    </row>
    <row r="16" ht="12.75" customHeight="1">
      <c r="A16" s="14" t="s">
        <v>130</v>
      </c>
      <c r="B16" s="81"/>
      <c r="C16" s="81"/>
      <c r="D16" s="81"/>
      <c r="E16" s="81"/>
      <c r="F16" s="81"/>
      <c r="G16" s="81"/>
      <c r="H16" s="2"/>
      <c r="I16" s="2"/>
      <c r="J16" s="2"/>
      <c r="K16" s="2"/>
      <c r="L16" s="2"/>
      <c r="M16" s="2"/>
      <c r="N16" s="2"/>
      <c r="O16" s="2"/>
      <c r="P16" s="2"/>
      <c r="Q16" s="2"/>
      <c r="R16" s="2"/>
      <c r="S16" s="2"/>
      <c r="T16" s="2"/>
      <c r="U16" s="2"/>
      <c r="V16" s="2"/>
      <c r="W16" s="2"/>
      <c r="X16" s="2"/>
      <c r="Y16" s="2"/>
      <c r="Z16" s="2"/>
    </row>
    <row r="17" ht="12.75" customHeight="1">
      <c r="A17" s="2" t="s">
        <v>131</v>
      </c>
      <c r="B17" s="76">
        <v>1.0</v>
      </c>
      <c r="C17" s="76">
        <v>1.0</v>
      </c>
      <c r="D17" s="76">
        <v>1.0</v>
      </c>
      <c r="E17" s="76">
        <v>1.0</v>
      </c>
      <c r="F17" s="76">
        <v>1.0</v>
      </c>
      <c r="G17" s="76">
        <v>1.0</v>
      </c>
      <c r="H17" s="2"/>
      <c r="I17" s="2"/>
      <c r="J17" s="2"/>
      <c r="K17" s="2"/>
      <c r="L17" s="2"/>
      <c r="M17" s="2"/>
      <c r="N17" s="2"/>
      <c r="O17" s="2"/>
      <c r="P17" s="2"/>
      <c r="Q17" s="2"/>
      <c r="R17" s="2"/>
      <c r="S17" s="2"/>
      <c r="T17" s="2"/>
      <c r="U17" s="2"/>
      <c r="V17" s="2"/>
      <c r="W17" s="2"/>
      <c r="X17" s="2"/>
      <c r="Y17" s="2"/>
      <c r="Z17" s="2"/>
    </row>
    <row r="18" ht="12.75" customHeight="1">
      <c r="A18" s="2" t="s">
        <v>132</v>
      </c>
      <c r="B18" s="76"/>
      <c r="C18" s="76">
        <v>1.0</v>
      </c>
      <c r="D18" s="76">
        <v>1.0</v>
      </c>
      <c r="E18" s="76">
        <v>1.0</v>
      </c>
      <c r="F18" s="76">
        <v>1.0</v>
      </c>
      <c r="G18" s="76">
        <v>1.0</v>
      </c>
      <c r="H18" s="2"/>
      <c r="I18" s="2"/>
      <c r="J18" s="2"/>
      <c r="K18" s="2"/>
      <c r="L18" s="2"/>
      <c r="M18" s="2"/>
      <c r="N18" s="2"/>
      <c r="O18" s="2"/>
      <c r="P18" s="2"/>
      <c r="Q18" s="2"/>
      <c r="R18" s="2"/>
      <c r="S18" s="2"/>
      <c r="T18" s="2"/>
      <c r="U18" s="2"/>
      <c r="V18" s="2"/>
      <c r="W18" s="2"/>
      <c r="X18" s="2"/>
      <c r="Y18" s="2"/>
      <c r="Z18" s="2"/>
    </row>
    <row r="19" ht="12.75" customHeight="1">
      <c r="A19" s="2" t="s">
        <v>133</v>
      </c>
      <c r="B19" s="75"/>
      <c r="C19" s="75"/>
      <c r="D19" s="75"/>
      <c r="E19" s="75"/>
      <c r="F19" s="75"/>
      <c r="G19" s="75"/>
      <c r="H19" s="2"/>
      <c r="I19" s="2"/>
      <c r="J19" s="2"/>
      <c r="K19" s="2"/>
      <c r="L19" s="2"/>
      <c r="M19" s="2"/>
      <c r="N19" s="2"/>
      <c r="O19" s="2"/>
      <c r="P19" s="2"/>
      <c r="Q19" s="2"/>
      <c r="R19" s="2"/>
      <c r="S19" s="2"/>
      <c r="T19" s="2"/>
      <c r="U19" s="2"/>
      <c r="V19" s="2"/>
      <c r="W19" s="2"/>
      <c r="X19" s="2"/>
      <c r="Y19" s="2"/>
      <c r="Z19" s="2"/>
    </row>
    <row r="20" ht="12.75" customHeight="1">
      <c r="A20" s="80" t="s">
        <v>134</v>
      </c>
      <c r="B20" s="40">
        <f t="shared" ref="B20:G20" si="2">SUM(B17:B19)</f>
        <v>1</v>
      </c>
      <c r="C20" s="40">
        <f t="shared" si="2"/>
        <v>2</v>
      </c>
      <c r="D20" s="40">
        <f t="shared" si="2"/>
        <v>2</v>
      </c>
      <c r="E20" s="40">
        <f t="shared" si="2"/>
        <v>2</v>
      </c>
      <c r="F20" s="40">
        <f t="shared" si="2"/>
        <v>2</v>
      </c>
      <c r="G20" s="40">
        <f t="shared" si="2"/>
        <v>2</v>
      </c>
      <c r="H20" s="2"/>
      <c r="I20" s="2"/>
      <c r="J20" s="2"/>
      <c r="K20" s="2"/>
      <c r="L20" s="2"/>
      <c r="M20" s="2"/>
      <c r="N20" s="2"/>
      <c r="O20" s="2"/>
      <c r="P20" s="2"/>
      <c r="Q20" s="2"/>
      <c r="R20" s="2"/>
      <c r="S20" s="2"/>
      <c r="T20" s="2"/>
      <c r="U20" s="2"/>
      <c r="V20" s="2"/>
      <c r="W20" s="2"/>
      <c r="X20" s="2"/>
      <c r="Y20" s="2"/>
      <c r="Z20" s="2"/>
    </row>
    <row r="21" ht="12.75" customHeight="1">
      <c r="A21" s="2"/>
      <c r="B21" s="81"/>
      <c r="C21" s="81"/>
      <c r="D21" s="81"/>
      <c r="E21" s="81"/>
      <c r="F21" s="81"/>
      <c r="G21" s="81"/>
      <c r="H21" s="2"/>
      <c r="I21" s="2"/>
      <c r="J21" s="2"/>
      <c r="K21" s="2"/>
      <c r="L21" s="2"/>
      <c r="M21" s="2"/>
      <c r="N21" s="2"/>
      <c r="O21" s="2"/>
      <c r="P21" s="2"/>
      <c r="Q21" s="2"/>
      <c r="R21" s="2"/>
      <c r="S21" s="2"/>
      <c r="T21" s="2"/>
      <c r="U21" s="2"/>
      <c r="V21" s="2"/>
      <c r="W21" s="2"/>
      <c r="X21" s="2"/>
      <c r="Y21" s="2"/>
      <c r="Z21" s="2"/>
    </row>
    <row r="22" ht="12.75" customHeight="1">
      <c r="A22" s="2"/>
      <c r="B22" s="81"/>
      <c r="C22" s="81"/>
      <c r="D22" s="81"/>
      <c r="E22" s="81"/>
      <c r="F22" s="81"/>
      <c r="G22" s="81"/>
      <c r="H22" s="2"/>
      <c r="I22" s="2"/>
      <c r="J22" s="2"/>
      <c r="K22" s="2"/>
      <c r="L22" s="2"/>
      <c r="M22" s="2"/>
      <c r="N22" s="2"/>
      <c r="O22" s="2"/>
      <c r="P22" s="2"/>
      <c r="Q22" s="2"/>
      <c r="R22" s="2"/>
      <c r="S22" s="2"/>
      <c r="T22" s="2"/>
      <c r="U22" s="2"/>
      <c r="V22" s="2"/>
      <c r="W22" s="2"/>
      <c r="X22" s="2"/>
      <c r="Y22" s="2"/>
      <c r="Z22" s="2"/>
    </row>
    <row r="23" ht="12.75" customHeight="1">
      <c r="A23" s="14" t="s">
        <v>135</v>
      </c>
      <c r="B23" s="81"/>
      <c r="C23" s="81"/>
      <c r="D23" s="81"/>
      <c r="E23" s="81"/>
      <c r="F23" s="81"/>
      <c r="G23" s="81"/>
      <c r="H23" s="2"/>
      <c r="I23" s="2"/>
      <c r="J23" s="2"/>
      <c r="K23" s="2"/>
      <c r="L23" s="2"/>
      <c r="M23" s="2"/>
      <c r="N23" s="2"/>
      <c r="O23" s="2"/>
      <c r="P23" s="2"/>
      <c r="Q23" s="2"/>
      <c r="R23" s="2"/>
      <c r="S23" s="2"/>
      <c r="T23" s="2"/>
      <c r="U23" s="2"/>
      <c r="V23" s="2"/>
      <c r="W23" s="2"/>
      <c r="X23" s="2"/>
      <c r="Y23" s="2"/>
      <c r="Z23" s="2"/>
    </row>
    <row r="24" ht="12.75" customHeight="1">
      <c r="A24" s="31" t="s">
        <v>136</v>
      </c>
      <c r="B24" s="76">
        <v>1.0</v>
      </c>
      <c r="C24" s="76">
        <v>1.0</v>
      </c>
      <c r="D24" s="76">
        <v>1.0</v>
      </c>
      <c r="E24" s="76">
        <v>1.0</v>
      </c>
      <c r="F24" s="76">
        <v>1.0</v>
      </c>
      <c r="G24" s="76">
        <v>1.0</v>
      </c>
      <c r="H24" s="2"/>
      <c r="I24" s="2"/>
      <c r="J24" s="2"/>
      <c r="K24" s="2"/>
      <c r="L24" s="2"/>
      <c r="M24" s="2"/>
      <c r="N24" s="2"/>
      <c r="O24" s="2"/>
      <c r="P24" s="2"/>
      <c r="Q24" s="2"/>
      <c r="R24" s="2"/>
      <c r="S24" s="2"/>
      <c r="T24" s="2"/>
      <c r="U24" s="2"/>
      <c r="V24" s="2"/>
      <c r="W24" s="2"/>
      <c r="X24" s="2"/>
      <c r="Y24" s="2"/>
      <c r="Z24" s="2"/>
    </row>
    <row r="25" ht="12.75" customHeight="1">
      <c r="A25" s="31" t="s">
        <v>137</v>
      </c>
      <c r="B25" s="75"/>
      <c r="C25" s="75"/>
      <c r="D25" s="75"/>
      <c r="E25" s="75"/>
      <c r="F25" s="75"/>
      <c r="G25" s="76"/>
      <c r="H25" s="2"/>
      <c r="I25" s="2"/>
      <c r="J25" s="2"/>
      <c r="K25" s="2"/>
      <c r="L25" s="2"/>
      <c r="M25" s="2"/>
      <c r="N25" s="2"/>
      <c r="O25" s="2"/>
      <c r="P25" s="2"/>
      <c r="Q25" s="2"/>
      <c r="R25" s="2"/>
      <c r="S25" s="2"/>
      <c r="T25" s="2"/>
      <c r="U25" s="2"/>
      <c r="V25" s="2"/>
      <c r="W25" s="2"/>
      <c r="X25" s="2"/>
      <c r="Y25" s="2"/>
      <c r="Z25" s="2"/>
    </row>
    <row r="26" ht="12.75" customHeight="1">
      <c r="A26" s="2" t="s">
        <v>138</v>
      </c>
      <c r="B26" s="75"/>
      <c r="C26" s="75"/>
      <c r="D26" s="75"/>
      <c r="E26" s="75"/>
      <c r="F26" s="75"/>
      <c r="G26" s="75"/>
      <c r="H26" s="2"/>
      <c r="I26" s="2"/>
      <c r="J26" s="2"/>
      <c r="K26" s="2"/>
      <c r="L26" s="2"/>
      <c r="M26" s="2"/>
      <c r="N26" s="2"/>
      <c r="O26" s="2"/>
      <c r="P26" s="2"/>
      <c r="Q26" s="2"/>
      <c r="R26" s="2"/>
      <c r="S26" s="2"/>
      <c r="T26" s="2"/>
      <c r="U26" s="2"/>
      <c r="V26" s="2"/>
      <c r="W26" s="2"/>
      <c r="X26" s="2"/>
      <c r="Y26" s="2"/>
      <c r="Z26" s="2"/>
    </row>
    <row r="27" ht="12.75" customHeight="1">
      <c r="A27" s="2" t="s">
        <v>139</v>
      </c>
      <c r="B27" s="75"/>
      <c r="C27" s="76">
        <v>1.0</v>
      </c>
      <c r="D27" s="76">
        <v>1.0</v>
      </c>
      <c r="E27" s="76">
        <v>1.0</v>
      </c>
      <c r="F27" s="76">
        <v>1.0</v>
      </c>
      <c r="G27" s="76">
        <v>1.0</v>
      </c>
      <c r="H27" s="2"/>
      <c r="I27" s="2"/>
      <c r="J27" s="2"/>
      <c r="K27" s="2"/>
      <c r="L27" s="2"/>
      <c r="M27" s="2"/>
      <c r="N27" s="2"/>
      <c r="O27" s="2"/>
      <c r="P27" s="2"/>
      <c r="Q27" s="2"/>
      <c r="R27" s="2"/>
      <c r="S27" s="2"/>
      <c r="T27" s="2"/>
      <c r="U27" s="2"/>
      <c r="V27" s="2"/>
      <c r="W27" s="2"/>
      <c r="X27" s="2"/>
      <c r="Y27" s="2"/>
      <c r="Z27" s="2"/>
    </row>
    <row r="28" ht="12.75" customHeight="1">
      <c r="A28" s="2" t="s">
        <v>140</v>
      </c>
      <c r="B28" s="75"/>
      <c r="C28" s="75"/>
      <c r="D28" s="75"/>
      <c r="E28" s="75"/>
      <c r="F28" s="75"/>
      <c r="G28" s="75"/>
      <c r="H28" s="2"/>
      <c r="I28" s="2"/>
      <c r="J28" s="2"/>
      <c r="K28" s="2"/>
      <c r="L28" s="2"/>
      <c r="M28" s="2"/>
      <c r="N28" s="2"/>
      <c r="O28" s="2"/>
      <c r="P28" s="2"/>
      <c r="Q28" s="2"/>
      <c r="R28" s="2"/>
      <c r="S28" s="2"/>
      <c r="T28" s="2"/>
      <c r="U28" s="2"/>
      <c r="V28" s="2"/>
      <c r="W28" s="2"/>
      <c r="X28" s="2"/>
      <c r="Y28" s="2"/>
      <c r="Z28" s="2"/>
    </row>
    <row r="29" ht="12.75" customHeight="1">
      <c r="A29" s="2" t="s">
        <v>141</v>
      </c>
      <c r="B29" s="75"/>
      <c r="C29" s="75"/>
      <c r="D29" s="76"/>
      <c r="E29" s="76"/>
      <c r="F29" s="76"/>
      <c r="G29" s="76"/>
      <c r="H29" s="2"/>
      <c r="I29" s="2"/>
      <c r="J29" s="2"/>
      <c r="K29" s="2"/>
      <c r="L29" s="2"/>
      <c r="M29" s="2"/>
      <c r="N29" s="2"/>
      <c r="O29" s="2"/>
      <c r="P29" s="2"/>
      <c r="Q29" s="2"/>
      <c r="R29" s="2"/>
      <c r="S29" s="2"/>
      <c r="T29" s="2"/>
      <c r="U29" s="2"/>
      <c r="V29" s="2"/>
      <c r="W29" s="2"/>
      <c r="X29" s="2"/>
      <c r="Y29" s="2"/>
      <c r="Z29" s="2"/>
    </row>
    <row r="30" ht="12.75" customHeight="1">
      <c r="A30" s="2" t="s">
        <v>142</v>
      </c>
      <c r="B30" s="75"/>
      <c r="C30" s="75"/>
      <c r="D30" s="75"/>
      <c r="E30" s="75"/>
      <c r="F30" s="75"/>
      <c r="G30" s="75"/>
      <c r="H30" s="2"/>
      <c r="I30" s="2"/>
      <c r="J30" s="2"/>
      <c r="K30" s="2"/>
      <c r="L30" s="2"/>
      <c r="M30" s="2"/>
      <c r="N30" s="2"/>
      <c r="O30" s="2"/>
      <c r="P30" s="2"/>
      <c r="Q30" s="2"/>
      <c r="R30" s="2"/>
      <c r="S30" s="2"/>
      <c r="T30" s="2"/>
      <c r="U30" s="2"/>
      <c r="V30" s="2"/>
      <c r="W30" s="2"/>
      <c r="X30" s="2"/>
      <c r="Y30" s="2"/>
      <c r="Z30" s="2"/>
    </row>
    <row r="31" ht="12.75" customHeight="1">
      <c r="A31" s="2" t="s">
        <v>143</v>
      </c>
      <c r="B31" s="78"/>
      <c r="C31" s="78"/>
      <c r="D31" s="78"/>
      <c r="E31" s="78"/>
      <c r="F31" s="78"/>
      <c r="G31" s="78"/>
      <c r="H31" s="2"/>
      <c r="I31" s="2"/>
      <c r="J31" s="2"/>
      <c r="K31" s="2"/>
      <c r="L31" s="2"/>
      <c r="M31" s="2"/>
      <c r="N31" s="2"/>
      <c r="O31" s="2"/>
      <c r="P31" s="2"/>
      <c r="Q31" s="2"/>
      <c r="R31" s="2"/>
      <c r="S31" s="2"/>
      <c r="T31" s="2"/>
      <c r="U31" s="2"/>
      <c r="V31" s="2"/>
      <c r="W31" s="2"/>
      <c r="X31" s="2"/>
      <c r="Y31" s="2"/>
      <c r="Z31" s="2"/>
    </row>
    <row r="32" ht="12.75" customHeight="1">
      <c r="A32" s="80" t="s">
        <v>144</v>
      </c>
      <c r="B32" s="40">
        <f t="shared" ref="B32:G32" si="3">SUM(B24:B31)</f>
        <v>1</v>
      </c>
      <c r="C32" s="40">
        <f t="shared" si="3"/>
        <v>2</v>
      </c>
      <c r="D32" s="40">
        <f t="shared" si="3"/>
        <v>2</v>
      </c>
      <c r="E32" s="40">
        <f t="shared" si="3"/>
        <v>2</v>
      </c>
      <c r="F32" s="40">
        <f t="shared" si="3"/>
        <v>2</v>
      </c>
      <c r="G32" s="40">
        <f t="shared" si="3"/>
        <v>2</v>
      </c>
      <c r="H32" s="2"/>
      <c r="I32" s="2"/>
      <c r="J32" s="2"/>
      <c r="K32" s="2"/>
      <c r="L32" s="2"/>
      <c r="M32" s="2"/>
      <c r="N32" s="2"/>
      <c r="O32" s="2"/>
      <c r="P32" s="2"/>
      <c r="Q32" s="2"/>
      <c r="R32" s="2"/>
      <c r="S32" s="2"/>
      <c r="T32" s="2"/>
      <c r="U32" s="2"/>
      <c r="V32" s="2"/>
      <c r="W32" s="2"/>
      <c r="X32" s="2"/>
      <c r="Y32" s="2"/>
      <c r="Z32" s="2"/>
    </row>
    <row r="33" ht="12.75" customHeight="1">
      <c r="A33" s="80"/>
      <c r="B33" s="81"/>
      <c r="C33" s="81"/>
      <c r="D33" s="81"/>
      <c r="E33" s="81"/>
      <c r="F33" s="81"/>
      <c r="G33" s="81"/>
      <c r="H33" s="2"/>
      <c r="I33" s="2"/>
      <c r="J33" s="2"/>
      <c r="K33" s="2"/>
      <c r="L33" s="2"/>
      <c r="M33" s="2"/>
      <c r="N33" s="2"/>
      <c r="O33" s="2"/>
      <c r="P33" s="2"/>
      <c r="Q33" s="2"/>
      <c r="R33" s="2"/>
      <c r="S33" s="2"/>
      <c r="T33" s="2"/>
      <c r="U33" s="2"/>
      <c r="V33" s="2"/>
      <c r="W33" s="2"/>
      <c r="X33" s="2"/>
      <c r="Y33" s="2"/>
      <c r="Z33" s="2"/>
    </row>
    <row r="34" ht="12.75" customHeight="1">
      <c r="A34" s="2"/>
      <c r="B34" s="82"/>
      <c r="C34" s="82"/>
      <c r="D34" s="82"/>
      <c r="E34" s="82"/>
      <c r="F34" s="82"/>
      <c r="G34" s="82"/>
      <c r="H34" s="2"/>
      <c r="I34" s="2"/>
      <c r="J34" s="2"/>
      <c r="K34" s="2"/>
      <c r="L34" s="2"/>
      <c r="M34" s="2"/>
      <c r="N34" s="2"/>
      <c r="O34" s="2"/>
      <c r="P34" s="2"/>
      <c r="Q34" s="2"/>
      <c r="R34" s="2"/>
      <c r="S34" s="2"/>
      <c r="T34" s="2"/>
      <c r="U34" s="2"/>
      <c r="V34" s="2"/>
      <c r="W34" s="2"/>
      <c r="X34" s="2"/>
      <c r="Y34" s="2"/>
      <c r="Z34" s="2"/>
    </row>
    <row r="35" ht="12.75" customHeight="1">
      <c r="A35" s="14" t="s">
        <v>145</v>
      </c>
      <c r="B35" s="82"/>
      <c r="C35" s="82"/>
      <c r="D35" s="82"/>
      <c r="E35" s="82"/>
      <c r="F35" s="82"/>
      <c r="G35" s="82"/>
      <c r="H35" s="2"/>
      <c r="I35" s="2"/>
      <c r="J35" s="2"/>
      <c r="K35" s="2"/>
      <c r="L35" s="2"/>
      <c r="M35" s="2"/>
      <c r="N35" s="2"/>
      <c r="O35" s="2"/>
      <c r="P35" s="2"/>
      <c r="Q35" s="2"/>
      <c r="R35" s="2"/>
      <c r="S35" s="2"/>
      <c r="T35" s="2"/>
      <c r="U35" s="2"/>
      <c r="V35" s="2"/>
      <c r="W35" s="2"/>
      <c r="X35" s="2"/>
      <c r="Y35" s="2"/>
      <c r="Z35" s="2"/>
    </row>
    <row r="36" ht="12.75" customHeight="1">
      <c r="A36" s="31" t="s">
        <v>146</v>
      </c>
      <c r="B36" s="75"/>
      <c r="C36" s="75"/>
      <c r="D36" s="75"/>
      <c r="E36" s="75"/>
      <c r="F36" s="75"/>
      <c r="G36" s="76">
        <v>1.0</v>
      </c>
      <c r="H36" s="2"/>
      <c r="I36" s="2"/>
      <c r="J36" s="2"/>
      <c r="K36" s="2"/>
      <c r="L36" s="2"/>
      <c r="M36" s="2"/>
      <c r="N36" s="2"/>
      <c r="O36" s="2"/>
      <c r="P36" s="2"/>
      <c r="Q36" s="2"/>
      <c r="R36" s="2"/>
      <c r="S36" s="2"/>
      <c r="T36" s="2"/>
      <c r="U36" s="2"/>
      <c r="V36" s="2"/>
      <c r="W36" s="2"/>
      <c r="X36" s="2"/>
      <c r="Y36" s="2"/>
      <c r="Z36" s="2"/>
    </row>
    <row r="37" ht="12.75" customHeight="1">
      <c r="A37" s="31" t="s">
        <v>147</v>
      </c>
      <c r="B37" s="75"/>
      <c r="C37" s="75"/>
      <c r="D37" s="75"/>
      <c r="E37" s="75"/>
      <c r="F37" s="75"/>
      <c r="G37" s="75"/>
      <c r="H37" s="2"/>
      <c r="I37" s="2"/>
      <c r="J37" s="2"/>
      <c r="K37" s="2"/>
      <c r="L37" s="2"/>
      <c r="M37" s="2"/>
      <c r="N37" s="2"/>
      <c r="O37" s="2"/>
      <c r="P37" s="2"/>
      <c r="Q37" s="2"/>
      <c r="R37" s="2"/>
      <c r="S37" s="2"/>
      <c r="T37" s="2"/>
      <c r="U37" s="2"/>
      <c r="V37" s="2"/>
      <c r="W37" s="2"/>
      <c r="X37" s="2"/>
      <c r="Y37" s="2"/>
      <c r="Z37" s="2"/>
    </row>
    <row r="38" ht="12.75" customHeight="1">
      <c r="A38" s="2" t="s">
        <v>148</v>
      </c>
      <c r="B38" s="76"/>
      <c r="C38" s="76"/>
      <c r="D38" s="76"/>
      <c r="E38" s="76"/>
      <c r="F38" s="76"/>
      <c r="G38" s="76"/>
      <c r="H38" s="2"/>
      <c r="I38" s="2"/>
      <c r="J38" s="2"/>
      <c r="K38" s="2"/>
      <c r="L38" s="2"/>
      <c r="M38" s="2"/>
      <c r="N38" s="2"/>
      <c r="O38" s="2"/>
      <c r="P38" s="2"/>
      <c r="Q38" s="2"/>
      <c r="R38" s="2"/>
      <c r="S38" s="2"/>
      <c r="T38" s="2"/>
      <c r="U38" s="2"/>
      <c r="V38" s="2"/>
      <c r="W38" s="2"/>
      <c r="X38" s="2"/>
      <c r="Y38" s="2"/>
      <c r="Z38" s="2"/>
    </row>
    <row r="39" ht="12.75" customHeight="1">
      <c r="A39" s="2" t="s">
        <v>149</v>
      </c>
      <c r="B39" s="75"/>
      <c r="C39" s="75"/>
      <c r="D39" s="75"/>
      <c r="E39" s="75"/>
      <c r="F39" s="75"/>
      <c r="G39" s="75"/>
      <c r="H39" s="2"/>
      <c r="I39" s="2"/>
      <c r="J39" s="2"/>
      <c r="K39" s="2"/>
      <c r="L39" s="2"/>
      <c r="M39" s="2"/>
      <c r="N39" s="2"/>
      <c r="O39" s="2"/>
      <c r="P39" s="2"/>
      <c r="Q39" s="2"/>
      <c r="R39" s="2"/>
      <c r="S39" s="2"/>
      <c r="T39" s="2"/>
      <c r="U39" s="2"/>
      <c r="V39" s="2"/>
      <c r="W39" s="2"/>
      <c r="X39" s="2"/>
      <c r="Y39" s="2"/>
      <c r="Z39" s="2"/>
    </row>
    <row r="40" ht="12.75" customHeight="1">
      <c r="A40" s="2" t="s">
        <v>150</v>
      </c>
      <c r="B40" s="75"/>
      <c r="C40" s="75"/>
      <c r="D40" s="75"/>
      <c r="E40" s="75"/>
      <c r="F40" s="75"/>
      <c r="G40" s="75"/>
      <c r="H40" s="2"/>
      <c r="I40" s="2"/>
      <c r="J40" s="2"/>
      <c r="K40" s="2"/>
      <c r="L40" s="2"/>
      <c r="M40" s="2"/>
      <c r="N40" s="2"/>
      <c r="O40" s="2"/>
      <c r="P40" s="2"/>
      <c r="Q40" s="2"/>
      <c r="R40" s="2"/>
      <c r="S40" s="2"/>
      <c r="T40" s="2"/>
      <c r="U40" s="2"/>
      <c r="V40" s="2"/>
      <c r="W40" s="2"/>
      <c r="X40" s="2"/>
      <c r="Y40" s="2"/>
      <c r="Z40" s="2"/>
    </row>
    <row r="41" ht="12.75" customHeight="1">
      <c r="A41" s="2" t="s">
        <v>151</v>
      </c>
      <c r="B41" s="75"/>
      <c r="C41" s="75"/>
      <c r="D41" s="75"/>
      <c r="E41" s="75"/>
      <c r="F41" s="75"/>
      <c r="G41" s="75"/>
      <c r="H41" s="2"/>
      <c r="I41" s="2"/>
      <c r="J41" s="2"/>
      <c r="K41" s="2"/>
      <c r="L41" s="2"/>
      <c r="M41" s="2"/>
      <c r="N41" s="2"/>
      <c r="O41" s="2"/>
      <c r="P41" s="2"/>
      <c r="Q41" s="2"/>
      <c r="R41" s="2"/>
      <c r="S41" s="2"/>
      <c r="T41" s="2"/>
      <c r="U41" s="2"/>
      <c r="V41" s="2"/>
      <c r="W41" s="2"/>
      <c r="X41" s="2"/>
      <c r="Y41" s="2"/>
      <c r="Z41" s="2"/>
    </row>
    <row r="42" ht="12.75" customHeight="1">
      <c r="A42" s="2" t="s">
        <v>152</v>
      </c>
      <c r="B42" s="76"/>
      <c r="C42" s="76"/>
      <c r="D42" s="76"/>
      <c r="E42" s="76"/>
      <c r="F42" s="76"/>
      <c r="G42" s="76"/>
      <c r="H42" s="2"/>
      <c r="I42" s="2"/>
      <c r="J42" s="2"/>
      <c r="K42" s="2"/>
      <c r="L42" s="2"/>
      <c r="M42" s="2"/>
      <c r="N42" s="2"/>
      <c r="O42" s="2"/>
      <c r="P42" s="2"/>
      <c r="Q42" s="2"/>
      <c r="R42" s="2"/>
      <c r="S42" s="2"/>
      <c r="T42" s="2"/>
      <c r="U42" s="2"/>
      <c r="V42" s="2"/>
      <c r="W42" s="2"/>
      <c r="X42" s="2"/>
      <c r="Y42" s="2"/>
      <c r="Z42" s="2"/>
    </row>
    <row r="43" ht="12.75" customHeight="1">
      <c r="A43" s="2" t="s">
        <v>153</v>
      </c>
      <c r="B43" s="78"/>
      <c r="C43" s="78"/>
      <c r="D43" s="78"/>
      <c r="E43" s="78"/>
      <c r="F43" s="78"/>
      <c r="G43" s="78"/>
      <c r="H43" s="2"/>
      <c r="I43" s="2"/>
      <c r="J43" s="2"/>
      <c r="K43" s="2"/>
      <c r="L43" s="2"/>
      <c r="M43" s="2"/>
      <c r="N43" s="2"/>
      <c r="O43" s="2"/>
      <c r="P43" s="2"/>
      <c r="Q43" s="2"/>
      <c r="R43" s="2"/>
      <c r="S43" s="2"/>
      <c r="T43" s="2"/>
      <c r="U43" s="2"/>
      <c r="V43" s="2"/>
      <c r="W43" s="2"/>
      <c r="X43" s="2"/>
      <c r="Y43" s="2"/>
      <c r="Z43" s="2"/>
    </row>
    <row r="44" ht="12.75" customHeight="1">
      <c r="A44" s="80" t="s">
        <v>154</v>
      </c>
      <c r="B44" s="40">
        <f t="shared" ref="B44:G44" si="4">SUM(B36:B43)</f>
        <v>0</v>
      </c>
      <c r="C44" s="40">
        <f t="shared" si="4"/>
        <v>0</v>
      </c>
      <c r="D44" s="40">
        <f t="shared" si="4"/>
        <v>0</v>
      </c>
      <c r="E44" s="40">
        <f t="shared" si="4"/>
        <v>0</v>
      </c>
      <c r="F44" s="40">
        <f t="shared" si="4"/>
        <v>0</v>
      </c>
      <c r="G44" s="40">
        <f t="shared" si="4"/>
        <v>1</v>
      </c>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4" t="s">
        <v>155</v>
      </c>
      <c r="B47" s="40">
        <f t="shared" ref="B47:G47" si="5">B13+B20+B32+B44</f>
        <v>2</v>
      </c>
      <c r="C47" s="40">
        <f t="shared" si="5"/>
        <v>4</v>
      </c>
      <c r="D47" s="40">
        <f t="shared" si="5"/>
        <v>5</v>
      </c>
      <c r="E47" s="40">
        <f t="shared" si="5"/>
        <v>5</v>
      </c>
      <c r="F47" s="40">
        <f t="shared" si="5"/>
        <v>5</v>
      </c>
      <c r="G47" s="40">
        <f t="shared" si="5"/>
        <v>7</v>
      </c>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5"/>
  <pageSetup orientation="landscape"/>
  <headerFooter>
    <oddHeader>&amp;C&amp;F&amp;R&amp;D &amp;T</oddHead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38.57"/>
    <col customWidth="1" min="2" max="7" width="15.71"/>
    <col customWidth="1" min="8" max="8" width="8.57"/>
    <col customWidth="1" min="9" max="9" width="11.43"/>
    <col customWidth="1" min="10" max="26" width="8.57"/>
  </cols>
  <sheetData>
    <row r="1" ht="12.75" customHeight="1">
      <c r="A1" s="43" t="str">
        <f>VentureName</f>
        <v>THIɅK Clear</v>
      </c>
      <c r="B1" s="2"/>
      <c r="C1" s="2"/>
      <c r="D1" s="2"/>
      <c r="E1" s="2"/>
      <c r="F1" s="2"/>
      <c r="G1" s="2"/>
      <c r="H1" s="2"/>
      <c r="I1" s="2"/>
      <c r="J1" s="2"/>
      <c r="K1" s="2"/>
      <c r="L1" s="2"/>
      <c r="M1" s="2"/>
      <c r="N1" s="2"/>
      <c r="O1" s="2"/>
      <c r="P1" s="2"/>
      <c r="Q1" s="2"/>
      <c r="R1" s="2"/>
      <c r="S1" s="2"/>
      <c r="T1" s="2"/>
      <c r="U1" s="2"/>
      <c r="V1" s="2"/>
      <c r="W1" s="2"/>
      <c r="X1" s="2"/>
      <c r="Y1" s="2"/>
      <c r="Z1" s="2"/>
    </row>
    <row r="2" ht="12.75" customHeight="1">
      <c r="A2" s="74" t="s">
        <v>119</v>
      </c>
      <c r="B2" s="2"/>
      <c r="C2" s="2"/>
      <c r="D2" s="2"/>
      <c r="E2" s="2"/>
      <c r="F2" s="2"/>
      <c r="G2" s="2"/>
      <c r="H2" s="2"/>
      <c r="I2" s="2"/>
      <c r="J2" s="2"/>
      <c r="K2" s="2"/>
      <c r="L2" s="2"/>
      <c r="M2" s="2"/>
      <c r="N2" s="2"/>
      <c r="O2" s="2"/>
      <c r="P2" s="2"/>
      <c r="Q2" s="2"/>
      <c r="R2" s="2"/>
      <c r="S2" s="2"/>
      <c r="T2" s="2"/>
      <c r="U2" s="2"/>
      <c r="V2" s="2"/>
      <c r="W2" s="2"/>
      <c r="X2" s="2"/>
      <c r="Y2" s="2"/>
      <c r="Z2" s="2"/>
    </row>
    <row r="3" ht="12.75" customHeight="1">
      <c r="A3" s="2" t="s">
        <v>156</v>
      </c>
      <c r="B3" s="83">
        <v>0.15</v>
      </c>
      <c r="C3" s="2"/>
      <c r="D3" s="2"/>
      <c r="E3" s="2"/>
      <c r="F3" s="2"/>
      <c r="G3" s="2"/>
      <c r="H3" s="2"/>
      <c r="I3" s="2"/>
      <c r="J3" s="2"/>
      <c r="K3" s="2"/>
      <c r="L3" s="2"/>
      <c r="M3" s="2"/>
      <c r="N3" s="2"/>
      <c r="O3" s="2"/>
      <c r="P3" s="2"/>
      <c r="Q3" s="2"/>
      <c r="R3" s="2"/>
      <c r="S3" s="2"/>
      <c r="T3" s="2"/>
      <c r="U3" s="2"/>
      <c r="V3" s="2"/>
      <c r="W3" s="2"/>
      <c r="X3" s="2"/>
      <c r="Y3" s="2"/>
      <c r="Z3" s="2"/>
    </row>
    <row r="4" ht="12.75" customHeight="1">
      <c r="A4" s="74"/>
      <c r="B4" s="84"/>
      <c r="C4" s="2"/>
      <c r="D4" s="2"/>
      <c r="E4" s="2"/>
      <c r="F4" s="2"/>
      <c r="G4" s="2"/>
      <c r="H4" s="2"/>
      <c r="I4" s="2"/>
      <c r="J4" s="2"/>
      <c r="K4" s="2"/>
      <c r="L4" s="2"/>
      <c r="M4" s="2"/>
      <c r="N4" s="2"/>
      <c r="O4" s="2"/>
      <c r="P4" s="2"/>
      <c r="Q4" s="2"/>
      <c r="R4" s="2"/>
      <c r="S4" s="2"/>
      <c r="T4" s="2"/>
      <c r="U4" s="2"/>
      <c r="V4" s="2"/>
      <c r="W4" s="2"/>
      <c r="X4" s="2"/>
      <c r="Y4" s="2"/>
      <c r="Z4" s="2"/>
    </row>
    <row r="5" ht="12.75" customHeight="1">
      <c r="A5" s="2"/>
      <c r="B5" s="59" t="str">
        <f>SalesMktg!B5</f>
        <v>Yr1</v>
      </c>
      <c r="C5" s="59" t="str">
        <f>SalesMktg!C5</f>
        <v>Yr2</v>
      </c>
      <c r="D5" s="59" t="str">
        <f>SalesMktg!D5</f>
        <v>Yr3</v>
      </c>
      <c r="E5" s="59" t="str">
        <f>SalesMktg!E5</f>
        <v>Yr4</v>
      </c>
      <c r="F5" s="59" t="str">
        <f>SalesMktg!F5</f>
        <v>Yr5</v>
      </c>
      <c r="G5" s="59" t="str">
        <f>SalesMktg!G5</f>
        <v>Yr6</v>
      </c>
      <c r="H5" s="2"/>
      <c r="I5" s="62" t="s">
        <v>157</v>
      </c>
      <c r="J5" s="2"/>
      <c r="K5" s="2"/>
      <c r="L5" s="2"/>
      <c r="M5" s="2"/>
      <c r="N5" s="2"/>
      <c r="O5" s="2"/>
      <c r="P5" s="2"/>
      <c r="Q5" s="2"/>
      <c r="R5" s="2"/>
      <c r="S5" s="2"/>
      <c r="T5" s="2"/>
      <c r="U5" s="2"/>
      <c r="V5" s="2"/>
      <c r="W5" s="2"/>
      <c r="X5" s="2"/>
      <c r="Y5" s="2"/>
      <c r="Z5" s="2"/>
    </row>
    <row r="6" ht="12.75" customHeight="1">
      <c r="A6" s="2"/>
      <c r="B6" s="69"/>
      <c r="C6" s="69"/>
      <c r="D6" s="69"/>
      <c r="E6" s="69"/>
      <c r="F6" s="69"/>
      <c r="G6" s="69"/>
      <c r="H6" s="2"/>
      <c r="I6" s="2" t="s">
        <v>158</v>
      </c>
      <c r="J6" s="2"/>
      <c r="K6" s="2"/>
      <c r="L6" s="2"/>
      <c r="M6" s="2"/>
      <c r="N6" s="2"/>
      <c r="O6" s="2"/>
      <c r="P6" s="2"/>
      <c r="Q6" s="2"/>
      <c r="R6" s="2"/>
      <c r="S6" s="2"/>
      <c r="T6" s="2"/>
      <c r="U6" s="2"/>
      <c r="V6" s="2"/>
      <c r="W6" s="2"/>
      <c r="X6" s="2"/>
      <c r="Y6" s="2"/>
      <c r="Z6" s="2"/>
    </row>
    <row r="7" ht="12.75" customHeight="1">
      <c r="A7" s="14" t="s">
        <v>121</v>
      </c>
      <c r="B7" s="2"/>
      <c r="C7" s="2"/>
      <c r="D7" s="2"/>
      <c r="E7" s="2"/>
      <c r="F7" s="2"/>
      <c r="G7" s="2"/>
      <c r="H7" s="2"/>
      <c r="I7" s="2"/>
      <c r="J7" s="2"/>
      <c r="K7" s="2"/>
      <c r="L7" s="2"/>
      <c r="M7" s="2"/>
      <c r="N7" s="2"/>
      <c r="O7" s="2"/>
      <c r="P7" s="2"/>
      <c r="Q7" s="2"/>
      <c r="R7" s="2"/>
      <c r="S7" s="2"/>
      <c r="T7" s="2"/>
      <c r="U7" s="2"/>
      <c r="V7" s="2"/>
      <c r="W7" s="2"/>
      <c r="X7" s="2"/>
      <c r="Y7" s="2"/>
      <c r="Z7" s="2"/>
    </row>
    <row r="8" ht="12.75" customHeight="1">
      <c r="A8" s="31" t="s">
        <v>122</v>
      </c>
      <c r="B8" s="85">
        <f>$I8*'Hiring Plan'!B6</f>
        <v>0</v>
      </c>
      <c r="C8" s="85">
        <f>$I8*'Hiring Plan'!C6</f>
        <v>0</v>
      </c>
      <c r="D8" s="85">
        <f>$I8*'Hiring Plan'!D6</f>
        <v>0</v>
      </c>
      <c r="E8" s="85">
        <f>$I8*'Hiring Plan'!E6</f>
        <v>0</v>
      </c>
      <c r="F8" s="85">
        <f>$I8*'Hiring Plan'!F6</f>
        <v>0</v>
      </c>
      <c r="G8" s="85">
        <f>$I8*'Hiring Plan'!G6</f>
        <v>0</v>
      </c>
      <c r="H8" s="2"/>
      <c r="I8" s="86"/>
      <c r="J8" s="2"/>
      <c r="K8" s="2"/>
      <c r="L8" s="2"/>
      <c r="M8" s="2"/>
      <c r="N8" s="2"/>
      <c r="O8" s="2"/>
      <c r="P8" s="2"/>
      <c r="Q8" s="2"/>
      <c r="R8" s="2"/>
      <c r="S8" s="2"/>
      <c r="T8" s="2"/>
      <c r="U8" s="2"/>
      <c r="V8" s="2"/>
      <c r="W8" s="2"/>
      <c r="X8" s="2"/>
      <c r="Y8" s="2"/>
      <c r="Z8" s="2"/>
    </row>
    <row r="9" ht="12.75" customHeight="1">
      <c r="A9" s="2" t="s">
        <v>123</v>
      </c>
      <c r="B9" s="85">
        <f>$I9*'Hiring Plan'!B7</f>
        <v>0</v>
      </c>
      <c r="C9" s="85">
        <f>$I9*'Hiring Plan'!C7</f>
        <v>0</v>
      </c>
      <c r="D9" s="85">
        <f>$I9*'Hiring Plan'!D7</f>
        <v>0</v>
      </c>
      <c r="E9" s="85">
        <f>$I9*'Hiring Plan'!E7</f>
        <v>0</v>
      </c>
      <c r="F9" s="85">
        <f>$I9*'Hiring Plan'!F7</f>
        <v>0</v>
      </c>
      <c r="G9" s="85">
        <f>$I9*'Hiring Plan'!G7</f>
        <v>0</v>
      </c>
      <c r="H9" s="2"/>
      <c r="I9" s="87"/>
      <c r="J9" s="2"/>
      <c r="K9" s="2"/>
      <c r="L9" s="2"/>
      <c r="M9" s="2"/>
      <c r="N9" s="2"/>
      <c r="O9" s="2"/>
      <c r="P9" s="2"/>
      <c r="Q9" s="2"/>
      <c r="R9" s="2"/>
      <c r="S9" s="2"/>
      <c r="T9" s="2"/>
      <c r="U9" s="2"/>
      <c r="V9" s="2"/>
      <c r="W9" s="2"/>
      <c r="X9" s="2"/>
      <c r="Y9" s="2"/>
      <c r="Z9" s="2"/>
    </row>
    <row r="10" ht="12.75" customHeight="1">
      <c r="A10" s="2" t="s">
        <v>124</v>
      </c>
      <c r="B10" s="85">
        <f>$I10*'Hiring Plan'!B8</f>
        <v>0</v>
      </c>
      <c r="C10" s="85">
        <f>$I10*'Hiring Plan'!C8</f>
        <v>0</v>
      </c>
      <c r="D10" s="85">
        <f>$I10*'Hiring Plan'!D8</f>
        <v>0</v>
      </c>
      <c r="E10" s="85">
        <f>$I10*'Hiring Plan'!E8</f>
        <v>0</v>
      </c>
      <c r="F10" s="85">
        <f>$I10*'Hiring Plan'!F8</f>
        <v>0</v>
      </c>
      <c r="G10" s="85">
        <f>$I10*'Hiring Plan'!G8</f>
        <v>0</v>
      </c>
      <c r="H10" s="2"/>
      <c r="I10" s="88"/>
      <c r="J10" s="2"/>
      <c r="K10" s="2"/>
      <c r="L10" s="2"/>
      <c r="M10" s="2"/>
      <c r="N10" s="2"/>
      <c r="O10" s="2"/>
      <c r="P10" s="2"/>
      <c r="Q10" s="2"/>
      <c r="R10" s="2"/>
      <c r="S10" s="2"/>
      <c r="T10" s="2"/>
      <c r="U10" s="2"/>
      <c r="V10" s="2"/>
      <c r="W10" s="2"/>
      <c r="X10" s="2"/>
      <c r="Y10" s="2"/>
      <c r="Z10" s="2"/>
    </row>
    <row r="11" ht="12.75" customHeight="1">
      <c r="A11" s="2" t="s">
        <v>125</v>
      </c>
      <c r="B11" s="85">
        <f>$I11*'Hiring Plan'!B9</f>
        <v>0</v>
      </c>
      <c r="C11" s="85">
        <f>$I11*'Hiring Plan'!C9</f>
        <v>0</v>
      </c>
      <c r="D11" s="85">
        <f>$I11*'Hiring Plan'!D9</f>
        <v>0</v>
      </c>
      <c r="E11" s="85">
        <f>$I11*'Hiring Plan'!E9</f>
        <v>0</v>
      </c>
      <c r="F11" s="85">
        <f>$I11*'Hiring Plan'!F9</f>
        <v>0</v>
      </c>
      <c r="G11" s="85">
        <f>$I11*'Hiring Plan'!G9</f>
        <v>0</v>
      </c>
      <c r="H11" s="2"/>
      <c r="I11" s="88">
        <v>132000.0</v>
      </c>
      <c r="J11" s="2"/>
      <c r="K11" s="2"/>
      <c r="L11" s="2"/>
      <c r="M11" s="2"/>
      <c r="N11" s="2"/>
      <c r="O11" s="2"/>
      <c r="P11" s="2"/>
      <c r="Q11" s="2"/>
      <c r="R11" s="2"/>
      <c r="S11" s="2"/>
      <c r="T11" s="2"/>
      <c r="U11" s="2"/>
      <c r="V11" s="2"/>
      <c r="W11" s="2"/>
      <c r="X11" s="2"/>
      <c r="Y11" s="2"/>
      <c r="Z11" s="2"/>
    </row>
    <row r="12" ht="12.75" customHeight="1">
      <c r="A12" s="31" t="s">
        <v>126</v>
      </c>
      <c r="B12" s="85">
        <f>$I12*'Hiring Plan'!B10</f>
        <v>0</v>
      </c>
      <c r="C12" s="85">
        <f>$I12*'Hiring Plan'!C10</f>
        <v>0</v>
      </c>
      <c r="D12" s="85">
        <f>$I12*'Hiring Plan'!D10</f>
        <v>46000</v>
      </c>
      <c r="E12" s="85">
        <f>$I12*'Hiring Plan'!E10</f>
        <v>46000</v>
      </c>
      <c r="F12" s="85">
        <f>$I12*'Hiring Plan'!F10</f>
        <v>46000</v>
      </c>
      <c r="G12" s="85">
        <f>$I12*'Hiring Plan'!G10</f>
        <v>46000</v>
      </c>
      <c r="H12" s="2"/>
      <c r="I12" s="88">
        <v>46000.0</v>
      </c>
      <c r="J12" s="2"/>
      <c r="K12" s="2"/>
      <c r="L12" s="2"/>
      <c r="M12" s="2"/>
      <c r="N12" s="2"/>
      <c r="O12" s="2"/>
      <c r="P12" s="2"/>
      <c r="Q12" s="2"/>
      <c r="R12" s="2"/>
      <c r="S12" s="2"/>
      <c r="T12" s="2"/>
      <c r="U12" s="2"/>
      <c r="V12" s="2"/>
      <c r="W12" s="2"/>
      <c r="X12" s="2"/>
      <c r="Y12" s="2"/>
      <c r="Z12" s="2"/>
    </row>
    <row r="13" ht="12.75" customHeight="1">
      <c r="A13" s="2" t="s">
        <v>127</v>
      </c>
      <c r="B13" s="85">
        <f>$I13*'Hiring Plan'!B11</f>
        <v>0</v>
      </c>
      <c r="C13" s="85">
        <f>$I13*'Hiring Plan'!C11</f>
        <v>0</v>
      </c>
      <c r="D13" s="85">
        <f>$I13*'Hiring Plan'!D11</f>
        <v>0</v>
      </c>
      <c r="E13" s="85">
        <f>$I13*'Hiring Plan'!E11</f>
        <v>0</v>
      </c>
      <c r="F13" s="85">
        <f>$I13*'Hiring Plan'!F11</f>
        <v>0</v>
      </c>
      <c r="G13" s="85">
        <f>$I13*'Hiring Plan'!G11</f>
        <v>0</v>
      </c>
      <c r="H13" s="2"/>
      <c r="I13" s="87"/>
      <c r="J13" s="2"/>
      <c r="K13" s="2"/>
      <c r="L13" s="2"/>
      <c r="M13" s="2"/>
      <c r="N13" s="2"/>
      <c r="O13" s="2"/>
      <c r="P13" s="2"/>
      <c r="Q13" s="2"/>
      <c r="R13" s="2"/>
      <c r="S13" s="2"/>
      <c r="T13" s="2"/>
      <c r="U13" s="2"/>
      <c r="V13" s="2"/>
      <c r="W13" s="2"/>
      <c r="X13" s="2"/>
      <c r="Y13" s="2"/>
      <c r="Z13" s="2"/>
    </row>
    <row r="14" ht="12.75" customHeight="1">
      <c r="A14" s="2" t="s">
        <v>128</v>
      </c>
      <c r="B14" s="89">
        <f>$I14*'Hiring Plan'!B12</f>
        <v>0</v>
      </c>
      <c r="C14" s="89">
        <f>$I14*'Hiring Plan'!C12</f>
        <v>0</v>
      </c>
      <c r="D14" s="89">
        <f>$I14*'Hiring Plan'!D12</f>
        <v>0</v>
      </c>
      <c r="E14" s="89">
        <f>$I14*'Hiring Plan'!E12</f>
        <v>0</v>
      </c>
      <c r="F14" s="89">
        <f>$I14*'Hiring Plan'!F12</f>
        <v>0</v>
      </c>
      <c r="G14" s="89">
        <f>$I14*'Hiring Plan'!G12</f>
        <v>0</v>
      </c>
      <c r="H14" s="2"/>
      <c r="I14" s="90"/>
      <c r="J14" s="2"/>
      <c r="K14" s="2"/>
      <c r="L14" s="2"/>
      <c r="M14" s="2"/>
      <c r="N14" s="2"/>
      <c r="O14" s="2"/>
      <c r="P14" s="2"/>
      <c r="Q14" s="2"/>
      <c r="R14" s="2"/>
      <c r="S14" s="2"/>
      <c r="T14" s="2"/>
      <c r="U14" s="2"/>
      <c r="V14" s="2"/>
      <c r="W14" s="2"/>
      <c r="X14" s="2"/>
      <c r="Y14" s="2"/>
      <c r="Z14" s="2"/>
    </row>
    <row r="15" ht="12.75" customHeight="1">
      <c r="A15" s="2" t="s">
        <v>159</v>
      </c>
      <c r="B15" s="85">
        <f t="shared" ref="B15:G15" si="1">SUM(B8:B14)</f>
        <v>0</v>
      </c>
      <c r="C15" s="85">
        <f t="shared" si="1"/>
        <v>0</v>
      </c>
      <c r="D15" s="85">
        <f t="shared" si="1"/>
        <v>46000</v>
      </c>
      <c r="E15" s="85">
        <f t="shared" si="1"/>
        <v>46000</v>
      </c>
      <c r="F15" s="85">
        <f t="shared" si="1"/>
        <v>46000</v>
      </c>
      <c r="G15" s="85">
        <f t="shared" si="1"/>
        <v>46000</v>
      </c>
      <c r="H15" s="2"/>
      <c r="I15" s="2"/>
      <c r="J15" s="2"/>
      <c r="K15" s="2"/>
      <c r="L15" s="2"/>
      <c r="M15" s="2"/>
      <c r="N15" s="2"/>
      <c r="O15" s="2"/>
      <c r="P15" s="2"/>
      <c r="Q15" s="2"/>
      <c r="R15" s="2"/>
      <c r="S15" s="2"/>
      <c r="T15" s="2"/>
      <c r="U15" s="2"/>
      <c r="V15" s="2"/>
      <c r="W15" s="2"/>
      <c r="X15" s="2"/>
      <c r="Y15" s="2"/>
      <c r="Z15" s="2"/>
    </row>
    <row r="16" ht="12.75" customHeight="1">
      <c r="A16" s="2" t="s">
        <v>160</v>
      </c>
      <c r="B16" s="81"/>
      <c r="C16" s="81"/>
      <c r="D16" s="81"/>
      <c r="E16" s="81"/>
      <c r="F16" s="81"/>
      <c r="G16" s="81"/>
      <c r="H16" s="2"/>
      <c r="I16" s="2"/>
      <c r="J16" s="2"/>
      <c r="K16" s="2"/>
      <c r="L16" s="2"/>
      <c r="M16" s="2"/>
      <c r="N16" s="2"/>
      <c r="O16" s="2"/>
      <c r="P16" s="2"/>
      <c r="Q16" s="2"/>
      <c r="R16" s="2"/>
      <c r="S16" s="2"/>
      <c r="T16" s="2"/>
      <c r="U16" s="2"/>
      <c r="V16" s="2"/>
      <c r="W16" s="2"/>
      <c r="X16" s="2"/>
      <c r="Y16" s="2"/>
      <c r="Z16" s="2"/>
    </row>
    <row r="17" ht="12.75" customHeight="1">
      <c r="A17" s="2" t="s">
        <v>161</v>
      </c>
      <c r="B17" s="91">
        <f t="shared" ref="B17:G17" si="2">$B$3</f>
        <v>0.15</v>
      </c>
      <c r="C17" s="91">
        <f t="shared" si="2"/>
        <v>0.15</v>
      </c>
      <c r="D17" s="91">
        <f t="shared" si="2"/>
        <v>0.15</v>
      </c>
      <c r="E17" s="91">
        <f t="shared" si="2"/>
        <v>0.15</v>
      </c>
      <c r="F17" s="91">
        <f t="shared" si="2"/>
        <v>0.15</v>
      </c>
      <c r="G17" s="91">
        <f t="shared" si="2"/>
        <v>0.15</v>
      </c>
      <c r="H17" s="2"/>
      <c r="I17" s="2"/>
      <c r="J17" s="2"/>
      <c r="K17" s="2"/>
      <c r="L17" s="2"/>
      <c r="M17" s="2"/>
      <c r="N17" s="2"/>
      <c r="O17" s="2"/>
      <c r="P17" s="2"/>
      <c r="Q17" s="2"/>
      <c r="R17" s="2"/>
      <c r="S17" s="2"/>
      <c r="T17" s="2"/>
      <c r="U17" s="2"/>
      <c r="V17" s="2"/>
      <c r="W17" s="2"/>
      <c r="X17" s="2"/>
      <c r="Y17" s="2"/>
      <c r="Z17" s="2"/>
    </row>
    <row r="18" ht="12.75" customHeight="1">
      <c r="A18" s="2" t="s">
        <v>162</v>
      </c>
      <c r="B18" s="89">
        <f t="shared" ref="B18:G18" si="3">B17*B15</f>
        <v>0</v>
      </c>
      <c r="C18" s="89">
        <f t="shared" si="3"/>
        <v>0</v>
      </c>
      <c r="D18" s="89">
        <f t="shared" si="3"/>
        <v>6900</v>
      </c>
      <c r="E18" s="89">
        <f t="shared" si="3"/>
        <v>6900</v>
      </c>
      <c r="F18" s="89">
        <f t="shared" si="3"/>
        <v>6900</v>
      </c>
      <c r="G18" s="89">
        <f t="shared" si="3"/>
        <v>6900</v>
      </c>
      <c r="H18" s="2"/>
      <c r="I18" s="2"/>
      <c r="J18" s="2"/>
      <c r="K18" s="2"/>
      <c r="L18" s="2"/>
      <c r="M18" s="2"/>
      <c r="N18" s="2"/>
      <c r="O18" s="2"/>
      <c r="P18" s="2"/>
      <c r="Q18" s="2"/>
      <c r="R18" s="2"/>
      <c r="S18" s="2"/>
      <c r="T18" s="2"/>
      <c r="U18" s="2"/>
      <c r="V18" s="2"/>
      <c r="W18" s="2"/>
      <c r="X18" s="2"/>
      <c r="Y18" s="2"/>
      <c r="Z18" s="2"/>
    </row>
    <row r="19" ht="12.75" customHeight="1">
      <c r="A19" s="80" t="s">
        <v>163</v>
      </c>
      <c r="B19" s="92">
        <f t="shared" ref="B19:G19" si="4">B15+B18</f>
        <v>0</v>
      </c>
      <c r="C19" s="92">
        <f t="shared" si="4"/>
        <v>0</v>
      </c>
      <c r="D19" s="92">
        <f t="shared" si="4"/>
        <v>52900</v>
      </c>
      <c r="E19" s="92">
        <f t="shared" si="4"/>
        <v>52900</v>
      </c>
      <c r="F19" s="92">
        <f t="shared" si="4"/>
        <v>52900</v>
      </c>
      <c r="G19" s="92">
        <f t="shared" si="4"/>
        <v>52900</v>
      </c>
      <c r="H19" s="2"/>
      <c r="I19" s="2"/>
      <c r="J19" s="2"/>
      <c r="K19" s="2"/>
      <c r="L19" s="2"/>
      <c r="M19" s="2"/>
      <c r="N19" s="2"/>
      <c r="O19" s="2"/>
      <c r="P19" s="2"/>
      <c r="Q19" s="2"/>
      <c r="R19" s="2"/>
      <c r="S19" s="2"/>
      <c r="T19" s="2"/>
      <c r="U19" s="2"/>
      <c r="V19" s="2"/>
      <c r="W19" s="2"/>
      <c r="X19" s="2"/>
      <c r="Y19" s="2"/>
      <c r="Z19" s="2"/>
    </row>
    <row r="20" ht="12.75" customHeight="1">
      <c r="A20" s="2" t="s">
        <v>164</v>
      </c>
      <c r="B20" s="93">
        <f>IF('Unit Economics'!B$28=0,"n/a",B19/'Unit Economics'!B$28)</f>
        <v>0</v>
      </c>
      <c r="C20" s="93">
        <f>IF('Unit Economics'!C$28=0,"n/a",C19/'Unit Economics'!C$28)</f>
        <v>0</v>
      </c>
      <c r="D20" s="93">
        <f>IF('Unit Economics'!D$28=0,"n/a",D19/'Unit Economics'!D$28)</f>
        <v>0.2945077935</v>
      </c>
      <c r="E20" s="93">
        <f>IF('Unit Economics'!E$28=0,"n/a",E19/'Unit Economics'!E$28)</f>
        <v>0.1611639356</v>
      </c>
      <c r="F20" s="93">
        <f>IF('Unit Economics'!F$28=0,"n/a",F19/'Unit Economics'!F$28)</f>
        <v>0.09603134359</v>
      </c>
      <c r="G20" s="93">
        <f>IF('Unit Economics'!G$28=0,"n/a",G19/'Unit Economics'!G$28)</f>
        <v>0.05844847203</v>
      </c>
      <c r="H20" s="2"/>
      <c r="I20" s="2"/>
      <c r="J20" s="2"/>
      <c r="K20" s="2"/>
      <c r="L20" s="2"/>
      <c r="M20" s="2"/>
      <c r="N20" s="2"/>
      <c r="O20" s="2"/>
      <c r="P20" s="2"/>
      <c r="Q20" s="2"/>
      <c r="R20" s="2"/>
      <c r="S20" s="2"/>
      <c r="T20" s="2"/>
      <c r="U20" s="2"/>
      <c r="V20" s="2"/>
      <c r="W20" s="2"/>
      <c r="X20" s="2"/>
      <c r="Y20" s="2"/>
      <c r="Z20" s="2"/>
    </row>
    <row r="21" ht="12.75" customHeight="1">
      <c r="A21" s="2"/>
      <c r="B21" s="81"/>
      <c r="C21" s="81"/>
      <c r="D21" s="81"/>
      <c r="E21" s="81"/>
      <c r="F21" s="81"/>
      <c r="G21" s="81"/>
      <c r="H21" s="2"/>
      <c r="I21" s="2"/>
      <c r="J21" s="2"/>
      <c r="K21" s="2"/>
      <c r="L21" s="2"/>
      <c r="M21" s="2"/>
      <c r="N21" s="2"/>
      <c r="O21" s="2"/>
      <c r="P21" s="2"/>
      <c r="Q21" s="2"/>
      <c r="R21" s="2"/>
      <c r="S21" s="2"/>
      <c r="T21" s="2"/>
      <c r="U21" s="2"/>
      <c r="V21" s="2"/>
      <c r="W21" s="2"/>
      <c r="X21" s="2"/>
      <c r="Y21" s="2"/>
      <c r="Z21" s="2"/>
    </row>
    <row r="22" ht="12.75" customHeight="1">
      <c r="A22" s="14" t="s">
        <v>130</v>
      </c>
      <c r="B22" s="81"/>
      <c r="C22" s="81"/>
      <c r="D22" s="81"/>
      <c r="E22" s="81"/>
      <c r="F22" s="81"/>
      <c r="G22" s="81"/>
      <c r="H22" s="2"/>
      <c r="I22" s="2"/>
      <c r="J22" s="2"/>
      <c r="K22" s="2"/>
      <c r="L22" s="2"/>
      <c r="M22" s="2"/>
      <c r="N22" s="2"/>
      <c r="O22" s="2"/>
      <c r="P22" s="2"/>
      <c r="Q22" s="2"/>
      <c r="R22" s="2"/>
      <c r="S22" s="2"/>
      <c r="T22" s="2"/>
      <c r="U22" s="2"/>
      <c r="V22" s="2"/>
      <c r="W22" s="2"/>
      <c r="X22" s="2"/>
      <c r="Y22" s="2"/>
      <c r="Z22" s="2"/>
    </row>
    <row r="23" ht="12.75" customHeight="1">
      <c r="A23" s="2" t="s">
        <v>131</v>
      </c>
      <c r="B23" s="85">
        <f>$I23*'Hiring Plan'!B17</f>
        <v>154000</v>
      </c>
      <c r="C23" s="85">
        <f>$I23*'Hiring Plan'!C17</f>
        <v>154000</v>
      </c>
      <c r="D23" s="85">
        <f>$I23*'Hiring Plan'!D17</f>
        <v>154000</v>
      </c>
      <c r="E23" s="85">
        <f>$I23*'Hiring Plan'!E17</f>
        <v>154000</v>
      </c>
      <c r="F23" s="85">
        <f>$I23*'Hiring Plan'!F17</f>
        <v>154000</v>
      </c>
      <c r="G23" s="85">
        <f>$I23*'Hiring Plan'!G17</f>
        <v>154000</v>
      </c>
      <c r="H23" s="2"/>
      <c r="I23" s="94">
        <v>154000.0</v>
      </c>
      <c r="J23" s="2"/>
      <c r="K23" s="2"/>
      <c r="L23" s="2"/>
      <c r="M23" s="2"/>
      <c r="N23" s="2"/>
      <c r="O23" s="2"/>
      <c r="P23" s="2"/>
      <c r="Q23" s="2"/>
      <c r="R23" s="2"/>
      <c r="S23" s="2"/>
      <c r="T23" s="2"/>
      <c r="U23" s="2"/>
      <c r="V23" s="2"/>
      <c r="W23" s="2"/>
      <c r="X23" s="2"/>
      <c r="Y23" s="2"/>
      <c r="Z23" s="2"/>
    </row>
    <row r="24" ht="12.75" customHeight="1">
      <c r="A24" s="2" t="s">
        <v>132</v>
      </c>
      <c r="B24" s="85">
        <f>$I24*'Hiring Plan'!B18</f>
        <v>0</v>
      </c>
      <c r="C24" s="85">
        <f>$I24*'Hiring Plan'!C18</f>
        <v>122000</v>
      </c>
      <c r="D24" s="85">
        <f>$I24*'Hiring Plan'!D18</f>
        <v>122000</v>
      </c>
      <c r="E24" s="85">
        <f>$I24*'Hiring Plan'!E18</f>
        <v>122000</v>
      </c>
      <c r="F24" s="85">
        <f>$I24*'Hiring Plan'!F18</f>
        <v>122000</v>
      </c>
      <c r="G24" s="85">
        <f>$I24*'Hiring Plan'!G18</f>
        <v>122000</v>
      </c>
      <c r="H24" s="2"/>
      <c r="I24" s="88">
        <v>122000.0</v>
      </c>
      <c r="J24" s="2"/>
      <c r="K24" s="2"/>
      <c r="L24" s="2"/>
      <c r="M24" s="2"/>
      <c r="N24" s="2"/>
      <c r="O24" s="2"/>
      <c r="P24" s="2"/>
      <c r="Q24" s="2"/>
      <c r="R24" s="2"/>
      <c r="S24" s="2"/>
      <c r="T24" s="2"/>
      <c r="U24" s="2"/>
      <c r="V24" s="2"/>
      <c r="W24" s="2"/>
      <c r="X24" s="2"/>
      <c r="Y24" s="2"/>
      <c r="Z24" s="2"/>
    </row>
    <row r="25" ht="12.75" customHeight="1">
      <c r="A25" s="2" t="s">
        <v>133</v>
      </c>
      <c r="B25" s="89">
        <f>$I25*'Hiring Plan'!B23</f>
        <v>0</v>
      </c>
      <c r="C25" s="89">
        <f>$I25*'Hiring Plan'!C23</f>
        <v>0</v>
      </c>
      <c r="D25" s="89">
        <f>$I25*'Hiring Plan'!D23</f>
        <v>0</v>
      </c>
      <c r="E25" s="89">
        <f>$I25*'Hiring Plan'!E23</f>
        <v>0</v>
      </c>
      <c r="F25" s="89">
        <f>$I25*'Hiring Plan'!F23</f>
        <v>0</v>
      </c>
      <c r="G25" s="89">
        <f>$I25*'Hiring Plan'!G23</f>
        <v>0</v>
      </c>
      <c r="H25" s="2"/>
      <c r="I25" s="90"/>
      <c r="J25" s="2"/>
      <c r="K25" s="2"/>
      <c r="L25" s="2"/>
      <c r="M25" s="2"/>
      <c r="N25" s="2"/>
      <c r="O25" s="2"/>
      <c r="P25" s="2"/>
      <c r="Q25" s="2"/>
      <c r="R25" s="2"/>
      <c r="S25" s="2"/>
      <c r="T25" s="2"/>
      <c r="U25" s="2"/>
      <c r="V25" s="2"/>
      <c r="W25" s="2"/>
      <c r="X25" s="2"/>
      <c r="Y25" s="2"/>
      <c r="Z25" s="2"/>
    </row>
    <row r="26" ht="12.75" customHeight="1">
      <c r="A26" s="80" t="s">
        <v>159</v>
      </c>
      <c r="B26" s="85">
        <f t="shared" ref="B26:G26" si="5">SUM(B23:B25)</f>
        <v>154000</v>
      </c>
      <c r="C26" s="85">
        <f t="shared" si="5"/>
        <v>276000</v>
      </c>
      <c r="D26" s="85">
        <f t="shared" si="5"/>
        <v>276000</v>
      </c>
      <c r="E26" s="85">
        <f t="shared" si="5"/>
        <v>276000</v>
      </c>
      <c r="F26" s="85">
        <f t="shared" si="5"/>
        <v>276000</v>
      </c>
      <c r="G26" s="85">
        <f t="shared" si="5"/>
        <v>276000</v>
      </c>
      <c r="H26" s="2"/>
      <c r="I26" s="2"/>
      <c r="J26" s="2"/>
      <c r="K26" s="2"/>
      <c r="L26" s="2"/>
      <c r="M26" s="2"/>
      <c r="N26" s="2"/>
      <c r="O26" s="2"/>
      <c r="P26" s="2"/>
      <c r="Q26" s="2"/>
      <c r="R26" s="2"/>
      <c r="S26" s="2"/>
      <c r="T26" s="2"/>
      <c r="U26" s="2"/>
      <c r="V26" s="2"/>
      <c r="W26" s="2"/>
      <c r="X26" s="2"/>
      <c r="Y26" s="2"/>
      <c r="Z26" s="2"/>
    </row>
    <row r="27" ht="12.75" customHeight="1">
      <c r="A27" s="2" t="s">
        <v>160</v>
      </c>
      <c r="B27" s="81"/>
      <c r="C27" s="81"/>
      <c r="D27" s="81"/>
      <c r="E27" s="81"/>
      <c r="F27" s="81"/>
      <c r="G27" s="81"/>
      <c r="H27" s="2"/>
      <c r="I27" s="2"/>
      <c r="J27" s="2"/>
      <c r="K27" s="2"/>
      <c r="L27" s="2"/>
      <c r="M27" s="2"/>
      <c r="N27" s="2"/>
      <c r="O27" s="2"/>
      <c r="P27" s="2"/>
      <c r="Q27" s="2"/>
      <c r="R27" s="2"/>
      <c r="S27" s="2"/>
      <c r="T27" s="2"/>
      <c r="U27" s="2"/>
      <c r="V27" s="2"/>
      <c r="W27" s="2"/>
      <c r="X27" s="2"/>
      <c r="Y27" s="2"/>
      <c r="Z27" s="2"/>
    </row>
    <row r="28" ht="12.75" customHeight="1">
      <c r="A28" s="2" t="s">
        <v>161</v>
      </c>
      <c r="B28" s="91">
        <f t="shared" ref="B28:G28" si="6">$B$3</f>
        <v>0.15</v>
      </c>
      <c r="C28" s="91">
        <f t="shared" si="6"/>
        <v>0.15</v>
      </c>
      <c r="D28" s="91">
        <f t="shared" si="6"/>
        <v>0.15</v>
      </c>
      <c r="E28" s="91">
        <f t="shared" si="6"/>
        <v>0.15</v>
      </c>
      <c r="F28" s="91">
        <f t="shared" si="6"/>
        <v>0.15</v>
      </c>
      <c r="G28" s="91">
        <f t="shared" si="6"/>
        <v>0.15</v>
      </c>
      <c r="H28" s="2"/>
      <c r="I28" s="2"/>
      <c r="J28" s="2"/>
      <c r="K28" s="2"/>
      <c r="L28" s="2"/>
      <c r="M28" s="2"/>
      <c r="N28" s="2"/>
      <c r="O28" s="2"/>
      <c r="P28" s="2"/>
      <c r="Q28" s="2"/>
      <c r="R28" s="2"/>
      <c r="S28" s="2"/>
      <c r="T28" s="2"/>
      <c r="U28" s="2"/>
      <c r="V28" s="2"/>
      <c r="W28" s="2"/>
      <c r="X28" s="2"/>
      <c r="Y28" s="2"/>
      <c r="Z28" s="2"/>
    </row>
    <row r="29" ht="12.75" customHeight="1">
      <c r="A29" s="2" t="s">
        <v>162</v>
      </c>
      <c r="B29" s="89">
        <f t="shared" ref="B29:G29" si="7">B28*B26</f>
        <v>23100</v>
      </c>
      <c r="C29" s="89">
        <f t="shared" si="7"/>
        <v>41400</v>
      </c>
      <c r="D29" s="89">
        <f t="shared" si="7"/>
        <v>41400</v>
      </c>
      <c r="E29" s="89">
        <f t="shared" si="7"/>
        <v>41400</v>
      </c>
      <c r="F29" s="89">
        <f t="shared" si="7"/>
        <v>41400</v>
      </c>
      <c r="G29" s="89">
        <f t="shared" si="7"/>
        <v>41400</v>
      </c>
      <c r="H29" s="2"/>
      <c r="I29" s="2"/>
      <c r="J29" s="2"/>
      <c r="K29" s="2"/>
      <c r="L29" s="2"/>
      <c r="M29" s="2"/>
      <c r="N29" s="2"/>
      <c r="O29" s="2"/>
      <c r="P29" s="2"/>
      <c r="Q29" s="2"/>
      <c r="R29" s="2"/>
      <c r="S29" s="2"/>
      <c r="T29" s="2"/>
      <c r="U29" s="2"/>
      <c r="V29" s="2"/>
      <c r="W29" s="2"/>
      <c r="X29" s="2"/>
      <c r="Y29" s="2"/>
      <c r="Z29" s="2"/>
    </row>
    <row r="30" ht="12.75" customHeight="1">
      <c r="A30" s="80" t="s">
        <v>165</v>
      </c>
      <c r="B30" s="92">
        <f t="shared" ref="B30:G30" si="8">B26+B29</f>
        <v>177100</v>
      </c>
      <c r="C30" s="92">
        <f t="shared" si="8"/>
        <v>317400</v>
      </c>
      <c r="D30" s="92">
        <f t="shared" si="8"/>
        <v>317400</v>
      </c>
      <c r="E30" s="92">
        <f t="shared" si="8"/>
        <v>317400</v>
      </c>
      <c r="F30" s="92">
        <f t="shared" si="8"/>
        <v>317400</v>
      </c>
      <c r="G30" s="92">
        <f t="shared" si="8"/>
        <v>317400</v>
      </c>
      <c r="H30" s="2"/>
      <c r="I30" s="2"/>
      <c r="J30" s="2"/>
      <c r="K30" s="2"/>
      <c r="L30" s="2"/>
      <c r="M30" s="2"/>
      <c r="N30" s="2"/>
      <c r="O30" s="2"/>
      <c r="P30" s="2"/>
      <c r="Q30" s="2"/>
      <c r="R30" s="2"/>
      <c r="S30" s="2"/>
      <c r="T30" s="2"/>
      <c r="U30" s="2"/>
      <c r="V30" s="2"/>
      <c r="W30" s="2"/>
      <c r="X30" s="2"/>
      <c r="Y30" s="2"/>
      <c r="Z30" s="2"/>
    </row>
    <row r="31" ht="12.75" customHeight="1">
      <c r="A31" s="2" t="s">
        <v>164</v>
      </c>
      <c r="B31" s="93">
        <f>IF('Unit Economics'!B$28=0,"n/a",B30/'Unit Economics'!B$28)</f>
        <v>6.523455155</v>
      </c>
      <c r="C31" s="93">
        <f>IF('Unit Economics'!C$28=0,"n/a",C30/'Unit Economics'!C$28)</f>
        <v>3.624106053</v>
      </c>
      <c r="D31" s="93">
        <f>IF('Unit Economics'!D$28=0,"n/a",D30/'Unit Economics'!D$28)</f>
        <v>1.767046761</v>
      </c>
      <c r="E31" s="93">
        <f>IF('Unit Economics'!E$28=0,"n/a",E30/'Unit Economics'!E$28)</f>
        <v>0.9669836136</v>
      </c>
      <c r="F31" s="93">
        <f>IF('Unit Economics'!F$28=0,"n/a",F30/'Unit Economics'!F$28)</f>
        <v>0.5761880616</v>
      </c>
      <c r="G31" s="93">
        <f>IF('Unit Economics'!G$28=0,"n/a",G30/'Unit Economics'!G$28)</f>
        <v>0.3506908322</v>
      </c>
      <c r="H31" s="2"/>
      <c r="I31" s="2"/>
      <c r="J31" s="2"/>
      <c r="K31" s="2"/>
      <c r="L31" s="2"/>
      <c r="M31" s="2"/>
      <c r="N31" s="2"/>
      <c r="O31" s="2"/>
      <c r="P31" s="2"/>
      <c r="Q31" s="2"/>
      <c r="R31" s="2"/>
      <c r="S31" s="2"/>
      <c r="T31" s="2"/>
      <c r="U31" s="2"/>
      <c r="V31" s="2"/>
      <c r="W31" s="2"/>
      <c r="X31" s="2"/>
      <c r="Y31" s="2"/>
      <c r="Z31" s="2"/>
    </row>
    <row r="32" ht="12.75" customHeight="1">
      <c r="A32" s="2"/>
      <c r="B32" s="81"/>
      <c r="C32" s="81"/>
      <c r="D32" s="81"/>
      <c r="E32" s="81"/>
      <c r="F32" s="81"/>
      <c r="G32" s="81"/>
      <c r="H32" s="2"/>
      <c r="I32" s="2"/>
      <c r="J32" s="2"/>
      <c r="K32" s="2"/>
      <c r="L32" s="2"/>
      <c r="M32" s="2"/>
      <c r="N32" s="2"/>
      <c r="O32" s="2"/>
      <c r="P32" s="2"/>
      <c r="Q32" s="2"/>
      <c r="R32" s="2"/>
      <c r="S32" s="2"/>
      <c r="T32" s="2"/>
      <c r="U32" s="2"/>
      <c r="V32" s="2"/>
      <c r="W32" s="2"/>
      <c r="X32" s="2"/>
      <c r="Y32" s="2"/>
      <c r="Z32" s="2"/>
    </row>
    <row r="33" ht="12.75" customHeight="1">
      <c r="A33" s="2"/>
      <c r="B33" s="81"/>
      <c r="C33" s="81"/>
      <c r="D33" s="81"/>
      <c r="E33" s="81"/>
      <c r="F33" s="81"/>
      <c r="G33" s="81"/>
      <c r="H33" s="2"/>
      <c r="I33" s="2"/>
      <c r="J33" s="2"/>
      <c r="K33" s="2"/>
      <c r="L33" s="2"/>
      <c r="M33" s="2"/>
      <c r="N33" s="2"/>
      <c r="O33" s="2"/>
      <c r="P33" s="2"/>
      <c r="Q33" s="2"/>
      <c r="R33" s="2"/>
      <c r="S33" s="2"/>
      <c r="T33" s="2"/>
      <c r="U33" s="2"/>
      <c r="V33" s="2"/>
      <c r="W33" s="2"/>
      <c r="X33" s="2"/>
      <c r="Y33" s="2"/>
      <c r="Z33" s="2"/>
    </row>
    <row r="34" ht="12.75" customHeight="1">
      <c r="A34" s="14" t="s">
        <v>135</v>
      </c>
      <c r="B34" s="81"/>
      <c r="C34" s="81"/>
      <c r="D34" s="81"/>
      <c r="E34" s="81"/>
      <c r="F34" s="81"/>
      <c r="G34" s="81"/>
      <c r="H34" s="2"/>
      <c r="I34" s="2"/>
      <c r="J34" s="2"/>
      <c r="K34" s="2"/>
      <c r="L34" s="2"/>
      <c r="M34" s="2"/>
      <c r="N34" s="2"/>
      <c r="O34" s="2"/>
      <c r="P34" s="2"/>
      <c r="Q34" s="2"/>
      <c r="R34" s="2"/>
      <c r="S34" s="2"/>
      <c r="T34" s="2"/>
      <c r="U34" s="2"/>
      <c r="V34" s="2"/>
      <c r="W34" s="2"/>
      <c r="X34" s="2"/>
      <c r="Y34" s="2"/>
      <c r="Z34" s="2"/>
    </row>
    <row r="35" ht="12.75" customHeight="1">
      <c r="A35" s="31" t="s">
        <v>136</v>
      </c>
      <c r="B35" s="85">
        <f>$I35*'Hiring Plan'!B24</f>
        <v>86000</v>
      </c>
      <c r="C35" s="85">
        <f>$I35*'Hiring Plan'!C24</f>
        <v>86000</v>
      </c>
      <c r="D35" s="85">
        <f>$I35*'Hiring Plan'!D24</f>
        <v>86000</v>
      </c>
      <c r="E35" s="85">
        <f>$I35*'Hiring Plan'!E24</f>
        <v>86000</v>
      </c>
      <c r="F35" s="85">
        <f>$I35*'Hiring Plan'!F24</f>
        <v>86000</v>
      </c>
      <c r="G35" s="85">
        <f>$I35*'Hiring Plan'!G24</f>
        <v>86000</v>
      </c>
      <c r="H35" s="2"/>
      <c r="I35" s="94">
        <v>86000.0</v>
      </c>
      <c r="J35" s="2"/>
      <c r="K35" s="2"/>
      <c r="L35" s="2"/>
      <c r="M35" s="2"/>
      <c r="N35" s="2"/>
      <c r="O35" s="2"/>
      <c r="P35" s="2"/>
      <c r="Q35" s="2"/>
      <c r="R35" s="2"/>
      <c r="S35" s="2"/>
      <c r="T35" s="2"/>
      <c r="U35" s="2"/>
      <c r="V35" s="2"/>
      <c r="W35" s="2"/>
      <c r="X35" s="2"/>
      <c r="Y35" s="2"/>
      <c r="Z35" s="2"/>
    </row>
    <row r="36" ht="12.75" customHeight="1">
      <c r="A36" s="31" t="s">
        <v>137</v>
      </c>
      <c r="B36" s="85">
        <f>$I36*'Hiring Plan'!B34</f>
        <v>0</v>
      </c>
      <c r="C36" s="85">
        <f>$I36*'Hiring Plan'!C34</f>
        <v>0</v>
      </c>
      <c r="D36" s="85">
        <f>$I36*'Hiring Plan'!D34</f>
        <v>0</v>
      </c>
      <c r="E36" s="85">
        <f>$I36*'Hiring Plan'!E34</f>
        <v>0</v>
      </c>
      <c r="F36" s="85">
        <f>$I36*'Hiring Plan'!F34</f>
        <v>0</v>
      </c>
      <c r="G36" s="85">
        <f>$I36*'Hiring Plan'!G34</f>
        <v>0</v>
      </c>
      <c r="H36" s="2"/>
      <c r="I36" s="87"/>
      <c r="J36" s="2"/>
      <c r="K36" s="2"/>
      <c r="L36" s="2"/>
      <c r="M36" s="2"/>
      <c r="N36" s="2"/>
      <c r="O36" s="2"/>
      <c r="P36" s="2"/>
      <c r="Q36" s="2"/>
      <c r="R36" s="2"/>
      <c r="S36" s="2"/>
      <c r="T36" s="2"/>
      <c r="U36" s="2"/>
      <c r="V36" s="2"/>
      <c r="W36" s="2"/>
      <c r="X36" s="2"/>
      <c r="Y36" s="2"/>
      <c r="Z36" s="2"/>
    </row>
    <row r="37" ht="12.75" customHeight="1">
      <c r="A37" s="2" t="s">
        <v>138</v>
      </c>
      <c r="B37" s="85">
        <f>$I37*'Hiring Plan'!B35</f>
        <v>0</v>
      </c>
      <c r="C37" s="85">
        <f>$I37*'Hiring Plan'!C35</f>
        <v>0</v>
      </c>
      <c r="D37" s="85">
        <f>$I37*'Hiring Plan'!D35</f>
        <v>0</v>
      </c>
      <c r="E37" s="85">
        <f>$I37*'Hiring Plan'!E35</f>
        <v>0</v>
      </c>
      <c r="F37" s="85">
        <f>$I37*'Hiring Plan'!F35</f>
        <v>0</v>
      </c>
      <c r="G37" s="85">
        <f>$I37*'Hiring Plan'!G35</f>
        <v>0</v>
      </c>
      <c r="H37" s="2"/>
      <c r="I37" s="87"/>
      <c r="J37" s="2"/>
      <c r="K37" s="2"/>
      <c r="L37" s="2"/>
      <c r="M37" s="2"/>
      <c r="N37" s="2"/>
      <c r="O37" s="2"/>
      <c r="P37" s="2"/>
      <c r="Q37" s="2"/>
      <c r="R37" s="2"/>
      <c r="S37" s="2"/>
      <c r="T37" s="2"/>
      <c r="U37" s="2"/>
      <c r="V37" s="2"/>
      <c r="W37" s="2"/>
      <c r="X37" s="2"/>
      <c r="Y37" s="2"/>
      <c r="Z37" s="2"/>
    </row>
    <row r="38" ht="12.75" customHeight="1">
      <c r="A38" s="2" t="s">
        <v>139</v>
      </c>
      <c r="B38" s="85">
        <f>$I38*'Hiring Plan'!B27</f>
        <v>0</v>
      </c>
      <c r="C38" s="85">
        <f>$I38*'Hiring Plan'!C27</f>
        <v>120000</v>
      </c>
      <c r="D38" s="85">
        <f>$I38*'Hiring Plan'!D27</f>
        <v>120000</v>
      </c>
      <c r="E38" s="85">
        <f>$I38*'Hiring Plan'!E27</f>
        <v>120000</v>
      </c>
      <c r="F38" s="85">
        <f>$I38*'Hiring Plan'!F27</f>
        <v>120000</v>
      </c>
      <c r="G38" s="85">
        <f>$I38*'Hiring Plan'!G27</f>
        <v>120000</v>
      </c>
      <c r="H38" s="2"/>
      <c r="I38" s="88">
        <v>120000.0</v>
      </c>
      <c r="J38" s="2"/>
      <c r="K38" s="2"/>
      <c r="L38" s="2"/>
      <c r="M38" s="2"/>
      <c r="N38" s="2"/>
      <c r="O38" s="2"/>
      <c r="P38" s="2"/>
      <c r="Q38" s="2"/>
      <c r="R38" s="2"/>
      <c r="S38" s="2"/>
      <c r="T38" s="2"/>
      <c r="U38" s="2"/>
      <c r="V38" s="2"/>
      <c r="W38" s="2"/>
      <c r="X38" s="2"/>
      <c r="Y38" s="2"/>
      <c r="Z38" s="2"/>
    </row>
    <row r="39" ht="12.75" customHeight="1">
      <c r="A39" s="2" t="s">
        <v>140</v>
      </c>
      <c r="B39" s="85">
        <f>$I39*'Hiring Plan'!B37</f>
        <v>0</v>
      </c>
      <c r="C39" s="85">
        <f>$I39*'Hiring Plan'!C37</f>
        <v>0</v>
      </c>
      <c r="D39" s="85">
        <f>$I39*'Hiring Plan'!D37</f>
        <v>0</v>
      </c>
      <c r="E39" s="85">
        <f>$I39*'Hiring Plan'!E37</f>
        <v>0</v>
      </c>
      <c r="F39" s="85">
        <f>$I39*'Hiring Plan'!F37</f>
        <v>0</v>
      </c>
      <c r="G39" s="85">
        <f>$I39*'Hiring Plan'!G37</f>
        <v>0</v>
      </c>
      <c r="H39" s="2"/>
      <c r="I39" s="87"/>
      <c r="J39" s="2"/>
      <c r="K39" s="2"/>
      <c r="L39" s="2"/>
      <c r="M39" s="2"/>
      <c r="N39" s="2"/>
      <c r="O39" s="2"/>
      <c r="P39" s="2"/>
      <c r="Q39" s="2"/>
      <c r="R39" s="2"/>
      <c r="S39" s="2"/>
      <c r="T39" s="2"/>
      <c r="U39" s="2"/>
      <c r="V39" s="2"/>
      <c r="W39" s="2"/>
      <c r="X39" s="2"/>
      <c r="Y39" s="2"/>
      <c r="Z39" s="2"/>
    </row>
    <row r="40" ht="12.75" customHeight="1">
      <c r="A40" s="2" t="s">
        <v>141</v>
      </c>
      <c r="B40" s="85">
        <f>$I40*'Hiring Plan'!B38</f>
        <v>0</v>
      </c>
      <c r="C40" s="85">
        <f>$I40*'Hiring Plan'!C38</f>
        <v>0</v>
      </c>
      <c r="D40" s="85">
        <f>$I40*'Hiring Plan'!D38</f>
        <v>0</v>
      </c>
      <c r="E40" s="85">
        <f>$I40*'Hiring Plan'!E38</f>
        <v>0</v>
      </c>
      <c r="F40" s="85">
        <f>$I40*'Hiring Plan'!F38</f>
        <v>0</v>
      </c>
      <c r="G40" s="85">
        <f>$I40*'Hiring Plan'!G38</f>
        <v>0</v>
      </c>
      <c r="H40" s="2"/>
      <c r="I40" s="88">
        <v>135000.0</v>
      </c>
      <c r="J40" s="2"/>
      <c r="K40" s="2"/>
      <c r="L40" s="2"/>
      <c r="M40" s="2"/>
      <c r="N40" s="2"/>
      <c r="O40" s="2"/>
      <c r="P40" s="2"/>
      <c r="Q40" s="2"/>
      <c r="R40" s="2"/>
      <c r="S40" s="2"/>
      <c r="T40" s="2"/>
      <c r="U40" s="2"/>
      <c r="V40" s="2"/>
      <c r="W40" s="2"/>
      <c r="X40" s="2"/>
      <c r="Y40" s="2"/>
      <c r="Z40" s="2"/>
    </row>
    <row r="41" ht="12.75" customHeight="1">
      <c r="A41" s="2" t="s">
        <v>142</v>
      </c>
      <c r="B41" s="85">
        <f>$I41*'Hiring Plan'!B39</f>
        <v>0</v>
      </c>
      <c r="C41" s="85">
        <f>$I41*'Hiring Plan'!C39</f>
        <v>0</v>
      </c>
      <c r="D41" s="85">
        <f>$I41*'Hiring Plan'!D39</f>
        <v>0</v>
      </c>
      <c r="E41" s="85">
        <f>$I41*'Hiring Plan'!E39</f>
        <v>0</v>
      </c>
      <c r="F41" s="85">
        <f>$I41*'Hiring Plan'!F39</f>
        <v>0</v>
      </c>
      <c r="G41" s="85">
        <f>$I41*'Hiring Plan'!G39</f>
        <v>0</v>
      </c>
      <c r="H41" s="2"/>
      <c r="I41" s="87"/>
      <c r="J41" s="2"/>
      <c r="K41" s="2"/>
      <c r="L41" s="2"/>
      <c r="M41" s="2"/>
      <c r="N41" s="2"/>
      <c r="O41" s="2"/>
      <c r="P41" s="2"/>
      <c r="Q41" s="2"/>
      <c r="R41" s="2"/>
      <c r="S41" s="2"/>
      <c r="T41" s="2"/>
      <c r="U41" s="2"/>
      <c r="V41" s="2"/>
      <c r="W41" s="2"/>
      <c r="X41" s="2"/>
      <c r="Y41" s="2"/>
      <c r="Z41" s="2"/>
    </row>
    <row r="42" ht="12.75" customHeight="1">
      <c r="A42" s="2" t="s">
        <v>143</v>
      </c>
      <c r="B42" s="89">
        <f>$I42*'Hiring Plan'!B40</f>
        <v>0</v>
      </c>
      <c r="C42" s="89">
        <f>$I42*'Hiring Plan'!C40</f>
        <v>0</v>
      </c>
      <c r="D42" s="89">
        <f>$I42*'Hiring Plan'!D40</f>
        <v>0</v>
      </c>
      <c r="E42" s="89">
        <f>$I42*'Hiring Plan'!E40</f>
        <v>0</v>
      </c>
      <c r="F42" s="89">
        <f>$I42*'Hiring Plan'!F40</f>
        <v>0</v>
      </c>
      <c r="G42" s="89">
        <f>$I42*'Hiring Plan'!G40</f>
        <v>0</v>
      </c>
      <c r="H42" s="2"/>
      <c r="I42" s="90"/>
      <c r="J42" s="2"/>
      <c r="K42" s="2"/>
      <c r="L42" s="2"/>
      <c r="M42" s="2"/>
      <c r="N42" s="2"/>
      <c r="O42" s="2"/>
      <c r="P42" s="2"/>
      <c r="Q42" s="2"/>
      <c r="R42" s="2"/>
      <c r="S42" s="2"/>
      <c r="T42" s="2"/>
      <c r="U42" s="2"/>
      <c r="V42" s="2"/>
      <c r="W42" s="2"/>
      <c r="X42" s="2"/>
      <c r="Y42" s="2"/>
      <c r="Z42" s="2"/>
    </row>
    <row r="43" ht="12.75" customHeight="1">
      <c r="A43" s="2" t="s">
        <v>166</v>
      </c>
      <c r="B43" s="85">
        <f t="shared" ref="B43:G43" si="9">SUM(B35:B42)</f>
        <v>86000</v>
      </c>
      <c r="C43" s="85">
        <f t="shared" si="9"/>
        <v>206000</v>
      </c>
      <c r="D43" s="85">
        <f t="shared" si="9"/>
        <v>206000</v>
      </c>
      <c r="E43" s="85">
        <f t="shared" si="9"/>
        <v>206000</v>
      </c>
      <c r="F43" s="85">
        <f t="shared" si="9"/>
        <v>206000</v>
      </c>
      <c r="G43" s="85">
        <f t="shared" si="9"/>
        <v>206000</v>
      </c>
      <c r="H43" s="2"/>
      <c r="I43" s="2"/>
      <c r="J43" s="2"/>
      <c r="K43" s="2"/>
      <c r="L43" s="2"/>
      <c r="M43" s="2"/>
      <c r="N43" s="2"/>
      <c r="O43" s="2"/>
      <c r="P43" s="2"/>
      <c r="Q43" s="2"/>
      <c r="R43" s="2"/>
      <c r="S43" s="2"/>
      <c r="T43" s="2"/>
      <c r="U43" s="2"/>
      <c r="V43" s="2"/>
      <c r="W43" s="2"/>
      <c r="X43" s="2"/>
      <c r="Y43" s="2"/>
      <c r="Z43" s="2"/>
    </row>
    <row r="44" ht="12.75" customHeight="1">
      <c r="A44" s="2" t="s">
        <v>160</v>
      </c>
      <c r="B44" s="81"/>
      <c r="C44" s="81"/>
      <c r="D44" s="81"/>
      <c r="E44" s="81"/>
      <c r="F44" s="81"/>
      <c r="G44" s="81"/>
      <c r="H44" s="2"/>
      <c r="I44" s="2"/>
      <c r="J44" s="2"/>
      <c r="K44" s="2"/>
      <c r="L44" s="2"/>
      <c r="M44" s="2"/>
      <c r="N44" s="2"/>
      <c r="O44" s="2"/>
      <c r="P44" s="2"/>
      <c r="Q44" s="2"/>
      <c r="R44" s="2"/>
      <c r="S44" s="2"/>
      <c r="T44" s="2"/>
      <c r="U44" s="2"/>
      <c r="V44" s="2"/>
      <c r="W44" s="2"/>
      <c r="X44" s="2"/>
      <c r="Y44" s="2"/>
      <c r="Z44" s="2"/>
    </row>
    <row r="45" ht="12.75" customHeight="1">
      <c r="A45" s="31" t="s">
        <v>167</v>
      </c>
      <c r="B45" s="91">
        <f t="shared" ref="B45:G45" si="10">$B$3</f>
        <v>0.15</v>
      </c>
      <c r="C45" s="91">
        <f t="shared" si="10"/>
        <v>0.15</v>
      </c>
      <c r="D45" s="91">
        <f t="shared" si="10"/>
        <v>0.15</v>
      </c>
      <c r="E45" s="91">
        <f t="shared" si="10"/>
        <v>0.15</v>
      </c>
      <c r="F45" s="91">
        <f t="shared" si="10"/>
        <v>0.15</v>
      </c>
      <c r="G45" s="91">
        <f t="shared" si="10"/>
        <v>0.15</v>
      </c>
      <c r="H45" s="2"/>
      <c r="I45" s="2"/>
      <c r="J45" s="2"/>
      <c r="K45" s="2"/>
      <c r="L45" s="2"/>
      <c r="M45" s="2"/>
      <c r="N45" s="2"/>
      <c r="O45" s="2"/>
      <c r="P45" s="2"/>
      <c r="Q45" s="2"/>
      <c r="R45" s="2"/>
      <c r="S45" s="2"/>
      <c r="T45" s="2"/>
      <c r="U45" s="2"/>
      <c r="V45" s="2"/>
      <c r="W45" s="2"/>
      <c r="X45" s="2"/>
      <c r="Y45" s="2"/>
      <c r="Z45" s="2"/>
    </row>
    <row r="46" ht="12.75" customHeight="1">
      <c r="A46" s="2" t="s">
        <v>162</v>
      </c>
      <c r="B46" s="89">
        <f t="shared" ref="B46:G46" si="11">B45*B43</f>
        <v>12900</v>
      </c>
      <c r="C46" s="89">
        <f t="shared" si="11"/>
        <v>30900</v>
      </c>
      <c r="D46" s="89">
        <f t="shared" si="11"/>
        <v>30900</v>
      </c>
      <c r="E46" s="89">
        <f t="shared" si="11"/>
        <v>30900</v>
      </c>
      <c r="F46" s="89">
        <f t="shared" si="11"/>
        <v>30900</v>
      </c>
      <c r="G46" s="89">
        <f t="shared" si="11"/>
        <v>30900</v>
      </c>
      <c r="H46" s="2"/>
      <c r="I46" s="2"/>
      <c r="J46" s="2"/>
      <c r="K46" s="2"/>
      <c r="L46" s="2"/>
      <c r="M46" s="2"/>
      <c r="N46" s="2"/>
      <c r="O46" s="2"/>
      <c r="P46" s="2"/>
      <c r="Q46" s="2"/>
      <c r="R46" s="2"/>
      <c r="S46" s="2"/>
      <c r="T46" s="2"/>
      <c r="U46" s="2"/>
      <c r="V46" s="2"/>
      <c r="W46" s="2"/>
      <c r="X46" s="2"/>
      <c r="Y46" s="2"/>
      <c r="Z46" s="2"/>
    </row>
    <row r="47" ht="12.75" customHeight="1">
      <c r="A47" s="80" t="s">
        <v>168</v>
      </c>
      <c r="B47" s="92">
        <f t="shared" ref="B47:G47" si="12">B43+B46</f>
        <v>98900</v>
      </c>
      <c r="C47" s="92">
        <f t="shared" si="12"/>
        <v>236900</v>
      </c>
      <c r="D47" s="92">
        <f t="shared" si="12"/>
        <v>236900</v>
      </c>
      <c r="E47" s="92">
        <f t="shared" si="12"/>
        <v>236900</v>
      </c>
      <c r="F47" s="92">
        <f t="shared" si="12"/>
        <v>236900</v>
      </c>
      <c r="G47" s="92">
        <f t="shared" si="12"/>
        <v>236900</v>
      </c>
      <c r="H47" s="2"/>
      <c r="I47" s="2"/>
      <c r="J47" s="2"/>
      <c r="K47" s="2"/>
      <c r="L47" s="2"/>
      <c r="M47" s="2"/>
      <c r="N47" s="2"/>
      <c r="O47" s="2"/>
      <c r="P47" s="2"/>
      <c r="Q47" s="2"/>
      <c r="R47" s="2"/>
      <c r="S47" s="2"/>
      <c r="T47" s="2"/>
      <c r="U47" s="2"/>
      <c r="V47" s="2"/>
      <c r="W47" s="2"/>
      <c r="X47" s="2"/>
      <c r="Y47" s="2"/>
      <c r="Z47" s="2"/>
    </row>
    <row r="48" ht="12.75" customHeight="1">
      <c r="A48" s="2" t="s">
        <v>164</v>
      </c>
      <c r="B48" s="93">
        <f>IF('Unit Economics'!B$28=0,"n/a",B47/'Unit Economics'!B$28)</f>
        <v>3.642968463</v>
      </c>
      <c r="C48" s="93">
        <f>IF('Unit Economics'!C$28=0,"n/a",C47/'Unit Economics'!C$28)</f>
        <v>2.704948721</v>
      </c>
      <c r="D48" s="93">
        <f>IF('Unit Economics'!D$28=0,"n/a",D47/'Unit Economics'!D$28)</f>
        <v>1.318882728</v>
      </c>
      <c r="E48" s="93">
        <f>IF('Unit Economics'!E$28=0,"n/a",E47/'Unit Economics'!E$28)</f>
        <v>0.7217341463</v>
      </c>
      <c r="F48" s="93">
        <f>IF('Unit Economics'!F$28=0,"n/a",F47/'Unit Economics'!F$28)</f>
        <v>0.4300534083</v>
      </c>
      <c r="G48" s="93">
        <f>IF('Unit Economics'!G$28=0,"n/a",G47/'Unit Economics'!G$28)</f>
        <v>0.2617475052</v>
      </c>
      <c r="H48" s="2"/>
      <c r="I48" s="2"/>
      <c r="J48" s="2"/>
      <c r="K48" s="2"/>
      <c r="L48" s="2"/>
      <c r="M48" s="2"/>
      <c r="N48" s="2"/>
      <c r="O48" s="2"/>
      <c r="P48" s="2"/>
      <c r="Q48" s="2"/>
      <c r="R48" s="2"/>
      <c r="S48" s="2"/>
      <c r="T48" s="2"/>
      <c r="U48" s="2"/>
      <c r="V48" s="2"/>
      <c r="W48" s="2"/>
      <c r="X48" s="2"/>
      <c r="Y48" s="2"/>
      <c r="Z48" s="2"/>
    </row>
    <row r="49" ht="12.75" customHeight="1">
      <c r="A49" s="2"/>
      <c r="B49" s="82"/>
      <c r="C49" s="82"/>
      <c r="D49" s="82"/>
      <c r="E49" s="82"/>
      <c r="F49" s="82"/>
      <c r="G49" s="82"/>
      <c r="H49" s="2"/>
      <c r="I49" s="2"/>
      <c r="J49" s="2"/>
      <c r="K49" s="2"/>
      <c r="L49" s="2"/>
      <c r="M49" s="2"/>
      <c r="N49" s="2"/>
      <c r="O49" s="2"/>
      <c r="P49" s="2"/>
      <c r="Q49" s="2"/>
      <c r="R49" s="2"/>
      <c r="S49" s="2"/>
      <c r="T49" s="2"/>
      <c r="U49" s="2"/>
      <c r="V49" s="2"/>
      <c r="W49" s="2"/>
      <c r="X49" s="2"/>
      <c r="Y49" s="2"/>
      <c r="Z49" s="2"/>
    </row>
    <row r="50" ht="12.75" customHeight="1">
      <c r="A50" s="14" t="s">
        <v>169</v>
      </c>
      <c r="B50" s="82"/>
      <c r="C50" s="82"/>
      <c r="D50" s="82"/>
      <c r="E50" s="82"/>
      <c r="F50" s="82"/>
      <c r="G50" s="82"/>
      <c r="H50" s="2"/>
      <c r="I50" s="2"/>
      <c r="J50" s="2"/>
      <c r="K50" s="2"/>
      <c r="L50" s="2"/>
      <c r="M50" s="2"/>
      <c r="N50" s="2"/>
      <c r="O50" s="2"/>
      <c r="P50" s="2"/>
      <c r="Q50" s="2"/>
      <c r="R50" s="2"/>
      <c r="S50" s="2"/>
      <c r="T50" s="2"/>
      <c r="U50" s="2"/>
      <c r="V50" s="2"/>
      <c r="W50" s="2"/>
      <c r="X50" s="2"/>
      <c r="Y50" s="2"/>
      <c r="Z50" s="2"/>
    </row>
    <row r="51" ht="12.75" customHeight="1">
      <c r="A51" s="31" t="s">
        <v>146</v>
      </c>
      <c r="B51" s="85">
        <f>$I51*'Hiring Plan'!B49</f>
        <v>0</v>
      </c>
      <c r="C51" s="85">
        <f>$I51*'Hiring Plan'!C49</f>
        <v>0</v>
      </c>
      <c r="D51" s="85">
        <f>$I51*'Hiring Plan'!D49</f>
        <v>0</v>
      </c>
      <c r="E51" s="85">
        <f>$I51*'Hiring Plan'!E49</f>
        <v>0</v>
      </c>
      <c r="F51" s="85">
        <f>$I51*'Hiring Plan'!F39</f>
        <v>0</v>
      </c>
      <c r="G51" s="85">
        <f>$I51*'Hiring Plan'!G36</f>
        <v>146000</v>
      </c>
      <c r="H51" s="2"/>
      <c r="I51" s="94">
        <v>146000.0</v>
      </c>
      <c r="J51" s="2"/>
      <c r="K51" s="2"/>
      <c r="L51" s="2"/>
      <c r="M51" s="2"/>
      <c r="N51" s="2"/>
      <c r="O51" s="2"/>
      <c r="P51" s="2"/>
      <c r="Q51" s="2"/>
      <c r="R51" s="2"/>
      <c r="S51" s="2"/>
      <c r="T51" s="2"/>
      <c r="U51" s="2"/>
      <c r="V51" s="2"/>
      <c r="W51" s="2"/>
      <c r="X51" s="2"/>
      <c r="Y51" s="2"/>
      <c r="Z51" s="2"/>
    </row>
    <row r="52" ht="12.75" customHeight="1">
      <c r="A52" s="31" t="s">
        <v>147</v>
      </c>
      <c r="B52" s="85">
        <f>$I52*'Hiring Plan'!B50</f>
        <v>0</v>
      </c>
      <c r="C52" s="85">
        <f>$I52*'Hiring Plan'!C50</f>
        <v>0</v>
      </c>
      <c r="D52" s="85">
        <f>$I52*'Hiring Plan'!D50</f>
        <v>0</v>
      </c>
      <c r="E52" s="85">
        <f>$I52*'Hiring Plan'!E50</f>
        <v>0</v>
      </c>
      <c r="F52" s="85">
        <f>$I52*'Hiring Plan'!F50</f>
        <v>0</v>
      </c>
      <c r="G52" s="85">
        <f>$I52*'Hiring Plan'!G50</f>
        <v>0</v>
      </c>
      <c r="H52" s="2"/>
      <c r="I52" s="87"/>
      <c r="J52" s="2"/>
      <c r="K52" s="2"/>
      <c r="L52" s="2"/>
      <c r="M52" s="2"/>
      <c r="N52" s="2"/>
      <c r="O52" s="2"/>
      <c r="P52" s="2"/>
      <c r="Q52" s="2"/>
      <c r="R52" s="2"/>
      <c r="S52" s="2"/>
      <c r="T52" s="2"/>
      <c r="U52" s="2"/>
      <c r="V52" s="2"/>
      <c r="W52" s="2"/>
      <c r="X52" s="2"/>
      <c r="Y52" s="2"/>
      <c r="Z52" s="2"/>
    </row>
    <row r="53" ht="12.75" customHeight="1">
      <c r="A53" s="2" t="s">
        <v>148</v>
      </c>
      <c r="B53" s="85">
        <f>$I53*'Hiring Plan'!B38</f>
        <v>0</v>
      </c>
      <c r="C53" s="85">
        <f>$I53*'Hiring Plan'!C38</f>
        <v>0</v>
      </c>
      <c r="D53" s="85">
        <f>$I53*'Hiring Plan'!D38</f>
        <v>0</v>
      </c>
      <c r="E53" s="85">
        <f>$I53*'Hiring Plan'!E38</f>
        <v>0</v>
      </c>
      <c r="F53" s="85">
        <f>$I53*'Hiring Plan'!F38</f>
        <v>0</v>
      </c>
      <c r="G53" s="85">
        <f>$I53*'Hiring Plan'!G38</f>
        <v>0</v>
      </c>
      <c r="H53" s="2"/>
      <c r="I53" s="88">
        <v>111000.0</v>
      </c>
      <c r="J53" s="2"/>
      <c r="K53" s="2"/>
      <c r="L53" s="2"/>
      <c r="M53" s="2"/>
      <c r="N53" s="2"/>
      <c r="O53" s="2"/>
      <c r="P53" s="2"/>
      <c r="Q53" s="2"/>
      <c r="R53" s="2"/>
      <c r="S53" s="2"/>
      <c r="T53" s="2"/>
      <c r="U53" s="2"/>
      <c r="V53" s="2"/>
      <c r="W53" s="2"/>
      <c r="X53" s="2"/>
      <c r="Y53" s="2"/>
      <c r="Z53" s="2"/>
    </row>
    <row r="54" ht="12.75" customHeight="1">
      <c r="A54" s="2" t="s">
        <v>149</v>
      </c>
      <c r="B54" s="85">
        <f>$I54*'Hiring Plan'!B52</f>
        <v>0</v>
      </c>
      <c r="C54" s="85">
        <f>$I54*'Hiring Plan'!C52</f>
        <v>0</v>
      </c>
      <c r="D54" s="85">
        <f>$I54*'Hiring Plan'!D52</f>
        <v>0</v>
      </c>
      <c r="E54" s="85">
        <f>$I54*'Hiring Plan'!E52</f>
        <v>0</v>
      </c>
      <c r="F54" s="85">
        <f>$I54*'Hiring Plan'!F52</f>
        <v>0</v>
      </c>
      <c r="G54" s="85">
        <f>$I54*'Hiring Plan'!G52</f>
        <v>0</v>
      </c>
      <c r="H54" s="2"/>
      <c r="I54" s="87"/>
      <c r="J54" s="2"/>
      <c r="K54" s="2"/>
      <c r="L54" s="2"/>
      <c r="M54" s="2"/>
      <c r="N54" s="2"/>
      <c r="O54" s="2"/>
      <c r="P54" s="2"/>
      <c r="Q54" s="2"/>
      <c r="R54" s="2"/>
      <c r="S54" s="2"/>
      <c r="T54" s="2"/>
      <c r="U54" s="2"/>
      <c r="V54" s="2"/>
      <c r="W54" s="2"/>
      <c r="X54" s="2"/>
      <c r="Y54" s="2"/>
      <c r="Z54" s="2"/>
    </row>
    <row r="55" ht="12.75" customHeight="1">
      <c r="A55" s="2" t="s">
        <v>150</v>
      </c>
      <c r="B55" s="85">
        <f>$I55*'Hiring Plan'!B53</f>
        <v>0</v>
      </c>
      <c r="C55" s="85">
        <f>$I55*'Hiring Plan'!C53</f>
        <v>0</v>
      </c>
      <c r="D55" s="85">
        <f>$I55*'Hiring Plan'!D53</f>
        <v>0</v>
      </c>
      <c r="E55" s="85">
        <f>$I55*'Hiring Plan'!E53</f>
        <v>0</v>
      </c>
      <c r="F55" s="85">
        <f>$I55*'Hiring Plan'!F53</f>
        <v>0</v>
      </c>
      <c r="G55" s="85">
        <f>$I55*'Hiring Plan'!G53</f>
        <v>0</v>
      </c>
      <c r="H55" s="2"/>
      <c r="I55" s="87"/>
      <c r="J55" s="2"/>
      <c r="K55" s="2"/>
      <c r="L55" s="2"/>
      <c r="M55" s="2"/>
      <c r="N55" s="2"/>
      <c r="O55" s="2"/>
      <c r="P55" s="2"/>
      <c r="Q55" s="2"/>
      <c r="R55" s="2"/>
      <c r="S55" s="2"/>
      <c r="T55" s="2"/>
      <c r="U55" s="2"/>
      <c r="V55" s="2"/>
      <c r="W55" s="2"/>
      <c r="X55" s="2"/>
      <c r="Y55" s="2"/>
      <c r="Z55" s="2"/>
    </row>
    <row r="56" ht="12.75" customHeight="1">
      <c r="A56" s="2" t="s">
        <v>151</v>
      </c>
      <c r="B56" s="85">
        <f>$I56*'Hiring Plan'!B54</f>
        <v>0</v>
      </c>
      <c r="C56" s="85">
        <f>$I56*'Hiring Plan'!C54</f>
        <v>0</v>
      </c>
      <c r="D56" s="85">
        <f>$I56*'Hiring Plan'!D54</f>
        <v>0</v>
      </c>
      <c r="E56" s="85">
        <f>$I56*'Hiring Plan'!E54</f>
        <v>0</v>
      </c>
      <c r="F56" s="85">
        <f>$I56*'Hiring Plan'!F54</f>
        <v>0</v>
      </c>
      <c r="G56" s="85">
        <f>$I56*'Hiring Plan'!G54</f>
        <v>0</v>
      </c>
      <c r="H56" s="2"/>
      <c r="I56" s="87"/>
      <c r="J56" s="2"/>
      <c r="K56" s="2"/>
      <c r="L56" s="2"/>
      <c r="M56" s="2"/>
      <c r="N56" s="2"/>
      <c r="O56" s="2"/>
      <c r="P56" s="2"/>
      <c r="Q56" s="2"/>
      <c r="R56" s="2"/>
      <c r="S56" s="2"/>
      <c r="T56" s="2"/>
      <c r="U56" s="2"/>
      <c r="V56" s="2"/>
      <c r="W56" s="2"/>
      <c r="X56" s="2"/>
      <c r="Y56" s="2"/>
      <c r="Z56" s="2"/>
    </row>
    <row r="57" ht="12.75" customHeight="1">
      <c r="A57" s="2" t="s">
        <v>152</v>
      </c>
      <c r="B57" s="85">
        <f>$I57*'Hiring Plan'!B42</f>
        <v>0</v>
      </c>
      <c r="C57" s="85">
        <f>$I57*'Hiring Plan'!C42</f>
        <v>0</v>
      </c>
      <c r="D57" s="85">
        <f>$I57*'Hiring Plan'!D42</f>
        <v>0</v>
      </c>
      <c r="E57" s="85">
        <f>$I57*'Hiring Plan'!E42</f>
        <v>0</v>
      </c>
      <c r="F57" s="85">
        <f>$I57*'Hiring Plan'!F42</f>
        <v>0</v>
      </c>
      <c r="G57" s="85">
        <f>$I57*'Hiring Plan'!G42</f>
        <v>0</v>
      </c>
      <c r="H57" s="2"/>
      <c r="I57" s="88">
        <v>91000.0</v>
      </c>
      <c r="J57" s="2"/>
      <c r="K57" s="2"/>
      <c r="L57" s="2"/>
      <c r="M57" s="2"/>
      <c r="N57" s="2"/>
      <c r="O57" s="2"/>
      <c r="P57" s="2"/>
      <c r="Q57" s="2"/>
      <c r="R57" s="2"/>
      <c r="S57" s="2"/>
      <c r="T57" s="2"/>
      <c r="U57" s="2"/>
      <c r="V57" s="2"/>
      <c r="W57" s="2"/>
      <c r="X57" s="2"/>
      <c r="Y57" s="2"/>
      <c r="Z57" s="2"/>
    </row>
    <row r="58" ht="12.75" customHeight="1">
      <c r="A58" s="2" t="s">
        <v>153</v>
      </c>
      <c r="B58" s="89">
        <f>$I58*'Hiring Plan'!B56</f>
        <v>0</v>
      </c>
      <c r="C58" s="89">
        <f>$I58*'Hiring Plan'!C56</f>
        <v>0</v>
      </c>
      <c r="D58" s="89">
        <f>$I58*'Hiring Plan'!D56</f>
        <v>0</v>
      </c>
      <c r="E58" s="89">
        <f>$I58*'Hiring Plan'!E56</f>
        <v>0</v>
      </c>
      <c r="F58" s="89">
        <f>$I58*'Hiring Plan'!F56</f>
        <v>0</v>
      </c>
      <c r="G58" s="89">
        <f>$I58*'Hiring Plan'!G56</f>
        <v>0</v>
      </c>
      <c r="H58" s="2"/>
      <c r="I58" s="90"/>
      <c r="J58" s="2"/>
      <c r="K58" s="2"/>
      <c r="L58" s="2"/>
      <c r="M58" s="2"/>
      <c r="N58" s="2"/>
      <c r="O58" s="2"/>
      <c r="P58" s="2"/>
      <c r="Q58" s="2"/>
      <c r="R58" s="2"/>
      <c r="S58" s="2"/>
      <c r="T58" s="2"/>
      <c r="U58" s="2"/>
      <c r="V58" s="2"/>
      <c r="W58" s="2"/>
      <c r="X58" s="2"/>
      <c r="Y58" s="2"/>
      <c r="Z58" s="2"/>
    </row>
    <row r="59" ht="12.75" customHeight="1">
      <c r="A59" s="31" t="s">
        <v>159</v>
      </c>
      <c r="B59" s="85">
        <f t="shared" ref="B59:G59" si="13">SUM(B51:B58)</f>
        <v>0</v>
      </c>
      <c r="C59" s="85">
        <f t="shared" si="13"/>
        <v>0</v>
      </c>
      <c r="D59" s="85">
        <f t="shared" si="13"/>
        <v>0</v>
      </c>
      <c r="E59" s="85">
        <f t="shared" si="13"/>
        <v>0</v>
      </c>
      <c r="F59" s="85">
        <f t="shared" si="13"/>
        <v>0</v>
      </c>
      <c r="G59" s="85">
        <f t="shared" si="13"/>
        <v>146000</v>
      </c>
      <c r="H59" s="2"/>
      <c r="I59" s="2"/>
      <c r="J59" s="2"/>
      <c r="K59" s="2"/>
      <c r="L59" s="2"/>
      <c r="M59" s="2"/>
      <c r="N59" s="2"/>
      <c r="O59" s="2"/>
      <c r="P59" s="2"/>
      <c r="Q59" s="2"/>
      <c r="R59" s="2"/>
      <c r="S59" s="2"/>
      <c r="T59" s="2"/>
      <c r="U59" s="2"/>
      <c r="V59" s="2"/>
      <c r="W59" s="2"/>
      <c r="X59" s="2"/>
      <c r="Y59" s="2"/>
      <c r="Z59" s="2"/>
    </row>
    <row r="60" ht="12.75" customHeight="1">
      <c r="A60" s="2" t="s">
        <v>160</v>
      </c>
      <c r="B60" s="81"/>
      <c r="C60" s="81"/>
      <c r="D60" s="81"/>
      <c r="E60" s="81"/>
      <c r="F60" s="81"/>
      <c r="G60" s="81"/>
      <c r="H60" s="2"/>
      <c r="I60" s="2"/>
      <c r="J60" s="2"/>
      <c r="K60" s="2"/>
      <c r="L60" s="2"/>
      <c r="M60" s="2"/>
      <c r="N60" s="2"/>
      <c r="O60" s="2"/>
      <c r="P60" s="2"/>
      <c r="Q60" s="2"/>
      <c r="R60" s="2"/>
      <c r="S60" s="2"/>
      <c r="T60" s="2"/>
      <c r="U60" s="2"/>
      <c r="V60" s="2"/>
      <c r="W60" s="2"/>
      <c r="X60" s="2"/>
      <c r="Y60" s="2"/>
      <c r="Z60" s="2"/>
    </row>
    <row r="61" ht="12.75" customHeight="1">
      <c r="A61" s="31" t="s">
        <v>167</v>
      </c>
      <c r="B61" s="91">
        <f t="shared" ref="B61:G61" si="14">$B$3</f>
        <v>0.15</v>
      </c>
      <c r="C61" s="91">
        <f t="shared" si="14"/>
        <v>0.15</v>
      </c>
      <c r="D61" s="91">
        <f t="shared" si="14"/>
        <v>0.15</v>
      </c>
      <c r="E61" s="91">
        <f t="shared" si="14"/>
        <v>0.15</v>
      </c>
      <c r="F61" s="91">
        <f t="shared" si="14"/>
        <v>0.15</v>
      </c>
      <c r="G61" s="91">
        <f t="shared" si="14"/>
        <v>0.15</v>
      </c>
      <c r="H61" s="2"/>
      <c r="I61" s="2"/>
      <c r="J61" s="2"/>
      <c r="K61" s="2"/>
      <c r="L61" s="2"/>
      <c r="M61" s="2"/>
      <c r="N61" s="2"/>
      <c r="O61" s="2"/>
      <c r="P61" s="2"/>
      <c r="Q61" s="2"/>
      <c r="R61" s="2"/>
      <c r="S61" s="2"/>
      <c r="T61" s="2"/>
      <c r="U61" s="2"/>
      <c r="V61" s="2"/>
      <c r="W61" s="2"/>
      <c r="X61" s="2"/>
      <c r="Y61" s="2"/>
      <c r="Z61" s="2"/>
    </row>
    <row r="62" ht="12.75" customHeight="1">
      <c r="A62" s="2" t="s">
        <v>162</v>
      </c>
      <c r="B62" s="95">
        <f t="shared" ref="B62:G62" si="15">B61*B59</f>
        <v>0</v>
      </c>
      <c r="C62" s="95">
        <f t="shared" si="15"/>
        <v>0</v>
      </c>
      <c r="D62" s="95">
        <f t="shared" si="15"/>
        <v>0</v>
      </c>
      <c r="E62" s="95">
        <f t="shared" si="15"/>
        <v>0</v>
      </c>
      <c r="F62" s="95">
        <f t="shared" si="15"/>
        <v>0</v>
      </c>
      <c r="G62" s="95">
        <f t="shared" si="15"/>
        <v>21900</v>
      </c>
      <c r="H62" s="2"/>
      <c r="I62" s="2"/>
      <c r="J62" s="2"/>
      <c r="K62" s="2"/>
      <c r="L62" s="2"/>
      <c r="M62" s="2"/>
      <c r="N62" s="2"/>
      <c r="O62" s="2"/>
      <c r="P62" s="2"/>
      <c r="Q62" s="2"/>
      <c r="R62" s="2"/>
      <c r="S62" s="2"/>
      <c r="T62" s="2"/>
      <c r="U62" s="2"/>
      <c r="V62" s="2"/>
      <c r="W62" s="2"/>
      <c r="X62" s="2"/>
      <c r="Y62" s="2"/>
      <c r="Z62" s="2"/>
    </row>
    <row r="63" ht="12.75" customHeight="1">
      <c r="A63" s="80" t="s">
        <v>170</v>
      </c>
      <c r="B63" s="96">
        <f t="shared" ref="B63:G63" si="16">B59+B62</f>
        <v>0</v>
      </c>
      <c r="C63" s="96">
        <f t="shared" si="16"/>
        <v>0</v>
      </c>
      <c r="D63" s="96">
        <f t="shared" si="16"/>
        <v>0</v>
      </c>
      <c r="E63" s="96">
        <f t="shared" si="16"/>
        <v>0</v>
      </c>
      <c r="F63" s="96">
        <f t="shared" si="16"/>
        <v>0</v>
      </c>
      <c r="G63" s="96">
        <f t="shared" si="16"/>
        <v>167900</v>
      </c>
      <c r="H63" s="2"/>
      <c r="I63" s="2"/>
      <c r="J63" s="2"/>
      <c r="K63" s="2"/>
      <c r="L63" s="2"/>
      <c r="M63" s="2"/>
      <c r="N63" s="2"/>
      <c r="O63" s="2"/>
      <c r="P63" s="2"/>
      <c r="Q63" s="2"/>
      <c r="R63" s="2"/>
      <c r="S63" s="2"/>
      <c r="T63" s="2"/>
      <c r="U63" s="2"/>
      <c r="V63" s="2"/>
      <c r="W63" s="2"/>
      <c r="X63" s="2"/>
      <c r="Y63" s="2"/>
      <c r="Z63" s="2"/>
    </row>
    <row r="64" ht="12.75" customHeight="1">
      <c r="A64" s="2" t="s">
        <v>164</v>
      </c>
      <c r="B64" s="93">
        <f>IF('Unit Economics'!B$28=0,"n/a",B63/'Unit Economics'!B$28)</f>
        <v>0</v>
      </c>
      <c r="C64" s="93">
        <f>IF('Unit Economics'!C$28=0,"n/a",C63/'Unit Economics'!C$28)</f>
        <v>0</v>
      </c>
      <c r="D64" s="93">
        <f>IF('Unit Economics'!D$28=0,"n/a",D63/'Unit Economics'!D$28)</f>
        <v>0</v>
      </c>
      <c r="E64" s="93">
        <f>IF('Unit Economics'!E$28=0,"n/a",E63/'Unit Economics'!E$28)</f>
        <v>0</v>
      </c>
      <c r="F64" s="93">
        <f>IF('Unit Economics'!F$28=0,"n/a",F63/'Unit Economics'!F$28)</f>
        <v>0</v>
      </c>
      <c r="G64" s="93">
        <f>IF('Unit Economics'!G$28=0,"n/a",G63/'Unit Economics'!G$28)</f>
        <v>0.1855103677</v>
      </c>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4" t="s">
        <v>166</v>
      </c>
      <c r="B67" s="85">
        <f t="shared" ref="B67:G67" si="17">B15+B26+B43+B59</f>
        <v>240000</v>
      </c>
      <c r="C67" s="85">
        <f t="shared" si="17"/>
        <v>482000</v>
      </c>
      <c r="D67" s="85">
        <f t="shared" si="17"/>
        <v>528000</v>
      </c>
      <c r="E67" s="85">
        <f t="shared" si="17"/>
        <v>528000</v>
      </c>
      <c r="F67" s="85">
        <f t="shared" si="17"/>
        <v>528000</v>
      </c>
      <c r="G67" s="85">
        <f t="shared" si="17"/>
        <v>674000</v>
      </c>
      <c r="H67" s="2"/>
      <c r="I67" s="2"/>
      <c r="J67" s="2"/>
      <c r="K67" s="2"/>
      <c r="L67" s="2"/>
      <c r="M67" s="2"/>
      <c r="N67" s="2"/>
      <c r="O67" s="2"/>
      <c r="P67" s="2"/>
      <c r="Q67" s="2"/>
      <c r="R67" s="2"/>
      <c r="S67" s="2"/>
      <c r="T67" s="2"/>
      <c r="U67" s="2"/>
      <c r="V67" s="2"/>
      <c r="W67" s="2"/>
      <c r="X67" s="2"/>
      <c r="Y67" s="2"/>
      <c r="Z67" s="2"/>
    </row>
    <row r="68" ht="12.75" customHeight="1">
      <c r="A68" s="2" t="s">
        <v>164</v>
      </c>
      <c r="B68" s="93">
        <f>IF('Unit Economics'!B$28=0,"n/a",B67/'Unit Economics'!B$28)</f>
        <v>8.840368363</v>
      </c>
      <c r="C68" s="93">
        <f>IF('Unit Economics'!C$28=0,"n/a",C67/'Unit Economics'!C$28)</f>
        <v>5.50352589</v>
      </c>
      <c r="D68" s="93">
        <f>IF('Unit Economics'!D$28=0,"n/a",D67/'Unit Economics'!D$28)</f>
        <v>2.93951068</v>
      </c>
      <c r="E68" s="93">
        <f>IF('Unit Economics'!E$28=0,"n/a",E67/'Unit Economics'!E$28)</f>
        <v>1.608592779</v>
      </c>
      <c r="F68" s="93">
        <f>IF('Unit Economics'!F$28=0,"n/a",F67/'Unit Economics'!F$28)</f>
        <v>0.9584980986</v>
      </c>
      <c r="G68" s="93">
        <f>IF('Unit Economics'!G$28=0,"n/a",G67/'Unit Economics'!G$28)</f>
        <v>0.7446931975</v>
      </c>
      <c r="H68" s="2"/>
      <c r="I68" s="2"/>
      <c r="J68" s="2"/>
      <c r="K68" s="2"/>
      <c r="L68" s="2"/>
      <c r="M68" s="2"/>
      <c r="N68" s="2"/>
      <c r="O68" s="2"/>
      <c r="P68" s="2"/>
      <c r="Q68" s="2"/>
      <c r="R68" s="2"/>
      <c r="S68" s="2"/>
      <c r="T68" s="2"/>
      <c r="U68" s="2"/>
      <c r="V68" s="2"/>
      <c r="W68" s="2"/>
      <c r="X68" s="2"/>
      <c r="Y68" s="2"/>
      <c r="Z68" s="2"/>
    </row>
    <row r="69" ht="12.75" customHeight="1">
      <c r="A69" s="14" t="s">
        <v>171</v>
      </c>
      <c r="B69" s="85">
        <f t="shared" ref="B69:G69" si="18">B18+B29+B46+B62</f>
        <v>36000</v>
      </c>
      <c r="C69" s="85">
        <f t="shared" si="18"/>
        <v>72300</v>
      </c>
      <c r="D69" s="85">
        <f t="shared" si="18"/>
        <v>79200</v>
      </c>
      <c r="E69" s="85">
        <f t="shared" si="18"/>
        <v>79200</v>
      </c>
      <c r="F69" s="85">
        <f t="shared" si="18"/>
        <v>79200</v>
      </c>
      <c r="G69" s="85">
        <f t="shared" si="18"/>
        <v>101100</v>
      </c>
      <c r="H69" s="2"/>
      <c r="I69" s="2"/>
      <c r="J69" s="2"/>
      <c r="K69" s="2"/>
      <c r="L69" s="2"/>
      <c r="M69" s="2"/>
      <c r="N69" s="2"/>
      <c r="O69" s="2"/>
      <c r="P69" s="2"/>
      <c r="Q69" s="2"/>
      <c r="R69" s="2"/>
      <c r="S69" s="2"/>
      <c r="T69" s="2"/>
      <c r="U69" s="2"/>
      <c r="V69" s="2"/>
      <c r="W69" s="2"/>
      <c r="X69" s="2"/>
      <c r="Y69" s="2"/>
      <c r="Z69" s="2"/>
    </row>
    <row r="70" ht="12.75" customHeight="1">
      <c r="A70" s="2" t="s">
        <v>164</v>
      </c>
      <c r="B70" s="93">
        <f>IF('Unit Economics'!B$28=0,"n/a",B69/'Unit Economics'!B$28)</f>
        <v>1.326055255</v>
      </c>
      <c r="C70" s="93">
        <f>IF('Unit Economics'!C$28=0,"n/a",C69/'Unit Economics'!C$28)</f>
        <v>0.8255288835</v>
      </c>
      <c r="D70" s="93">
        <f>IF('Unit Economics'!D$28=0,"n/a",D69/'Unit Economics'!D$28)</f>
        <v>0.440926602</v>
      </c>
      <c r="E70" s="93">
        <f>IF('Unit Economics'!E$28=0,"n/a",E69/'Unit Economics'!E$28)</f>
        <v>0.2412889168</v>
      </c>
      <c r="F70" s="93">
        <f>IF('Unit Economics'!F$28=0,"n/a",F69/'Unit Economics'!F$28)</f>
        <v>0.1437747148</v>
      </c>
      <c r="G70" s="93">
        <f>IF('Unit Economics'!G$28=0,"n/a",G69/'Unit Economics'!G$28)</f>
        <v>0.1117039796</v>
      </c>
      <c r="H70" s="2"/>
      <c r="I70" s="2"/>
      <c r="J70" s="2"/>
      <c r="K70" s="2"/>
      <c r="L70" s="2"/>
      <c r="M70" s="2"/>
      <c r="N70" s="2"/>
      <c r="O70" s="2"/>
      <c r="P70" s="2"/>
      <c r="Q70" s="2"/>
      <c r="R70" s="2"/>
      <c r="S70" s="2"/>
      <c r="T70" s="2"/>
      <c r="U70" s="2"/>
      <c r="V70" s="2"/>
      <c r="W70" s="2"/>
      <c r="X70" s="2"/>
      <c r="Y70" s="2"/>
      <c r="Z70" s="2"/>
    </row>
    <row r="71" ht="12.75" customHeight="1">
      <c r="A71" s="14" t="s">
        <v>172</v>
      </c>
      <c r="B71" s="92">
        <f t="shared" ref="B71:G71" si="19">B19+B30+B47+B63</f>
        <v>276000</v>
      </c>
      <c r="C71" s="92">
        <f t="shared" si="19"/>
        <v>554300</v>
      </c>
      <c r="D71" s="92">
        <f t="shared" si="19"/>
        <v>607200</v>
      </c>
      <c r="E71" s="92">
        <f t="shared" si="19"/>
        <v>607200</v>
      </c>
      <c r="F71" s="92">
        <f t="shared" si="19"/>
        <v>607200</v>
      </c>
      <c r="G71" s="92">
        <f t="shared" si="19"/>
        <v>775100</v>
      </c>
      <c r="H71" s="2"/>
      <c r="I71" s="2"/>
      <c r="J71" s="2"/>
      <c r="K71" s="2"/>
      <c r="L71" s="2"/>
      <c r="M71" s="2"/>
      <c r="N71" s="2"/>
      <c r="O71" s="2"/>
      <c r="P71" s="2"/>
      <c r="Q71" s="2"/>
      <c r="R71" s="2"/>
      <c r="S71" s="2"/>
      <c r="T71" s="2"/>
      <c r="U71" s="2"/>
      <c r="V71" s="2"/>
      <c r="W71" s="2"/>
      <c r="X71" s="2"/>
      <c r="Y71" s="2"/>
      <c r="Z71" s="2"/>
    </row>
    <row r="72" ht="12.75" customHeight="1">
      <c r="A72" s="2" t="s">
        <v>164</v>
      </c>
      <c r="B72" s="93">
        <f>IF('Unit Economics'!B$28=0,"n/a",B71/'Unit Economics'!B$28)</f>
        <v>10.16642362</v>
      </c>
      <c r="C72" s="93">
        <f>IF('Unit Economics'!C$28=0,"n/a",C71/'Unit Economics'!C$28)</f>
        <v>6.329054773</v>
      </c>
      <c r="D72" s="93">
        <f>IF('Unit Economics'!D$28=0,"n/a",D71/'Unit Economics'!D$28)</f>
        <v>3.380437282</v>
      </c>
      <c r="E72" s="93">
        <f>IF('Unit Economics'!E$28=0,"n/a",E71/'Unit Economics'!E$28)</f>
        <v>1.849881695</v>
      </c>
      <c r="F72" s="93">
        <f>IF('Unit Economics'!F$28=0,"n/a",F71/'Unit Economics'!F$28)</f>
        <v>1.102272813</v>
      </c>
      <c r="G72" s="93">
        <f>IF('Unit Economics'!G$28=0,"n/a",G71/'Unit Economics'!G$28)</f>
        <v>0.8563971771</v>
      </c>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5"/>
  <pageSetup orientation="landscape"/>
  <headerFooter>
    <oddHeader>&amp;C&amp;F&amp;R&amp;D &amp;T</oddHead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37.43"/>
    <col customWidth="1" min="2" max="7" width="12.57"/>
    <col customWidth="1" min="8" max="26" width="8.57"/>
  </cols>
  <sheetData>
    <row r="1" ht="12.75" customHeight="1">
      <c r="A1" s="43" t="str">
        <f>VentureName</f>
        <v>THIɅK Clear</v>
      </c>
      <c r="B1" s="2"/>
      <c r="C1" s="2"/>
      <c r="D1" s="2"/>
      <c r="E1" s="2"/>
      <c r="F1" s="2"/>
      <c r="G1" s="2"/>
      <c r="H1" s="2"/>
      <c r="I1" s="2"/>
      <c r="J1" s="2"/>
      <c r="K1" s="2"/>
      <c r="L1" s="2"/>
      <c r="M1" s="2"/>
      <c r="N1" s="2"/>
      <c r="O1" s="2"/>
      <c r="P1" s="2"/>
      <c r="Q1" s="2"/>
      <c r="R1" s="2"/>
      <c r="S1" s="2"/>
      <c r="T1" s="2"/>
      <c r="U1" s="2"/>
      <c r="V1" s="2"/>
      <c r="W1" s="2"/>
      <c r="X1" s="2"/>
      <c r="Y1" s="2"/>
      <c r="Z1" s="2"/>
    </row>
    <row r="2" ht="12.75" customHeight="1">
      <c r="A2" s="14" t="s">
        <v>173</v>
      </c>
      <c r="B2" s="2"/>
      <c r="C2" s="2"/>
      <c r="D2" s="2"/>
      <c r="E2" s="97"/>
      <c r="F2" s="2"/>
      <c r="G2" s="2"/>
      <c r="H2" s="2"/>
      <c r="I2" s="2"/>
      <c r="J2" s="2"/>
      <c r="K2" s="2"/>
      <c r="L2" s="2"/>
      <c r="M2" s="2"/>
      <c r="N2" s="2"/>
      <c r="O2" s="2"/>
      <c r="P2" s="2"/>
      <c r="Q2" s="2"/>
      <c r="R2" s="2"/>
      <c r="S2" s="2"/>
      <c r="T2" s="2"/>
      <c r="U2" s="2"/>
      <c r="V2" s="2"/>
      <c r="W2" s="2"/>
      <c r="X2" s="2"/>
      <c r="Y2" s="2"/>
      <c r="Z2" s="2"/>
    </row>
    <row r="3" ht="12.75" customHeight="1">
      <c r="A3" s="2"/>
      <c r="B3" s="98" t="str">
        <f>SalesMktg!B5</f>
        <v>Yr1</v>
      </c>
      <c r="C3" s="98" t="str">
        <f>SalesMktg!C5</f>
        <v>Yr2</v>
      </c>
      <c r="D3" s="98" t="str">
        <f>SalesMktg!D5</f>
        <v>Yr3</v>
      </c>
      <c r="E3" s="98" t="str">
        <f>SalesMktg!E5</f>
        <v>Yr4</v>
      </c>
      <c r="F3" s="98" t="str">
        <f>SalesMktg!F5</f>
        <v>Yr5</v>
      </c>
      <c r="G3" s="98" t="str">
        <f>SalesMktg!G5</f>
        <v>Yr6</v>
      </c>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14" t="s">
        <v>174</v>
      </c>
      <c r="B5" s="85">
        <f>'Unit Economics'!B28</f>
        <v>27148.19</v>
      </c>
      <c r="C5" s="85">
        <f>'Unit Economics'!C28</f>
        <v>87580.21851</v>
      </c>
      <c r="D5" s="85">
        <f>'Unit Economics'!D28</f>
        <v>179621.7321</v>
      </c>
      <c r="E5" s="85">
        <f>'Unit Economics'!E28</f>
        <v>328237.2065</v>
      </c>
      <c r="F5" s="85">
        <f>'Unit Economics'!F28</f>
        <v>550861.8126</v>
      </c>
      <c r="G5" s="85">
        <f>'Unit Economics'!G28</f>
        <v>905070.7087</v>
      </c>
      <c r="H5" s="2"/>
      <c r="I5" s="2"/>
      <c r="J5" s="2"/>
      <c r="K5" s="2"/>
      <c r="L5" s="2"/>
      <c r="M5" s="2"/>
      <c r="N5" s="2"/>
      <c r="O5" s="2"/>
      <c r="P5" s="2"/>
      <c r="Q5" s="2"/>
      <c r="R5" s="2"/>
      <c r="S5" s="2"/>
      <c r="T5" s="2"/>
      <c r="U5" s="2"/>
      <c r="V5" s="2"/>
      <c r="W5" s="2"/>
      <c r="X5" s="2"/>
      <c r="Y5" s="2"/>
      <c r="Z5" s="2"/>
    </row>
    <row r="6" ht="12.75" customHeight="1">
      <c r="A6" s="2"/>
      <c r="B6" s="81"/>
      <c r="C6" s="81"/>
      <c r="D6" s="81"/>
      <c r="E6" s="81"/>
      <c r="F6" s="81"/>
      <c r="G6" s="81"/>
      <c r="H6" s="2"/>
      <c r="I6" s="2"/>
      <c r="J6" s="2"/>
      <c r="K6" s="2"/>
      <c r="L6" s="2"/>
      <c r="M6" s="2"/>
      <c r="N6" s="2"/>
      <c r="O6" s="2"/>
      <c r="P6" s="2"/>
      <c r="Q6" s="2"/>
      <c r="R6" s="2"/>
      <c r="S6" s="2"/>
      <c r="T6" s="2"/>
      <c r="U6" s="2"/>
      <c r="V6" s="2"/>
      <c r="W6" s="2"/>
      <c r="X6" s="2"/>
      <c r="Y6" s="2"/>
      <c r="Z6" s="2"/>
    </row>
    <row r="7" ht="12.75" customHeight="1">
      <c r="A7" s="14" t="s">
        <v>121</v>
      </c>
      <c r="B7" s="85">
        <f>SalesMktg!B56</f>
        <v>71223.57</v>
      </c>
      <c r="C7" s="85">
        <f>SalesMktg!C56</f>
        <v>114906.9</v>
      </c>
      <c r="D7" s="85">
        <f>SalesMktg!D56</f>
        <v>192947.0628</v>
      </c>
      <c r="E7" s="85">
        <f>SalesMktg!E56</f>
        <v>314557.6474</v>
      </c>
      <c r="F7" s="85">
        <f>SalesMktg!F56</f>
        <v>497499.9458</v>
      </c>
      <c r="G7" s="85">
        <f>SalesMktg!G56</f>
        <v>790449.0766</v>
      </c>
      <c r="H7" s="2"/>
      <c r="I7" s="2"/>
      <c r="J7" s="2"/>
      <c r="K7" s="2"/>
      <c r="L7" s="2"/>
      <c r="M7" s="2"/>
      <c r="N7" s="2"/>
      <c r="O7" s="2"/>
      <c r="P7" s="2"/>
      <c r="Q7" s="2"/>
      <c r="R7" s="2"/>
      <c r="S7" s="2"/>
      <c r="T7" s="2"/>
      <c r="U7" s="2"/>
      <c r="V7" s="2"/>
      <c r="W7" s="2"/>
      <c r="X7" s="2"/>
      <c r="Y7" s="2"/>
      <c r="Z7" s="2"/>
    </row>
    <row r="8" ht="12.75" customHeight="1">
      <c r="A8" s="31" t="s">
        <v>164</v>
      </c>
      <c r="B8" s="91">
        <f t="shared" ref="B8:G8" si="1">IF(B$5=0,"n/a",B$7/B$5)</f>
        <v>2.623510812</v>
      </c>
      <c r="C8" s="91">
        <f t="shared" si="1"/>
        <v>1.312018878</v>
      </c>
      <c r="D8" s="91">
        <f t="shared" si="1"/>
        <v>1.074185515</v>
      </c>
      <c r="E8" s="91">
        <f t="shared" si="1"/>
        <v>0.9583241668</v>
      </c>
      <c r="F8" s="91">
        <f t="shared" si="1"/>
        <v>0.9031302124</v>
      </c>
      <c r="G8" s="91">
        <f t="shared" si="1"/>
        <v>0.8733561577</v>
      </c>
      <c r="H8" s="99"/>
      <c r="I8" s="99"/>
      <c r="J8" s="99"/>
      <c r="K8" s="99"/>
      <c r="L8" s="2"/>
      <c r="M8" s="2"/>
      <c r="N8" s="2"/>
      <c r="O8" s="2"/>
      <c r="P8" s="2"/>
      <c r="Q8" s="2"/>
      <c r="R8" s="2"/>
      <c r="S8" s="2"/>
      <c r="T8" s="2"/>
      <c r="U8" s="2"/>
      <c r="V8" s="2"/>
      <c r="W8" s="2"/>
      <c r="X8" s="2"/>
      <c r="Y8" s="2"/>
      <c r="Z8" s="2"/>
    </row>
    <row r="9" ht="12.75" customHeight="1">
      <c r="A9" s="2"/>
      <c r="B9" s="2"/>
      <c r="C9" s="2"/>
      <c r="D9" s="2"/>
      <c r="E9" s="2"/>
      <c r="F9" s="2"/>
      <c r="G9" s="2"/>
      <c r="H9" s="99"/>
      <c r="I9" s="99"/>
      <c r="J9" s="99"/>
      <c r="K9" s="99"/>
      <c r="L9" s="2"/>
      <c r="M9" s="2"/>
      <c r="N9" s="2"/>
      <c r="O9" s="2"/>
      <c r="P9" s="2"/>
      <c r="Q9" s="2"/>
      <c r="R9" s="2"/>
      <c r="S9" s="2"/>
      <c r="T9" s="2"/>
      <c r="U9" s="2"/>
      <c r="V9" s="2"/>
      <c r="W9" s="2"/>
      <c r="X9" s="2"/>
      <c r="Y9" s="2"/>
      <c r="Z9" s="2"/>
    </row>
    <row r="10" ht="12.75" customHeight="1">
      <c r="A10" s="14" t="s">
        <v>175</v>
      </c>
      <c r="B10" s="2"/>
      <c r="C10" s="2"/>
      <c r="D10" s="2"/>
      <c r="E10" s="2"/>
      <c r="F10" s="2"/>
      <c r="G10" s="2"/>
      <c r="H10" s="99"/>
      <c r="I10" s="99"/>
      <c r="J10" s="99"/>
      <c r="K10" s="99"/>
      <c r="L10" s="2"/>
      <c r="M10" s="2"/>
      <c r="N10" s="2"/>
      <c r="O10" s="2"/>
      <c r="P10" s="2"/>
      <c r="Q10" s="2"/>
      <c r="R10" s="2"/>
      <c r="S10" s="2"/>
      <c r="T10" s="2"/>
      <c r="U10" s="2"/>
      <c r="V10" s="2"/>
      <c r="W10" s="2"/>
      <c r="X10" s="2"/>
      <c r="Y10" s="2"/>
      <c r="Z10" s="2"/>
    </row>
    <row r="11" ht="12.75" customHeight="1">
      <c r="A11" s="31" t="s">
        <v>176</v>
      </c>
      <c r="B11" s="81"/>
      <c r="C11" s="81"/>
      <c r="D11" s="81"/>
      <c r="E11" s="81"/>
      <c r="F11" s="81"/>
      <c r="G11" s="81"/>
      <c r="H11" s="99"/>
      <c r="I11" s="99"/>
      <c r="J11" s="99"/>
      <c r="K11" s="99"/>
      <c r="L11" s="2"/>
      <c r="M11" s="2"/>
      <c r="N11" s="2"/>
      <c r="O11" s="2"/>
      <c r="P11" s="2"/>
      <c r="Q11" s="2"/>
      <c r="R11" s="2"/>
      <c r="S11" s="2"/>
      <c r="T11" s="2"/>
      <c r="U11" s="2"/>
      <c r="V11" s="2"/>
      <c r="W11" s="2"/>
      <c r="X11" s="2"/>
      <c r="Y11" s="2"/>
      <c r="Z11" s="2"/>
    </row>
    <row r="12" ht="12.75" customHeight="1">
      <c r="A12" s="31" t="s">
        <v>177</v>
      </c>
      <c r="B12" s="100">
        <v>0.0</v>
      </c>
      <c r="C12" s="100">
        <v>0.0</v>
      </c>
      <c r="D12" s="100">
        <v>0.0</v>
      </c>
      <c r="E12" s="100">
        <v>0.0</v>
      </c>
      <c r="F12" s="100">
        <v>0.0</v>
      </c>
      <c r="G12" s="100">
        <v>0.0</v>
      </c>
      <c r="H12" s="99"/>
      <c r="I12" s="99"/>
      <c r="J12" s="99"/>
      <c r="K12" s="99"/>
      <c r="L12" s="2"/>
      <c r="M12" s="2"/>
      <c r="N12" s="2"/>
      <c r="O12" s="2"/>
      <c r="P12" s="2"/>
      <c r="Q12" s="2"/>
      <c r="R12" s="2"/>
      <c r="S12" s="2"/>
      <c r="T12" s="2"/>
      <c r="U12" s="2"/>
      <c r="V12" s="2"/>
      <c r="W12" s="2"/>
      <c r="X12" s="2"/>
      <c r="Y12" s="2"/>
      <c r="Z12" s="2"/>
    </row>
    <row r="13" ht="12.75" customHeight="1">
      <c r="A13" s="31" t="s">
        <v>178</v>
      </c>
      <c r="B13" s="100">
        <v>0.0</v>
      </c>
      <c r="C13" s="100">
        <v>0.0</v>
      </c>
      <c r="D13" s="100">
        <v>0.0</v>
      </c>
      <c r="E13" s="100">
        <v>0.0</v>
      </c>
      <c r="F13" s="100">
        <v>0.0</v>
      </c>
      <c r="G13" s="100">
        <v>0.0</v>
      </c>
      <c r="H13" s="99"/>
      <c r="I13" s="99"/>
      <c r="J13" s="99"/>
      <c r="K13" s="99"/>
      <c r="L13" s="2"/>
      <c r="M13" s="2"/>
      <c r="N13" s="2"/>
      <c r="O13" s="2"/>
      <c r="P13" s="2"/>
      <c r="Q13" s="2"/>
      <c r="R13" s="2"/>
      <c r="S13" s="2"/>
      <c r="T13" s="2"/>
      <c r="U13" s="2"/>
      <c r="V13" s="2"/>
      <c r="W13" s="2"/>
      <c r="X13" s="2"/>
      <c r="Y13" s="2"/>
      <c r="Z13" s="2"/>
    </row>
    <row r="14" ht="12.75" customHeight="1">
      <c r="A14" s="31" t="s">
        <v>179</v>
      </c>
      <c r="B14" s="101">
        <f>'Hiring Plan'!B47*2000</f>
        <v>4000</v>
      </c>
      <c r="C14" s="101">
        <f>'Hiring Plan'!C47*2000</f>
        <v>8000</v>
      </c>
      <c r="D14" s="101">
        <f>'Hiring Plan'!D47*2000</f>
        <v>10000</v>
      </c>
      <c r="E14" s="101">
        <f>'Hiring Plan'!E47*2000</f>
        <v>10000</v>
      </c>
      <c r="F14" s="101">
        <f>'Hiring Plan'!F47*2000</f>
        <v>10000</v>
      </c>
      <c r="G14" s="101">
        <f>'Hiring Plan'!G47*2000</f>
        <v>14000</v>
      </c>
      <c r="H14" s="99"/>
      <c r="I14" s="99"/>
      <c r="J14" s="99"/>
      <c r="K14" s="99"/>
      <c r="L14" s="2"/>
      <c r="M14" s="2"/>
      <c r="N14" s="2"/>
      <c r="O14" s="2"/>
      <c r="P14" s="2"/>
      <c r="Q14" s="2"/>
      <c r="R14" s="2"/>
      <c r="S14" s="2"/>
      <c r="T14" s="2"/>
      <c r="U14" s="2"/>
      <c r="V14" s="2"/>
      <c r="W14" s="2"/>
      <c r="X14" s="2"/>
      <c r="Y14" s="2"/>
      <c r="Z14" s="2"/>
    </row>
    <row r="15" ht="12.75" customHeight="1">
      <c r="A15" s="31" t="s">
        <v>180</v>
      </c>
      <c r="B15" s="101">
        <f>1.2*23.84*'Unit Economics'!B19</f>
        <v>5178.048</v>
      </c>
      <c r="C15" s="101">
        <f>1.2*23.84*'Unit Economics'!C19</f>
        <v>10327.488</v>
      </c>
      <c r="D15" s="101">
        <f>1.2*23.84*'Unit Economics'!D19</f>
        <v>19853.952</v>
      </c>
      <c r="E15" s="101">
        <f>1.2*23.84*'Unit Economics'!E19</f>
        <v>34386.816</v>
      </c>
      <c r="F15" s="101">
        <f>1.2*23.84*'Unit Economics'!F19</f>
        <v>55041.792</v>
      </c>
      <c r="G15" s="101">
        <f>1.2*23.84*'Unit Economics'!G19</f>
        <v>88055.424</v>
      </c>
      <c r="H15" s="99"/>
      <c r="I15" s="99"/>
      <c r="J15" s="99"/>
      <c r="K15" s="99"/>
      <c r="L15" s="2"/>
      <c r="M15" s="2"/>
      <c r="N15" s="2"/>
      <c r="O15" s="2"/>
      <c r="P15" s="2"/>
      <c r="Q15" s="2"/>
      <c r="R15" s="2"/>
      <c r="S15" s="2"/>
      <c r="T15" s="2"/>
      <c r="U15" s="2"/>
      <c r="V15" s="2"/>
      <c r="W15" s="2"/>
      <c r="X15" s="2"/>
      <c r="Y15" s="2"/>
      <c r="Z15" s="2"/>
    </row>
    <row r="16" ht="12.75" customHeight="1">
      <c r="A16" s="31" t="s">
        <v>181</v>
      </c>
      <c r="B16" s="100">
        <v>3900.0</v>
      </c>
      <c r="C16" s="100">
        <v>3900.0</v>
      </c>
      <c r="D16" s="100">
        <v>3900.0</v>
      </c>
      <c r="E16" s="100">
        <v>4100.0</v>
      </c>
      <c r="F16" s="100">
        <v>4100.0</v>
      </c>
      <c r="G16" s="100">
        <v>4100.0</v>
      </c>
      <c r="H16" s="99"/>
      <c r="I16" s="99"/>
      <c r="J16" s="99"/>
      <c r="K16" s="99"/>
      <c r="L16" s="2"/>
      <c r="M16" s="2"/>
      <c r="N16" s="2"/>
      <c r="O16" s="2"/>
      <c r="P16" s="2"/>
      <c r="Q16" s="2"/>
      <c r="R16" s="2"/>
      <c r="S16" s="2"/>
      <c r="T16" s="2"/>
      <c r="U16" s="2"/>
      <c r="V16" s="2"/>
      <c r="W16" s="2"/>
      <c r="X16" s="2"/>
      <c r="Y16" s="2"/>
      <c r="Z16" s="2"/>
    </row>
    <row r="17" ht="12.75" customHeight="1">
      <c r="A17" s="31" t="s">
        <v>182</v>
      </c>
      <c r="B17" s="101">
        <f>1449*6.8*'Hiring Plan'!B47</f>
        <v>19706.4</v>
      </c>
      <c r="C17" s="101">
        <f>1449*6.8*'Hiring Plan'!C47</f>
        <v>39412.8</v>
      </c>
      <c r="D17" s="101">
        <f>1449*6.8*'Hiring Plan'!D47</f>
        <v>49266</v>
      </c>
      <c r="E17" s="101">
        <f>1449*6.8*'Hiring Plan'!E47</f>
        <v>49266</v>
      </c>
      <c r="F17" s="101">
        <f>1449*6.8*'Hiring Plan'!F47</f>
        <v>49266</v>
      </c>
      <c r="G17" s="101">
        <f>1449*6.8*'Hiring Plan'!G47</f>
        <v>68972.4</v>
      </c>
      <c r="H17" s="99"/>
      <c r="I17" s="99"/>
      <c r="J17" s="99"/>
      <c r="K17" s="99"/>
      <c r="L17" s="2"/>
      <c r="M17" s="2"/>
      <c r="N17" s="2"/>
      <c r="O17" s="2"/>
      <c r="P17" s="2"/>
      <c r="Q17" s="2"/>
      <c r="R17" s="2"/>
      <c r="S17" s="2"/>
      <c r="T17" s="2"/>
      <c r="U17" s="2"/>
      <c r="V17" s="2"/>
      <c r="W17" s="2"/>
      <c r="X17" s="2"/>
      <c r="Y17" s="2"/>
      <c r="Z17" s="2"/>
    </row>
    <row r="18" ht="12.75" customHeight="1">
      <c r="A18" s="31" t="s">
        <v>183</v>
      </c>
      <c r="B18" s="102">
        <f t="shared" ref="B18:G18" si="2">SUM(B12:B17)</f>
        <v>32784.448</v>
      </c>
      <c r="C18" s="102">
        <f t="shared" si="2"/>
        <v>61640.288</v>
      </c>
      <c r="D18" s="102">
        <f t="shared" si="2"/>
        <v>83019.952</v>
      </c>
      <c r="E18" s="102">
        <f t="shared" si="2"/>
        <v>97752.816</v>
      </c>
      <c r="F18" s="102">
        <f t="shared" si="2"/>
        <v>118407.792</v>
      </c>
      <c r="G18" s="102">
        <f t="shared" si="2"/>
        <v>175127.824</v>
      </c>
      <c r="H18" s="99"/>
      <c r="I18" s="99"/>
      <c r="J18" s="99"/>
      <c r="K18" s="99"/>
      <c r="L18" s="2"/>
      <c r="M18" s="2"/>
      <c r="N18" s="2"/>
      <c r="O18" s="2"/>
      <c r="P18" s="2"/>
      <c r="Q18" s="2"/>
      <c r="R18" s="2"/>
      <c r="S18" s="2"/>
      <c r="T18" s="2"/>
      <c r="U18" s="2"/>
      <c r="V18" s="2"/>
      <c r="W18" s="2"/>
      <c r="X18" s="2"/>
      <c r="Y18" s="2"/>
      <c r="Z18" s="2"/>
    </row>
    <row r="19" ht="12.75" customHeight="1">
      <c r="A19" s="31" t="s">
        <v>164</v>
      </c>
      <c r="B19" s="93">
        <f t="shared" ref="B19:G19" si="3">IF(B$5=0,"n/a",B18/B$5)</f>
        <v>1.20761082</v>
      </c>
      <c r="C19" s="93">
        <f t="shared" si="3"/>
        <v>0.7038151885</v>
      </c>
      <c r="D19" s="93">
        <f t="shared" si="3"/>
        <v>0.4621932492</v>
      </c>
      <c r="E19" s="93">
        <f t="shared" si="3"/>
        <v>0.2978115036</v>
      </c>
      <c r="F19" s="93">
        <f t="shared" si="3"/>
        <v>0.2149500824</v>
      </c>
      <c r="G19" s="93">
        <f t="shared" si="3"/>
        <v>0.1934962896</v>
      </c>
      <c r="H19" s="99"/>
      <c r="I19" s="99"/>
      <c r="J19" s="99"/>
      <c r="K19" s="99"/>
      <c r="L19" s="2"/>
      <c r="M19" s="2"/>
      <c r="N19" s="2"/>
      <c r="O19" s="2"/>
      <c r="P19" s="2"/>
      <c r="Q19" s="2"/>
      <c r="R19" s="2"/>
      <c r="S19" s="2"/>
      <c r="T19" s="2"/>
      <c r="U19" s="2"/>
      <c r="V19" s="2"/>
      <c r="W19" s="2"/>
      <c r="X19" s="2"/>
      <c r="Y19" s="2"/>
      <c r="Z19" s="2"/>
    </row>
    <row r="20" ht="12.75" customHeight="1">
      <c r="A20" s="2"/>
      <c r="B20" s="2"/>
      <c r="C20" s="2"/>
      <c r="D20" s="2"/>
      <c r="E20" s="2"/>
      <c r="F20" s="2"/>
      <c r="G20" s="2"/>
      <c r="H20" s="99"/>
      <c r="I20" s="99"/>
      <c r="J20" s="99"/>
      <c r="K20" s="99"/>
      <c r="L20" s="2"/>
      <c r="M20" s="2"/>
      <c r="N20" s="2"/>
      <c r="O20" s="2"/>
      <c r="P20" s="2"/>
      <c r="Q20" s="2"/>
      <c r="R20" s="2"/>
      <c r="S20" s="2"/>
      <c r="T20" s="2"/>
      <c r="U20" s="2"/>
      <c r="V20" s="2"/>
      <c r="W20" s="2"/>
      <c r="X20" s="2"/>
      <c r="Y20" s="2"/>
      <c r="Z20" s="2"/>
    </row>
    <row r="21" ht="12.75" customHeight="1">
      <c r="A21" s="2"/>
      <c r="B21" s="2"/>
      <c r="C21" s="2"/>
      <c r="D21" s="2"/>
      <c r="E21" s="2"/>
      <c r="F21" s="2"/>
      <c r="G21" s="2"/>
      <c r="H21" s="99"/>
      <c r="I21" s="99"/>
      <c r="J21" s="99"/>
      <c r="K21" s="99"/>
      <c r="L21" s="2"/>
      <c r="M21" s="2"/>
      <c r="N21" s="2"/>
      <c r="O21" s="2"/>
      <c r="P21" s="2"/>
      <c r="Q21" s="2"/>
      <c r="R21" s="2"/>
      <c r="S21" s="2"/>
      <c r="T21" s="2"/>
      <c r="U21" s="2"/>
      <c r="V21" s="2"/>
      <c r="W21" s="2"/>
      <c r="X21" s="2"/>
      <c r="Y21" s="2"/>
      <c r="Z21" s="2"/>
    </row>
    <row r="22" ht="12.75" customHeight="1">
      <c r="A22" s="14" t="s">
        <v>135</v>
      </c>
      <c r="B22" s="2"/>
      <c r="C22" s="2"/>
      <c r="D22" s="2"/>
      <c r="E22" s="2"/>
      <c r="F22" s="2"/>
      <c r="G22" s="2"/>
      <c r="H22" s="99"/>
      <c r="I22" s="99"/>
      <c r="J22" s="99"/>
      <c r="K22" s="99"/>
      <c r="L22" s="2"/>
      <c r="M22" s="2"/>
      <c r="N22" s="2"/>
      <c r="O22" s="2"/>
      <c r="P22" s="2"/>
      <c r="Q22" s="2"/>
      <c r="R22" s="2"/>
      <c r="S22" s="2"/>
      <c r="T22" s="2"/>
      <c r="U22" s="2"/>
      <c r="V22" s="2"/>
      <c r="W22" s="2"/>
      <c r="X22" s="2"/>
      <c r="Y22" s="2"/>
      <c r="Z22" s="2"/>
    </row>
    <row r="23" ht="12.75" customHeight="1">
      <c r="A23" s="31" t="s">
        <v>184</v>
      </c>
      <c r="B23" s="81"/>
      <c r="C23" s="81"/>
      <c r="D23" s="81"/>
      <c r="E23" s="81"/>
      <c r="F23" s="81"/>
      <c r="G23" s="81"/>
      <c r="H23" s="99"/>
      <c r="I23" s="99"/>
      <c r="J23" s="99"/>
      <c r="K23" s="99"/>
      <c r="L23" s="2"/>
      <c r="M23" s="2"/>
      <c r="N23" s="2"/>
      <c r="O23" s="2"/>
      <c r="P23" s="2"/>
      <c r="Q23" s="2"/>
      <c r="R23" s="2"/>
      <c r="S23" s="2"/>
      <c r="T23" s="2"/>
      <c r="U23" s="2"/>
      <c r="V23" s="2"/>
      <c r="W23" s="2"/>
      <c r="X23" s="2"/>
      <c r="Y23" s="2"/>
      <c r="Z23" s="2"/>
    </row>
    <row r="24" ht="12.75" customHeight="1">
      <c r="A24" s="31" t="s">
        <v>185</v>
      </c>
      <c r="B24" s="103">
        <f>32.12*'Hiring Plan'!B47*250</f>
        <v>16060</v>
      </c>
      <c r="C24" s="103">
        <f>32.12*'Hiring Plan'!C47*250</f>
        <v>32120</v>
      </c>
      <c r="D24" s="103">
        <f>32.12*'Hiring Plan'!D47*250</f>
        <v>40150</v>
      </c>
      <c r="E24" s="103">
        <f>32.12*'Hiring Plan'!E47*250</f>
        <v>40150</v>
      </c>
      <c r="F24" s="103">
        <f>32.12*'Hiring Plan'!F47*250</f>
        <v>40150</v>
      </c>
      <c r="G24" s="103">
        <f>32.12*'Hiring Plan'!G47*250</f>
        <v>56210</v>
      </c>
      <c r="H24" s="99"/>
      <c r="I24" s="99"/>
      <c r="J24" s="99"/>
      <c r="K24" s="99"/>
      <c r="L24" s="2"/>
      <c r="M24" s="2"/>
      <c r="N24" s="2"/>
      <c r="O24" s="2"/>
      <c r="P24" s="2"/>
      <c r="Q24" s="2"/>
      <c r="R24" s="2"/>
      <c r="S24" s="2"/>
      <c r="T24" s="2"/>
      <c r="U24" s="2"/>
      <c r="V24" s="2"/>
      <c r="W24" s="2"/>
      <c r="X24" s="2"/>
      <c r="Y24" s="2"/>
      <c r="Z24" s="2"/>
    </row>
    <row r="25" ht="12.75" customHeight="1">
      <c r="A25" s="31" t="s">
        <v>186</v>
      </c>
      <c r="B25" s="101">
        <f t="shared" ref="B25:G25" si="4">1750+1500+3000</f>
        <v>6250</v>
      </c>
      <c r="C25" s="101">
        <f t="shared" si="4"/>
        <v>6250</v>
      </c>
      <c r="D25" s="101">
        <f t="shared" si="4"/>
        <v>6250</v>
      </c>
      <c r="E25" s="101">
        <f t="shared" si="4"/>
        <v>6250</v>
      </c>
      <c r="F25" s="101">
        <f t="shared" si="4"/>
        <v>6250</v>
      </c>
      <c r="G25" s="101">
        <f t="shared" si="4"/>
        <v>6250</v>
      </c>
      <c r="H25" s="99"/>
      <c r="I25" s="99"/>
      <c r="J25" s="99"/>
      <c r="K25" s="99"/>
      <c r="L25" s="2"/>
      <c r="M25" s="2"/>
      <c r="N25" s="2"/>
      <c r="O25" s="2"/>
      <c r="P25" s="2"/>
      <c r="Q25" s="2"/>
      <c r="R25" s="2"/>
      <c r="S25" s="2"/>
      <c r="T25" s="2"/>
      <c r="U25" s="2"/>
      <c r="V25" s="2"/>
      <c r="W25" s="2"/>
      <c r="X25" s="2"/>
      <c r="Y25" s="2"/>
      <c r="Z25" s="2"/>
    </row>
    <row r="26" ht="12.75" customHeight="1">
      <c r="A26" s="31" t="s">
        <v>177</v>
      </c>
      <c r="B26" s="101">
        <f>800+100*'Hiring Plan'!B47</f>
        <v>1000</v>
      </c>
      <c r="C26" s="101">
        <f>800+100*'Hiring Plan'!C47</f>
        <v>1200</v>
      </c>
      <c r="D26" s="101">
        <f>800+100*'Hiring Plan'!D47</f>
        <v>1300</v>
      </c>
      <c r="E26" s="101">
        <f>800+100*'Hiring Plan'!E47</f>
        <v>1300</v>
      </c>
      <c r="F26" s="101">
        <f>800+100*'Hiring Plan'!F47</f>
        <v>1300</v>
      </c>
      <c r="G26" s="101">
        <f>800+100*'Hiring Plan'!G47</f>
        <v>1500</v>
      </c>
      <c r="H26" s="99"/>
      <c r="I26" s="99"/>
      <c r="J26" s="99"/>
      <c r="K26" s="99"/>
      <c r="L26" s="2"/>
      <c r="M26" s="2"/>
      <c r="N26" s="2"/>
      <c r="O26" s="2"/>
      <c r="P26" s="2"/>
      <c r="Q26" s="2"/>
      <c r="R26" s="2"/>
      <c r="S26" s="2"/>
      <c r="T26" s="2"/>
      <c r="U26" s="2"/>
      <c r="V26" s="2"/>
      <c r="W26" s="2"/>
      <c r="X26" s="2"/>
      <c r="Y26" s="2"/>
      <c r="Z26" s="2"/>
    </row>
    <row r="27" ht="12.75" customHeight="1">
      <c r="A27" s="31" t="s">
        <v>181</v>
      </c>
      <c r="B27" s="100">
        <v>0.0</v>
      </c>
      <c r="C27" s="100">
        <v>0.0</v>
      </c>
      <c r="D27" s="100">
        <v>0.0</v>
      </c>
      <c r="E27" s="100">
        <v>0.0</v>
      </c>
      <c r="F27" s="100">
        <v>0.0</v>
      </c>
      <c r="G27" s="100">
        <v>0.0</v>
      </c>
      <c r="H27" s="99"/>
      <c r="I27" s="99"/>
      <c r="J27" s="99"/>
      <c r="K27" s="99"/>
      <c r="L27" s="2"/>
      <c r="M27" s="2"/>
      <c r="N27" s="2"/>
      <c r="O27" s="2"/>
      <c r="P27" s="2"/>
      <c r="Q27" s="2"/>
      <c r="R27" s="2"/>
      <c r="S27" s="2"/>
      <c r="T27" s="2"/>
      <c r="U27" s="2"/>
      <c r="V27" s="2"/>
      <c r="W27" s="2"/>
      <c r="X27" s="2"/>
      <c r="Y27" s="2"/>
      <c r="Z27" s="2"/>
    </row>
    <row r="28" ht="12.75" customHeight="1">
      <c r="A28" s="31" t="s">
        <v>187</v>
      </c>
      <c r="B28" s="100">
        <v>0.0</v>
      </c>
      <c r="C28" s="100">
        <v>0.0</v>
      </c>
      <c r="D28" s="100">
        <v>0.0</v>
      </c>
      <c r="E28" s="100">
        <v>0.0</v>
      </c>
      <c r="F28" s="100">
        <v>0.0</v>
      </c>
      <c r="G28" s="100">
        <v>0.0</v>
      </c>
      <c r="H28" s="99"/>
      <c r="I28" s="99"/>
      <c r="J28" s="99"/>
      <c r="K28" s="99"/>
      <c r="L28" s="2"/>
      <c r="M28" s="2"/>
      <c r="N28" s="2"/>
      <c r="O28" s="2"/>
      <c r="P28" s="2"/>
      <c r="Q28" s="2"/>
      <c r="R28" s="2"/>
      <c r="S28" s="2"/>
      <c r="T28" s="2"/>
      <c r="U28" s="2"/>
      <c r="V28" s="2"/>
      <c r="W28" s="2"/>
      <c r="X28" s="2"/>
      <c r="Y28" s="2"/>
      <c r="Z28" s="2"/>
    </row>
    <row r="29" ht="12.75" customHeight="1">
      <c r="A29" s="31" t="s">
        <v>182</v>
      </c>
      <c r="B29" s="100">
        <v>0.0</v>
      </c>
      <c r="C29" s="100">
        <v>0.0</v>
      </c>
      <c r="D29" s="100">
        <v>0.0</v>
      </c>
      <c r="E29" s="100">
        <v>0.0</v>
      </c>
      <c r="F29" s="100">
        <v>0.0</v>
      </c>
      <c r="G29" s="100">
        <v>0.0</v>
      </c>
      <c r="H29" s="99"/>
      <c r="I29" s="99"/>
      <c r="J29" s="99"/>
      <c r="K29" s="99"/>
      <c r="L29" s="2"/>
      <c r="M29" s="2"/>
      <c r="N29" s="2"/>
      <c r="O29" s="2"/>
      <c r="P29" s="2"/>
      <c r="Q29" s="2"/>
      <c r="R29" s="2"/>
      <c r="S29" s="2"/>
      <c r="T29" s="2"/>
      <c r="U29" s="2"/>
      <c r="V29" s="2"/>
      <c r="W29" s="2"/>
      <c r="X29" s="2"/>
      <c r="Y29" s="2"/>
      <c r="Z29" s="2"/>
    </row>
    <row r="30" ht="12.75" customHeight="1">
      <c r="A30" s="31" t="s">
        <v>188</v>
      </c>
      <c r="B30" s="100">
        <v>0.0</v>
      </c>
      <c r="C30" s="100">
        <v>0.0</v>
      </c>
      <c r="D30" s="100">
        <v>0.0</v>
      </c>
      <c r="E30" s="100">
        <v>0.0</v>
      </c>
      <c r="F30" s="100">
        <v>0.0</v>
      </c>
      <c r="G30" s="100">
        <v>0.0</v>
      </c>
      <c r="H30" s="99"/>
      <c r="I30" s="99"/>
      <c r="J30" s="99"/>
      <c r="K30" s="99"/>
      <c r="L30" s="2"/>
      <c r="M30" s="2"/>
      <c r="N30" s="2"/>
      <c r="O30" s="2"/>
      <c r="P30" s="2"/>
      <c r="Q30" s="2"/>
      <c r="R30" s="2"/>
      <c r="S30" s="2"/>
      <c r="T30" s="2"/>
      <c r="U30" s="2"/>
      <c r="V30" s="2"/>
      <c r="W30" s="2"/>
      <c r="X30" s="2"/>
      <c r="Y30" s="2"/>
      <c r="Z30" s="2"/>
    </row>
    <row r="31" ht="12.75" customHeight="1">
      <c r="A31" s="31" t="s">
        <v>189</v>
      </c>
      <c r="B31" s="104">
        <f>18*'Unit Economics'!B19</f>
        <v>3258</v>
      </c>
      <c r="C31" s="104">
        <f>18*'Unit Economics'!C19</f>
        <v>6498</v>
      </c>
      <c r="D31" s="104">
        <f>18*'Unit Economics'!D19</f>
        <v>12492</v>
      </c>
      <c r="E31" s="104">
        <f>18*'Unit Economics'!E19</f>
        <v>21636</v>
      </c>
      <c r="F31" s="104">
        <f>18*'Unit Economics'!F19</f>
        <v>34632</v>
      </c>
      <c r="G31" s="104">
        <f>18*'Unit Economics'!G19</f>
        <v>55404</v>
      </c>
      <c r="H31" s="99"/>
      <c r="I31" s="99"/>
      <c r="J31" s="99"/>
      <c r="K31" s="99"/>
      <c r="L31" s="2"/>
      <c r="M31" s="2"/>
      <c r="N31" s="2"/>
      <c r="O31" s="2"/>
      <c r="P31" s="2"/>
      <c r="Q31" s="2"/>
      <c r="R31" s="2"/>
      <c r="S31" s="2"/>
      <c r="T31" s="2"/>
      <c r="U31" s="2"/>
      <c r="V31" s="2"/>
      <c r="W31" s="2"/>
      <c r="X31" s="2"/>
      <c r="Y31" s="2"/>
      <c r="Z31" s="2"/>
    </row>
    <row r="32" ht="12.75" customHeight="1">
      <c r="A32" s="31" t="s">
        <v>190</v>
      </c>
      <c r="B32" s="85">
        <f t="shared" ref="B32:G32" si="5">SUM(B24:B31)</f>
        <v>26568</v>
      </c>
      <c r="C32" s="85">
        <f t="shared" si="5"/>
        <v>46068</v>
      </c>
      <c r="D32" s="85">
        <f t="shared" si="5"/>
        <v>60192</v>
      </c>
      <c r="E32" s="85">
        <f t="shared" si="5"/>
        <v>69336</v>
      </c>
      <c r="F32" s="85">
        <f t="shared" si="5"/>
        <v>82332</v>
      </c>
      <c r="G32" s="85">
        <f t="shared" si="5"/>
        <v>119364</v>
      </c>
      <c r="H32" s="99"/>
      <c r="I32" s="99"/>
      <c r="J32" s="99"/>
      <c r="K32" s="99"/>
      <c r="L32" s="2"/>
      <c r="M32" s="2"/>
      <c r="N32" s="2"/>
      <c r="O32" s="2"/>
      <c r="P32" s="2"/>
      <c r="Q32" s="2"/>
      <c r="R32" s="2"/>
      <c r="S32" s="2"/>
      <c r="T32" s="2"/>
      <c r="U32" s="2"/>
      <c r="V32" s="2"/>
      <c r="W32" s="2"/>
      <c r="X32" s="2"/>
      <c r="Y32" s="2"/>
      <c r="Z32" s="2"/>
    </row>
    <row r="33" ht="12.75" customHeight="1">
      <c r="A33" s="31" t="s">
        <v>164</v>
      </c>
      <c r="B33" s="91">
        <f t="shared" ref="B33:G33" si="6">IF(B$5=0,"n/a",B32/B$5)</f>
        <v>0.9786287778</v>
      </c>
      <c r="C33" s="91">
        <f t="shared" si="6"/>
        <v>0.5260091923</v>
      </c>
      <c r="D33" s="91">
        <f t="shared" si="6"/>
        <v>0.3351042175</v>
      </c>
      <c r="E33" s="91">
        <f t="shared" si="6"/>
        <v>0.211237479</v>
      </c>
      <c r="F33" s="91">
        <f t="shared" si="6"/>
        <v>0.1494603512</v>
      </c>
      <c r="G33" s="91">
        <f t="shared" si="6"/>
        <v>0.1318836184</v>
      </c>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4" t="s">
        <v>191</v>
      </c>
      <c r="B35" s="85">
        <f t="shared" ref="B35:G35" si="7">B7+B18+B32</f>
        <v>130576.018</v>
      </c>
      <c r="C35" s="85">
        <f t="shared" si="7"/>
        <v>222615.188</v>
      </c>
      <c r="D35" s="85">
        <f t="shared" si="7"/>
        <v>336159.0148</v>
      </c>
      <c r="E35" s="85">
        <f t="shared" si="7"/>
        <v>481646.4634</v>
      </c>
      <c r="F35" s="85">
        <f t="shared" si="7"/>
        <v>698239.7378</v>
      </c>
      <c r="G35" s="85">
        <f t="shared" si="7"/>
        <v>1084940.901</v>
      </c>
      <c r="H35" s="2"/>
      <c r="I35" s="2"/>
      <c r="J35" s="2"/>
      <c r="K35" s="2"/>
      <c r="L35" s="2"/>
      <c r="M35" s="2"/>
      <c r="N35" s="2"/>
      <c r="O35" s="2"/>
      <c r="P35" s="2"/>
      <c r="Q35" s="2"/>
      <c r="R35" s="2"/>
      <c r="S35" s="2"/>
      <c r="T35" s="2"/>
      <c r="U35" s="2"/>
      <c r="V35" s="2"/>
      <c r="W35" s="2"/>
      <c r="X35" s="2"/>
      <c r="Y35" s="2"/>
      <c r="Z35" s="2"/>
    </row>
    <row r="36" ht="12.75" customHeight="1">
      <c r="A36" s="31" t="s">
        <v>192</v>
      </c>
      <c r="B36" s="93">
        <f t="shared" ref="B36:G36" si="8">IF(B$5=0,"n/a",B35/B$5)</f>
        <v>4.809750411</v>
      </c>
      <c r="C36" s="93">
        <f t="shared" si="8"/>
        <v>2.541843259</v>
      </c>
      <c r="D36" s="93">
        <f t="shared" si="8"/>
        <v>1.871482982</v>
      </c>
      <c r="E36" s="93">
        <f t="shared" si="8"/>
        <v>1.467373149</v>
      </c>
      <c r="F36" s="93">
        <f t="shared" si="8"/>
        <v>1.267540646</v>
      </c>
      <c r="G36" s="93">
        <f t="shared" si="8"/>
        <v>1.198736066</v>
      </c>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81"/>
      <c r="C46" s="81"/>
      <c r="D46" s="81"/>
      <c r="E46" s="81"/>
      <c r="F46" s="81"/>
      <c r="G46" s="2"/>
      <c r="H46" s="2"/>
      <c r="I46" s="2"/>
      <c r="J46" s="2"/>
      <c r="K46" s="2"/>
      <c r="L46" s="2"/>
      <c r="M46" s="2"/>
      <c r="N46" s="2"/>
      <c r="O46" s="2"/>
      <c r="P46" s="2"/>
      <c r="Q46" s="2"/>
      <c r="R46" s="2"/>
      <c r="S46" s="2"/>
      <c r="T46" s="2"/>
      <c r="U46" s="2"/>
      <c r="V46" s="2"/>
      <c r="W46" s="2"/>
      <c r="X46" s="2"/>
      <c r="Y46" s="2"/>
      <c r="Z46" s="2"/>
    </row>
    <row r="47" ht="12.75" customHeight="1">
      <c r="A47" s="2"/>
      <c r="B47" s="84"/>
      <c r="C47" s="84"/>
      <c r="D47" s="84"/>
      <c r="E47" s="84"/>
      <c r="F47" s="84"/>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5"/>
  <pageSetup orientation="portrait"/>
  <headerFooter>
    <oddHeader>&amp;C&amp;F&amp;R&amp;D &amp;T</oddHead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7.43"/>
    <col customWidth="1" min="2" max="7" width="12.86"/>
    <col customWidth="1" min="8" max="26" width="8.57"/>
  </cols>
  <sheetData>
    <row r="1">
      <c r="A1" s="43" t="str">
        <f>VentureName</f>
        <v>THIɅK Clear</v>
      </c>
      <c r="B1" s="44"/>
      <c r="C1" s="44"/>
      <c r="D1" s="44"/>
      <c r="E1" s="74"/>
      <c r="F1" s="44"/>
      <c r="G1" s="44"/>
      <c r="H1" s="44"/>
      <c r="I1" s="44"/>
      <c r="J1" s="44"/>
      <c r="K1" s="44"/>
      <c r="L1" s="44"/>
      <c r="M1" s="44"/>
      <c r="N1" s="44"/>
      <c r="O1" s="44"/>
      <c r="P1" s="44"/>
      <c r="Q1" s="44"/>
      <c r="R1" s="44"/>
      <c r="S1" s="44"/>
      <c r="T1" s="44"/>
      <c r="U1" s="44"/>
      <c r="V1" s="44"/>
      <c r="W1" s="44"/>
      <c r="X1" s="44"/>
      <c r="Y1" s="44"/>
      <c r="Z1" s="44"/>
    </row>
    <row r="2">
      <c r="A2" s="14" t="s">
        <v>193</v>
      </c>
      <c r="B2" s="59" t="str">
        <f>SalesMktg!B5</f>
        <v>Yr1</v>
      </c>
      <c r="C2" s="59" t="str">
        <f>SalesMktg!C5</f>
        <v>Yr2</v>
      </c>
      <c r="D2" s="59" t="str">
        <f>SalesMktg!D5</f>
        <v>Yr3</v>
      </c>
      <c r="E2" s="59" t="str">
        <f>SalesMktg!E5</f>
        <v>Yr4</v>
      </c>
      <c r="F2" s="59" t="str">
        <f>SalesMktg!F5</f>
        <v>Yr5</v>
      </c>
      <c r="G2" s="59" t="str">
        <f>SalesMktg!G5</f>
        <v>Yr6</v>
      </c>
      <c r="H2" s="44"/>
      <c r="I2" s="44"/>
      <c r="J2" s="44"/>
      <c r="K2" s="44"/>
      <c r="L2" s="44"/>
      <c r="M2" s="44"/>
      <c r="N2" s="44"/>
      <c r="O2" s="44"/>
      <c r="P2" s="44"/>
      <c r="Q2" s="44"/>
      <c r="R2" s="44"/>
      <c r="S2" s="44"/>
      <c r="T2" s="44"/>
      <c r="U2" s="44"/>
      <c r="V2" s="44"/>
      <c r="W2" s="44"/>
      <c r="X2" s="44"/>
      <c r="Y2" s="44"/>
      <c r="Z2" s="44"/>
    </row>
    <row r="3">
      <c r="A3" s="14" t="s">
        <v>174</v>
      </c>
      <c r="B3" s="85">
        <f>'Unit Economics'!B28</f>
        <v>27148.19</v>
      </c>
      <c r="C3" s="85">
        <f>'Unit Economics'!C28</f>
        <v>87580.21851</v>
      </c>
      <c r="D3" s="85">
        <f>'Unit Economics'!D28</f>
        <v>179621.7321</v>
      </c>
      <c r="E3" s="85">
        <f>'Unit Economics'!E28</f>
        <v>328237.2065</v>
      </c>
      <c r="F3" s="85">
        <f>'Unit Economics'!F28</f>
        <v>550861.8126</v>
      </c>
      <c r="G3" s="85">
        <f>'Unit Economics'!G28</f>
        <v>905070.7087</v>
      </c>
      <c r="H3" s="44"/>
      <c r="I3" s="44"/>
      <c r="J3" s="44"/>
      <c r="K3" s="44"/>
      <c r="L3" s="44"/>
      <c r="M3" s="44"/>
      <c r="N3" s="44"/>
      <c r="O3" s="44"/>
      <c r="P3" s="44"/>
      <c r="Q3" s="44"/>
      <c r="R3" s="44"/>
      <c r="S3" s="44"/>
      <c r="T3" s="44"/>
      <c r="U3" s="44"/>
      <c r="V3" s="44"/>
      <c r="W3" s="44"/>
      <c r="X3" s="44"/>
      <c r="Y3" s="44"/>
      <c r="Z3" s="44"/>
    </row>
    <row r="4">
      <c r="A4" s="2"/>
      <c r="B4" s="105"/>
      <c r="C4" s="105"/>
      <c r="D4" s="105"/>
      <c r="E4" s="105"/>
      <c r="F4" s="105"/>
      <c r="G4" s="105"/>
      <c r="H4" s="44"/>
      <c r="I4" s="44"/>
      <c r="J4" s="44"/>
      <c r="K4" s="44"/>
      <c r="L4" s="44"/>
      <c r="M4" s="44"/>
      <c r="N4" s="44"/>
      <c r="O4" s="44"/>
      <c r="P4" s="44"/>
      <c r="Q4" s="44"/>
      <c r="R4" s="44"/>
      <c r="S4" s="44"/>
      <c r="T4" s="44"/>
      <c r="U4" s="44"/>
      <c r="V4" s="44"/>
      <c r="W4" s="44"/>
      <c r="X4" s="44"/>
      <c r="Y4" s="44"/>
      <c r="Z4" s="44"/>
    </row>
    <row r="5">
      <c r="A5" s="14" t="s">
        <v>194</v>
      </c>
      <c r="B5" s="85">
        <f>'Unit Economics'!B36</f>
        <v>4314.47709</v>
      </c>
      <c r="C5" s="85">
        <f>'Unit Economics'!C36</f>
        <v>8605.11729</v>
      </c>
      <c r="D5" s="85">
        <f>'Unit Economics'!D36</f>
        <v>16542.80166</v>
      </c>
      <c r="E5" s="85">
        <f>'Unit Economics'!E36</f>
        <v>28651.94178</v>
      </c>
      <c r="F5" s="85">
        <f>'Unit Economics'!F36</f>
        <v>45862.17636</v>
      </c>
      <c r="G5" s="85">
        <f>'Unit Economics'!G36</f>
        <v>73369.94742</v>
      </c>
      <c r="H5" s="44"/>
      <c r="I5" s="44"/>
      <c r="J5" s="44"/>
      <c r="K5" s="44"/>
      <c r="L5" s="44"/>
      <c r="M5" s="44"/>
      <c r="N5" s="44"/>
      <c r="O5" s="44"/>
      <c r="P5" s="44"/>
      <c r="Q5" s="44"/>
      <c r="R5" s="44"/>
      <c r="S5" s="44"/>
      <c r="T5" s="44"/>
      <c r="U5" s="44"/>
      <c r="V5" s="44"/>
      <c r="W5" s="44"/>
      <c r="X5" s="44"/>
      <c r="Y5" s="44"/>
      <c r="Z5" s="44"/>
    </row>
    <row r="6">
      <c r="A6" s="2" t="s">
        <v>195</v>
      </c>
      <c r="B6" s="106">
        <f t="shared" ref="B6:G6" si="1">IF(B$3=0,"n/a",B5/B$3)</f>
        <v>0.1589231949</v>
      </c>
      <c r="C6" s="106">
        <f t="shared" si="1"/>
        <v>0.0982541199</v>
      </c>
      <c r="D6" s="106">
        <f t="shared" si="1"/>
        <v>0.09209799652</v>
      </c>
      <c r="E6" s="106">
        <f t="shared" si="1"/>
        <v>0.08729035349</v>
      </c>
      <c r="F6" s="106">
        <f t="shared" si="1"/>
        <v>0.08325531977</v>
      </c>
      <c r="G6" s="106">
        <f t="shared" si="1"/>
        <v>0.08106543137</v>
      </c>
      <c r="H6" s="44"/>
      <c r="I6" s="44"/>
      <c r="J6" s="44"/>
      <c r="K6" s="44"/>
      <c r="L6" s="44"/>
      <c r="M6" s="44"/>
      <c r="N6" s="44"/>
      <c r="O6" s="44"/>
      <c r="P6" s="44"/>
      <c r="Q6" s="44"/>
      <c r="R6" s="44"/>
      <c r="S6" s="44"/>
      <c r="T6" s="44"/>
      <c r="U6" s="44"/>
      <c r="V6" s="44"/>
      <c r="W6" s="44"/>
      <c r="X6" s="44"/>
      <c r="Y6" s="44"/>
      <c r="Z6" s="44"/>
    </row>
    <row r="7">
      <c r="A7" s="14"/>
      <c r="B7" s="107"/>
      <c r="C7" s="107"/>
      <c r="D7" s="107"/>
      <c r="E7" s="107"/>
      <c r="F7" s="107"/>
      <c r="G7" s="107"/>
      <c r="H7" s="44"/>
      <c r="I7" s="44"/>
      <c r="J7" s="44"/>
      <c r="K7" s="44"/>
      <c r="L7" s="44"/>
      <c r="M7" s="44"/>
      <c r="N7" s="44"/>
      <c r="O7" s="44"/>
      <c r="P7" s="44"/>
      <c r="Q7" s="44"/>
      <c r="R7" s="44"/>
      <c r="S7" s="44"/>
      <c r="T7" s="44"/>
      <c r="U7" s="44"/>
      <c r="V7" s="44"/>
      <c r="W7" s="44"/>
      <c r="X7" s="44"/>
      <c r="Y7" s="44"/>
      <c r="Z7" s="44"/>
    </row>
    <row r="8">
      <c r="A8" s="14" t="s">
        <v>196</v>
      </c>
      <c r="B8" s="108">
        <f t="shared" ref="B8:G8" si="2">B3-B5</f>
        <v>22833.71291</v>
      </c>
      <c r="C8" s="108">
        <f t="shared" si="2"/>
        <v>78975.10122</v>
      </c>
      <c r="D8" s="108">
        <f t="shared" si="2"/>
        <v>163078.9305</v>
      </c>
      <c r="E8" s="108">
        <f t="shared" si="2"/>
        <v>299585.2647</v>
      </c>
      <c r="F8" s="108">
        <f t="shared" si="2"/>
        <v>504999.6363</v>
      </c>
      <c r="G8" s="108">
        <f t="shared" si="2"/>
        <v>831700.7613</v>
      </c>
      <c r="H8" s="44"/>
      <c r="I8" s="44"/>
      <c r="J8" s="44"/>
      <c r="K8" s="44"/>
      <c r="L8" s="44"/>
      <c r="M8" s="44"/>
      <c r="N8" s="44"/>
      <c r="O8" s="44"/>
      <c r="P8" s="44"/>
      <c r="Q8" s="44"/>
      <c r="R8" s="44"/>
      <c r="S8" s="44"/>
      <c r="T8" s="44"/>
      <c r="U8" s="44"/>
      <c r="V8" s="44"/>
      <c r="W8" s="44"/>
      <c r="X8" s="44"/>
      <c r="Y8" s="44"/>
      <c r="Z8" s="44"/>
    </row>
    <row r="9">
      <c r="A9" s="2" t="s">
        <v>195</v>
      </c>
      <c r="B9" s="106">
        <f t="shared" ref="B9:G9" si="3">IF(B$3=0,"n/a",B8/B$3)</f>
        <v>0.8410768051</v>
      </c>
      <c r="C9" s="106">
        <f t="shared" si="3"/>
        <v>0.9017458801</v>
      </c>
      <c r="D9" s="106">
        <f t="shared" si="3"/>
        <v>0.9079020035</v>
      </c>
      <c r="E9" s="106">
        <f t="shared" si="3"/>
        <v>0.9127096465</v>
      </c>
      <c r="F9" s="106">
        <f t="shared" si="3"/>
        <v>0.9167446802</v>
      </c>
      <c r="G9" s="106">
        <f t="shared" si="3"/>
        <v>0.9189345686</v>
      </c>
      <c r="H9" s="44"/>
      <c r="I9" s="44"/>
      <c r="J9" s="44"/>
      <c r="K9" s="44"/>
      <c r="L9" s="44"/>
      <c r="M9" s="44"/>
      <c r="N9" s="44"/>
      <c r="O9" s="44"/>
      <c r="P9" s="44"/>
      <c r="Q9" s="44"/>
      <c r="R9" s="44"/>
      <c r="S9" s="44"/>
      <c r="T9" s="44"/>
      <c r="U9" s="44"/>
      <c r="V9" s="44"/>
      <c r="W9" s="44"/>
      <c r="X9" s="44"/>
      <c r="Y9" s="44"/>
      <c r="Z9" s="44"/>
    </row>
    <row r="10">
      <c r="A10" s="2"/>
      <c r="B10" s="81"/>
      <c r="C10" s="81"/>
      <c r="D10" s="81"/>
      <c r="E10" s="81"/>
      <c r="F10" s="81"/>
      <c r="G10" s="81"/>
      <c r="H10" s="44"/>
      <c r="I10" s="44"/>
      <c r="J10" s="44"/>
      <c r="K10" s="44"/>
      <c r="L10" s="44"/>
      <c r="M10" s="44"/>
      <c r="N10" s="44"/>
      <c r="O10" s="44"/>
      <c r="P10" s="44"/>
      <c r="Q10" s="44"/>
      <c r="R10" s="44"/>
      <c r="S10" s="44"/>
      <c r="T10" s="44"/>
      <c r="U10" s="44"/>
      <c r="V10" s="44"/>
      <c r="W10" s="44"/>
      <c r="X10" s="44"/>
      <c r="Y10" s="44"/>
      <c r="Z10" s="44"/>
    </row>
    <row r="11">
      <c r="A11" s="14" t="s">
        <v>173</v>
      </c>
      <c r="B11" s="81"/>
      <c r="C11" s="81"/>
      <c r="D11" s="81"/>
      <c r="E11" s="81"/>
      <c r="F11" s="81"/>
      <c r="G11" s="81"/>
      <c r="H11" s="44"/>
      <c r="I11" s="44"/>
      <c r="J11" s="44"/>
      <c r="K11" s="44"/>
      <c r="L11" s="44"/>
      <c r="M11" s="44"/>
      <c r="N11" s="44"/>
      <c r="O11" s="44"/>
      <c r="P11" s="44"/>
      <c r="Q11" s="44"/>
      <c r="R11" s="44"/>
      <c r="S11" s="44"/>
      <c r="T11" s="44"/>
      <c r="U11" s="44"/>
      <c r="V11" s="44"/>
      <c r="W11" s="44"/>
      <c r="X11" s="44"/>
      <c r="Y11" s="44"/>
      <c r="Z11" s="44"/>
    </row>
    <row r="12">
      <c r="A12" s="2" t="s">
        <v>197</v>
      </c>
      <c r="B12" s="109">
        <f>SalesMktg!B56+'Salary Expense'!B19</f>
        <v>71223.57</v>
      </c>
      <c r="C12" s="109">
        <f>SalesMktg!C56+'Salary Expense'!C19</f>
        <v>114906.9</v>
      </c>
      <c r="D12" s="109">
        <f>SalesMktg!D56+'Salary Expense'!D19</f>
        <v>245847.0628</v>
      </c>
      <c r="E12" s="109">
        <f>SalesMktg!E56+'Salary Expense'!E19</f>
        <v>367457.6474</v>
      </c>
      <c r="F12" s="109">
        <f>SalesMktg!F56+'Salary Expense'!F19</f>
        <v>550399.9458</v>
      </c>
      <c r="G12" s="109">
        <f>SalesMktg!G56+'Salary Expense'!G19</f>
        <v>843349.0766</v>
      </c>
      <c r="H12" s="44"/>
      <c r="I12" s="44"/>
      <c r="J12" s="44"/>
      <c r="K12" s="44"/>
      <c r="L12" s="44"/>
      <c r="M12" s="44"/>
      <c r="N12" s="44"/>
      <c r="O12" s="44"/>
      <c r="P12" s="44"/>
      <c r="Q12" s="44"/>
      <c r="R12" s="44"/>
      <c r="S12" s="44"/>
      <c r="T12" s="44"/>
      <c r="U12" s="44"/>
      <c r="V12" s="44"/>
      <c r="W12" s="44"/>
      <c r="X12" s="44"/>
      <c r="Y12" s="44"/>
      <c r="Z12" s="44"/>
    </row>
    <row r="13">
      <c r="A13" s="31" t="s">
        <v>198</v>
      </c>
      <c r="B13" s="109">
        <f>'Salary Expense'!B30+'Other Ops Expense'!B18</f>
        <v>209884.448</v>
      </c>
      <c r="C13" s="109">
        <f>'Salary Expense'!C30+'Other Ops Expense'!C18</f>
        <v>379040.288</v>
      </c>
      <c r="D13" s="109">
        <f>'Salary Expense'!D30+'Other Ops Expense'!D18</f>
        <v>400419.952</v>
      </c>
      <c r="E13" s="109">
        <f>'Salary Expense'!E30+'Other Ops Expense'!E18</f>
        <v>415152.816</v>
      </c>
      <c r="F13" s="109">
        <f>'Salary Expense'!F30+'Other Ops Expense'!F18</f>
        <v>435807.792</v>
      </c>
      <c r="G13" s="109">
        <f>'Salary Expense'!G30+'Other Ops Expense'!G18</f>
        <v>492527.824</v>
      </c>
      <c r="H13" s="44"/>
      <c r="I13" s="44"/>
      <c r="J13" s="44"/>
      <c r="K13" s="44"/>
      <c r="L13" s="44"/>
      <c r="M13" s="44"/>
      <c r="N13" s="44"/>
      <c r="O13" s="44"/>
      <c r="P13" s="44"/>
      <c r="Q13" s="44"/>
      <c r="R13" s="44"/>
      <c r="S13" s="44"/>
      <c r="T13" s="44"/>
      <c r="U13" s="44"/>
      <c r="V13" s="44"/>
      <c r="W13" s="44"/>
      <c r="X13" s="44"/>
      <c r="Y13" s="44"/>
      <c r="Z13" s="44"/>
    </row>
    <row r="14">
      <c r="A14" s="2" t="s">
        <v>199</v>
      </c>
      <c r="B14" s="109">
        <f>'Salary Expense'!B47+'Other Ops Expense'!B32</f>
        <v>125468</v>
      </c>
      <c r="C14" s="109">
        <f>'Salary Expense'!C47+'Other Ops Expense'!C32</f>
        <v>282968</v>
      </c>
      <c r="D14" s="109">
        <f>'Salary Expense'!D47+'Other Ops Expense'!D32</f>
        <v>297092</v>
      </c>
      <c r="E14" s="109">
        <f>'Salary Expense'!E47+'Other Ops Expense'!E32</f>
        <v>306236</v>
      </c>
      <c r="F14" s="109">
        <f>'Salary Expense'!F47+'Other Ops Expense'!F32</f>
        <v>319232</v>
      </c>
      <c r="G14" s="109">
        <f>'Salary Expense'!G47+'Other Ops Expense'!G32</f>
        <v>356264</v>
      </c>
      <c r="H14" s="44"/>
      <c r="I14" s="44"/>
      <c r="J14" s="44"/>
      <c r="K14" s="44"/>
      <c r="L14" s="44"/>
      <c r="M14" s="44"/>
      <c r="N14" s="44"/>
      <c r="O14" s="44"/>
      <c r="P14" s="44"/>
      <c r="Q14" s="44"/>
      <c r="R14" s="44"/>
      <c r="S14" s="44"/>
      <c r="T14" s="44"/>
      <c r="U14" s="44"/>
      <c r="V14" s="44"/>
      <c r="W14" s="44"/>
      <c r="X14" s="44"/>
      <c r="Y14" s="44"/>
      <c r="Z14" s="44"/>
    </row>
    <row r="15">
      <c r="A15" s="14" t="s">
        <v>191</v>
      </c>
      <c r="B15" s="110">
        <f t="shared" ref="B15:G15" si="4">SUM(B12:B14)</f>
        <v>406576.018</v>
      </c>
      <c r="C15" s="110">
        <f t="shared" si="4"/>
        <v>776915.188</v>
      </c>
      <c r="D15" s="110">
        <f t="shared" si="4"/>
        <v>943359.0148</v>
      </c>
      <c r="E15" s="110">
        <f t="shared" si="4"/>
        <v>1088846.463</v>
      </c>
      <c r="F15" s="110">
        <f t="shared" si="4"/>
        <v>1305439.738</v>
      </c>
      <c r="G15" s="110">
        <f t="shared" si="4"/>
        <v>1692140.901</v>
      </c>
      <c r="H15" s="44"/>
      <c r="I15" s="111"/>
      <c r="J15" s="111"/>
      <c r="K15" s="111"/>
      <c r="L15" s="111"/>
      <c r="M15" s="111"/>
      <c r="N15" s="44"/>
      <c r="O15" s="44"/>
      <c r="P15" s="44"/>
      <c r="Q15" s="44"/>
      <c r="R15" s="44"/>
      <c r="S15" s="44"/>
      <c r="T15" s="44"/>
      <c r="U15" s="44"/>
      <c r="V15" s="44"/>
      <c r="W15" s="44"/>
      <c r="X15" s="44"/>
      <c r="Y15" s="44"/>
      <c r="Z15" s="44"/>
    </row>
    <row r="16">
      <c r="A16" s="2" t="s">
        <v>195</v>
      </c>
      <c r="B16" s="106">
        <f t="shared" ref="B16:G16" si="5">IF(B$3=0,"n/a",B15/B$3)</f>
        <v>14.97617403</v>
      </c>
      <c r="C16" s="106">
        <f t="shared" si="5"/>
        <v>8.870898032</v>
      </c>
      <c r="D16" s="106">
        <f t="shared" si="5"/>
        <v>5.251920264</v>
      </c>
      <c r="E16" s="106">
        <f t="shared" si="5"/>
        <v>3.317254845</v>
      </c>
      <c r="F16" s="106">
        <f t="shared" si="5"/>
        <v>2.369813459</v>
      </c>
      <c r="G16" s="106">
        <f t="shared" si="5"/>
        <v>1.869622875</v>
      </c>
      <c r="H16" s="44"/>
      <c r="I16" s="44"/>
      <c r="J16" s="44"/>
      <c r="K16" s="44"/>
      <c r="L16" s="44"/>
      <c r="M16" s="44"/>
      <c r="N16" s="44"/>
      <c r="O16" s="44"/>
      <c r="P16" s="44"/>
      <c r="Q16" s="44"/>
      <c r="R16" s="44"/>
      <c r="S16" s="44"/>
      <c r="T16" s="44"/>
      <c r="U16" s="44"/>
      <c r="V16" s="44"/>
      <c r="W16" s="44"/>
      <c r="X16" s="44"/>
      <c r="Y16" s="44"/>
      <c r="Z16" s="44"/>
    </row>
    <row r="17">
      <c r="A17" s="2"/>
      <c r="B17" s="81"/>
      <c r="C17" s="81"/>
      <c r="D17" s="81"/>
      <c r="E17" s="81"/>
      <c r="F17" s="81"/>
      <c r="G17" s="81"/>
      <c r="H17" s="44"/>
      <c r="I17" s="44"/>
      <c r="J17" s="44"/>
      <c r="K17" s="44"/>
      <c r="L17" s="44"/>
      <c r="M17" s="44"/>
      <c r="N17" s="44"/>
      <c r="O17" s="44"/>
      <c r="P17" s="44"/>
      <c r="Q17" s="44"/>
      <c r="R17" s="44"/>
      <c r="S17" s="44"/>
      <c r="T17" s="44"/>
      <c r="U17" s="44"/>
      <c r="V17" s="44"/>
      <c r="W17" s="44"/>
      <c r="X17" s="44"/>
      <c r="Y17" s="44"/>
      <c r="Z17" s="44"/>
    </row>
    <row r="18">
      <c r="A18" s="14" t="s">
        <v>200</v>
      </c>
      <c r="B18" s="108">
        <f t="shared" ref="B18:G18" si="6">B8-B15</f>
        <v>-383742.3051</v>
      </c>
      <c r="C18" s="108">
        <f t="shared" si="6"/>
        <v>-697940.0868</v>
      </c>
      <c r="D18" s="108">
        <f t="shared" si="6"/>
        <v>-780280.0843</v>
      </c>
      <c r="E18" s="108">
        <f t="shared" si="6"/>
        <v>-789261.1987</v>
      </c>
      <c r="F18" s="108">
        <f t="shared" si="6"/>
        <v>-800440.1016</v>
      </c>
      <c r="G18" s="108">
        <f t="shared" si="6"/>
        <v>-860440.1394</v>
      </c>
      <c r="H18" s="44"/>
      <c r="I18" s="44"/>
      <c r="J18" s="44"/>
      <c r="K18" s="44"/>
      <c r="L18" s="44"/>
      <c r="M18" s="44"/>
      <c r="N18" s="44"/>
      <c r="O18" s="44"/>
      <c r="P18" s="44"/>
      <c r="Q18" s="44"/>
      <c r="R18" s="44"/>
      <c r="S18" s="44"/>
      <c r="T18" s="44"/>
      <c r="U18" s="44"/>
      <c r="V18" s="44"/>
      <c r="W18" s="44"/>
      <c r="X18" s="44"/>
      <c r="Y18" s="44"/>
      <c r="Z18" s="44"/>
    </row>
    <row r="19">
      <c r="A19" s="2"/>
      <c r="B19" s="2"/>
      <c r="C19" s="2"/>
      <c r="D19" s="2"/>
      <c r="E19" s="2"/>
      <c r="F19" s="2"/>
      <c r="G19" s="2"/>
      <c r="H19" s="44"/>
      <c r="I19" s="44"/>
      <c r="J19" s="44"/>
      <c r="K19" s="44"/>
      <c r="L19" s="44"/>
      <c r="M19" s="44"/>
      <c r="N19" s="44"/>
      <c r="O19" s="44"/>
      <c r="P19" s="44"/>
      <c r="Q19" s="44"/>
      <c r="R19" s="44"/>
      <c r="S19" s="44"/>
      <c r="T19" s="44"/>
      <c r="U19" s="44"/>
      <c r="V19" s="44"/>
      <c r="W19" s="44"/>
      <c r="X19" s="44"/>
      <c r="Y19" s="44"/>
      <c r="Z19" s="44"/>
    </row>
    <row r="20">
      <c r="A20" s="14" t="s">
        <v>201</v>
      </c>
      <c r="B20" s="112">
        <f t="shared" ref="B20:G20" si="7">IF(B18&lt;0,0,B18*$A$21)</f>
        <v>0</v>
      </c>
      <c r="C20" s="112">
        <f t="shared" si="7"/>
        <v>0</v>
      </c>
      <c r="D20" s="112">
        <f t="shared" si="7"/>
        <v>0</v>
      </c>
      <c r="E20" s="112">
        <f t="shared" si="7"/>
        <v>0</v>
      </c>
      <c r="F20" s="112">
        <f t="shared" si="7"/>
        <v>0</v>
      </c>
      <c r="G20" s="112">
        <f t="shared" si="7"/>
        <v>0</v>
      </c>
      <c r="H20" s="44"/>
      <c r="I20" s="44"/>
      <c r="J20" s="44"/>
      <c r="K20" s="44"/>
      <c r="L20" s="44"/>
      <c r="M20" s="44"/>
      <c r="N20" s="44"/>
      <c r="O20" s="44"/>
      <c r="P20" s="44"/>
      <c r="Q20" s="44"/>
      <c r="R20" s="44"/>
      <c r="S20" s="44"/>
      <c r="T20" s="44"/>
      <c r="U20" s="44"/>
      <c r="V20" s="44"/>
      <c r="W20" s="44"/>
      <c r="X20" s="44"/>
      <c r="Y20" s="44"/>
      <c r="Z20" s="44"/>
    </row>
    <row r="21" ht="15.75" customHeight="1">
      <c r="A21" s="113">
        <v>0.25</v>
      </c>
      <c r="B21" s="2"/>
      <c r="C21" s="2"/>
      <c r="D21" s="2"/>
      <c r="E21" s="2"/>
      <c r="F21" s="2"/>
      <c r="G21" s="2"/>
      <c r="H21" s="44"/>
      <c r="I21" s="44"/>
      <c r="J21" s="44"/>
      <c r="K21" s="44"/>
      <c r="L21" s="44"/>
      <c r="M21" s="44"/>
      <c r="N21" s="44"/>
      <c r="O21" s="44"/>
      <c r="P21" s="44"/>
      <c r="Q21" s="44"/>
      <c r="R21" s="44"/>
      <c r="S21" s="44"/>
      <c r="T21" s="44"/>
      <c r="U21" s="44"/>
      <c r="V21" s="44"/>
      <c r="W21" s="44"/>
      <c r="X21" s="44"/>
      <c r="Y21" s="44"/>
      <c r="Z21" s="44"/>
    </row>
    <row r="22" ht="15.75" customHeight="1">
      <c r="A22" s="14" t="s">
        <v>202</v>
      </c>
      <c r="B22" s="114">
        <f t="shared" ref="B22:G22" si="8">B18-B20</f>
        <v>-383742.3051</v>
      </c>
      <c r="C22" s="114">
        <f t="shared" si="8"/>
        <v>-697940.0868</v>
      </c>
      <c r="D22" s="114">
        <f t="shared" si="8"/>
        <v>-780280.0843</v>
      </c>
      <c r="E22" s="114">
        <f t="shared" si="8"/>
        <v>-789261.1987</v>
      </c>
      <c r="F22" s="114">
        <f t="shared" si="8"/>
        <v>-800440.1016</v>
      </c>
      <c r="G22" s="114">
        <f t="shared" si="8"/>
        <v>-860440.1394</v>
      </c>
      <c r="H22" s="44"/>
      <c r="I22" s="44"/>
      <c r="J22" s="44"/>
      <c r="K22" s="44"/>
      <c r="L22" s="44"/>
      <c r="M22" s="44"/>
      <c r="N22" s="44"/>
      <c r="O22" s="44"/>
      <c r="P22" s="44"/>
      <c r="Q22" s="44"/>
      <c r="R22" s="44"/>
      <c r="S22" s="44"/>
      <c r="T22" s="44"/>
      <c r="U22" s="44"/>
      <c r="V22" s="44"/>
      <c r="W22" s="44"/>
      <c r="X22" s="44"/>
      <c r="Y22" s="44"/>
      <c r="Z22" s="44"/>
    </row>
    <row r="23" ht="15.75" customHeight="1">
      <c r="A23" s="2" t="s">
        <v>195</v>
      </c>
      <c r="B23" s="106">
        <f t="shared" ref="B23:G23" si="9">IF(B$3=0,"n/a",B22/B$3)</f>
        <v>-14.13509722</v>
      </c>
      <c r="C23" s="106">
        <f t="shared" si="9"/>
        <v>-7.969152152</v>
      </c>
      <c r="D23" s="106">
        <f t="shared" si="9"/>
        <v>-4.34401826</v>
      </c>
      <c r="E23" s="106">
        <f t="shared" si="9"/>
        <v>-2.404545198</v>
      </c>
      <c r="F23" s="106">
        <f t="shared" si="9"/>
        <v>-1.453068779</v>
      </c>
      <c r="G23" s="106">
        <f t="shared" si="9"/>
        <v>-0.9506883065</v>
      </c>
      <c r="H23" s="44"/>
      <c r="I23" s="44"/>
      <c r="J23" s="44"/>
      <c r="K23" s="44"/>
      <c r="L23" s="44"/>
      <c r="M23" s="44"/>
      <c r="N23" s="44"/>
      <c r="O23" s="44"/>
      <c r="P23" s="44"/>
      <c r="Q23" s="44"/>
      <c r="R23" s="44"/>
      <c r="S23" s="44"/>
      <c r="T23" s="44"/>
      <c r="U23" s="44"/>
      <c r="V23" s="44"/>
      <c r="W23" s="44"/>
      <c r="X23" s="44"/>
      <c r="Y23" s="44"/>
      <c r="Z23" s="44"/>
    </row>
    <row r="24" ht="15.75" customHeight="1">
      <c r="A24" s="115"/>
      <c r="B24" s="115"/>
      <c r="C24" s="115"/>
      <c r="D24" s="115"/>
      <c r="E24" s="115"/>
      <c r="F24" s="115"/>
      <c r="G24" s="115"/>
      <c r="H24" s="44"/>
      <c r="I24" s="44"/>
      <c r="J24" s="44"/>
      <c r="K24" s="44"/>
      <c r="L24" s="44"/>
      <c r="M24" s="44"/>
      <c r="N24" s="44"/>
      <c r="O24" s="44"/>
      <c r="P24" s="44"/>
      <c r="Q24" s="44"/>
      <c r="R24" s="44"/>
      <c r="S24" s="44"/>
      <c r="T24" s="44"/>
      <c r="U24" s="44"/>
      <c r="V24" s="44"/>
      <c r="W24" s="44"/>
      <c r="X24" s="44"/>
      <c r="Y24" s="44"/>
      <c r="Z24" s="44"/>
    </row>
    <row r="25" ht="15.75" customHeight="1">
      <c r="A25" s="115"/>
      <c r="B25" s="115"/>
      <c r="C25" s="115"/>
      <c r="D25" s="115"/>
      <c r="E25" s="116"/>
      <c r="F25" s="116"/>
      <c r="G25" s="115"/>
      <c r="H25" s="44"/>
      <c r="I25" s="44"/>
      <c r="J25" s="44"/>
      <c r="K25" s="44"/>
      <c r="L25" s="44"/>
      <c r="M25" s="44"/>
      <c r="N25" s="44"/>
      <c r="O25" s="44"/>
      <c r="P25" s="44"/>
      <c r="Q25" s="44"/>
      <c r="R25" s="44"/>
      <c r="S25" s="44"/>
      <c r="T25" s="44"/>
      <c r="U25" s="44"/>
      <c r="V25" s="44"/>
      <c r="W25" s="44"/>
      <c r="X25" s="44"/>
      <c r="Y25" s="44"/>
      <c r="Z25" s="44"/>
    </row>
    <row r="26" ht="15.7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5.7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5.7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5.7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5.7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5.7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5.7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rintOptions/>
  <pageMargins bottom="0.5" footer="0.0" header="0.0" left="0.75" right="0.75" top="0.5"/>
  <pageSetup orientation="landscape"/>
  <headerFooter>
    <oddHeader>&amp;C&amp;F&amp;R&amp;D &amp;T</oddHead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10.43"/>
    <col customWidth="1" min="3" max="26" width="11.57"/>
  </cols>
  <sheetData>
    <row r="1" ht="20.25" customHeight="1">
      <c r="A1" s="43" t="str">
        <f>VentureName</f>
        <v>THIɅK Clear</v>
      </c>
      <c r="B1" s="117"/>
    </row>
    <row r="2" ht="12.75" customHeight="1"/>
    <row r="3" ht="12.75" customHeight="1">
      <c r="B3" s="118" t="s">
        <v>203</v>
      </c>
      <c r="C3" s="118" t="s">
        <v>204</v>
      </c>
      <c r="D3" s="118" t="s">
        <v>205</v>
      </c>
      <c r="E3" s="118" t="s">
        <v>206</v>
      </c>
      <c r="F3" s="118" t="s">
        <v>207</v>
      </c>
      <c r="G3" s="118" t="s">
        <v>208</v>
      </c>
      <c r="H3" s="118" t="s">
        <v>209</v>
      </c>
    </row>
    <row r="4" ht="12.75" customHeight="1">
      <c r="A4" s="118" t="s">
        <v>210</v>
      </c>
      <c r="B4" s="119"/>
      <c r="C4" s="120">
        <f t="shared" ref="C4:H4" si="1">B7</f>
        <v>0</v>
      </c>
      <c r="D4" s="120">
        <f t="shared" si="1"/>
        <v>116257.6949</v>
      </c>
      <c r="E4" s="120">
        <f t="shared" si="1"/>
        <v>918317.6081</v>
      </c>
      <c r="F4" s="120">
        <f t="shared" si="1"/>
        <v>138037.5238</v>
      </c>
      <c r="G4" s="120">
        <f t="shared" si="1"/>
        <v>2348776.325</v>
      </c>
      <c r="H4" s="120">
        <f t="shared" si="1"/>
        <v>1548336.224</v>
      </c>
    </row>
    <row r="5" ht="12.75" customHeight="1">
      <c r="A5" s="118" t="s">
        <v>211</v>
      </c>
      <c r="B5" s="121">
        <v>0.0</v>
      </c>
      <c r="C5" s="122">
        <v>500000.0</v>
      </c>
      <c r="D5" s="123">
        <v>1500000.0</v>
      </c>
      <c r="E5" s="122"/>
      <c r="F5" s="122">
        <v>3000000.0</v>
      </c>
      <c r="G5" s="122"/>
      <c r="H5" s="122"/>
    </row>
    <row r="6" ht="12.75" customHeight="1">
      <c r="A6" s="118" t="s">
        <v>212</v>
      </c>
      <c r="B6" s="124"/>
      <c r="C6" s="125">
        <f>'P&amp;L'!B22</f>
        <v>-383742.3051</v>
      </c>
      <c r="D6" s="125">
        <f>'P&amp;L'!C22</f>
        <v>-697940.0868</v>
      </c>
      <c r="E6" s="125">
        <f>'P&amp;L'!D22</f>
        <v>-780280.0843</v>
      </c>
      <c r="F6" s="125">
        <f>'P&amp;L'!E22</f>
        <v>-789261.1987</v>
      </c>
      <c r="G6" s="125">
        <f>'P&amp;L'!F22</f>
        <v>-800440.1016</v>
      </c>
      <c r="H6" s="125">
        <f>'P&amp;L'!G22</f>
        <v>-860440.1394</v>
      </c>
    </row>
    <row r="7" ht="12.75" customHeight="1">
      <c r="A7" s="118" t="s">
        <v>213</v>
      </c>
      <c r="B7" s="126">
        <f>B4+B5</f>
        <v>0</v>
      </c>
      <c r="C7" s="126">
        <f t="shared" ref="C7:H7" si="2">C4+C5+C6</f>
        <v>116257.6949</v>
      </c>
      <c r="D7" s="126">
        <f t="shared" si="2"/>
        <v>918317.6081</v>
      </c>
      <c r="E7" s="126">
        <f t="shared" si="2"/>
        <v>138037.5238</v>
      </c>
      <c r="F7" s="126">
        <f t="shared" si="2"/>
        <v>2348776.325</v>
      </c>
      <c r="G7" s="126">
        <f t="shared" si="2"/>
        <v>1548336.224</v>
      </c>
      <c r="H7" s="126">
        <f t="shared" si="2"/>
        <v>687896.0842</v>
      </c>
    </row>
    <row r="8" ht="12.75" customHeight="1"/>
    <row r="9" ht="12.75" customHeight="1"/>
    <row r="10" ht="30.0" customHeight="1">
      <c r="A10" s="127" t="s">
        <v>214</v>
      </c>
      <c r="B10" s="128"/>
      <c r="C10" s="128"/>
      <c r="D10" s="128"/>
      <c r="E10" s="128"/>
      <c r="F10" s="128"/>
      <c r="G10" s="128"/>
      <c r="H10" s="129"/>
    </row>
    <row r="11" ht="12.75" customHeight="1">
      <c r="A11" s="118"/>
    </row>
    <row r="12" ht="12.75" customHeight="1">
      <c r="A12" s="118" t="s">
        <v>215</v>
      </c>
    </row>
    <row r="13" ht="12.75" customHeight="1">
      <c r="A13" s="118" t="s">
        <v>216</v>
      </c>
    </row>
    <row r="14" ht="12.75" customHeight="1">
      <c r="A14" s="118" t="s">
        <v>217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0:H10"/>
  </mergeCell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13.43"/>
    <col customWidth="1" min="3" max="3" width="13.86"/>
    <col customWidth="1" min="4" max="4" width="13.43"/>
    <col customWidth="1" min="5" max="6" width="13.86"/>
    <col customWidth="1" min="7" max="26" width="8.71"/>
  </cols>
  <sheetData>
    <row r="1" ht="12.75" customHeight="1">
      <c r="A1" s="130" t="s">
        <v>218</v>
      </c>
      <c r="B1" s="130"/>
      <c r="C1" s="130"/>
      <c r="D1" s="130"/>
      <c r="E1" s="130"/>
      <c r="F1" s="130"/>
    </row>
    <row r="2" ht="12.75" customHeight="1">
      <c r="A2" s="2"/>
      <c r="B2" s="82"/>
      <c r="C2" s="82"/>
      <c r="D2" s="82"/>
      <c r="E2" s="82"/>
      <c r="F2" s="2"/>
    </row>
    <row r="3" ht="12.75" customHeight="1">
      <c r="A3" s="2"/>
      <c r="B3" s="131"/>
      <c r="C3" s="131"/>
      <c r="D3" s="131"/>
      <c r="E3" s="131"/>
      <c r="F3" s="131"/>
    </row>
    <row r="4" ht="12.75" customHeight="1">
      <c r="A4" s="132" t="s">
        <v>219</v>
      </c>
      <c r="B4" s="133" t="s">
        <v>220</v>
      </c>
      <c r="C4" s="133" t="s">
        <v>221</v>
      </c>
      <c r="D4" s="133" t="s">
        <v>222</v>
      </c>
      <c r="E4" s="133" t="s">
        <v>223</v>
      </c>
      <c r="F4" s="133" t="s">
        <v>224</v>
      </c>
    </row>
    <row r="5" ht="12.75" customHeight="1">
      <c r="A5" s="132" t="s">
        <v>225</v>
      </c>
      <c r="B5" s="134" t="s">
        <v>226</v>
      </c>
      <c r="C5" s="134" t="s">
        <v>226</v>
      </c>
      <c r="D5" s="134" t="s">
        <v>226</v>
      </c>
      <c r="E5" s="134" t="s">
        <v>226</v>
      </c>
      <c r="F5" s="135" t="s">
        <v>226</v>
      </c>
    </row>
    <row r="6" ht="12.75" customHeight="1"/>
    <row r="7" ht="12.75" customHeight="1"/>
    <row r="8" ht="12.75" customHeight="1">
      <c r="A8" s="2"/>
      <c r="B8" s="82"/>
      <c r="C8" s="82"/>
      <c r="D8" s="82"/>
      <c r="E8" s="82"/>
      <c r="F8" s="82"/>
    </row>
    <row r="9" ht="12.75" customHeight="1">
      <c r="A9" s="136" t="s">
        <v>227</v>
      </c>
      <c r="B9" s="137"/>
      <c r="C9" s="137"/>
      <c r="D9" s="137"/>
      <c r="E9" s="137"/>
      <c r="F9" s="137"/>
    </row>
    <row r="10" ht="12.75" customHeight="1">
      <c r="A10" s="138" t="s">
        <v>228</v>
      </c>
      <c r="B10" s="103">
        <v>0.0</v>
      </c>
      <c r="C10" s="103">
        <v>0.0</v>
      </c>
      <c r="D10" s="103">
        <v>0.0</v>
      </c>
      <c r="E10" s="103">
        <v>0.0</v>
      </c>
      <c r="F10" s="103">
        <v>0.0</v>
      </c>
    </row>
    <row r="11" ht="12.75" customHeight="1">
      <c r="A11" s="138" t="s">
        <v>112</v>
      </c>
      <c r="B11" s="103">
        <v>0.0</v>
      </c>
      <c r="C11" s="103">
        <v>0.0</v>
      </c>
      <c r="D11" s="103">
        <v>0.0</v>
      </c>
      <c r="E11" s="103">
        <v>0.0</v>
      </c>
      <c r="F11" s="103">
        <v>0.0</v>
      </c>
    </row>
    <row r="12" ht="12.75" customHeight="1">
      <c r="A12" s="138" t="s">
        <v>229</v>
      </c>
      <c r="B12" s="71">
        <f t="shared" ref="B12:F12" si="1">B10-B11</f>
        <v>0</v>
      </c>
      <c r="C12" s="71">
        <f t="shared" si="1"/>
        <v>0</v>
      </c>
      <c r="D12" s="71">
        <f t="shared" si="1"/>
        <v>0</v>
      </c>
      <c r="E12" s="71">
        <f t="shared" si="1"/>
        <v>0</v>
      </c>
      <c r="F12" s="71">
        <f t="shared" si="1"/>
        <v>0</v>
      </c>
    </row>
    <row r="13" ht="12.75" customHeight="1">
      <c r="A13" s="138" t="s">
        <v>173</v>
      </c>
      <c r="B13" s="103">
        <v>0.0</v>
      </c>
      <c r="C13" s="103">
        <v>0.0</v>
      </c>
      <c r="D13" s="103">
        <v>0.0</v>
      </c>
      <c r="E13" s="103">
        <v>0.0</v>
      </c>
      <c r="F13" s="103">
        <v>0.0</v>
      </c>
    </row>
    <row r="14" ht="12.75" customHeight="1">
      <c r="A14" s="138" t="s">
        <v>230</v>
      </c>
      <c r="B14" s="71">
        <f t="shared" ref="B14:F14" si="2">B12-B13</f>
        <v>0</v>
      </c>
      <c r="C14" s="71">
        <f t="shared" si="2"/>
        <v>0</v>
      </c>
      <c r="D14" s="71">
        <f t="shared" si="2"/>
        <v>0</v>
      </c>
      <c r="E14" s="71">
        <f t="shared" si="2"/>
        <v>0</v>
      </c>
      <c r="F14" s="71">
        <f t="shared" si="2"/>
        <v>0</v>
      </c>
    </row>
    <row r="15" ht="12.75" customHeight="1">
      <c r="A15" s="138" t="s">
        <v>231</v>
      </c>
      <c r="B15" s="103">
        <v>0.0</v>
      </c>
      <c r="C15" s="103">
        <v>0.0</v>
      </c>
      <c r="D15" s="103">
        <v>0.0</v>
      </c>
      <c r="E15" s="103">
        <v>0.0</v>
      </c>
      <c r="F15" s="103">
        <v>0.0</v>
      </c>
    </row>
    <row r="16" ht="12.75" customHeight="1">
      <c r="A16" s="138" t="s">
        <v>232</v>
      </c>
      <c r="B16" s="71">
        <f t="shared" ref="B16:F16" si="3">B10-B11-B13-B15</f>
        <v>0</v>
      </c>
      <c r="C16" s="71">
        <f t="shared" si="3"/>
        <v>0</v>
      </c>
      <c r="D16" s="71">
        <f t="shared" si="3"/>
        <v>0</v>
      </c>
      <c r="E16" s="71">
        <f t="shared" si="3"/>
        <v>0</v>
      </c>
      <c r="F16" s="71">
        <f t="shared" si="3"/>
        <v>0</v>
      </c>
    </row>
    <row r="17" ht="12.75" customHeight="1">
      <c r="A17" s="138"/>
      <c r="B17" s="84"/>
      <c r="C17" s="84"/>
      <c r="D17" s="84"/>
      <c r="E17" s="84"/>
      <c r="F17" s="84"/>
    </row>
    <row r="18" ht="12.75" customHeight="1">
      <c r="A18" s="138"/>
      <c r="B18" s="139"/>
      <c r="C18" s="139"/>
      <c r="D18" s="139"/>
      <c r="E18" s="139"/>
      <c r="F18" s="139"/>
    </row>
    <row r="19" ht="12.75" customHeight="1">
      <c r="A19" s="136" t="s">
        <v>233</v>
      </c>
      <c r="B19" s="137"/>
      <c r="C19" s="137"/>
      <c r="D19" s="137"/>
      <c r="E19" s="137"/>
      <c r="F19" s="137"/>
    </row>
    <row r="20" ht="12.75" customHeight="1">
      <c r="A20" s="23" t="s">
        <v>234</v>
      </c>
      <c r="B20" s="82"/>
      <c r="C20" s="82"/>
      <c r="D20" s="82"/>
      <c r="E20" s="82"/>
      <c r="F20" s="82"/>
    </row>
    <row r="21" ht="12.75" customHeight="1">
      <c r="A21" s="138" t="s">
        <v>235</v>
      </c>
      <c r="B21" s="103">
        <v>0.0</v>
      </c>
      <c r="C21" s="103">
        <v>0.0</v>
      </c>
      <c r="D21" s="103">
        <v>0.0</v>
      </c>
      <c r="E21" s="103">
        <v>0.0</v>
      </c>
      <c r="F21" s="103">
        <v>0.0</v>
      </c>
    </row>
    <row r="22" ht="12.75" customHeight="1">
      <c r="A22" s="138" t="s">
        <v>236</v>
      </c>
      <c r="B22" s="103">
        <v>0.0</v>
      </c>
      <c r="C22" s="103">
        <v>0.0</v>
      </c>
      <c r="D22" s="103">
        <v>0.0</v>
      </c>
      <c r="E22" s="103">
        <v>0.0</v>
      </c>
      <c r="F22" s="103">
        <v>0.0</v>
      </c>
    </row>
    <row r="23" ht="12.75" customHeight="1">
      <c r="A23" s="138" t="s">
        <v>237</v>
      </c>
      <c r="B23" s="103">
        <v>0.0</v>
      </c>
      <c r="C23" s="103">
        <v>0.0</v>
      </c>
      <c r="D23" s="103">
        <v>0.0</v>
      </c>
      <c r="E23" s="103">
        <v>0.0</v>
      </c>
      <c r="F23" s="103">
        <v>0.0</v>
      </c>
    </row>
    <row r="24" ht="12.75" customHeight="1">
      <c r="A24" s="138" t="s">
        <v>238</v>
      </c>
      <c r="B24" s="103">
        <v>0.0</v>
      </c>
      <c r="C24" s="103">
        <v>0.0</v>
      </c>
      <c r="D24" s="103">
        <v>0.0</v>
      </c>
      <c r="E24" s="103">
        <v>0.0</v>
      </c>
      <c r="F24" s="103">
        <v>0.0</v>
      </c>
    </row>
    <row r="25" ht="12.75" customHeight="1">
      <c r="A25" s="140" t="s">
        <v>239</v>
      </c>
      <c r="B25" s="71">
        <f t="shared" ref="B25:F25" si="4">SUM(B21:B24)</f>
        <v>0</v>
      </c>
      <c r="C25" s="71">
        <f t="shared" si="4"/>
        <v>0</v>
      </c>
      <c r="D25" s="71">
        <f t="shared" si="4"/>
        <v>0</v>
      </c>
      <c r="E25" s="71">
        <f t="shared" si="4"/>
        <v>0</v>
      </c>
      <c r="F25" s="71">
        <f t="shared" si="4"/>
        <v>0</v>
      </c>
    </row>
    <row r="26" ht="12.75" customHeight="1">
      <c r="A26" s="138" t="s">
        <v>240</v>
      </c>
      <c r="B26" s="103">
        <v>0.0</v>
      </c>
      <c r="C26" s="103">
        <v>0.0</v>
      </c>
      <c r="D26" s="103">
        <v>0.0</v>
      </c>
      <c r="E26" s="103">
        <v>0.0</v>
      </c>
      <c r="F26" s="103">
        <v>0.0</v>
      </c>
    </row>
    <row r="27" ht="12.75" customHeight="1">
      <c r="A27" s="138" t="s">
        <v>241</v>
      </c>
      <c r="B27" s="103">
        <v>0.0</v>
      </c>
      <c r="C27" s="103">
        <v>0.0</v>
      </c>
      <c r="D27" s="103">
        <v>0.0</v>
      </c>
      <c r="E27" s="103">
        <v>0.0</v>
      </c>
      <c r="F27" s="103">
        <v>0.0</v>
      </c>
    </row>
    <row r="28" ht="12.75" customHeight="1">
      <c r="A28" s="140" t="s">
        <v>242</v>
      </c>
      <c r="B28" s="71">
        <f t="shared" ref="B28:F28" si="5">SUM(B26:B27)</f>
        <v>0</v>
      </c>
      <c r="C28" s="71">
        <f t="shared" si="5"/>
        <v>0</v>
      </c>
      <c r="D28" s="71">
        <f t="shared" si="5"/>
        <v>0</v>
      </c>
      <c r="E28" s="71">
        <f t="shared" si="5"/>
        <v>0</v>
      </c>
      <c r="F28" s="71">
        <f t="shared" si="5"/>
        <v>0</v>
      </c>
    </row>
    <row r="29" ht="12.75" customHeight="1">
      <c r="A29" s="23" t="s">
        <v>243</v>
      </c>
      <c r="B29" s="82"/>
      <c r="C29" s="82"/>
      <c r="D29" s="82"/>
      <c r="E29" s="82"/>
      <c r="F29" s="82"/>
    </row>
    <row r="30" ht="12.75" customHeight="1">
      <c r="A30" s="138" t="s">
        <v>244</v>
      </c>
      <c r="B30" s="103">
        <v>0.0</v>
      </c>
      <c r="C30" s="103">
        <v>0.0</v>
      </c>
      <c r="D30" s="103">
        <v>0.0</v>
      </c>
      <c r="E30" s="103">
        <v>0.0</v>
      </c>
      <c r="F30" s="103">
        <v>0.0</v>
      </c>
    </row>
    <row r="31" ht="12.75" customHeight="1">
      <c r="A31" s="138" t="s">
        <v>245</v>
      </c>
      <c r="B31" s="103">
        <v>0.0</v>
      </c>
      <c r="C31" s="103">
        <v>0.0</v>
      </c>
      <c r="D31" s="103">
        <v>0.0</v>
      </c>
      <c r="E31" s="103">
        <v>0.0</v>
      </c>
      <c r="F31" s="103">
        <v>0.0</v>
      </c>
    </row>
    <row r="32" ht="12.75" customHeight="1">
      <c r="A32" s="138" t="s">
        <v>246</v>
      </c>
      <c r="B32" s="103">
        <v>0.0</v>
      </c>
      <c r="C32" s="103">
        <v>0.0</v>
      </c>
      <c r="D32" s="103">
        <v>0.0</v>
      </c>
      <c r="E32" s="103">
        <v>0.0</v>
      </c>
      <c r="F32" s="103">
        <v>0.0</v>
      </c>
    </row>
    <row r="33" ht="12.75" customHeight="1">
      <c r="A33" s="140" t="s">
        <v>247</v>
      </c>
      <c r="B33" s="71">
        <f t="shared" ref="B33:F33" si="6">SUM(B30:B32)</f>
        <v>0</v>
      </c>
      <c r="C33" s="71">
        <f t="shared" si="6"/>
        <v>0</v>
      </c>
      <c r="D33" s="71">
        <f t="shared" si="6"/>
        <v>0</v>
      </c>
      <c r="E33" s="71">
        <f t="shared" si="6"/>
        <v>0</v>
      </c>
      <c r="F33" s="71">
        <f t="shared" si="6"/>
        <v>0</v>
      </c>
    </row>
    <row r="34" ht="12.75" customHeight="1">
      <c r="A34" s="141" t="s">
        <v>248</v>
      </c>
      <c r="B34" s="103">
        <v>0.0</v>
      </c>
      <c r="C34" s="103">
        <v>0.0</v>
      </c>
      <c r="D34" s="103">
        <v>0.0</v>
      </c>
      <c r="E34" s="103">
        <v>0.0</v>
      </c>
      <c r="F34" s="103">
        <v>0.0</v>
      </c>
    </row>
    <row r="35" ht="12.75" customHeight="1">
      <c r="A35" s="141" t="s">
        <v>249</v>
      </c>
      <c r="B35" s="103">
        <v>0.0</v>
      </c>
      <c r="C35" s="103">
        <v>0.0</v>
      </c>
      <c r="D35" s="103">
        <v>0.0</v>
      </c>
      <c r="E35" s="103">
        <v>0.0</v>
      </c>
      <c r="F35" s="103">
        <v>0.0</v>
      </c>
    </row>
    <row r="36" ht="12.75" customHeight="1">
      <c r="A36" s="140" t="s">
        <v>250</v>
      </c>
      <c r="B36" s="71">
        <f t="shared" ref="B36:F36" si="7">SUM(B34:B35)</f>
        <v>0</v>
      </c>
      <c r="C36" s="71">
        <f t="shared" si="7"/>
        <v>0</v>
      </c>
      <c r="D36" s="71">
        <f t="shared" si="7"/>
        <v>0</v>
      </c>
      <c r="E36" s="71">
        <f t="shared" si="7"/>
        <v>0</v>
      </c>
      <c r="F36" s="71">
        <f t="shared" si="7"/>
        <v>0</v>
      </c>
    </row>
    <row r="37" ht="12.75" customHeight="1">
      <c r="A37" s="140"/>
      <c r="B37" s="82"/>
      <c r="C37" s="82"/>
      <c r="D37" s="82"/>
      <c r="E37" s="82"/>
      <c r="F37" s="82"/>
    </row>
    <row r="38" ht="12.75" customHeight="1">
      <c r="A38" s="23" t="s">
        <v>251</v>
      </c>
      <c r="B38" s="103">
        <v>0.0</v>
      </c>
      <c r="C38" s="103">
        <v>0.0</v>
      </c>
      <c r="D38" s="103">
        <v>0.0</v>
      </c>
      <c r="E38" s="103">
        <v>0.0</v>
      </c>
      <c r="F38" s="103">
        <v>0.0</v>
      </c>
    </row>
    <row r="39" ht="12.75" customHeight="1">
      <c r="A39" s="140"/>
      <c r="B39" s="82"/>
      <c r="C39" s="82"/>
      <c r="D39" s="82"/>
      <c r="E39" s="82"/>
      <c r="F39" s="82"/>
    </row>
    <row r="40" ht="12.75" customHeight="1">
      <c r="A40" s="23" t="s">
        <v>252</v>
      </c>
      <c r="B40" s="103">
        <v>0.0</v>
      </c>
      <c r="C40" s="103">
        <v>0.0</v>
      </c>
      <c r="D40" s="103">
        <v>0.0</v>
      </c>
      <c r="E40" s="103">
        <v>0.0</v>
      </c>
      <c r="F40" s="103">
        <v>0.0</v>
      </c>
    </row>
    <row r="41" ht="12.75" customHeight="1">
      <c r="A41" s="2"/>
      <c r="B41" s="82"/>
      <c r="C41" s="82"/>
      <c r="D41" s="82"/>
      <c r="E41" s="82"/>
      <c r="F41" s="82"/>
    </row>
    <row r="42" ht="12.75" customHeight="1">
      <c r="A42" s="142" t="s">
        <v>253</v>
      </c>
      <c r="B42" s="137"/>
      <c r="C42" s="137"/>
      <c r="D42" s="137"/>
      <c r="E42" s="137"/>
      <c r="F42" s="137"/>
    </row>
    <row r="43" ht="12.75" customHeight="1">
      <c r="A43" s="143" t="s">
        <v>254</v>
      </c>
      <c r="B43" s="144"/>
      <c r="C43" s="144"/>
      <c r="D43" s="144"/>
      <c r="E43" s="144"/>
      <c r="F43" s="144"/>
    </row>
    <row r="44" ht="12.75" customHeight="1">
      <c r="A44" s="138" t="s">
        <v>255</v>
      </c>
      <c r="B44" s="145" t="str">
        <f t="shared" ref="B44:F44" si="8">IF(B33=0,"n/a",B25/B33)</f>
        <v>n/a</v>
      </c>
      <c r="C44" s="145" t="str">
        <f t="shared" si="8"/>
        <v>n/a</v>
      </c>
      <c r="D44" s="145" t="str">
        <f t="shared" si="8"/>
        <v>n/a</v>
      </c>
      <c r="E44" s="145" t="str">
        <f t="shared" si="8"/>
        <v>n/a</v>
      </c>
      <c r="F44" s="145" t="str">
        <f t="shared" si="8"/>
        <v>n/a</v>
      </c>
    </row>
    <row r="45" ht="12.75" customHeight="1">
      <c r="A45" s="138" t="s">
        <v>256</v>
      </c>
      <c r="B45" s="145" t="str">
        <f t="shared" ref="B45:F45" si="9">IF(B33=0,"n/a",(B25-B23)/B33)</f>
        <v>n/a</v>
      </c>
      <c r="C45" s="145" t="str">
        <f t="shared" si="9"/>
        <v>n/a</v>
      </c>
      <c r="D45" s="145" t="str">
        <f t="shared" si="9"/>
        <v>n/a</v>
      </c>
      <c r="E45" s="145" t="str">
        <f t="shared" si="9"/>
        <v>n/a</v>
      </c>
      <c r="F45" s="145" t="str">
        <f t="shared" si="9"/>
        <v>n/a</v>
      </c>
    </row>
    <row r="46" ht="12.75" customHeight="1">
      <c r="A46" s="138" t="s">
        <v>257</v>
      </c>
      <c r="B46" s="145" t="str">
        <f t="shared" ref="B46:F46" si="10">IF(B30+B34+B38=0,"n/a",(B30+B34)/(B30+B34+B38))</f>
        <v>n/a</v>
      </c>
      <c r="C46" s="145" t="str">
        <f t="shared" si="10"/>
        <v>n/a</v>
      </c>
      <c r="D46" s="145" t="str">
        <f t="shared" si="10"/>
        <v>n/a</v>
      </c>
      <c r="E46" s="145" t="str">
        <f t="shared" si="10"/>
        <v>n/a</v>
      </c>
      <c r="F46" s="145" t="str">
        <f t="shared" si="10"/>
        <v>n/a</v>
      </c>
    </row>
    <row r="47" ht="12.75" customHeight="1">
      <c r="A47" s="2"/>
      <c r="B47" s="146"/>
      <c r="C47" s="146"/>
      <c r="D47" s="147"/>
      <c r="E47" s="147"/>
      <c r="F47" s="147"/>
    </row>
    <row r="48" ht="12.75" customHeight="1">
      <c r="A48" s="142" t="s">
        <v>258</v>
      </c>
      <c r="B48" s="148"/>
      <c r="C48" s="148"/>
      <c r="D48" s="149"/>
      <c r="E48" s="149"/>
      <c r="F48" s="149"/>
    </row>
    <row r="49" ht="12.75" customHeight="1">
      <c r="A49" s="138" t="s">
        <v>259</v>
      </c>
      <c r="B49" s="145" t="str">
        <f t="shared" ref="B49:F49" si="11">IF(B11=0,"n/a",(B22/B11)*365)</f>
        <v>n/a</v>
      </c>
      <c r="C49" s="145" t="str">
        <f t="shared" si="11"/>
        <v>n/a</v>
      </c>
      <c r="D49" s="145" t="str">
        <f t="shared" si="11"/>
        <v>n/a</v>
      </c>
      <c r="E49" s="145" t="str">
        <f t="shared" si="11"/>
        <v>n/a</v>
      </c>
      <c r="F49" s="145" t="str">
        <f t="shared" si="11"/>
        <v>n/a</v>
      </c>
    </row>
    <row r="50" ht="12.75" customHeight="1">
      <c r="A50" s="138" t="s">
        <v>260</v>
      </c>
      <c r="B50" s="145" t="str">
        <f t="shared" ref="B50:F50" si="12">IF(B11=0,"n/a",(B31/B11)*365)</f>
        <v>n/a</v>
      </c>
      <c r="C50" s="145" t="str">
        <f t="shared" si="12"/>
        <v>n/a</v>
      </c>
      <c r="D50" s="145" t="str">
        <f t="shared" si="12"/>
        <v>n/a</v>
      </c>
      <c r="E50" s="145" t="str">
        <f t="shared" si="12"/>
        <v>n/a</v>
      </c>
      <c r="F50" s="145" t="str">
        <f t="shared" si="12"/>
        <v>n/a</v>
      </c>
    </row>
    <row r="51" ht="12.75" customHeight="1">
      <c r="A51" s="138" t="s">
        <v>261</v>
      </c>
      <c r="B51" s="145" t="str">
        <f t="shared" ref="B51:F51" si="13">IF(B11=0,"n/a",(B23/B11)*365)</f>
        <v>n/a</v>
      </c>
      <c r="C51" s="145" t="str">
        <f t="shared" si="13"/>
        <v>n/a</v>
      </c>
      <c r="D51" s="145" t="str">
        <f t="shared" si="13"/>
        <v>n/a</v>
      </c>
      <c r="E51" s="145" t="str">
        <f t="shared" si="13"/>
        <v>n/a</v>
      </c>
      <c r="F51" s="145" t="str">
        <f t="shared" si="13"/>
        <v>n/a</v>
      </c>
    </row>
    <row r="52" ht="12.75" customHeight="1">
      <c r="A52" s="138" t="s">
        <v>262</v>
      </c>
      <c r="B52" s="145" t="str">
        <f t="shared" ref="B52:F52" si="14">IF(B28=0,"n/a",B10/B28)</f>
        <v>n/a</v>
      </c>
      <c r="C52" s="145" t="str">
        <f t="shared" si="14"/>
        <v>n/a</v>
      </c>
      <c r="D52" s="145" t="str">
        <f t="shared" si="14"/>
        <v>n/a</v>
      </c>
      <c r="E52" s="145" t="str">
        <f t="shared" si="14"/>
        <v>n/a</v>
      </c>
      <c r="F52" s="145" t="str">
        <f t="shared" si="14"/>
        <v>n/a</v>
      </c>
    </row>
    <row r="53" ht="12.75" customHeight="1">
      <c r="A53" s="138" t="s">
        <v>263</v>
      </c>
      <c r="B53" s="145" t="str">
        <f t="shared" ref="B53:F53" si="15">IF(B26=0,"n/a",B10/B26)</f>
        <v>n/a</v>
      </c>
      <c r="C53" s="145" t="str">
        <f t="shared" si="15"/>
        <v>n/a</v>
      </c>
      <c r="D53" s="145" t="str">
        <f t="shared" si="15"/>
        <v>n/a</v>
      </c>
      <c r="E53" s="145" t="str">
        <f t="shared" si="15"/>
        <v>n/a</v>
      </c>
      <c r="F53" s="145" t="str">
        <f t="shared" si="15"/>
        <v>n/a</v>
      </c>
    </row>
    <row r="54" ht="12.75" customHeight="1">
      <c r="A54" s="2"/>
      <c r="B54" s="150"/>
      <c r="C54" s="150"/>
      <c r="D54" s="151"/>
      <c r="E54" s="151"/>
      <c r="F54" s="151"/>
    </row>
    <row r="55" ht="12.75" customHeight="1">
      <c r="A55" s="142" t="s">
        <v>264</v>
      </c>
      <c r="B55" s="152"/>
      <c r="C55" s="152"/>
      <c r="D55" s="153"/>
      <c r="E55" s="153"/>
      <c r="F55" s="153"/>
    </row>
    <row r="56" ht="12.75" customHeight="1">
      <c r="A56" s="138" t="s">
        <v>265</v>
      </c>
      <c r="B56" s="154" t="str">
        <f t="shared" ref="B56:F56" si="16">IF(B10=0,"n/a",B12/B10)</f>
        <v>n/a</v>
      </c>
      <c r="C56" s="154" t="str">
        <f t="shared" si="16"/>
        <v>n/a</v>
      </c>
      <c r="D56" s="154" t="str">
        <f t="shared" si="16"/>
        <v>n/a</v>
      </c>
      <c r="E56" s="154" t="str">
        <f t="shared" si="16"/>
        <v>n/a</v>
      </c>
      <c r="F56" s="154" t="str">
        <f t="shared" si="16"/>
        <v>n/a</v>
      </c>
    </row>
    <row r="57" ht="12.75" customHeight="1">
      <c r="A57" s="138" t="s">
        <v>266</v>
      </c>
      <c r="B57" s="154" t="str">
        <f t="shared" ref="B57:F57" si="17">IF(B10=0,"n/a",B16/B10)</f>
        <v>n/a</v>
      </c>
      <c r="C57" s="154" t="str">
        <f t="shared" si="17"/>
        <v>n/a</v>
      </c>
      <c r="D57" s="154" t="str">
        <f t="shared" si="17"/>
        <v>n/a</v>
      </c>
      <c r="E57" s="154" t="str">
        <f t="shared" si="17"/>
        <v>n/a</v>
      </c>
      <c r="F57" s="154" t="str">
        <f t="shared" si="17"/>
        <v>n/a</v>
      </c>
    </row>
    <row r="58" ht="12.75" customHeight="1">
      <c r="A58" s="138" t="s">
        <v>267</v>
      </c>
      <c r="B58" s="154" t="str">
        <f t="shared" ref="B58:F58" si="18">IF(B28=0,"n/a",B16/B28)</f>
        <v>n/a</v>
      </c>
      <c r="C58" s="154" t="str">
        <f t="shared" si="18"/>
        <v>n/a</v>
      </c>
      <c r="D58" s="154" t="str">
        <f t="shared" si="18"/>
        <v>n/a</v>
      </c>
      <c r="E58" s="154" t="str">
        <f t="shared" si="18"/>
        <v>n/a</v>
      </c>
      <c r="F58" s="154" t="str">
        <f t="shared" si="18"/>
        <v>n/a</v>
      </c>
    </row>
    <row r="59" ht="12.75" customHeight="1">
      <c r="A59" s="138" t="s">
        <v>268</v>
      </c>
      <c r="B59" s="154" t="str">
        <f t="shared" ref="B59:F59" si="19">IF(B38=0,"n/a",B16/B38)</f>
        <v>n/a</v>
      </c>
      <c r="C59" s="154" t="str">
        <f t="shared" si="19"/>
        <v>n/a</v>
      </c>
      <c r="D59" s="154" t="str">
        <f t="shared" si="19"/>
        <v>n/a</v>
      </c>
      <c r="E59" s="154" t="str">
        <f t="shared" si="19"/>
        <v>n/a</v>
      </c>
      <c r="F59" s="154" t="str">
        <f t="shared" si="19"/>
        <v>n/a</v>
      </c>
    </row>
    <row r="60" ht="12.75" customHeight="1">
      <c r="A60" s="138" t="s">
        <v>269</v>
      </c>
      <c r="B60" s="154" t="str">
        <f t="shared" ref="B60:F60" si="20">IF((B30+B34+B38)=0,"n/a",B16/(B30+B34+B38))</f>
        <v>n/a</v>
      </c>
      <c r="C60" s="154" t="str">
        <f t="shared" si="20"/>
        <v>n/a</v>
      </c>
      <c r="D60" s="154" t="str">
        <f t="shared" si="20"/>
        <v>n/a</v>
      </c>
      <c r="E60" s="154" t="str">
        <f t="shared" si="20"/>
        <v>n/a</v>
      </c>
      <c r="F60" s="154" t="str">
        <f t="shared" si="20"/>
        <v>n/a</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7" width="15.71"/>
    <col customWidth="1" min="8" max="26" width="8.71"/>
  </cols>
  <sheetData>
    <row r="1" ht="12.75" customHeight="1">
      <c r="A1" s="130" t="s">
        <v>270</v>
      </c>
      <c r="B1" s="130"/>
      <c r="C1" s="130"/>
      <c r="D1" s="130"/>
      <c r="E1" s="130"/>
      <c r="F1" s="2"/>
      <c r="G1" s="2"/>
    </row>
    <row r="2" ht="12.75" customHeight="1">
      <c r="A2" s="2"/>
      <c r="B2" s="82"/>
      <c r="C2" s="82"/>
      <c r="D2" s="82"/>
      <c r="E2" s="2"/>
      <c r="F2" s="2"/>
      <c r="G2" s="2"/>
    </row>
    <row r="3" ht="12.75" customHeight="1">
      <c r="A3" s="2"/>
      <c r="B3" s="131" t="s">
        <v>271</v>
      </c>
      <c r="C3" s="131" t="s">
        <v>271</v>
      </c>
      <c r="D3" s="131" t="s">
        <v>271</v>
      </c>
      <c r="E3" s="131" t="s">
        <v>271</v>
      </c>
      <c r="F3" s="131" t="s">
        <v>271</v>
      </c>
      <c r="G3" s="2"/>
    </row>
    <row r="4" ht="12.75" customHeight="1">
      <c r="A4" s="132" t="s">
        <v>219</v>
      </c>
      <c r="B4" s="155" t="str">
        <f>'Comps-Ratios'!B4</f>
        <v>Company 1 Name</v>
      </c>
      <c r="C4" s="155" t="str">
        <f>'Comps-Ratios'!C4</f>
        <v>Company 2  Name</v>
      </c>
      <c r="D4" s="155" t="str">
        <f>'Comps-Ratios'!D4</f>
        <v>Company 3 Name</v>
      </c>
      <c r="E4" s="155" t="str">
        <f>'Comps-Ratios'!E4</f>
        <v>Company 4  Name</v>
      </c>
      <c r="F4" s="155" t="str">
        <f>'Comps-Ratios'!F4</f>
        <v>Company 5  Name</v>
      </c>
      <c r="G4" s="2"/>
    </row>
    <row r="5" ht="12.75" customHeight="1">
      <c r="A5" s="132" t="s">
        <v>225</v>
      </c>
      <c r="B5" s="155" t="str">
        <f>'Comps-Ratios'!B5</f>
        <v>source</v>
      </c>
      <c r="C5" s="155" t="str">
        <f>'Comps-Ratios'!C5</f>
        <v>source</v>
      </c>
      <c r="D5" s="155" t="str">
        <f>'Comps-Ratios'!D5</f>
        <v>source</v>
      </c>
      <c r="E5" s="155" t="str">
        <f>'Comps-Ratios'!E5</f>
        <v>source</v>
      </c>
      <c r="F5" s="155" t="str">
        <f>'Comps-Ratios'!F5</f>
        <v>source</v>
      </c>
      <c r="G5" s="2"/>
    </row>
    <row r="6" ht="12.75" customHeight="1">
      <c r="A6" s="2"/>
      <c r="B6" s="82"/>
      <c r="C6" s="82"/>
      <c r="D6" s="82"/>
      <c r="E6" s="82"/>
      <c r="F6" s="2"/>
      <c r="G6" s="2"/>
    </row>
    <row r="7" ht="12.75" customHeight="1">
      <c r="A7" s="136" t="s">
        <v>272</v>
      </c>
      <c r="B7" s="136"/>
      <c r="C7" s="136"/>
      <c r="D7" s="136"/>
      <c r="E7" s="136"/>
      <c r="F7" s="136"/>
      <c r="G7" s="156" t="s">
        <v>273</v>
      </c>
    </row>
    <row r="8" ht="12.75" customHeight="1">
      <c r="A8" s="138" t="s">
        <v>274</v>
      </c>
      <c r="B8" s="103">
        <v>0.0</v>
      </c>
      <c r="C8" s="103">
        <v>0.0</v>
      </c>
      <c r="D8" s="103">
        <v>0.0</v>
      </c>
      <c r="E8" s="103">
        <v>0.0</v>
      </c>
      <c r="F8" s="103">
        <v>0.0</v>
      </c>
      <c r="G8" s="157">
        <f t="shared" ref="G8:G11" si="1">MEDIAN(B8:F8)</f>
        <v>0</v>
      </c>
    </row>
    <row r="9" ht="12.75" customHeight="1">
      <c r="A9" s="158" t="s">
        <v>275</v>
      </c>
      <c r="B9" s="159">
        <v>0.0</v>
      </c>
      <c r="C9" s="159">
        <v>0.0</v>
      </c>
      <c r="D9" s="159">
        <v>0.0</v>
      </c>
      <c r="E9" s="159">
        <v>0.0</v>
      </c>
      <c r="F9" s="159">
        <v>0.0</v>
      </c>
      <c r="G9" s="157">
        <f t="shared" si="1"/>
        <v>0</v>
      </c>
    </row>
    <row r="10" ht="12.75" customHeight="1">
      <c r="A10" s="158" t="s">
        <v>276</v>
      </c>
      <c r="B10" s="159">
        <v>0.0</v>
      </c>
      <c r="C10" s="159">
        <v>0.0</v>
      </c>
      <c r="D10" s="159">
        <v>0.0</v>
      </c>
      <c r="E10" s="159">
        <v>0.0</v>
      </c>
      <c r="F10" s="159">
        <v>0.0</v>
      </c>
      <c r="G10" s="157">
        <f t="shared" si="1"/>
        <v>0</v>
      </c>
    </row>
    <row r="11" ht="12.75" customHeight="1">
      <c r="A11" s="158" t="s">
        <v>277</v>
      </c>
      <c r="B11" s="159">
        <v>0.0</v>
      </c>
      <c r="C11" s="159">
        <v>0.0</v>
      </c>
      <c r="D11" s="159">
        <v>0.0</v>
      </c>
      <c r="E11" s="159">
        <v>0.0</v>
      </c>
      <c r="F11" s="159">
        <v>0.0</v>
      </c>
      <c r="G11" s="157">
        <f t="shared" si="1"/>
        <v>0</v>
      </c>
    </row>
    <row r="12" ht="12.75" customHeight="1">
      <c r="A12" s="138" t="s">
        <v>278</v>
      </c>
      <c r="B12" s="159"/>
      <c r="C12" s="159"/>
      <c r="D12" s="159"/>
      <c r="E12" s="159"/>
      <c r="F12" s="159"/>
      <c r="G12" s="2"/>
    </row>
    <row r="13" ht="12.75" customHeight="1">
      <c r="A13" s="2"/>
      <c r="B13" s="2"/>
      <c r="C13" s="2"/>
      <c r="D13" s="2"/>
      <c r="E13" s="2"/>
      <c r="F13" s="2"/>
      <c r="G13" s="2"/>
    </row>
    <row r="14" ht="12.75" customHeight="1">
      <c r="A14" s="2"/>
      <c r="B14" s="2"/>
      <c r="C14" s="2"/>
      <c r="D14" s="2"/>
      <c r="E14" s="2"/>
      <c r="F14" s="2"/>
      <c r="G14" s="2"/>
    </row>
    <row r="15" ht="12.75" customHeight="1">
      <c r="A15" s="2"/>
      <c r="B15" s="2"/>
      <c r="C15" s="2"/>
      <c r="D15" s="2"/>
      <c r="E15" s="160"/>
      <c r="F15" s="2"/>
      <c r="G15" s="2"/>
    </row>
    <row r="16" ht="12.75" customHeight="1">
      <c r="A16" s="2"/>
      <c r="B16" s="2"/>
      <c r="C16" s="2"/>
      <c r="D16" s="2"/>
      <c r="E16" s="2"/>
      <c r="F16" s="2"/>
      <c r="G16" s="2"/>
    </row>
    <row r="17" ht="12.75" customHeight="1">
      <c r="A17" s="136" t="s">
        <v>279</v>
      </c>
      <c r="B17" s="136"/>
      <c r="C17" s="136"/>
      <c r="D17" s="136"/>
      <c r="E17" s="136"/>
      <c r="F17" s="136"/>
      <c r="G17" s="136"/>
    </row>
    <row r="18" ht="12.75" customHeight="1">
      <c r="A18" s="23"/>
      <c r="B18" s="82" t="s">
        <v>280</v>
      </c>
      <c r="C18" s="82" t="s">
        <v>281</v>
      </c>
      <c r="D18" s="82" t="s">
        <v>282</v>
      </c>
      <c r="E18" s="82" t="s">
        <v>283</v>
      </c>
      <c r="F18" s="82" t="s">
        <v>284</v>
      </c>
      <c r="G18" s="82" t="s">
        <v>285</v>
      </c>
    </row>
    <row r="19" ht="12.75" customHeight="1">
      <c r="A19" s="103" t="s">
        <v>286</v>
      </c>
      <c r="B19" s="103" t="s">
        <v>287</v>
      </c>
      <c r="C19" s="103" t="s">
        <v>288</v>
      </c>
      <c r="D19" s="103">
        <v>0.0</v>
      </c>
      <c r="E19" s="103">
        <v>0.0</v>
      </c>
      <c r="F19" s="103">
        <v>0.0</v>
      </c>
      <c r="G19" s="159"/>
    </row>
    <row r="20" ht="12.75" customHeight="1">
      <c r="A20" s="103" t="s">
        <v>289</v>
      </c>
      <c r="B20" s="103" t="s">
        <v>290</v>
      </c>
      <c r="C20" s="103" t="s">
        <v>291</v>
      </c>
      <c r="D20" s="103">
        <v>0.0</v>
      </c>
      <c r="E20" s="103">
        <v>0.0</v>
      </c>
      <c r="F20" s="103">
        <v>0.0</v>
      </c>
      <c r="G20" s="159"/>
    </row>
    <row r="21" ht="12.75" customHeight="1">
      <c r="A21" s="103" t="s">
        <v>292</v>
      </c>
      <c r="B21" s="103" t="s">
        <v>293</v>
      </c>
      <c r="C21" s="103" t="s">
        <v>294</v>
      </c>
      <c r="D21" s="103">
        <v>0.0</v>
      </c>
      <c r="E21" s="103">
        <v>0.0</v>
      </c>
      <c r="F21" s="103">
        <v>0.0</v>
      </c>
      <c r="G21" s="159"/>
    </row>
    <row r="22" ht="12.75" customHeight="1">
      <c r="A22" s="2"/>
      <c r="B22" s="2"/>
      <c r="C22" s="2"/>
      <c r="D22" s="2"/>
      <c r="E22" s="2"/>
      <c r="F22" s="2"/>
      <c r="G22" s="2"/>
    </row>
    <row r="23" ht="12.75" customHeight="1">
      <c r="A23" s="2"/>
      <c r="B23" s="2"/>
      <c r="C23" s="2"/>
      <c r="D23" s="2"/>
      <c r="E23" s="2"/>
      <c r="F23" s="2"/>
      <c r="G23" s="2"/>
    </row>
    <row r="24" ht="12.75" customHeight="1">
      <c r="A24" s="2"/>
      <c r="B24" s="2"/>
      <c r="C24" s="2"/>
      <c r="D24" s="2"/>
      <c r="E24" s="2"/>
      <c r="F24" s="2"/>
      <c r="G24" s="2"/>
    </row>
    <row r="25" ht="12.75" customHeight="1">
      <c r="A25" s="136" t="s">
        <v>295</v>
      </c>
      <c r="B25" s="136"/>
      <c r="C25" s="136"/>
      <c r="D25" s="136"/>
      <c r="E25" s="2"/>
      <c r="F25" s="2"/>
      <c r="G25" s="2"/>
    </row>
    <row r="26" ht="12.75" customHeight="1">
      <c r="A26" s="23"/>
      <c r="B26" s="31" t="s">
        <v>296</v>
      </c>
      <c r="C26" s="31" t="s">
        <v>297</v>
      </c>
      <c r="D26" s="31" t="s">
        <v>298</v>
      </c>
      <c r="E26" s="2"/>
      <c r="F26" s="2"/>
      <c r="G26" s="2"/>
    </row>
    <row r="27" ht="12.75" customHeight="1">
      <c r="A27" s="138" t="s">
        <v>107</v>
      </c>
      <c r="B27" s="103">
        <v>0.0</v>
      </c>
      <c r="C27" s="159">
        <v>0.0</v>
      </c>
      <c r="D27" s="71">
        <f t="shared" ref="D27:D29" si="2">C27*B27</f>
        <v>0</v>
      </c>
      <c r="E27" s="2"/>
      <c r="F27" s="2"/>
      <c r="G27" s="2"/>
    </row>
    <row r="28" ht="12.75" customHeight="1">
      <c r="A28" s="138" t="s">
        <v>299</v>
      </c>
      <c r="B28" s="103">
        <v>0.0</v>
      </c>
      <c r="C28" s="159">
        <v>0.0</v>
      </c>
      <c r="D28" s="71">
        <f t="shared" si="2"/>
        <v>0</v>
      </c>
      <c r="E28" s="2"/>
      <c r="F28" s="2"/>
      <c r="G28" s="2"/>
    </row>
    <row r="29" ht="12.75" customHeight="1">
      <c r="A29" s="138" t="s">
        <v>300</v>
      </c>
      <c r="B29" s="103">
        <v>0.0</v>
      </c>
      <c r="C29" s="159">
        <v>0.0</v>
      </c>
      <c r="D29" s="71">
        <f t="shared" si="2"/>
        <v>0</v>
      </c>
      <c r="E29" s="2"/>
      <c r="F29" s="2"/>
      <c r="G29" s="2"/>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4.43" defaultRowHeight="15.0"/>
  <cols>
    <col customWidth="1" min="1" max="1" width="6.86"/>
    <col customWidth="1" min="2" max="2" width="29.57"/>
    <col customWidth="1" min="3" max="3" width="21.0"/>
    <col customWidth="1" min="4" max="26" width="8.71"/>
  </cols>
  <sheetData>
    <row r="1" ht="12.75" customHeight="1">
      <c r="A1" s="130" t="s">
        <v>301</v>
      </c>
      <c r="B1" s="130"/>
      <c r="C1" s="130"/>
    </row>
    <row r="2" ht="12.75" customHeight="1">
      <c r="A2" s="156" t="s">
        <v>302</v>
      </c>
      <c r="B2" s="31" t="s">
        <v>303</v>
      </c>
      <c r="C2" s="31"/>
    </row>
    <row r="3" ht="12.75" customHeight="1">
      <c r="A3" s="156" t="s">
        <v>304</v>
      </c>
      <c r="B3" s="161" t="s">
        <v>305</v>
      </c>
      <c r="C3" s="31"/>
    </row>
    <row r="4" ht="12.75" customHeight="1">
      <c r="B4" s="162" t="s">
        <v>306</v>
      </c>
      <c r="C4" s="163"/>
    </row>
    <row r="5" ht="12.75" customHeight="1">
      <c r="B5" s="164" t="s">
        <v>307</v>
      </c>
      <c r="C5" s="165"/>
    </row>
    <row r="6" ht="12.75" customHeight="1">
      <c r="B6" s="166" t="s">
        <v>308</v>
      </c>
      <c r="C6" s="167"/>
    </row>
    <row r="7" ht="52.5" customHeight="1">
      <c r="A7" s="2"/>
      <c r="B7" s="60" t="s">
        <v>309</v>
      </c>
      <c r="C7" s="168"/>
    </row>
    <row r="8" ht="12.75" customHeight="1">
      <c r="A8" s="2"/>
      <c r="B8" s="2" t="s">
        <v>310</v>
      </c>
      <c r="C8" s="169"/>
    </row>
    <row r="9" ht="12.75" customHeight="1">
      <c r="A9" s="2"/>
      <c r="B9" s="2" t="s">
        <v>311</v>
      </c>
      <c r="C9" s="170"/>
    </row>
    <row r="10" ht="12.75" customHeight="1">
      <c r="A10" s="136" t="s">
        <v>193</v>
      </c>
      <c r="B10" s="136"/>
      <c r="C10" s="136" t="s">
        <v>312</v>
      </c>
    </row>
    <row r="11" ht="12.75" customHeight="1">
      <c r="A11" s="156"/>
      <c r="B11" s="171" t="s">
        <v>228</v>
      </c>
      <c r="C11" s="172"/>
    </row>
    <row r="12" ht="12.75" customHeight="1">
      <c r="A12" s="156"/>
      <c r="B12" s="171"/>
      <c r="C12" s="147"/>
    </row>
    <row r="13" ht="12.75" customHeight="1">
      <c r="A13" s="156"/>
      <c r="B13" s="171" t="s">
        <v>313</v>
      </c>
      <c r="C13" s="172"/>
    </row>
    <row r="14" ht="12.75" customHeight="1">
      <c r="A14" s="156"/>
      <c r="B14" s="173" t="s">
        <v>314</v>
      </c>
      <c r="C14" s="174"/>
    </row>
    <row r="15" ht="12.75" customHeight="1">
      <c r="A15" s="156"/>
      <c r="B15" s="173" t="s">
        <v>315</v>
      </c>
      <c r="C15" s="174"/>
    </row>
    <row r="16" ht="12.75" customHeight="1">
      <c r="A16" s="156"/>
      <c r="B16" s="173" t="s">
        <v>316</v>
      </c>
      <c r="C16" s="174"/>
    </row>
    <row r="17" ht="12.75" customHeight="1">
      <c r="A17" s="156"/>
      <c r="B17" s="171" t="s">
        <v>196</v>
      </c>
      <c r="C17" s="172"/>
    </row>
    <row r="18" ht="12.75" customHeight="1">
      <c r="A18" s="156"/>
      <c r="B18" s="171"/>
      <c r="C18" s="147"/>
    </row>
    <row r="19" ht="12.75" customHeight="1">
      <c r="A19" s="156"/>
      <c r="B19" s="171" t="s">
        <v>173</v>
      </c>
      <c r="C19" s="172"/>
    </row>
    <row r="20" ht="12.75" customHeight="1">
      <c r="A20" s="156"/>
      <c r="B20" s="173" t="s">
        <v>317</v>
      </c>
      <c r="C20" s="174"/>
    </row>
    <row r="21" ht="12.75" customHeight="1">
      <c r="A21" s="156"/>
      <c r="B21" s="173" t="s">
        <v>318</v>
      </c>
      <c r="C21" s="174"/>
    </row>
    <row r="22" ht="12.75" customHeight="1">
      <c r="A22" s="156"/>
      <c r="B22" s="173" t="s">
        <v>319</v>
      </c>
      <c r="C22" s="174"/>
    </row>
    <row r="23" ht="12.75" customHeight="1">
      <c r="A23" s="156"/>
      <c r="B23" s="173" t="s">
        <v>320</v>
      </c>
      <c r="C23" s="174"/>
    </row>
    <row r="24" ht="12.75" customHeight="1">
      <c r="A24" s="156"/>
      <c r="B24" s="173" t="s">
        <v>321</v>
      </c>
      <c r="C24" s="174"/>
    </row>
    <row r="25" ht="12.75" customHeight="1">
      <c r="A25" s="156"/>
      <c r="B25" s="171" t="s">
        <v>322</v>
      </c>
      <c r="C25" s="172"/>
    </row>
    <row r="26" ht="12.75" customHeight="1">
      <c r="A26" s="156"/>
      <c r="B26" s="171"/>
      <c r="C26" s="147"/>
    </row>
    <row r="27" ht="12.75" customHeight="1">
      <c r="A27" s="156"/>
      <c r="B27" s="173" t="s">
        <v>323</v>
      </c>
      <c r="C27" s="174"/>
    </row>
    <row r="28" ht="12.75" customHeight="1">
      <c r="A28" s="156"/>
      <c r="B28" s="171" t="s">
        <v>299</v>
      </c>
      <c r="C28" s="172"/>
    </row>
    <row r="29" ht="12.75" customHeight="1">
      <c r="A29" s="156"/>
      <c r="B29" s="171"/>
      <c r="C29" s="147"/>
    </row>
    <row r="30" ht="12.75" customHeight="1">
      <c r="A30" s="156"/>
      <c r="B30" s="173" t="s">
        <v>324</v>
      </c>
      <c r="C30" s="174"/>
    </row>
    <row r="31" ht="12.75" customHeight="1">
      <c r="A31" s="156"/>
      <c r="B31" s="173" t="s">
        <v>325</v>
      </c>
      <c r="C31" s="174"/>
    </row>
    <row r="32" ht="12.75" customHeight="1">
      <c r="A32" s="156"/>
      <c r="B32" s="171" t="s">
        <v>326</v>
      </c>
      <c r="C32" s="172"/>
    </row>
    <row r="33" ht="12.75" customHeight="1">
      <c r="A33" s="156"/>
      <c r="B33" s="171"/>
      <c r="C33" s="147"/>
    </row>
    <row r="34" ht="12.75" customHeight="1">
      <c r="A34" s="156"/>
      <c r="B34" s="173" t="s">
        <v>327</v>
      </c>
      <c r="C34" s="174"/>
    </row>
    <row r="35" ht="12.75" customHeight="1">
      <c r="A35" s="156"/>
      <c r="B35" s="171" t="s">
        <v>328</v>
      </c>
      <c r="C35" s="172"/>
    </row>
    <row r="36" ht="12.75" customHeight="1">
      <c r="A36" s="2"/>
      <c r="B36" s="2"/>
      <c r="C36" s="2"/>
    </row>
    <row r="37" ht="12.75" customHeight="1">
      <c r="A37" s="136" t="s">
        <v>329</v>
      </c>
      <c r="B37" s="136"/>
      <c r="C37" s="136" t="s">
        <v>330</v>
      </c>
    </row>
    <row r="38" ht="12.75" customHeight="1">
      <c r="A38" s="156"/>
      <c r="B38" s="171" t="s">
        <v>331</v>
      </c>
      <c r="C38" s="172"/>
    </row>
    <row r="39" ht="12.75" customHeight="1">
      <c r="A39" s="156"/>
      <c r="B39" s="171" t="s">
        <v>239</v>
      </c>
      <c r="C39" s="174"/>
    </row>
    <row r="40" ht="12.75" customHeight="1">
      <c r="A40" s="156"/>
      <c r="B40" s="173" t="s">
        <v>332</v>
      </c>
      <c r="C40" s="174"/>
    </row>
    <row r="41" ht="12.75" customHeight="1">
      <c r="A41" s="156"/>
      <c r="B41" s="173" t="s">
        <v>236</v>
      </c>
      <c r="C41" s="174"/>
    </row>
    <row r="42" ht="12.75" customHeight="1">
      <c r="A42" s="156"/>
      <c r="B42" s="173" t="s">
        <v>237</v>
      </c>
      <c r="C42" s="174"/>
    </row>
    <row r="43" ht="12.75" customHeight="1">
      <c r="A43" s="156"/>
      <c r="B43" s="173" t="s">
        <v>333</v>
      </c>
      <c r="C43" s="174"/>
    </row>
    <row r="44" ht="12.75" customHeight="1">
      <c r="A44" s="156"/>
      <c r="B44" s="173" t="s">
        <v>238</v>
      </c>
      <c r="C44" s="174"/>
    </row>
    <row r="45" ht="12.75" customHeight="1">
      <c r="A45" s="156"/>
      <c r="B45" s="175"/>
      <c r="C45" s="82"/>
    </row>
    <row r="46" ht="12.75" customHeight="1">
      <c r="A46" s="156"/>
      <c r="B46" s="171" t="s">
        <v>334</v>
      </c>
      <c r="C46" s="172"/>
    </row>
    <row r="47" ht="12.75" customHeight="1">
      <c r="A47" s="156"/>
      <c r="B47" s="173" t="s">
        <v>335</v>
      </c>
      <c r="C47" s="174"/>
    </row>
    <row r="48" ht="12.75" customHeight="1">
      <c r="A48" s="156"/>
      <c r="B48" s="173" t="s">
        <v>336</v>
      </c>
      <c r="C48" s="174"/>
    </row>
    <row r="49" ht="12.75" customHeight="1">
      <c r="A49" s="156"/>
      <c r="B49" s="173" t="s">
        <v>337</v>
      </c>
      <c r="C49" s="174"/>
    </row>
    <row r="50" ht="12.75" customHeight="1">
      <c r="A50" s="156"/>
      <c r="B50" s="173" t="s">
        <v>241</v>
      </c>
      <c r="C50" s="174"/>
    </row>
    <row r="51" ht="12.75" customHeight="1">
      <c r="A51" s="156"/>
      <c r="B51" s="175"/>
      <c r="C51" s="82"/>
    </row>
    <row r="52" ht="12.75" customHeight="1">
      <c r="A52" s="156"/>
      <c r="B52" s="171" t="s">
        <v>338</v>
      </c>
      <c r="C52" s="172"/>
    </row>
    <row r="53" ht="12.75" customHeight="1">
      <c r="A53" s="156"/>
      <c r="B53" s="176" t="s">
        <v>247</v>
      </c>
      <c r="C53" s="174"/>
    </row>
    <row r="54" ht="12.75" customHeight="1">
      <c r="A54" s="156"/>
      <c r="B54" s="173" t="s">
        <v>245</v>
      </c>
      <c r="C54" s="174"/>
    </row>
    <row r="55" ht="12.75" customHeight="1">
      <c r="A55" s="156"/>
      <c r="B55" s="173" t="s">
        <v>339</v>
      </c>
      <c r="C55" s="174"/>
    </row>
    <row r="56" ht="12.75" customHeight="1">
      <c r="A56" s="156"/>
      <c r="B56" s="173" t="s">
        <v>340</v>
      </c>
      <c r="C56" s="174"/>
    </row>
    <row r="57" ht="12.75" customHeight="1">
      <c r="A57" s="156"/>
      <c r="B57" s="173" t="s">
        <v>341</v>
      </c>
      <c r="C57" s="174"/>
    </row>
    <row r="58" ht="12.75" customHeight="1">
      <c r="A58" s="156"/>
      <c r="B58" s="173" t="s">
        <v>246</v>
      </c>
      <c r="C58" s="174"/>
    </row>
    <row r="59" ht="12.75" customHeight="1">
      <c r="A59" s="156"/>
      <c r="B59" s="175"/>
      <c r="C59" s="82"/>
    </row>
    <row r="60" ht="12.75" customHeight="1">
      <c r="A60" s="156"/>
      <c r="B60" s="171" t="s">
        <v>342</v>
      </c>
      <c r="C60" s="172"/>
    </row>
    <row r="61" ht="12.75" customHeight="1">
      <c r="A61" s="156"/>
      <c r="B61" s="173" t="s">
        <v>343</v>
      </c>
      <c r="C61" s="174"/>
    </row>
    <row r="62" ht="12.75" customHeight="1">
      <c r="A62" s="156"/>
      <c r="B62" s="173" t="s">
        <v>249</v>
      </c>
      <c r="C62" s="174"/>
    </row>
    <row r="63" ht="12.75" customHeight="1">
      <c r="A63" s="156"/>
      <c r="B63" s="175"/>
      <c r="C63" s="82"/>
    </row>
    <row r="64" ht="12.75" customHeight="1">
      <c r="A64" s="156"/>
      <c r="B64" s="171" t="s">
        <v>344</v>
      </c>
      <c r="C64" s="172"/>
    </row>
    <row r="65" ht="12.75" customHeight="1">
      <c r="A65" s="2"/>
      <c r="B65" s="2"/>
      <c r="C65" s="2"/>
    </row>
    <row r="66" ht="12.75" customHeight="1">
      <c r="A66" s="136" t="s">
        <v>345</v>
      </c>
      <c r="B66" s="136"/>
      <c r="C66" s="136"/>
    </row>
    <row r="67" ht="12.75" customHeight="1">
      <c r="A67" s="14" t="s">
        <v>346</v>
      </c>
      <c r="B67" s="2"/>
      <c r="C67" s="2"/>
    </row>
    <row r="68" ht="12.75" customHeight="1">
      <c r="A68" s="156"/>
      <c r="B68" s="175" t="s">
        <v>256</v>
      </c>
      <c r="C68" s="177"/>
    </row>
    <row r="69" ht="12.75" customHeight="1">
      <c r="A69" s="156"/>
      <c r="B69" s="175" t="s">
        <v>347</v>
      </c>
      <c r="C69" s="177"/>
    </row>
    <row r="70" ht="12.75" customHeight="1">
      <c r="A70" s="156"/>
      <c r="B70" s="175" t="s">
        <v>348</v>
      </c>
      <c r="C70" s="178"/>
    </row>
    <row r="71" ht="12.75" customHeight="1">
      <c r="A71" s="156"/>
      <c r="B71" s="175" t="s">
        <v>349</v>
      </c>
      <c r="C71" s="178"/>
    </row>
    <row r="72" ht="12.75" customHeight="1">
      <c r="A72" s="156"/>
      <c r="B72" s="175" t="s">
        <v>350</v>
      </c>
      <c r="C72" s="178"/>
    </row>
    <row r="73" ht="12.75" customHeight="1">
      <c r="A73" s="156"/>
      <c r="B73" s="175" t="s">
        <v>351</v>
      </c>
      <c r="C73" s="178"/>
    </row>
    <row r="74" ht="12.75" customHeight="1">
      <c r="A74" s="156"/>
      <c r="B74" s="175" t="s">
        <v>352</v>
      </c>
      <c r="C74" s="177"/>
    </row>
    <row r="75" ht="12.75" customHeight="1">
      <c r="A75" s="156"/>
      <c r="B75" s="175"/>
      <c r="C75" s="177"/>
    </row>
    <row r="76" ht="12.75" customHeight="1">
      <c r="A76" s="14" t="s">
        <v>353</v>
      </c>
      <c r="B76" s="2"/>
      <c r="C76" s="2"/>
    </row>
    <row r="77" ht="12.75" customHeight="1">
      <c r="A77" s="156"/>
      <c r="B77" s="175" t="s">
        <v>354</v>
      </c>
      <c r="C77" s="177"/>
    </row>
    <row r="78" ht="12.75" customHeight="1">
      <c r="A78" s="156"/>
      <c r="B78" s="175" t="s">
        <v>355</v>
      </c>
      <c r="C78" s="177"/>
    </row>
    <row r="79" ht="12.75" customHeight="1">
      <c r="A79" s="156"/>
      <c r="B79" s="175" t="s">
        <v>356</v>
      </c>
      <c r="C79" s="178"/>
    </row>
    <row r="80" ht="12.75" customHeight="1">
      <c r="A80" s="156"/>
      <c r="B80" s="175" t="s">
        <v>357</v>
      </c>
      <c r="C80" s="178"/>
    </row>
    <row r="81" ht="12.75" customHeight="1">
      <c r="A81" s="156"/>
      <c r="B81" s="175" t="s">
        <v>358</v>
      </c>
      <c r="C81" s="178"/>
    </row>
    <row r="82" ht="12.75" customHeight="1">
      <c r="A82" s="156"/>
      <c r="B82" s="175"/>
      <c r="C82" s="178"/>
    </row>
    <row r="83" ht="12.75" customHeight="1">
      <c r="A83" s="14" t="s">
        <v>359</v>
      </c>
      <c r="B83" s="2"/>
      <c r="C83" s="2"/>
    </row>
    <row r="84" ht="12.75" customHeight="1">
      <c r="A84" s="156"/>
      <c r="B84" s="175" t="s">
        <v>267</v>
      </c>
      <c r="C84" s="178"/>
    </row>
    <row r="85" ht="12.75" customHeight="1">
      <c r="A85" s="156"/>
      <c r="B85" s="175" t="s">
        <v>360</v>
      </c>
      <c r="C85" s="178"/>
    </row>
    <row r="86" ht="12.75" customHeight="1">
      <c r="A86" s="156"/>
      <c r="B86" s="175" t="s">
        <v>361</v>
      </c>
      <c r="C86" s="179"/>
    </row>
    <row r="87" ht="12.75" customHeight="1">
      <c r="A87" s="156"/>
      <c r="B87" s="175" t="s">
        <v>362</v>
      </c>
      <c r="C87" s="179"/>
    </row>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2024-02-04T18:59:14Z</dcterms:created>
  <dc:creator>Jeffrey Babin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0x01010050341FE286DEE94280C9B5E408313862</vt:lpwstr>
  </property>
</Properties>
</file>