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rinterSettings/printerSettings1.bin" ContentType="application/vnd.openxmlformats-officedocument.spreadsheetml.printerSettings"/>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Vedant Wanchoo\Desktop\CGS 2020\Vinesh\"/>
    </mc:Choice>
  </mc:AlternateContent>
  <xr:revisionPtr revIDLastSave="0" documentId="13_ncr:1_{61F75E6D-B727-4430-B799-191F41F3B0CA}" xr6:coauthVersionLast="47" xr6:coauthVersionMax="47" xr10:uidLastSave="{00000000-0000-0000-0000-000000000000}"/>
  <bookViews>
    <workbookView xWindow="-120" yWindow="-120" windowWidth="29040" windowHeight="15720" firstSheet="1" activeTab="1" xr2:uid="{84706507-D033-40C1-A0DB-24E5F1CBB578}"/>
  </bookViews>
  <sheets>
    <sheet name="MDUxODE1YWMtOWUxYi00MT" sheetId="1048" state="veryHidden" r:id="rId1"/>
    <sheet name="Vinesh_Portfolio" sheetId="5" r:id="rId2"/>
  </sheets>
  <definedNames>
    <definedName name="_xlnm._FilterDatabase" localSheetId="1" hidden="1">Vinesh_Portfolio!$BT$2:$BU$102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X124" i="5" l="1"/>
  <c r="AX126" i="5"/>
  <c r="AY131" i="5"/>
  <c r="AY132" i="5"/>
  <c r="AX134" i="5"/>
  <c r="AX139" i="5"/>
  <c r="AX140" i="5"/>
  <c r="AY142" i="5"/>
  <c r="AX147" i="5"/>
  <c r="AX148" i="5"/>
  <c r="AX150" i="5"/>
  <c r="AX155" i="5"/>
  <c r="AX158" i="5"/>
  <c r="AY161" i="5"/>
  <c r="AY164" i="5"/>
  <c r="AY166" i="5"/>
  <c r="AX171" i="5"/>
  <c r="AY172" i="5"/>
  <c r="AY174" i="5"/>
  <c r="AY179" i="5"/>
  <c r="AY180" i="5"/>
  <c r="AX182" i="5"/>
  <c r="AY187" i="5"/>
  <c r="AY188" i="5"/>
  <c r="AX195" i="5"/>
  <c r="AX196" i="5"/>
  <c r="AX198" i="5"/>
  <c r="AY203" i="5"/>
  <c r="AY204" i="5"/>
  <c r="AX211" i="5"/>
  <c r="AX212" i="5"/>
  <c r="AX214" i="5"/>
  <c r="AX219" i="5"/>
  <c r="AX220" i="5"/>
  <c r="AX222" i="5"/>
  <c r="AX227" i="5"/>
  <c r="AX228" i="5"/>
  <c r="AX230" i="5"/>
  <c r="AY235" i="5"/>
  <c r="AX236" i="5"/>
  <c r="AY238" i="5"/>
  <c r="AY243" i="5"/>
  <c r="AY244" i="5"/>
  <c r="AY246" i="5"/>
  <c r="AY251" i="5"/>
  <c r="AX252" i="5"/>
  <c r="AX254" i="5"/>
  <c r="AX259" i="5"/>
  <c r="AX260" i="5"/>
  <c r="AX262" i="5"/>
  <c r="AX267" i="5"/>
  <c r="AX270" i="5"/>
  <c r="AY276" i="5"/>
  <c r="AY278" i="5"/>
  <c r="AY283" i="5"/>
  <c r="AY284" i="5"/>
  <c r="BB284" i="5" s="1"/>
  <c r="BC284" i="5" s="1"/>
  <c r="BD284" i="5" s="1" a="1"/>
  <c r="BD284" i="5" s="1"/>
  <c r="BF284" i="5" s="1"/>
  <c r="AY286" i="5"/>
  <c r="AX291" i="5"/>
  <c r="AX292" i="5"/>
  <c r="AX294" i="5"/>
  <c r="AX299" i="5"/>
  <c r="AZ4" i="5"/>
  <c r="AZ5" i="5"/>
  <c r="AZ6" i="5"/>
  <c r="BB6" i="5" s="1"/>
  <c r="BC6" i="5" s="1"/>
  <c r="AZ7" i="5"/>
  <c r="AZ8" i="5"/>
  <c r="AZ9" i="5"/>
  <c r="AZ10" i="5"/>
  <c r="AZ11" i="5"/>
  <c r="AZ12" i="5"/>
  <c r="AZ13" i="5"/>
  <c r="AZ14" i="5"/>
  <c r="AZ15" i="5"/>
  <c r="AZ16" i="5"/>
  <c r="AZ17" i="5"/>
  <c r="AZ18" i="5"/>
  <c r="AZ19" i="5"/>
  <c r="AZ20" i="5"/>
  <c r="AZ21" i="5"/>
  <c r="AZ22" i="5"/>
  <c r="AZ23" i="5"/>
  <c r="AZ24" i="5"/>
  <c r="AZ25" i="5"/>
  <c r="AZ26" i="5"/>
  <c r="AZ27" i="5"/>
  <c r="AZ28" i="5"/>
  <c r="BB28" i="5" s="1"/>
  <c r="BC28" i="5" s="1"/>
  <c r="AZ29" i="5"/>
  <c r="AZ30" i="5"/>
  <c r="AZ31" i="5"/>
  <c r="AZ32" i="5"/>
  <c r="AZ33" i="5"/>
  <c r="AZ34" i="5"/>
  <c r="AZ35" i="5"/>
  <c r="AZ36" i="5"/>
  <c r="AZ37" i="5"/>
  <c r="AZ38" i="5"/>
  <c r="AZ39" i="5"/>
  <c r="AZ40" i="5"/>
  <c r="AZ41" i="5"/>
  <c r="AZ42" i="5"/>
  <c r="AZ43" i="5"/>
  <c r="AZ44" i="5"/>
  <c r="AZ45" i="5"/>
  <c r="AZ46" i="5"/>
  <c r="AZ47" i="5"/>
  <c r="AZ48" i="5"/>
  <c r="AZ49" i="5"/>
  <c r="AZ50" i="5"/>
  <c r="AZ51" i="5"/>
  <c r="AZ52" i="5"/>
  <c r="AZ53" i="5"/>
  <c r="AZ54" i="5"/>
  <c r="AZ55" i="5"/>
  <c r="AZ56" i="5"/>
  <c r="AZ57" i="5"/>
  <c r="AZ58" i="5"/>
  <c r="AZ59" i="5"/>
  <c r="AZ60" i="5"/>
  <c r="AZ61" i="5"/>
  <c r="AZ62" i="5"/>
  <c r="AZ63" i="5"/>
  <c r="AZ64" i="5"/>
  <c r="AZ65" i="5"/>
  <c r="AZ66" i="5"/>
  <c r="AZ67" i="5"/>
  <c r="AZ68" i="5"/>
  <c r="AZ69" i="5"/>
  <c r="AZ70" i="5"/>
  <c r="AZ71" i="5"/>
  <c r="AZ72" i="5"/>
  <c r="AZ73" i="5"/>
  <c r="AZ74" i="5"/>
  <c r="AZ75" i="5"/>
  <c r="AZ76" i="5"/>
  <c r="AZ77" i="5"/>
  <c r="AZ78" i="5"/>
  <c r="AZ79" i="5"/>
  <c r="AZ80" i="5"/>
  <c r="AZ81" i="5"/>
  <c r="AZ82" i="5"/>
  <c r="AZ83" i="5"/>
  <c r="AZ84" i="5"/>
  <c r="AZ85" i="5"/>
  <c r="AZ86" i="5"/>
  <c r="AZ87" i="5"/>
  <c r="AZ88" i="5"/>
  <c r="AZ89" i="5"/>
  <c r="AZ90" i="5"/>
  <c r="AZ91" i="5"/>
  <c r="AZ92" i="5"/>
  <c r="AZ93" i="5"/>
  <c r="AZ94" i="5"/>
  <c r="AZ95" i="5"/>
  <c r="AZ96" i="5"/>
  <c r="AZ97" i="5"/>
  <c r="AZ98" i="5"/>
  <c r="AZ99" i="5"/>
  <c r="AZ100" i="5"/>
  <c r="AZ101" i="5"/>
  <c r="AZ102" i="5"/>
  <c r="AZ103" i="5"/>
  <c r="AZ104" i="5"/>
  <c r="AZ105" i="5"/>
  <c r="AZ106" i="5"/>
  <c r="AZ107" i="5"/>
  <c r="AZ108" i="5"/>
  <c r="AZ109" i="5"/>
  <c r="AZ110" i="5"/>
  <c r="AZ111" i="5"/>
  <c r="AZ112" i="5"/>
  <c r="AZ113" i="5"/>
  <c r="AZ114" i="5"/>
  <c r="AZ115" i="5"/>
  <c r="AZ116" i="5"/>
  <c r="AZ117" i="5"/>
  <c r="AZ118" i="5"/>
  <c r="AZ119" i="5"/>
  <c r="AZ120" i="5"/>
  <c r="AZ121" i="5"/>
  <c r="AZ122" i="5"/>
  <c r="AZ123" i="5"/>
  <c r="AZ124" i="5"/>
  <c r="AZ125" i="5"/>
  <c r="AZ126" i="5"/>
  <c r="AZ127" i="5"/>
  <c r="AZ128" i="5"/>
  <c r="AZ129" i="5"/>
  <c r="AZ130" i="5"/>
  <c r="AZ131" i="5"/>
  <c r="AZ132" i="5"/>
  <c r="AZ133" i="5"/>
  <c r="AZ134" i="5"/>
  <c r="AZ135" i="5"/>
  <c r="AZ136" i="5"/>
  <c r="AZ137" i="5"/>
  <c r="AZ138" i="5"/>
  <c r="AZ139" i="5"/>
  <c r="AZ140" i="5"/>
  <c r="AZ141" i="5"/>
  <c r="AZ142" i="5"/>
  <c r="AZ143" i="5"/>
  <c r="AZ144" i="5"/>
  <c r="AZ145" i="5"/>
  <c r="AZ146" i="5"/>
  <c r="AZ147" i="5"/>
  <c r="AZ148" i="5"/>
  <c r="AZ149" i="5"/>
  <c r="AZ150" i="5"/>
  <c r="AZ151" i="5"/>
  <c r="AZ152" i="5"/>
  <c r="AZ153" i="5"/>
  <c r="AZ154" i="5"/>
  <c r="AZ155" i="5"/>
  <c r="AZ156" i="5"/>
  <c r="AZ157" i="5"/>
  <c r="AZ158" i="5"/>
  <c r="AZ159" i="5"/>
  <c r="AZ160" i="5"/>
  <c r="AZ161" i="5"/>
  <c r="AZ162" i="5"/>
  <c r="AZ163" i="5"/>
  <c r="AZ164" i="5"/>
  <c r="AZ165" i="5"/>
  <c r="AZ166" i="5"/>
  <c r="AZ167" i="5"/>
  <c r="AZ168" i="5"/>
  <c r="AZ169" i="5"/>
  <c r="AZ170" i="5"/>
  <c r="AZ171" i="5"/>
  <c r="AZ172" i="5"/>
  <c r="AZ173" i="5"/>
  <c r="AZ174" i="5"/>
  <c r="AZ175" i="5"/>
  <c r="AZ176" i="5"/>
  <c r="AZ177" i="5"/>
  <c r="AZ178" i="5"/>
  <c r="AZ179" i="5"/>
  <c r="AZ180" i="5"/>
  <c r="AZ181" i="5"/>
  <c r="AZ182" i="5"/>
  <c r="AZ183" i="5"/>
  <c r="AZ184" i="5"/>
  <c r="AZ185" i="5"/>
  <c r="AZ186" i="5"/>
  <c r="AZ187" i="5"/>
  <c r="AZ188" i="5"/>
  <c r="AZ189" i="5"/>
  <c r="AZ190" i="5"/>
  <c r="AZ191" i="5"/>
  <c r="AZ192" i="5"/>
  <c r="AZ193" i="5"/>
  <c r="AZ194" i="5"/>
  <c r="AZ195" i="5"/>
  <c r="AZ196" i="5"/>
  <c r="AZ197" i="5"/>
  <c r="AZ198" i="5"/>
  <c r="AZ199" i="5"/>
  <c r="AZ200" i="5"/>
  <c r="AZ201" i="5"/>
  <c r="AZ202" i="5"/>
  <c r="AZ203" i="5"/>
  <c r="AZ204" i="5"/>
  <c r="AZ205" i="5"/>
  <c r="AZ206" i="5"/>
  <c r="AZ207" i="5"/>
  <c r="AZ208" i="5"/>
  <c r="AZ209" i="5"/>
  <c r="AZ210" i="5"/>
  <c r="AZ211" i="5"/>
  <c r="AZ212" i="5"/>
  <c r="AZ213" i="5"/>
  <c r="AZ214" i="5"/>
  <c r="AZ215" i="5"/>
  <c r="AZ216" i="5"/>
  <c r="AZ217" i="5"/>
  <c r="AZ218" i="5"/>
  <c r="AZ219" i="5"/>
  <c r="AZ220" i="5"/>
  <c r="AZ221" i="5"/>
  <c r="AZ222" i="5"/>
  <c r="AZ223" i="5"/>
  <c r="AZ224" i="5"/>
  <c r="AZ225" i="5"/>
  <c r="AZ226" i="5"/>
  <c r="AZ227" i="5"/>
  <c r="AZ228" i="5"/>
  <c r="AZ229" i="5"/>
  <c r="AZ230" i="5"/>
  <c r="AZ231" i="5"/>
  <c r="AZ232" i="5"/>
  <c r="AZ233" i="5"/>
  <c r="AZ234" i="5"/>
  <c r="AZ235" i="5"/>
  <c r="AZ236" i="5"/>
  <c r="AZ237" i="5"/>
  <c r="AZ238" i="5"/>
  <c r="AZ239" i="5"/>
  <c r="AZ240" i="5"/>
  <c r="AZ241" i="5"/>
  <c r="AZ242" i="5"/>
  <c r="AZ243" i="5"/>
  <c r="AZ244" i="5"/>
  <c r="AZ245" i="5"/>
  <c r="AZ246" i="5"/>
  <c r="AZ247" i="5"/>
  <c r="AZ248" i="5"/>
  <c r="AZ249" i="5"/>
  <c r="AZ250" i="5"/>
  <c r="AZ251" i="5"/>
  <c r="AZ252" i="5"/>
  <c r="AZ253" i="5"/>
  <c r="AZ254" i="5"/>
  <c r="AZ255" i="5"/>
  <c r="AZ256" i="5"/>
  <c r="AZ257" i="5"/>
  <c r="AZ258" i="5"/>
  <c r="AZ259" i="5"/>
  <c r="AZ260" i="5"/>
  <c r="AZ261" i="5"/>
  <c r="AZ262" i="5"/>
  <c r="AZ263" i="5"/>
  <c r="AZ264" i="5"/>
  <c r="AZ265" i="5"/>
  <c r="AZ266" i="5"/>
  <c r="AZ267" i="5"/>
  <c r="AZ268" i="5"/>
  <c r="AZ269" i="5"/>
  <c r="AZ270" i="5"/>
  <c r="AZ271" i="5"/>
  <c r="AZ272" i="5"/>
  <c r="AZ273" i="5"/>
  <c r="AZ274" i="5"/>
  <c r="AZ275" i="5"/>
  <c r="AZ276" i="5"/>
  <c r="AZ277" i="5"/>
  <c r="AZ278" i="5"/>
  <c r="AZ279" i="5"/>
  <c r="AZ280" i="5"/>
  <c r="AZ281" i="5"/>
  <c r="AZ282" i="5"/>
  <c r="AZ283" i="5"/>
  <c r="AZ284" i="5"/>
  <c r="AZ285" i="5"/>
  <c r="AZ286" i="5"/>
  <c r="AZ287" i="5"/>
  <c r="AZ288" i="5"/>
  <c r="AZ289" i="5"/>
  <c r="AZ290" i="5"/>
  <c r="AZ291" i="5"/>
  <c r="AZ292" i="5"/>
  <c r="AZ293" i="5"/>
  <c r="AZ294" i="5"/>
  <c r="AZ295" i="5"/>
  <c r="AZ296" i="5"/>
  <c r="AZ297" i="5"/>
  <c r="AZ298" i="5"/>
  <c r="AZ299" i="5"/>
  <c r="AZ300" i="5"/>
  <c r="AZ301" i="5"/>
  <c r="AV4" i="5"/>
  <c r="AX4" i="5"/>
  <c r="AY4" i="5"/>
  <c r="AV5" i="5"/>
  <c r="AX5" i="5"/>
  <c r="AY5" i="5"/>
  <c r="AV6" i="5"/>
  <c r="AX6" i="5"/>
  <c r="AY6" i="5"/>
  <c r="AV7" i="5"/>
  <c r="AX7" i="5"/>
  <c r="AY7" i="5"/>
  <c r="BB7" i="5" s="1"/>
  <c r="BC7" i="5" s="1"/>
  <c r="AV8" i="5"/>
  <c r="AX8" i="5"/>
  <c r="AY8" i="5"/>
  <c r="BB8" i="5" s="1"/>
  <c r="BC8" i="5" s="1"/>
  <c r="AV9" i="5"/>
  <c r="AX9" i="5"/>
  <c r="AY9" i="5"/>
  <c r="BB9" i="5"/>
  <c r="BC9" i="5" s="1"/>
  <c r="AV10" i="5"/>
  <c r="AX10" i="5"/>
  <c r="AY10" i="5"/>
  <c r="BB10" i="5" s="1"/>
  <c r="BC10" i="5" s="1"/>
  <c r="AV11" i="5"/>
  <c r="AX11" i="5"/>
  <c r="AY11" i="5"/>
  <c r="AV12" i="5"/>
  <c r="AX12" i="5"/>
  <c r="AY12" i="5"/>
  <c r="AV13" i="5"/>
  <c r="AX13" i="5"/>
  <c r="AY13" i="5"/>
  <c r="BB13" i="5" s="1"/>
  <c r="BC13" i="5" s="1"/>
  <c r="AV14" i="5"/>
  <c r="AX14" i="5"/>
  <c r="AY14" i="5"/>
  <c r="AV15" i="5"/>
  <c r="AX15" i="5"/>
  <c r="AY15" i="5"/>
  <c r="BB15" i="5" s="1"/>
  <c r="BC15" i="5" s="1"/>
  <c r="AV16" i="5"/>
  <c r="AX16" i="5"/>
  <c r="AY16" i="5"/>
  <c r="BB16" i="5" s="1"/>
  <c r="BC16" i="5" s="1"/>
  <c r="AV17" i="5"/>
  <c r="AX17" i="5"/>
  <c r="AY17" i="5"/>
  <c r="BB17" i="5" s="1"/>
  <c r="BC17" i="5" s="1"/>
  <c r="AV18" i="5"/>
  <c r="AX18" i="5"/>
  <c r="AY18" i="5"/>
  <c r="AV19" i="5"/>
  <c r="AX19" i="5"/>
  <c r="AY19" i="5"/>
  <c r="AV20" i="5"/>
  <c r="AX20" i="5"/>
  <c r="AY20" i="5"/>
  <c r="AV21" i="5"/>
  <c r="AX21" i="5"/>
  <c r="AY21" i="5"/>
  <c r="BB21" i="5" s="1"/>
  <c r="BC21" i="5" s="1"/>
  <c r="AV22" i="5"/>
  <c r="AX22" i="5"/>
  <c r="AY22" i="5"/>
  <c r="AV23" i="5"/>
  <c r="AX23" i="5"/>
  <c r="AY23" i="5"/>
  <c r="BB23" i="5" s="1"/>
  <c r="BC23" i="5" s="1"/>
  <c r="AV24" i="5"/>
  <c r="AX24" i="5"/>
  <c r="AY24" i="5"/>
  <c r="BB24" i="5" s="1"/>
  <c r="BC24" i="5" s="1"/>
  <c r="AV25" i="5"/>
  <c r="AX25" i="5"/>
  <c r="AY25" i="5"/>
  <c r="BB25" i="5" s="1"/>
  <c r="BC25" i="5" s="1"/>
  <c r="AV26" i="5"/>
  <c r="AX26" i="5"/>
  <c r="AY26" i="5"/>
  <c r="AV27" i="5"/>
  <c r="AX27" i="5"/>
  <c r="AY27" i="5"/>
  <c r="AV28" i="5"/>
  <c r="AX28" i="5"/>
  <c r="AY28" i="5"/>
  <c r="AV29" i="5"/>
  <c r="AX29" i="5"/>
  <c r="AY29" i="5"/>
  <c r="AV30" i="5"/>
  <c r="AX30" i="5"/>
  <c r="AY30" i="5"/>
  <c r="AV31" i="5"/>
  <c r="AX31" i="5"/>
  <c r="AY31" i="5"/>
  <c r="BB31" i="5" s="1"/>
  <c r="BC31" i="5" s="1"/>
  <c r="AV32" i="5"/>
  <c r="AX32" i="5"/>
  <c r="AY32" i="5"/>
  <c r="BB32" i="5" s="1"/>
  <c r="BC32" i="5" s="1"/>
  <c r="AV33" i="5"/>
  <c r="AX33" i="5"/>
  <c r="AY33" i="5"/>
  <c r="AV34" i="5"/>
  <c r="AX34" i="5"/>
  <c r="AY34" i="5"/>
  <c r="AV35" i="5"/>
  <c r="AX35" i="5"/>
  <c r="AY35" i="5"/>
  <c r="AV36" i="5"/>
  <c r="AX36" i="5"/>
  <c r="AY36" i="5"/>
  <c r="AV37" i="5"/>
  <c r="AX37" i="5"/>
  <c r="AY37" i="5"/>
  <c r="AV38" i="5"/>
  <c r="AX38" i="5"/>
  <c r="AY38" i="5"/>
  <c r="AV39" i="5"/>
  <c r="AX39" i="5"/>
  <c r="AY39" i="5"/>
  <c r="BB39" i="5" s="1"/>
  <c r="BC39" i="5" s="1"/>
  <c r="AV40" i="5"/>
  <c r="AX40" i="5"/>
  <c r="AY40" i="5"/>
  <c r="BB40" i="5" s="1"/>
  <c r="BC40" i="5" s="1"/>
  <c r="AV41" i="5"/>
  <c r="AX41" i="5"/>
  <c r="AY41" i="5"/>
  <c r="BB41" i="5" s="1"/>
  <c r="BC41" i="5" s="1"/>
  <c r="AV42" i="5"/>
  <c r="AX42" i="5"/>
  <c r="AY42" i="5"/>
  <c r="AV43" i="5"/>
  <c r="AX43" i="5"/>
  <c r="AY43" i="5"/>
  <c r="BB43" i="5" s="1"/>
  <c r="BC43" i="5" s="1"/>
  <c r="AV44" i="5"/>
  <c r="AX44" i="5"/>
  <c r="AY44" i="5"/>
  <c r="AV45" i="5"/>
  <c r="AX45" i="5"/>
  <c r="AY45" i="5"/>
  <c r="AV46" i="5"/>
  <c r="AX46" i="5"/>
  <c r="AY46" i="5"/>
  <c r="AV47" i="5"/>
  <c r="AX47" i="5"/>
  <c r="AY47" i="5"/>
  <c r="BB47" i="5" s="1"/>
  <c r="BC47" i="5" s="1"/>
  <c r="AV48" i="5"/>
  <c r="AX48" i="5"/>
  <c r="AY48" i="5"/>
  <c r="BB48" i="5" s="1"/>
  <c r="BC48" i="5" s="1"/>
  <c r="AV49" i="5"/>
  <c r="AX49" i="5"/>
  <c r="AY49" i="5"/>
  <c r="AV50" i="5"/>
  <c r="AX50" i="5"/>
  <c r="AY50" i="5"/>
  <c r="AV51" i="5"/>
  <c r="AX51" i="5"/>
  <c r="AY51" i="5"/>
  <c r="AV52" i="5"/>
  <c r="AX52" i="5"/>
  <c r="AY52" i="5"/>
  <c r="AV53" i="5"/>
  <c r="AX53" i="5"/>
  <c r="AY53" i="5"/>
  <c r="AV54" i="5"/>
  <c r="AX54" i="5"/>
  <c r="AY54" i="5"/>
  <c r="AV55" i="5"/>
  <c r="AX55" i="5"/>
  <c r="AY55" i="5"/>
  <c r="BB55" i="5" s="1"/>
  <c r="BC55" i="5" s="1"/>
  <c r="AV56" i="5"/>
  <c r="AX56" i="5"/>
  <c r="AY56" i="5"/>
  <c r="BB56" i="5" s="1"/>
  <c r="BC56" i="5" s="1"/>
  <c r="AV57" i="5"/>
  <c r="AX57" i="5"/>
  <c r="AY57" i="5"/>
  <c r="AV58" i="5"/>
  <c r="AX58" i="5"/>
  <c r="AY58" i="5"/>
  <c r="AV59" i="5"/>
  <c r="AX59" i="5"/>
  <c r="AY59" i="5"/>
  <c r="AV60" i="5"/>
  <c r="AX60" i="5"/>
  <c r="AY60" i="5"/>
  <c r="BB60" i="5" s="1"/>
  <c r="BC60" i="5" s="1"/>
  <c r="AV61" i="5"/>
  <c r="AX61" i="5"/>
  <c r="AY61" i="5"/>
  <c r="AV62" i="5"/>
  <c r="AX62" i="5"/>
  <c r="AY62" i="5"/>
  <c r="AV63" i="5"/>
  <c r="AX63" i="5"/>
  <c r="AY63" i="5"/>
  <c r="BB63" i="5" s="1"/>
  <c r="BC63" i="5" s="1"/>
  <c r="AV64" i="5"/>
  <c r="AX64" i="5"/>
  <c r="AY64" i="5"/>
  <c r="BB64" i="5" s="1"/>
  <c r="BC64" i="5" s="1"/>
  <c r="AV65" i="5"/>
  <c r="AX65" i="5"/>
  <c r="AY65" i="5"/>
  <c r="AV66" i="5"/>
  <c r="AX66" i="5"/>
  <c r="AY66" i="5"/>
  <c r="AV67" i="5"/>
  <c r="AX67" i="5"/>
  <c r="AY67" i="5"/>
  <c r="AV68" i="5"/>
  <c r="AX68" i="5"/>
  <c r="AY68" i="5"/>
  <c r="BB68" i="5" s="1"/>
  <c r="BC68" i="5" s="1"/>
  <c r="AV69" i="5"/>
  <c r="AX69" i="5"/>
  <c r="AY69" i="5"/>
  <c r="AV70" i="5"/>
  <c r="AX70" i="5"/>
  <c r="AY70" i="5"/>
  <c r="AV71" i="5"/>
  <c r="AX71" i="5"/>
  <c r="AY71" i="5"/>
  <c r="BB71" i="5" s="1"/>
  <c r="BC71" i="5" s="1"/>
  <c r="AV72" i="5"/>
  <c r="AX72" i="5"/>
  <c r="AY72" i="5"/>
  <c r="BB72" i="5" s="1"/>
  <c r="BC72" i="5" s="1"/>
  <c r="BD72" i="5" s="1" a="1"/>
  <c r="BD72" i="5" s="1"/>
  <c r="BF72" i="5" s="1"/>
  <c r="AV73" i="5"/>
  <c r="AX73" i="5"/>
  <c r="AY73" i="5"/>
  <c r="AV74" i="5"/>
  <c r="AX74" i="5"/>
  <c r="AY74" i="5"/>
  <c r="BB74" i="5" s="1"/>
  <c r="BC74" i="5" s="1"/>
  <c r="AV75" i="5"/>
  <c r="AX75" i="5"/>
  <c r="AY75" i="5"/>
  <c r="AV76" i="5"/>
  <c r="AX76" i="5"/>
  <c r="AY76" i="5"/>
  <c r="BB76" i="5" s="1"/>
  <c r="BC76" i="5" s="1"/>
  <c r="BD76" i="5" s="1" a="1"/>
  <c r="BD76" i="5" s="1"/>
  <c r="BF76" i="5" s="1"/>
  <c r="AV77" i="5"/>
  <c r="AX77" i="5"/>
  <c r="AY77" i="5"/>
  <c r="AV78" i="5"/>
  <c r="AX78" i="5"/>
  <c r="AY78" i="5"/>
  <c r="AV79" i="5"/>
  <c r="AX79" i="5"/>
  <c r="AY79" i="5"/>
  <c r="AV80" i="5"/>
  <c r="AX80" i="5"/>
  <c r="AY80" i="5"/>
  <c r="BB80" i="5" s="1"/>
  <c r="BC80" i="5" s="1"/>
  <c r="BD80" i="5" s="1" a="1"/>
  <c r="BD80" i="5" s="1"/>
  <c r="BF80" i="5" s="1"/>
  <c r="AV81" i="5"/>
  <c r="AX81" i="5"/>
  <c r="AY81" i="5"/>
  <c r="BB81" i="5" s="1"/>
  <c r="BC81" i="5" s="1"/>
  <c r="AV82" i="5"/>
  <c r="AX82" i="5"/>
  <c r="AY82" i="5"/>
  <c r="BB82" i="5" s="1"/>
  <c r="BC82" i="5" s="1"/>
  <c r="AV83" i="5"/>
  <c r="AX83" i="5"/>
  <c r="AY83" i="5"/>
  <c r="AV84" i="5"/>
  <c r="AX84" i="5"/>
  <c r="AY84" i="5"/>
  <c r="AV85" i="5"/>
  <c r="AX85" i="5"/>
  <c r="AY85" i="5"/>
  <c r="BB85" i="5" s="1"/>
  <c r="BC85" i="5" s="1"/>
  <c r="AV86" i="5"/>
  <c r="AX86" i="5"/>
  <c r="AY86" i="5"/>
  <c r="AV87" i="5"/>
  <c r="AX87" i="5"/>
  <c r="AY87" i="5"/>
  <c r="BB87" i="5" s="1"/>
  <c r="BC87" i="5" s="1"/>
  <c r="AV88" i="5"/>
  <c r="AX88" i="5"/>
  <c r="AY88" i="5"/>
  <c r="BB88" i="5" s="1"/>
  <c r="BC88" i="5" s="1"/>
  <c r="BD88" i="5" s="1" a="1"/>
  <c r="BD88" i="5" s="1"/>
  <c r="BF88" i="5" s="1"/>
  <c r="AV89" i="5"/>
  <c r="AX89" i="5"/>
  <c r="AY89" i="5"/>
  <c r="AV90" i="5"/>
  <c r="AX90" i="5"/>
  <c r="AY90" i="5"/>
  <c r="BB90" i="5" s="1"/>
  <c r="BC90" i="5" s="1"/>
  <c r="BD90" i="5" s="1" a="1"/>
  <c r="BD90" i="5" s="1"/>
  <c r="BF90" i="5" s="1"/>
  <c r="AV91" i="5"/>
  <c r="AX91" i="5"/>
  <c r="AY91" i="5"/>
  <c r="AV92" i="5"/>
  <c r="AX92" i="5"/>
  <c r="AY92" i="5"/>
  <c r="AV93" i="5"/>
  <c r="AX93" i="5"/>
  <c r="AY93" i="5"/>
  <c r="AV94" i="5"/>
  <c r="AX94" i="5"/>
  <c r="AY94" i="5"/>
  <c r="AV95" i="5"/>
  <c r="AX95" i="5"/>
  <c r="AY95" i="5"/>
  <c r="AV96" i="5"/>
  <c r="AX96" i="5"/>
  <c r="AY96" i="5"/>
  <c r="BB96" i="5" s="1"/>
  <c r="BC96" i="5" s="1"/>
  <c r="AV97" i="5"/>
  <c r="AX97" i="5"/>
  <c r="AY97" i="5"/>
  <c r="AV98" i="5"/>
  <c r="AX98" i="5"/>
  <c r="AY98" i="5"/>
  <c r="AV99" i="5"/>
  <c r="AX99" i="5"/>
  <c r="AY99" i="5"/>
  <c r="AV100" i="5"/>
  <c r="AX100" i="5"/>
  <c r="AY100" i="5"/>
  <c r="BB100" i="5" s="1"/>
  <c r="BC100" i="5" s="1"/>
  <c r="AV101" i="5"/>
  <c r="AX101" i="5"/>
  <c r="AY101" i="5"/>
  <c r="AV102" i="5"/>
  <c r="AX102" i="5"/>
  <c r="AY102" i="5"/>
  <c r="AV103" i="5"/>
  <c r="AX103" i="5"/>
  <c r="AY103" i="5"/>
  <c r="BB103" i="5" s="1"/>
  <c r="BC103" i="5" s="1"/>
  <c r="AV104" i="5"/>
  <c r="AX104" i="5"/>
  <c r="AY104" i="5"/>
  <c r="BB104" i="5" s="1"/>
  <c r="BC104" i="5" s="1"/>
  <c r="AV105" i="5"/>
  <c r="AX105" i="5"/>
  <c r="AY105" i="5"/>
  <c r="BB105" i="5" s="1"/>
  <c r="BC105" i="5" s="1"/>
  <c r="AV106" i="5"/>
  <c r="AX106" i="5"/>
  <c r="AY106" i="5"/>
  <c r="AV107" i="5"/>
  <c r="AX107" i="5"/>
  <c r="AY107" i="5"/>
  <c r="AV108" i="5"/>
  <c r="AX108" i="5"/>
  <c r="AY108" i="5"/>
  <c r="BB108" i="5" s="1"/>
  <c r="BC108" i="5" s="1"/>
  <c r="AV109" i="5"/>
  <c r="AX109" i="5"/>
  <c r="AY109" i="5"/>
  <c r="AV110" i="5"/>
  <c r="AX110" i="5"/>
  <c r="AY110" i="5"/>
  <c r="AV111" i="5"/>
  <c r="AX111" i="5"/>
  <c r="AY111" i="5"/>
  <c r="AV112" i="5"/>
  <c r="AX112" i="5"/>
  <c r="AY112" i="5"/>
  <c r="BB112" i="5" s="1"/>
  <c r="BC112" i="5" s="1"/>
  <c r="AV113" i="5"/>
  <c r="AX113" i="5"/>
  <c r="AY113" i="5"/>
  <c r="AV114" i="5"/>
  <c r="AX114" i="5"/>
  <c r="AY114" i="5"/>
  <c r="AV115" i="5"/>
  <c r="AX115" i="5"/>
  <c r="AY115" i="5"/>
  <c r="AV116" i="5"/>
  <c r="AX116" i="5"/>
  <c r="AY116" i="5"/>
  <c r="AV117" i="5"/>
  <c r="AX117" i="5"/>
  <c r="AY117" i="5"/>
  <c r="AV118" i="5"/>
  <c r="AX118" i="5"/>
  <c r="AY118" i="5"/>
  <c r="AV119" i="5"/>
  <c r="AX119" i="5"/>
  <c r="AY119" i="5"/>
  <c r="BB119" i="5" s="1"/>
  <c r="BC119" i="5" s="1"/>
  <c r="AV120" i="5"/>
  <c r="AX120" i="5"/>
  <c r="AY120" i="5"/>
  <c r="BB120" i="5" s="1"/>
  <c r="BC120" i="5" s="1"/>
  <c r="AV121" i="5"/>
  <c r="AX121" i="5"/>
  <c r="AY121" i="5"/>
  <c r="BB121" i="5" s="1"/>
  <c r="BC121" i="5" s="1"/>
  <c r="AV122" i="5"/>
  <c r="AX122" i="5"/>
  <c r="AY122" i="5"/>
  <c r="BB122" i="5" s="1"/>
  <c r="BC122" i="5" s="1"/>
  <c r="AV123" i="5"/>
  <c r="AX123" i="5"/>
  <c r="AY123" i="5"/>
  <c r="AV124" i="5"/>
  <c r="AY124" i="5"/>
  <c r="AV125" i="5"/>
  <c r="AX125" i="5"/>
  <c r="AY125" i="5"/>
  <c r="AV126" i="5"/>
  <c r="AV127" i="5"/>
  <c r="AX127" i="5"/>
  <c r="AY127" i="5"/>
  <c r="BB127" i="5" s="1"/>
  <c r="BC127" i="5" s="1"/>
  <c r="AV128" i="5"/>
  <c r="AX128" i="5"/>
  <c r="AY128" i="5"/>
  <c r="BB128" i="5" s="1"/>
  <c r="BC128" i="5" s="1"/>
  <c r="AV129" i="5"/>
  <c r="AX129" i="5"/>
  <c r="AY129" i="5"/>
  <c r="AV130" i="5"/>
  <c r="AX130" i="5"/>
  <c r="AY130" i="5"/>
  <c r="AV131" i="5"/>
  <c r="AX131" i="5"/>
  <c r="AV132" i="5"/>
  <c r="AX132" i="5"/>
  <c r="AV133" i="5"/>
  <c r="AX133" i="5"/>
  <c r="AY133" i="5"/>
  <c r="BB133" i="5" s="1"/>
  <c r="BC133" i="5" s="1"/>
  <c r="AV134" i="5"/>
  <c r="AV135" i="5"/>
  <c r="AX135" i="5"/>
  <c r="AY135" i="5"/>
  <c r="BB135" i="5" s="1"/>
  <c r="BC135" i="5" s="1"/>
  <c r="BD135" i="5" s="1" a="1"/>
  <c r="BD135" i="5" s="1"/>
  <c r="BF135" i="5" s="1"/>
  <c r="AV136" i="5"/>
  <c r="AX136" i="5"/>
  <c r="AY136" i="5"/>
  <c r="AV137" i="5"/>
  <c r="AX137" i="5"/>
  <c r="AY137" i="5"/>
  <c r="AV138" i="5"/>
  <c r="AX138" i="5"/>
  <c r="AY138" i="5"/>
  <c r="AV139" i="5"/>
  <c r="AY139" i="5"/>
  <c r="AV140" i="5"/>
  <c r="AY140" i="5"/>
  <c r="AV141" i="5"/>
  <c r="AX141" i="5"/>
  <c r="AY141" i="5"/>
  <c r="AV142" i="5"/>
  <c r="AX142" i="5"/>
  <c r="AV143" i="5"/>
  <c r="AX143" i="5"/>
  <c r="AY143" i="5"/>
  <c r="BB143" i="5" s="1"/>
  <c r="BC143" i="5" s="1"/>
  <c r="BD143" i="5" s="1" a="1"/>
  <c r="BD143" i="5" s="1"/>
  <c r="BF143" i="5" s="1"/>
  <c r="AV144" i="5"/>
  <c r="AX144" i="5"/>
  <c r="AY144" i="5"/>
  <c r="BB144" i="5" s="1"/>
  <c r="BC144" i="5" s="1"/>
  <c r="AV145" i="5"/>
  <c r="AX145" i="5"/>
  <c r="AY145" i="5"/>
  <c r="BB145" i="5" s="1"/>
  <c r="BC145" i="5" s="1"/>
  <c r="AV146" i="5"/>
  <c r="AX146" i="5"/>
  <c r="AY146" i="5"/>
  <c r="AV147" i="5"/>
  <c r="AY147" i="5"/>
  <c r="AV148" i="5"/>
  <c r="AY148" i="5"/>
  <c r="BB148" i="5" s="1"/>
  <c r="BC148" i="5" s="1"/>
  <c r="AV149" i="5"/>
  <c r="AX149" i="5"/>
  <c r="AY149" i="5"/>
  <c r="AV150" i="5"/>
  <c r="AV151" i="5"/>
  <c r="AX151" i="5"/>
  <c r="AY151" i="5"/>
  <c r="BB151" i="5" s="1"/>
  <c r="BC151" i="5" s="1"/>
  <c r="AV152" i="5"/>
  <c r="AX152" i="5"/>
  <c r="AY152" i="5"/>
  <c r="AV153" i="5"/>
  <c r="AX153" i="5"/>
  <c r="AY153" i="5"/>
  <c r="AV154" i="5"/>
  <c r="AX154" i="5"/>
  <c r="AY154" i="5"/>
  <c r="AV155" i="5"/>
  <c r="AV156" i="5"/>
  <c r="AX156" i="5"/>
  <c r="AY156" i="5"/>
  <c r="BB156" i="5" s="1"/>
  <c r="BC156" i="5" s="1"/>
  <c r="BE156" i="5" s="1"/>
  <c r="AV157" i="5"/>
  <c r="AX157" i="5"/>
  <c r="AY157" i="5"/>
  <c r="AV158" i="5"/>
  <c r="AY158" i="5"/>
  <c r="AV159" i="5"/>
  <c r="AX159" i="5"/>
  <c r="AY159" i="5"/>
  <c r="BB159" i="5" s="1"/>
  <c r="BC159" i="5" s="1"/>
  <c r="BD159" i="5" s="1" a="1"/>
  <c r="BD159" i="5" s="1"/>
  <c r="BF159" i="5" s="1"/>
  <c r="AV160" i="5"/>
  <c r="AX160" i="5"/>
  <c r="AY160" i="5"/>
  <c r="AV161" i="5"/>
  <c r="AX161" i="5"/>
  <c r="AV162" i="5"/>
  <c r="AX162" i="5"/>
  <c r="AY162" i="5"/>
  <c r="BB162" i="5" s="1"/>
  <c r="BC162" i="5" s="1"/>
  <c r="AV163" i="5"/>
  <c r="AX163" i="5"/>
  <c r="AY163" i="5"/>
  <c r="AV164" i="5"/>
  <c r="AX164" i="5"/>
  <c r="AV165" i="5"/>
  <c r="AX165" i="5"/>
  <c r="AY165" i="5"/>
  <c r="AV166" i="5"/>
  <c r="AX166" i="5"/>
  <c r="AV167" i="5"/>
  <c r="AX167" i="5"/>
  <c r="AY167" i="5"/>
  <c r="BB167" i="5" s="1"/>
  <c r="BC167" i="5" s="1"/>
  <c r="BD167" i="5" s="1" a="1"/>
  <c r="BD167" i="5" s="1"/>
  <c r="BF167" i="5" s="1"/>
  <c r="AV168" i="5"/>
  <c r="AX168" i="5"/>
  <c r="AY168" i="5"/>
  <c r="BB168" i="5" s="1"/>
  <c r="BC168" i="5" s="1"/>
  <c r="AV169" i="5"/>
  <c r="AX169" i="5"/>
  <c r="AY169" i="5"/>
  <c r="BB169" i="5" s="1"/>
  <c r="BC169" i="5" s="1"/>
  <c r="AV170" i="5"/>
  <c r="AX170" i="5"/>
  <c r="AY170" i="5"/>
  <c r="BB170" i="5" s="1"/>
  <c r="BC170" i="5" s="1"/>
  <c r="AV171" i="5"/>
  <c r="AV172" i="5"/>
  <c r="AX172" i="5"/>
  <c r="AV173" i="5"/>
  <c r="AX173" i="5"/>
  <c r="AY173" i="5"/>
  <c r="BB173" i="5" s="1"/>
  <c r="BC173" i="5" s="1"/>
  <c r="AV174" i="5"/>
  <c r="AX174" i="5"/>
  <c r="AV175" i="5"/>
  <c r="AX175" i="5"/>
  <c r="AY175" i="5"/>
  <c r="BB175" i="5" s="1"/>
  <c r="BC175" i="5" s="1"/>
  <c r="AV176" i="5"/>
  <c r="AX176" i="5"/>
  <c r="AY176" i="5"/>
  <c r="BB176" i="5" s="1"/>
  <c r="BC176" i="5" s="1"/>
  <c r="AV177" i="5"/>
  <c r="AX177" i="5"/>
  <c r="AY177" i="5"/>
  <c r="AV178" i="5"/>
  <c r="AX178" i="5"/>
  <c r="AY178" i="5"/>
  <c r="AV179" i="5"/>
  <c r="AX179" i="5"/>
  <c r="AV180" i="5"/>
  <c r="AX180" i="5"/>
  <c r="AV181" i="5"/>
  <c r="AX181" i="5"/>
  <c r="AY181" i="5"/>
  <c r="AV182" i="5"/>
  <c r="AY182" i="5"/>
  <c r="AV183" i="5"/>
  <c r="AX183" i="5"/>
  <c r="AY183" i="5"/>
  <c r="BB183" i="5" s="1"/>
  <c r="BC183" i="5" s="1"/>
  <c r="AV184" i="5"/>
  <c r="AX184" i="5"/>
  <c r="AY184" i="5"/>
  <c r="AV185" i="5"/>
  <c r="AX185" i="5"/>
  <c r="AY185" i="5"/>
  <c r="BB185" i="5" s="1"/>
  <c r="BC185" i="5" s="1"/>
  <c r="AV186" i="5"/>
  <c r="AX186" i="5"/>
  <c r="AY186" i="5"/>
  <c r="AV187" i="5"/>
  <c r="AX187" i="5"/>
  <c r="AV188" i="5"/>
  <c r="AX188" i="5"/>
  <c r="AV189" i="5"/>
  <c r="AX189" i="5"/>
  <c r="AY189" i="5"/>
  <c r="AV190" i="5"/>
  <c r="AX190" i="5"/>
  <c r="AY190" i="5"/>
  <c r="AV191" i="5"/>
  <c r="AX191" i="5"/>
  <c r="AY191" i="5"/>
  <c r="BB191" i="5" s="1"/>
  <c r="BC191" i="5" s="1"/>
  <c r="BD191" i="5" s="1" a="1"/>
  <c r="BD191" i="5" s="1"/>
  <c r="BF191" i="5" s="1"/>
  <c r="AV192" i="5"/>
  <c r="AX192" i="5"/>
  <c r="AY192" i="5"/>
  <c r="AV193" i="5"/>
  <c r="AX193" i="5"/>
  <c r="AY193" i="5"/>
  <c r="BB193" i="5"/>
  <c r="BC193" i="5" s="1"/>
  <c r="AV194" i="5"/>
  <c r="AX194" i="5"/>
  <c r="AY194" i="5"/>
  <c r="AV195" i="5"/>
  <c r="AY195" i="5"/>
  <c r="AV196" i="5"/>
  <c r="AY196" i="5"/>
  <c r="AV197" i="5"/>
  <c r="AX197" i="5"/>
  <c r="AY197" i="5"/>
  <c r="AV198" i="5"/>
  <c r="AV199" i="5"/>
  <c r="AX199" i="5"/>
  <c r="AY199" i="5"/>
  <c r="BB199" i="5" s="1"/>
  <c r="BC199" i="5" s="1"/>
  <c r="AV200" i="5"/>
  <c r="AX200" i="5"/>
  <c r="AY200" i="5"/>
  <c r="AV201" i="5"/>
  <c r="AX201" i="5"/>
  <c r="AY201" i="5"/>
  <c r="AV202" i="5"/>
  <c r="AX202" i="5"/>
  <c r="AY202" i="5"/>
  <c r="AV203" i="5"/>
  <c r="AX203" i="5"/>
  <c r="AV204" i="5"/>
  <c r="AX204" i="5"/>
  <c r="AV205" i="5"/>
  <c r="AX205" i="5"/>
  <c r="AY205" i="5"/>
  <c r="AV206" i="5"/>
  <c r="AX206" i="5"/>
  <c r="AY206" i="5"/>
  <c r="AV207" i="5"/>
  <c r="AX207" i="5"/>
  <c r="AY207" i="5"/>
  <c r="AV208" i="5"/>
  <c r="AX208" i="5"/>
  <c r="AY208" i="5"/>
  <c r="BB208" i="5" s="1"/>
  <c r="BC208" i="5" s="1"/>
  <c r="BD208" i="5" s="1" a="1"/>
  <c r="BD208" i="5" s="1"/>
  <c r="BF208" i="5" s="1"/>
  <c r="AV209" i="5"/>
  <c r="AX209" i="5"/>
  <c r="AY209" i="5"/>
  <c r="AV210" i="5"/>
  <c r="AX210" i="5"/>
  <c r="AY210" i="5"/>
  <c r="AV211" i="5"/>
  <c r="AY211" i="5"/>
  <c r="AV212" i="5"/>
  <c r="AY212" i="5"/>
  <c r="AV213" i="5"/>
  <c r="AX213" i="5"/>
  <c r="AY213" i="5"/>
  <c r="AV214" i="5"/>
  <c r="AY214" i="5"/>
  <c r="AV215" i="5"/>
  <c r="AX215" i="5"/>
  <c r="AY215" i="5"/>
  <c r="BB215" i="5" s="1"/>
  <c r="BC215" i="5" s="1"/>
  <c r="BD215" i="5" s="1" a="1"/>
  <c r="BD215" i="5" s="1"/>
  <c r="BF215" i="5" s="1"/>
  <c r="AV216" i="5"/>
  <c r="AX216" i="5"/>
  <c r="AY216" i="5"/>
  <c r="BB216" i="5" s="1"/>
  <c r="BC216" i="5" s="1"/>
  <c r="AV217" i="5"/>
  <c r="AX217" i="5"/>
  <c r="AY217" i="5"/>
  <c r="AV218" i="5"/>
  <c r="AX218" i="5"/>
  <c r="AY218" i="5"/>
  <c r="AV219" i="5"/>
  <c r="AY219" i="5"/>
  <c r="AV220" i="5"/>
  <c r="AY220" i="5"/>
  <c r="BB220" i="5" s="1"/>
  <c r="BC220" i="5" s="1"/>
  <c r="AV221" i="5"/>
  <c r="AX221" i="5"/>
  <c r="AY221" i="5"/>
  <c r="AV222" i="5"/>
  <c r="AY222" i="5"/>
  <c r="BB222" i="5" s="1"/>
  <c r="BC222" i="5" s="1"/>
  <c r="BE222" i="5" s="1"/>
  <c r="AV223" i="5"/>
  <c r="AX223" i="5"/>
  <c r="AY223" i="5"/>
  <c r="BB223" i="5" s="1"/>
  <c r="BC223" i="5" s="1"/>
  <c r="BD223" i="5" s="1" a="1"/>
  <c r="BD223" i="5" s="1"/>
  <c r="BF223" i="5" s="1"/>
  <c r="AV224" i="5"/>
  <c r="AX224" i="5"/>
  <c r="AY224" i="5"/>
  <c r="BB224" i="5" s="1"/>
  <c r="BC224" i="5" s="1"/>
  <c r="BD224" i="5" s="1" a="1"/>
  <c r="BD224" i="5" s="1"/>
  <c r="BF224" i="5" s="1"/>
  <c r="AV225" i="5"/>
  <c r="AX225" i="5"/>
  <c r="AY225" i="5"/>
  <c r="BB225" i="5" s="1"/>
  <c r="BC225" i="5" s="1"/>
  <c r="BD225" i="5" s="1" a="1"/>
  <c r="BD225" i="5" s="1"/>
  <c r="BF225" i="5" s="1"/>
  <c r="AV226" i="5"/>
  <c r="AX226" i="5"/>
  <c r="AY226" i="5"/>
  <c r="AV227" i="5"/>
  <c r="AV228" i="5"/>
  <c r="AY228" i="5"/>
  <c r="AV229" i="5"/>
  <c r="AX229" i="5"/>
  <c r="AY229" i="5"/>
  <c r="AV230" i="5"/>
  <c r="AY230" i="5"/>
  <c r="AV231" i="5"/>
  <c r="AX231" i="5"/>
  <c r="AY231" i="5"/>
  <c r="BB231" i="5" s="1"/>
  <c r="BC231" i="5" s="1"/>
  <c r="BD231" i="5" s="1" a="1"/>
  <c r="BD231" i="5" s="1"/>
  <c r="BF231" i="5" s="1"/>
  <c r="AV232" i="5"/>
  <c r="AX232" i="5"/>
  <c r="AY232" i="5"/>
  <c r="BB232" i="5" s="1"/>
  <c r="BC232" i="5" s="1"/>
  <c r="AV233" i="5"/>
  <c r="AX233" i="5"/>
  <c r="AY233" i="5"/>
  <c r="BB233" i="5" s="1"/>
  <c r="BC233" i="5" s="1"/>
  <c r="BD233" i="5" s="1" a="1"/>
  <c r="BD233" i="5" s="1"/>
  <c r="BF233" i="5" s="1"/>
  <c r="AV234" i="5"/>
  <c r="AX234" i="5"/>
  <c r="AY234" i="5"/>
  <c r="AV235" i="5"/>
  <c r="AX235" i="5"/>
  <c r="AV236" i="5"/>
  <c r="AY236" i="5"/>
  <c r="AV237" i="5"/>
  <c r="AX237" i="5"/>
  <c r="AY237" i="5"/>
  <c r="AV238" i="5"/>
  <c r="AX238" i="5"/>
  <c r="AV239" i="5"/>
  <c r="AX239" i="5"/>
  <c r="AY239" i="5"/>
  <c r="AV240" i="5"/>
  <c r="AX240" i="5"/>
  <c r="AY240" i="5"/>
  <c r="AV241" i="5"/>
  <c r="AX241" i="5"/>
  <c r="AY241" i="5"/>
  <c r="AV242" i="5"/>
  <c r="AX242" i="5"/>
  <c r="AY242" i="5"/>
  <c r="AV243" i="5"/>
  <c r="AX243" i="5"/>
  <c r="AV244" i="5"/>
  <c r="AX244" i="5"/>
  <c r="AV245" i="5"/>
  <c r="AX245" i="5"/>
  <c r="AY245" i="5"/>
  <c r="AV246" i="5"/>
  <c r="AX246" i="5"/>
  <c r="AV247" i="5"/>
  <c r="AX247" i="5"/>
  <c r="AY247" i="5"/>
  <c r="BB247" i="5" s="1"/>
  <c r="BC247" i="5" s="1"/>
  <c r="BE247" i="5" s="1"/>
  <c r="AV248" i="5"/>
  <c r="AX248" i="5"/>
  <c r="AY248" i="5"/>
  <c r="BB248" i="5" s="1"/>
  <c r="BC248" i="5" s="1"/>
  <c r="AV249" i="5"/>
  <c r="AX249" i="5"/>
  <c r="AY249" i="5"/>
  <c r="BB249" i="5" s="1"/>
  <c r="BC249" i="5" s="1"/>
  <c r="BE249" i="5" s="1"/>
  <c r="AV250" i="5"/>
  <c r="AX250" i="5"/>
  <c r="AY250" i="5"/>
  <c r="AV251" i="5"/>
  <c r="AX251" i="5"/>
  <c r="AV252" i="5"/>
  <c r="AY252" i="5"/>
  <c r="AV253" i="5"/>
  <c r="AX253" i="5"/>
  <c r="AY253" i="5"/>
  <c r="AV254" i="5"/>
  <c r="AV255" i="5"/>
  <c r="AX255" i="5"/>
  <c r="AY255" i="5"/>
  <c r="BB255" i="5" s="1"/>
  <c r="BC255" i="5" s="1"/>
  <c r="BD255" i="5" s="1" a="1"/>
  <c r="BD255" i="5" s="1"/>
  <c r="BF255" i="5" s="1"/>
  <c r="AV256" i="5"/>
  <c r="AX256" i="5"/>
  <c r="AY256" i="5"/>
  <c r="AV257" i="5"/>
  <c r="AX257" i="5"/>
  <c r="AY257" i="5"/>
  <c r="AV258" i="5"/>
  <c r="AX258" i="5"/>
  <c r="AY258" i="5"/>
  <c r="AV259" i="5"/>
  <c r="AV260" i="5"/>
  <c r="AY260" i="5"/>
  <c r="AV261" i="5"/>
  <c r="AX261" i="5"/>
  <c r="AY261" i="5"/>
  <c r="AV262" i="5"/>
  <c r="AY262" i="5"/>
  <c r="AV263" i="5"/>
  <c r="AX263" i="5"/>
  <c r="AY263" i="5"/>
  <c r="AV264" i="5"/>
  <c r="AX264" i="5"/>
  <c r="AY264" i="5"/>
  <c r="BB264" i="5" s="1"/>
  <c r="BC264" i="5" s="1"/>
  <c r="BD264" i="5" s="1" a="1"/>
  <c r="BD264" i="5" s="1"/>
  <c r="BF264" i="5" s="1"/>
  <c r="AV265" i="5"/>
  <c r="AX265" i="5"/>
  <c r="AY265" i="5"/>
  <c r="BB265" i="5" s="1"/>
  <c r="BC265" i="5" s="1"/>
  <c r="BE265" i="5" s="1"/>
  <c r="AV266" i="5"/>
  <c r="AX266" i="5"/>
  <c r="AY266" i="5"/>
  <c r="BB266" i="5"/>
  <c r="BC266" i="5" s="1"/>
  <c r="AV267" i="5"/>
  <c r="AY267" i="5"/>
  <c r="AV268" i="5"/>
  <c r="AX268" i="5"/>
  <c r="AY268" i="5"/>
  <c r="AV269" i="5"/>
  <c r="AX269" i="5"/>
  <c r="AY269" i="5"/>
  <c r="AV270" i="5"/>
  <c r="AY270" i="5"/>
  <c r="AV271" i="5"/>
  <c r="AX271" i="5"/>
  <c r="AY271" i="5"/>
  <c r="BB271" i="5" s="1"/>
  <c r="BC271" i="5" s="1"/>
  <c r="AV272" i="5"/>
  <c r="AX272" i="5"/>
  <c r="AY272" i="5"/>
  <c r="BB272" i="5" s="1"/>
  <c r="BC272" i="5" s="1"/>
  <c r="BD272" i="5" s="1" a="1"/>
  <c r="BD272" i="5" s="1"/>
  <c r="BF272" i="5" s="1"/>
  <c r="AV273" i="5"/>
  <c r="AX273" i="5"/>
  <c r="AY273" i="5"/>
  <c r="BB273" i="5" s="1"/>
  <c r="BC273" i="5" s="1"/>
  <c r="AV274" i="5"/>
  <c r="AX274" i="5"/>
  <c r="AY274" i="5"/>
  <c r="AV275" i="5"/>
  <c r="AX275" i="5"/>
  <c r="AY275" i="5"/>
  <c r="AV276" i="5"/>
  <c r="AX276" i="5"/>
  <c r="AV277" i="5"/>
  <c r="AX277" i="5"/>
  <c r="AY277" i="5"/>
  <c r="AV278" i="5"/>
  <c r="AX278" i="5"/>
  <c r="AV279" i="5"/>
  <c r="AX279" i="5"/>
  <c r="AY279" i="5"/>
  <c r="BB279" i="5" s="1"/>
  <c r="BC279" i="5" s="1"/>
  <c r="AV280" i="5"/>
  <c r="AX280" i="5"/>
  <c r="AY280" i="5"/>
  <c r="BB280" i="5" s="1"/>
  <c r="BC280" i="5" s="1"/>
  <c r="BD280" i="5" s="1" a="1"/>
  <c r="BD280" i="5" s="1"/>
  <c r="BF280" i="5" s="1"/>
  <c r="AV281" i="5"/>
  <c r="AX281" i="5"/>
  <c r="AY281" i="5"/>
  <c r="AV282" i="5"/>
  <c r="AX282" i="5"/>
  <c r="AY282" i="5"/>
  <c r="AV283" i="5"/>
  <c r="AX283" i="5"/>
  <c r="AV284" i="5"/>
  <c r="AX284" i="5"/>
  <c r="AV285" i="5"/>
  <c r="AX285" i="5"/>
  <c r="AY285" i="5"/>
  <c r="AV286" i="5"/>
  <c r="AX286" i="5"/>
  <c r="AV287" i="5"/>
  <c r="AX287" i="5"/>
  <c r="AY287" i="5"/>
  <c r="BB287" i="5" s="1"/>
  <c r="BC287" i="5" s="1"/>
  <c r="AV288" i="5"/>
  <c r="AX288" i="5"/>
  <c r="AY288" i="5"/>
  <c r="BB288" i="5" s="1"/>
  <c r="BC288" i="5" s="1"/>
  <c r="BD288" i="5" s="1" a="1"/>
  <c r="BD288" i="5" s="1"/>
  <c r="BF288" i="5" s="1"/>
  <c r="AV289" i="5"/>
  <c r="AX289" i="5"/>
  <c r="AY289" i="5"/>
  <c r="AV290" i="5"/>
  <c r="AX290" i="5"/>
  <c r="AY290" i="5"/>
  <c r="AV291" i="5"/>
  <c r="AV292" i="5"/>
  <c r="AY292" i="5"/>
  <c r="AV293" i="5"/>
  <c r="AX293" i="5"/>
  <c r="AY293" i="5"/>
  <c r="AV294" i="5"/>
  <c r="AY294" i="5"/>
  <c r="AV295" i="5"/>
  <c r="AX295" i="5"/>
  <c r="AY295" i="5"/>
  <c r="BB295" i="5" s="1"/>
  <c r="BC295" i="5" s="1"/>
  <c r="AV296" i="5"/>
  <c r="AX296" i="5"/>
  <c r="AY296" i="5"/>
  <c r="BB296" i="5" s="1"/>
  <c r="BC296" i="5" s="1"/>
  <c r="BD296" i="5" s="1" a="1"/>
  <c r="BD296" i="5" s="1"/>
  <c r="BF296" i="5" s="1"/>
  <c r="AV297" i="5"/>
  <c r="AX297" i="5"/>
  <c r="AY297" i="5"/>
  <c r="AV298" i="5"/>
  <c r="AX298" i="5"/>
  <c r="AY298" i="5"/>
  <c r="AV299" i="5"/>
  <c r="AY299" i="5"/>
  <c r="AV300" i="5"/>
  <c r="AX300" i="5"/>
  <c r="AY300" i="5"/>
  <c r="AV301" i="5"/>
  <c r="AX301" i="5"/>
  <c r="AY301" i="5"/>
  <c r="L4" i="5"/>
  <c r="L5" i="5"/>
  <c r="L6" i="5"/>
  <c r="L7" i="5"/>
  <c r="L8" i="5"/>
  <c r="L9" i="5"/>
  <c r="L10" i="5"/>
  <c r="L11" i="5"/>
  <c r="L12" i="5"/>
  <c r="L13" i="5"/>
  <c r="L14" i="5"/>
  <c r="M14" i="5"/>
  <c r="O14" i="5" s="1"/>
  <c r="L15" i="5"/>
  <c r="M15" i="5"/>
  <c r="O15" i="5" s="1"/>
  <c r="U15" i="5" s="1"/>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M66" i="5"/>
  <c r="N66" i="5" s="1"/>
  <c r="L67" i="5"/>
  <c r="L68" i="5"/>
  <c r="L69" i="5"/>
  <c r="L70" i="5"/>
  <c r="L71" i="5"/>
  <c r="L72" i="5"/>
  <c r="M72" i="5"/>
  <c r="L73" i="5"/>
  <c r="L74" i="5"/>
  <c r="L75" i="5"/>
  <c r="L76" i="5"/>
  <c r="L77" i="5"/>
  <c r="L78" i="5"/>
  <c r="L79" i="5"/>
  <c r="M79" i="5"/>
  <c r="O79" i="5" s="1"/>
  <c r="L80" i="5"/>
  <c r="L81" i="5"/>
  <c r="L82" i="5"/>
  <c r="L83" i="5"/>
  <c r="L84" i="5"/>
  <c r="M84" i="5"/>
  <c r="O84" i="5" s="1"/>
  <c r="T84" i="5" s="1"/>
  <c r="L85" i="5"/>
  <c r="L86" i="5"/>
  <c r="L87" i="5"/>
  <c r="L88" i="5"/>
  <c r="M88" i="5"/>
  <c r="O88" i="5" s="1"/>
  <c r="L89" i="5"/>
  <c r="M89" i="5"/>
  <c r="O89" i="5" s="1"/>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M145" i="5"/>
  <c r="Y145" i="5" s="1"/>
  <c r="M152" i="5"/>
  <c r="M196" i="5"/>
  <c r="O196" i="5" s="1"/>
  <c r="M236" i="5"/>
  <c r="O236" i="5" s="1"/>
  <c r="M268" i="5"/>
  <c r="O268" i="5" s="1"/>
  <c r="AZ3" i="5"/>
  <c r="AR1" i="5"/>
  <c r="AN1" i="5"/>
  <c r="BR4" i="5"/>
  <c r="BR5" i="5"/>
  <c r="BR6" i="5"/>
  <c r="BR7" i="5"/>
  <c r="BR8" i="5"/>
  <c r="BR9" i="5"/>
  <c r="BR10" i="5"/>
  <c r="BR11" i="5"/>
  <c r="BR12" i="5"/>
  <c r="BR13" i="5"/>
  <c r="BR14" i="5"/>
  <c r="BR15" i="5"/>
  <c r="BR16" i="5"/>
  <c r="BR17" i="5"/>
  <c r="BR18" i="5"/>
  <c r="BR19" i="5"/>
  <c r="BR20" i="5"/>
  <c r="BR21" i="5"/>
  <c r="BR22" i="5"/>
  <c r="BR23" i="5"/>
  <c r="BR24" i="5"/>
  <c r="BR25" i="5"/>
  <c r="BR26" i="5"/>
  <c r="BR27" i="5"/>
  <c r="BR28" i="5"/>
  <c r="BR29" i="5"/>
  <c r="BR30" i="5"/>
  <c r="BR31" i="5"/>
  <c r="BR32" i="5"/>
  <c r="BR33" i="5"/>
  <c r="BR34" i="5"/>
  <c r="BR35" i="5"/>
  <c r="BR36" i="5"/>
  <c r="BR37" i="5"/>
  <c r="BR38" i="5"/>
  <c r="BR39" i="5"/>
  <c r="BR40" i="5"/>
  <c r="BR41" i="5"/>
  <c r="BR42" i="5"/>
  <c r="BR43" i="5"/>
  <c r="BR44" i="5"/>
  <c r="BR45" i="5"/>
  <c r="BR46" i="5"/>
  <c r="BR47" i="5"/>
  <c r="BR48" i="5"/>
  <c r="BR49" i="5"/>
  <c r="BR50" i="5"/>
  <c r="BR51" i="5"/>
  <c r="BR52" i="5"/>
  <c r="BR53" i="5"/>
  <c r="BR54" i="5"/>
  <c r="BR55" i="5"/>
  <c r="BR56" i="5"/>
  <c r="BR57" i="5"/>
  <c r="BR58" i="5"/>
  <c r="BR59" i="5"/>
  <c r="BR60" i="5"/>
  <c r="BR61" i="5"/>
  <c r="BR62" i="5"/>
  <c r="BR63" i="5"/>
  <c r="BR64" i="5"/>
  <c r="BR65" i="5"/>
  <c r="BR66" i="5"/>
  <c r="BR67" i="5"/>
  <c r="BR68" i="5"/>
  <c r="BR69" i="5"/>
  <c r="BR70" i="5"/>
  <c r="BR71" i="5"/>
  <c r="BR72" i="5"/>
  <c r="BR73" i="5"/>
  <c r="BR74" i="5"/>
  <c r="BR75" i="5"/>
  <c r="BR76" i="5"/>
  <c r="BR77" i="5"/>
  <c r="BR78" i="5"/>
  <c r="BR79" i="5"/>
  <c r="BR80" i="5"/>
  <c r="BR81" i="5"/>
  <c r="BR82" i="5"/>
  <c r="BR83" i="5"/>
  <c r="BR84" i="5"/>
  <c r="BR85" i="5"/>
  <c r="BR86" i="5"/>
  <c r="BR87" i="5"/>
  <c r="BR88" i="5"/>
  <c r="BR89" i="5"/>
  <c r="BR90" i="5"/>
  <c r="BR91" i="5"/>
  <c r="BR92" i="5"/>
  <c r="BR93" i="5"/>
  <c r="BR94" i="5"/>
  <c r="BR95" i="5"/>
  <c r="BR96" i="5"/>
  <c r="BR97" i="5"/>
  <c r="BR98" i="5"/>
  <c r="BR99" i="5"/>
  <c r="BR100" i="5"/>
  <c r="BR101" i="5"/>
  <c r="BR102" i="5"/>
  <c r="AL1" i="5"/>
  <c r="BB301" i="5" l="1"/>
  <c r="BB293" i="5"/>
  <c r="BC293" i="5" s="1"/>
  <c r="BE293" i="5" s="1"/>
  <c r="BB261" i="5"/>
  <c r="BC261" i="5" s="1"/>
  <c r="BB221" i="5"/>
  <c r="BC221" i="5" s="1"/>
  <c r="BE221" i="5" s="1"/>
  <c r="BB213" i="5"/>
  <c r="BC213" i="5" s="1"/>
  <c r="BE213" i="5" s="1"/>
  <c r="BB205" i="5"/>
  <c r="BC205" i="5" s="1"/>
  <c r="BE205" i="5" s="1"/>
  <c r="BB93" i="5"/>
  <c r="BC93" i="5" s="1"/>
  <c r="BE93" i="5" s="1"/>
  <c r="BB45" i="5"/>
  <c r="BC45" i="5" s="1"/>
  <c r="BD45" i="5" s="1" a="1"/>
  <c r="BD45" i="5" s="1"/>
  <c r="BF45" i="5" s="1"/>
  <c r="BB37" i="5"/>
  <c r="BC37" i="5" s="1"/>
  <c r="BD37" i="5" s="1" a="1"/>
  <c r="BD37" i="5" s="1"/>
  <c r="BF37" i="5" s="1"/>
  <c r="BB262" i="5"/>
  <c r="BC262" i="5" s="1"/>
  <c r="BD262" i="5" s="1" a="1"/>
  <c r="BD262" i="5" s="1"/>
  <c r="BF262" i="5" s="1"/>
  <c r="BB206" i="5"/>
  <c r="BC206" i="5" s="1"/>
  <c r="BE206" i="5" s="1"/>
  <c r="BB118" i="5"/>
  <c r="BC118" i="5" s="1"/>
  <c r="BE118" i="5" s="1"/>
  <c r="BB110" i="5"/>
  <c r="BC110" i="5" s="1"/>
  <c r="BD110" i="5" s="1" a="1"/>
  <c r="BD110" i="5" s="1"/>
  <c r="BF110" i="5" s="1"/>
  <c r="BB116" i="5"/>
  <c r="BC116" i="5" s="1"/>
  <c r="BD116" i="5" s="1" a="1"/>
  <c r="BD116" i="5" s="1"/>
  <c r="BF116" i="5" s="1"/>
  <c r="BB52" i="5"/>
  <c r="BC52" i="5" s="1"/>
  <c r="BE52" i="5" s="1"/>
  <c r="BB294" i="5"/>
  <c r="BB270" i="5"/>
  <c r="BC270" i="5" s="1"/>
  <c r="BB102" i="5"/>
  <c r="BC102" i="5" s="1"/>
  <c r="BE102" i="5" s="1"/>
  <c r="BB94" i="5"/>
  <c r="BC94" i="5" s="1"/>
  <c r="BD94" i="5" s="1" a="1"/>
  <c r="BD94" i="5" s="1"/>
  <c r="BF94" i="5" s="1"/>
  <c r="BB44" i="5"/>
  <c r="BC44" i="5" s="1"/>
  <c r="BE44" i="5" s="1"/>
  <c r="BB36" i="5"/>
  <c r="BC36" i="5" s="1"/>
  <c r="BD36" i="5" s="1" a="1"/>
  <c r="BD36" i="5" s="1"/>
  <c r="BF36" i="5" s="1"/>
  <c r="BB230" i="5"/>
  <c r="BC230" i="5" s="1"/>
  <c r="BD230" i="5" s="1" a="1"/>
  <c r="BD230" i="5" s="1"/>
  <c r="BF230" i="5" s="1"/>
  <c r="BB86" i="5"/>
  <c r="BC86" i="5" s="1"/>
  <c r="BD86" i="5" s="1" a="1"/>
  <c r="BD86" i="5" s="1"/>
  <c r="BF86" i="5" s="1"/>
  <c r="BB78" i="5"/>
  <c r="BC78" i="5" s="1"/>
  <c r="BB70" i="5"/>
  <c r="BC70" i="5" s="1"/>
  <c r="BD70" i="5" s="1" a="1"/>
  <c r="BD70" i="5" s="1"/>
  <c r="BF70" i="5" s="1"/>
  <c r="BB62" i="5"/>
  <c r="BC62" i="5" s="1"/>
  <c r="BB54" i="5"/>
  <c r="BC54" i="5" s="1"/>
  <c r="BB114" i="5"/>
  <c r="BC114" i="5" s="1"/>
  <c r="BE114" i="5" s="1"/>
  <c r="BB246" i="5"/>
  <c r="BC246" i="5" s="1"/>
  <c r="BE246" i="5" s="1"/>
  <c r="BB214" i="5"/>
  <c r="BC214" i="5" s="1"/>
  <c r="BB190" i="5"/>
  <c r="BC190" i="5" s="1"/>
  <c r="BE190" i="5" s="1"/>
  <c r="BB46" i="5"/>
  <c r="BC46" i="5" s="1"/>
  <c r="BE46" i="5" s="1"/>
  <c r="BB38" i="5"/>
  <c r="BC38" i="5" s="1"/>
  <c r="BE38" i="5" s="1"/>
  <c r="BB241" i="5"/>
  <c r="BC241" i="5" s="1"/>
  <c r="BE241" i="5" s="1"/>
  <c r="BB153" i="5"/>
  <c r="BC153" i="5" s="1"/>
  <c r="BB30" i="5"/>
  <c r="BC30" i="5" s="1"/>
  <c r="BD30" i="5" s="1" a="1"/>
  <c r="BD30" i="5" s="1"/>
  <c r="BF30" i="5" s="1"/>
  <c r="BB22" i="5"/>
  <c r="BC22" i="5" s="1"/>
  <c r="BD22" i="5" s="1" a="1"/>
  <c r="BD22" i="5" s="1"/>
  <c r="BF22" i="5" s="1"/>
  <c r="BB14" i="5"/>
  <c r="BC14" i="5" s="1"/>
  <c r="BD14" i="5" s="1" a="1"/>
  <c r="BD14" i="5" s="1"/>
  <c r="BF14" i="5" s="1"/>
  <c r="BB157" i="5"/>
  <c r="BC157" i="5" s="1"/>
  <c r="BE157" i="5" s="1"/>
  <c r="BB69" i="5"/>
  <c r="BC69" i="5" s="1"/>
  <c r="BD69" i="5" s="1" a="1"/>
  <c r="BD69" i="5" s="1"/>
  <c r="BF69" i="5" s="1"/>
  <c r="BB61" i="5"/>
  <c r="BC61" i="5" s="1"/>
  <c r="BE61" i="5" s="1"/>
  <c r="BB164" i="5"/>
  <c r="BC164" i="5" s="1"/>
  <c r="BE164" i="5" s="1"/>
  <c r="P72" i="5"/>
  <c r="BB252" i="5"/>
  <c r="BC252" i="5" s="1"/>
  <c r="BE252" i="5" s="1"/>
  <c r="BB237" i="5"/>
  <c r="BC237" i="5" s="1"/>
  <c r="BD237" i="5" s="1" a="1"/>
  <c r="BD237" i="5" s="1"/>
  <c r="BF237" i="5" s="1"/>
  <c r="BB228" i="5"/>
  <c r="BC228" i="5" s="1"/>
  <c r="BE228" i="5" s="1"/>
  <c r="BB196" i="5"/>
  <c r="BC196" i="5" s="1"/>
  <c r="BD196" i="5" s="1" a="1"/>
  <c r="BD196" i="5" s="1"/>
  <c r="BF196" i="5" s="1"/>
  <c r="BB92" i="5"/>
  <c r="BC92" i="5" s="1"/>
  <c r="BD92" i="5" s="1" a="1"/>
  <c r="BD92" i="5" s="1"/>
  <c r="BF92" i="5" s="1"/>
  <c r="BB53" i="5"/>
  <c r="BC53" i="5" s="1"/>
  <c r="BD53" i="5" s="1" a="1"/>
  <c r="BD53" i="5" s="1"/>
  <c r="BF53" i="5" s="1"/>
  <c r="BB33" i="5"/>
  <c r="BC33" i="5" s="1"/>
  <c r="BD33" i="5" s="1" a="1"/>
  <c r="BD33" i="5" s="1"/>
  <c r="BF33" i="5" s="1"/>
  <c r="BB5" i="5"/>
  <c r="BC5" i="5" s="1"/>
  <c r="BD5" i="5" s="1" a="1"/>
  <c r="BD5" i="5" s="1"/>
  <c r="BF5" i="5" s="1"/>
  <c r="BB278" i="5"/>
  <c r="BB161" i="5"/>
  <c r="BC161" i="5" s="1"/>
  <c r="BD161" i="5" s="1" a="1"/>
  <c r="BD161" i="5" s="1"/>
  <c r="BF161" i="5" s="1"/>
  <c r="BB77" i="5"/>
  <c r="BC77" i="5" s="1"/>
  <c r="BE77" i="5" s="1"/>
  <c r="BB281" i="5"/>
  <c r="BC281" i="5" s="1"/>
  <c r="BE281" i="5" s="1"/>
  <c r="BB181" i="5"/>
  <c r="BC181" i="5" s="1"/>
  <c r="BD181" i="5" s="1" a="1"/>
  <c r="BD181" i="5" s="1"/>
  <c r="BF181" i="5" s="1"/>
  <c r="BB129" i="5"/>
  <c r="BC129" i="5" s="1"/>
  <c r="BB89" i="5"/>
  <c r="BC89" i="5" s="1"/>
  <c r="BE89" i="5" s="1"/>
  <c r="BB84" i="5"/>
  <c r="BC84" i="5" s="1"/>
  <c r="BD84" i="5" s="1" a="1"/>
  <c r="BD84" i="5" s="1"/>
  <c r="BF84" i="5" s="1"/>
  <c r="BB20" i="5"/>
  <c r="BC20" i="5" s="1"/>
  <c r="BE20" i="5" s="1"/>
  <c r="BB12" i="5"/>
  <c r="BC12" i="5" s="1"/>
  <c r="BE12" i="5" s="1"/>
  <c r="BB276" i="5"/>
  <c r="BC276" i="5" s="1"/>
  <c r="BD276" i="5" s="1" a="1"/>
  <c r="BD276" i="5" s="1"/>
  <c r="BF276" i="5" s="1"/>
  <c r="BB204" i="5"/>
  <c r="BC204" i="5" s="1"/>
  <c r="BD204" i="5" s="1" a="1"/>
  <c r="BD204" i="5" s="1"/>
  <c r="BF204" i="5" s="1"/>
  <c r="BB285" i="5"/>
  <c r="BC285" i="5" s="1"/>
  <c r="BE285" i="5" s="1"/>
  <c r="BB269" i="5"/>
  <c r="BC269" i="5" s="1"/>
  <c r="BE269" i="5" s="1"/>
  <c r="BB165" i="5"/>
  <c r="BC165" i="5" s="1"/>
  <c r="BB141" i="5"/>
  <c r="BC141" i="5" s="1"/>
  <c r="BE141" i="5" s="1"/>
  <c r="BB132" i="5"/>
  <c r="BC132" i="5" s="1"/>
  <c r="BD132" i="5" s="1" a="1"/>
  <c r="BD132" i="5" s="1"/>
  <c r="BF132" i="5" s="1"/>
  <c r="BB289" i="5"/>
  <c r="BC289" i="5" s="1"/>
  <c r="BE289" i="5" s="1"/>
  <c r="BB257" i="5"/>
  <c r="BC257" i="5" s="1"/>
  <c r="BD257" i="5" s="1" a="1"/>
  <c r="BD257" i="5" s="1"/>
  <c r="BF257" i="5" s="1"/>
  <c r="BB201" i="5"/>
  <c r="BC201" i="5" s="1"/>
  <c r="BE201" i="5" s="1"/>
  <c r="BB177" i="5"/>
  <c r="BC177" i="5" s="1"/>
  <c r="BD177" i="5" s="1" a="1"/>
  <c r="BD177" i="5" s="1"/>
  <c r="BF177" i="5" s="1"/>
  <c r="BB125" i="5"/>
  <c r="BC125" i="5" s="1"/>
  <c r="BE125" i="5" s="1"/>
  <c r="BB73" i="5"/>
  <c r="BC73" i="5" s="1"/>
  <c r="BE73" i="5" s="1"/>
  <c r="BB65" i="5"/>
  <c r="BC65" i="5" s="1"/>
  <c r="BB57" i="5"/>
  <c r="BC57" i="5" s="1"/>
  <c r="BD57" i="5" s="1" a="1"/>
  <c r="BD57" i="5" s="1"/>
  <c r="BF57" i="5" s="1"/>
  <c r="BB4" i="5"/>
  <c r="BC4" i="5" s="1"/>
  <c r="BE4" i="5" s="1"/>
  <c r="BB244" i="5"/>
  <c r="BC244" i="5" s="1"/>
  <c r="BD244" i="5" s="1" a="1"/>
  <c r="BD244" i="5" s="1"/>
  <c r="BF244" i="5" s="1"/>
  <c r="BB245" i="5"/>
  <c r="BC245" i="5" s="1"/>
  <c r="BD245" i="5" s="1" a="1"/>
  <c r="BD245" i="5" s="1"/>
  <c r="BF245" i="5" s="1"/>
  <c r="BB117" i="5"/>
  <c r="BC117" i="5" s="1"/>
  <c r="BD117" i="5" s="1" a="1"/>
  <c r="BD117" i="5" s="1"/>
  <c r="BF117" i="5" s="1"/>
  <c r="BB277" i="5"/>
  <c r="BC277" i="5" s="1"/>
  <c r="BE277" i="5" s="1"/>
  <c r="BB209" i="5"/>
  <c r="BC209" i="5" s="1"/>
  <c r="BB189" i="5"/>
  <c r="BC189" i="5" s="1"/>
  <c r="BD189" i="5" s="1" a="1"/>
  <c r="BD189" i="5" s="1"/>
  <c r="BF189" i="5" s="1"/>
  <c r="BB149" i="5"/>
  <c r="BC149" i="5" s="1"/>
  <c r="BD149" i="5" s="1" a="1"/>
  <c r="BD149" i="5" s="1"/>
  <c r="BF149" i="5" s="1"/>
  <c r="BB137" i="5"/>
  <c r="BC137" i="5" s="1"/>
  <c r="BE137" i="5" s="1"/>
  <c r="BB172" i="5"/>
  <c r="BC172" i="5" s="1"/>
  <c r="BE172" i="5" s="1"/>
  <c r="BB300" i="5"/>
  <c r="BC300" i="5" s="1"/>
  <c r="BD300" i="5" s="1" a="1"/>
  <c r="BD300" i="5" s="1"/>
  <c r="BF300" i="5" s="1"/>
  <c r="BB297" i="5"/>
  <c r="BC297" i="5" s="1"/>
  <c r="BE297" i="5" s="1"/>
  <c r="BB292" i="5"/>
  <c r="BC292" i="5" s="1"/>
  <c r="BD292" i="5" s="1" a="1"/>
  <c r="BD292" i="5" s="1"/>
  <c r="BF292" i="5" s="1"/>
  <c r="BB268" i="5"/>
  <c r="BC268" i="5" s="1"/>
  <c r="BD268" i="5" s="1" a="1"/>
  <c r="BD268" i="5" s="1"/>
  <c r="BF268" i="5" s="1"/>
  <c r="BB260" i="5"/>
  <c r="BC260" i="5" s="1"/>
  <c r="BE260" i="5" s="1"/>
  <c r="BB253" i="5"/>
  <c r="BC253" i="5" s="1"/>
  <c r="BD253" i="5" s="1" a="1"/>
  <c r="BD253" i="5" s="1"/>
  <c r="BF253" i="5" s="1"/>
  <c r="BB229" i="5"/>
  <c r="BC229" i="5" s="1"/>
  <c r="BE229" i="5" s="1"/>
  <c r="BB217" i="5"/>
  <c r="BC217" i="5" s="1"/>
  <c r="BD217" i="5" s="1" a="1"/>
  <c r="BD217" i="5" s="1"/>
  <c r="BF217" i="5" s="1"/>
  <c r="BB212" i="5"/>
  <c r="BC212" i="5" s="1"/>
  <c r="BE212" i="5" s="1"/>
  <c r="BB197" i="5"/>
  <c r="BC197" i="5" s="1"/>
  <c r="BE197" i="5" s="1"/>
  <c r="BB49" i="5"/>
  <c r="BC49" i="5" s="1"/>
  <c r="BE49" i="5" s="1"/>
  <c r="BB29" i="5"/>
  <c r="BC29" i="5" s="1"/>
  <c r="BD29" i="5" s="1" a="1"/>
  <c r="BD29" i="5" s="1"/>
  <c r="BF29" i="5" s="1"/>
  <c r="BB286" i="5"/>
  <c r="AY171" i="5"/>
  <c r="BB171" i="5" s="1"/>
  <c r="BC171" i="5" s="1"/>
  <c r="AY155" i="5"/>
  <c r="BB155" i="5" s="1"/>
  <c r="BC155" i="5" s="1"/>
  <c r="AY134" i="5"/>
  <c r="BB134" i="5" s="1"/>
  <c r="BC134" i="5" s="1"/>
  <c r="BD134" i="5" s="1" a="1"/>
  <c r="BD134" i="5" s="1"/>
  <c r="BF134" i="5" s="1"/>
  <c r="AY259" i="5"/>
  <c r="AY254" i="5"/>
  <c r="BB254" i="5" s="1"/>
  <c r="BC254" i="5" s="1"/>
  <c r="BD254" i="5" s="1" a="1"/>
  <c r="BD254" i="5" s="1"/>
  <c r="BF254" i="5" s="1"/>
  <c r="AY227" i="5"/>
  <c r="BB227" i="5" s="1"/>
  <c r="BC227" i="5" s="1"/>
  <c r="AY198" i="5"/>
  <c r="BB198" i="5" s="1"/>
  <c r="BC198" i="5" s="1"/>
  <c r="BE198" i="5" s="1"/>
  <c r="AY150" i="5"/>
  <c r="BB150" i="5" s="1"/>
  <c r="AY291" i="5"/>
  <c r="BB291" i="5" s="1"/>
  <c r="BC291" i="5" s="1"/>
  <c r="AY126" i="5"/>
  <c r="BB126" i="5" s="1"/>
  <c r="BC126" i="5" s="1"/>
  <c r="BE126" i="5" s="1"/>
  <c r="BB275" i="5"/>
  <c r="BC275" i="5" s="1"/>
  <c r="BD275" i="5" s="1" a="1"/>
  <c r="BD275" i="5" s="1"/>
  <c r="BF275" i="5" s="1"/>
  <c r="BB267" i="5"/>
  <c r="BC267" i="5" s="1"/>
  <c r="BD267" i="5" s="1" a="1"/>
  <c r="BD267" i="5" s="1"/>
  <c r="BF267" i="5" s="1"/>
  <c r="BB251" i="5"/>
  <c r="BC251" i="5" s="1"/>
  <c r="BE251" i="5" s="1"/>
  <c r="BB243" i="5"/>
  <c r="BC243" i="5" s="1"/>
  <c r="BD243" i="5" s="1" a="1"/>
  <c r="BD243" i="5" s="1"/>
  <c r="BF243" i="5" s="1"/>
  <c r="BB203" i="5"/>
  <c r="BC203" i="5" s="1"/>
  <c r="BD203" i="5" s="1" a="1"/>
  <c r="BD203" i="5" s="1"/>
  <c r="BF203" i="5" s="1"/>
  <c r="BB187" i="5"/>
  <c r="BC187" i="5" s="1"/>
  <c r="BD187" i="5" s="1" a="1"/>
  <c r="BD187" i="5" s="1"/>
  <c r="BF187" i="5" s="1"/>
  <c r="BB179" i="5"/>
  <c r="BC179" i="5" s="1"/>
  <c r="BB163" i="5"/>
  <c r="BC163" i="5" s="1"/>
  <c r="BB147" i="5"/>
  <c r="BC147" i="5" s="1"/>
  <c r="BB139" i="5"/>
  <c r="BC139" i="5" s="1"/>
  <c r="BE139" i="5" s="1"/>
  <c r="BB131" i="5"/>
  <c r="BC131" i="5" s="1"/>
  <c r="BE131" i="5" s="1"/>
  <c r="BB123" i="5"/>
  <c r="BC123" i="5" s="1"/>
  <c r="BD123" i="5" s="1" a="1"/>
  <c r="BD123" i="5" s="1"/>
  <c r="BF123" i="5" s="1"/>
  <c r="BB115" i="5"/>
  <c r="BC115" i="5" s="1"/>
  <c r="BE115" i="5" s="1"/>
  <c r="BB91" i="5"/>
  <c r="BC91" i="5" s="1"/>
  <c r="BE91" i="5" s="1"/>
  <c r="BB67" i="5"/>
  <c r="BC67" i="5" s="1"/>
  <c r="BE67" i="5" s="1"/>
  <c r="BB59" i="5"/>
  <c r="BC59" i="5" s="1"/>
  <c r="BD59" i="5" s="1" a="1"/>
  <c r="BD59" i="5" s="1"/>
  <c r="BF59" i="5" s="1"/>
  <c r="BB51" i="5"/>
  <c r="BC51" i="5" s="1"/>
  <c r="BD51" i="5" s="1" a="1"/>
  <c r="BD51" i="5" s="1"/>
  <c r="BF51" i="5" s="1"/>
  <c r="BB35" i="5"/>
  <c r="BC35" i="5" s="1"/>
  <c r="BD35" i="5" s="1" a="1"/>
  <c r="BD35" i="5" s="1"/>
  <c r="BF35" i="5" s="1"/>
  <c r="BB27" i="5"/>
  <c r="BC27" i="5" s="1"/>
  <c r="BB19" i="5"/>
  <c r="BC19" i="5" s="1"/>
  <c r="BD19" i="5" s="1" a="1"/>
  <c r="BD19" i="5" s="1"/>
  <c r="BF19" i="5" s="1"/>
  <c r="BB11" i="5"/>
  <c r="BC11" i="5" s="1"/>
  <c r="BE11" i="5" s="1"/>
  <c r="BB298" i="5"/>
  <c r="BC298" i="5" s="1"/>
  <c r="BB290" i="5"/>
  <c r="BC290" i="5" s="1"/>
  <c r="BD290" i="5" s="1" a="1"/>
  <c r="BD290" i="5" s="1"/>
  <c r="BF290" i="5" s="1"/>
  <c r="BB282" i="5"/>
  <c r="BC282" i="5" s="1"/>
  <c r="BB274" i="5"/>
  <c r="BC274" i="5" s="1"/>
  <c r="BD274" i="5" s="1" a="1"/>
  <c r="BD274" i="5" s="1"/>
  <c r="BF274" i="5" s="1"/>
  <c r="BB258" i="5"/>
  <c r="BC258" i="5" s="1"/>
  <c r="BD258" i="5" s="1" a="1"/>
  <c r="BD258" i="5" s="1"/>
  <c r="BF258" i="5" s="1"/>
  <c r="BB250" i="5"/>
  <c r="BC250" i="5" s="1"/>
  <c r="BD250" i="5" s="1" a="1"/>
  <c r="BD250" i="5" s="1"/>
  <c r="BF250" i="5" s="1"/>
  <c r="BB242" i="5"/>
  <c r="BC242" i="5" s="1"/>
  <c r="BE242" i="5" s="1"/>
  <c r="BB194" i="5"/>
  <c r="BC194" i="5" s="1"/>
  <c r="BE194" i="5" s="1"/>
  <c r="BB130" i="5"/>
  <c r="BC130" i="5" s="1"/>
  <c r="BB106" i="5"/>
  <c r="BC106" i="5" s="1"/>
  <c r="BD106" i="5" s="1" a="1"/>
  <c r="BD106" i="5" s="1"/>
  <c r="BF106" i="5" s="1"/>
  <c r="BB98" i="5"/>
  <c r="BC98" i="5" s="1"/>
  <c r="BD98" i="5" s="1" a="1"/>
  <c r="BD98" i="5" s="1"/>
  <c r="BF98" i="5" s="1"/>
  <c r="BB66" i="5"/>
  <c r="BC66" i="5" s="1"/>
  <c r="BD66" i="5" s="1" a="1"/>
  <c r="BD66" i="5" s="1"/>
  <c r="BF66" i="5" s="1"/>
  <c r="BB58" i="5"/>
  <c r="BC58" i="5" s="1"/>
  <c r="BD58" i="5" s="1" a="1"/>
  <c r="BD58" i="5" s="1"/>
  <c r="BF58" i="5" s="1"/>
  <c r="BB50" i="5"/>
  <c r="BC50" i="5" s="1"/>
  <c r="BE50" i="5" s="1"/>
  <c r="BB42" i="5"/>
  <c r="BC42" i="5" s="1"/>
  <c r="BD42" i="5" s="1" a="1"/>
  <c r="BD42" i="5" s="1"/>
  <c r="BF42" i="5" s="1"/>
  <c r="BB34" i="5"/>
  <c r="BC34" i="5" s="1"/>
  <c r="BE34" i="5" s="1"/>
  <c r="BB26" i="5"/>
  <c r="BC26" i="5" s="1"/>
  <c r="BE26" i="5" s="1"/>
  <c r="BB18" i="5"/>
  <c r="BC18" i="5" s="1"/>
  <c r="BD18" i="5" s="1" a="1"/>
  <c r="BD18" i="5" s="1"/>
  <c r="BF18" i="5" s="1"/>
  <c r="BD222" i="5" a="1"/>
  <c r="BD222" i="5" s="1"/>
  <c r="BF222" i="5" s="1"/>
  <c r="BB259" i="5"/>
  <c r="BC259" i="5" s="1"/>
  <c r="BD259" i="5" s="1" a="1"/>
  <c r="BD259" i="5" s="1"/>
  <c r="BF259" i="5" s="1"/>
  <c r="BB226" i="5"/>
  <c r="BC226" i="5" s="1"/>
  <c r="BD226" i="5" s="1" a="1"/>
  <c r="BD226" i="5" s="1"/>
  <c r="BF226" i="5" s="1"/>
  <c r="BB211" i="5"/>
  <c r="BC211" i="5" s="1"/>
  <c r="BD211" i="5" s="1" a="1"/>
  <c r="BD211" i="5" s="1"/>
  <c r="BF211" i="5" s="1"/>
  <c r="BD216" i="5" a="1"/>
  <c r="BD216" i="5" s="1"/>
  <c r="BF216" i="5" s="1"/>
  <c r="BE216" i="5"/>
  <c r="BB202" i="5"/>
  <c r="BC202" i="5" s="1"/>
  <c r="BD202" i="5" s="1" a="1"/>
  <c r="BD202" i="5" s="1"/>
  <c r="BF202" i="5" s="1"/>
  <c r="BB195" i="5"/>
  <c r="BC195" i="5" s="1"/>
  <c r="BB140" i="5"/>
  <c r="BC140" i="5" s="1"/>
  <c r="BE140" i="5" s="1"/>
  <c r="BB240" i="5"/>
  <c r="BC240" i="5" s="1"/>
  <c r="BE240" i="5" s="1"/>
  <c r="BB238" i="5"/>
  <c r="BC238" i="5" s="1"/>
  <c r="BD238" i="5" s="1" a="1"/>
  <c r="BD238" i="5" s="1"/>
  <c r="BF238" i="5" s="1"/>
  <c r="BB236" i="5"/>
  <c r="BC236" i="5" s="1"/>
  <c r="BD236" i="5" s="1" a="1"/>
  <c r="BD236" i="5" s="1"/>
  <c r="BF236" i="5" s="1"/>
  <c r="BB234" i="5"/>
  <c r="BC234" i="5" s="1"/>
  <c r="BD234" i="5" s="1" a="1"/>
  <c r="BD234" i="5" s="1"/>
  <c r="BF234" i="5" s="1"/>
  <c r="BB219" i="5"/>
  <c r="BC219" i="5" s="1"/>
  <c r="BD219" i="5" s="1" a="1"/>
  <c r="BD219" i="5" s="1"/>
  <c r="BF219" i="5" s="1"/>
  <c r="BB207" i="5"/>
  <c r="BC207" i="5" s="1"/>
  <c r="BD207" i="5" s="1" a="1"/>
  <c r="BD207" i="5" s="1"/>
  <c r="BF207" i="5" s="1"/>
  <c r="BB200" i="5"/>
  <c r="BC200" i="5" s="1"/>
  <c r="BD200" i="5" s="1" a="1"/>
  <c r="BD200" i="5" s="1"/>
  <c r="BF200" i="5" s="1"/>
  <c r="BB136" i="5"/>
  <c r="BC136" i="5" s="1"/>
  <c r="BE136" i="5" s="1"/>
  <c r="BC301" i="5"/>
  <c r="BE301" i="5" s="1"/>
  <c r="BB256" i="5"/>
  <c r="BC256" i="5" s="1"/>
  <c r="BD256" i="5" s="1" a="1"/>
  <c r="BD256" i="5" s="1"/>
  <c r="BF256" i="5" s="1"/>
  <c r="BB210" i="5"/>
  <c r="BC210" i="5" s="1"/>
  <c r="BE210" i="5" s="1"/>
  <c r="BB160" i="5"/>
  <c r="BC160" i="5" s="1"/>
  <c r="BD160" i="5" s="1" a="1"/>
  <c r="BD160" i="5" s="1"/>
  <c r="BF160" i="5" s="1"/>
  <c r="BB239" i="5"/>
  <c r="BC239" i="5" s="1"/>
  <c r="BD239" i="5" s="1" a="1"/>
  <c r="BD239" i="5" s="1"/>
  <c r="BF239" i="5" s="1"/>
  <c r="BB235" i="5"/>
  <c r="BC235" i="5" s="1"/>
  <c r="BD235" i="5" s="1" a="1"/>
  <c r="BD235" i="5" s="1"/>
  <c r="BF235" i="5" s="1"/>
  <c r="BB218" i="5"/>
  <c r="BC218" i="5" s="1"/>
  <c r="BE218" i="5" s="1"/>
  <c r="BB152" i="5"/>
  <c r="BC152" i="5" s="1"/>
  <c r="BE152" i="5" s="1"/>
  <c r="BB124" i="5"/>
  <c r="BC124" i="5" s="1"/>
  <c r="BE255" i="5"/>
  <c r="BD265" i="5" a="1"/>
  <c r="BD265" i="5" s="1"/>
  <c r="BF265" i="5" s="1"/>
  <c r="BD249" i="5" a="1"/>
  <c r="BD249" i="5" s="1"/>
  <c r="BF249" i="5" s="1"/>
  <c r="BE272" i="5"/>
  <c r="BE208" i="5"/>
  <c r="BE191" i="5"/>
  <c r="BE94" i="5"/>
  <c r="BD269" i="5" a="1"/>
  <c r="BD269" i="5" s="1"/>
  <c r="BF269" i="5" s="1"/>
  <c r="BD246" i="5" a="1"/>
  <c r="BD246" i="5" s="1"/>
  <c r="BF246" i="5" s="1"/>
  <c r="BE215" i="5"/>
  <c r="BE84" i="5"/>
  <c r="BE76" i="5"/>
  <c r="BE224" i="5"/>
  <c r="BE288" i="5"/>
  <c r="BC294" i="5"/>
  <c r="BE273" i="5"/>
  <c r="BD273" i="5" a="1"/>
  <c r="BD273" i="5" s="1"/>
  <c r="BF273" i="5" s="1"/>
  <c r="BC278" i="5"/>
  <c r="BC286" i="5"/>
  <c r="BD261" i="5" a="1"/>
  <c r="BD261" i="5" s="1"/>
  <c r="BF261" i="5" s="1"/>
  <c r="BE261" i="5"/>
  <c r="BD220" i="5" a="1"/>
  <c r="BD220" i="5" s="1"/>
  <c r="BF220" i="5" s="1"/>
  <c r="BE220" i="5"/>
  <c r="BE264" i="5"/>
  <c r="BD25" i="5" a="1"/>
  <c r="BD25" i="5" s="1"/>
  <c r="BF25" i="5" s="1"/>
  <c r="BE25" i="5"/>
  <c r="BB299" i="5"/>
  <c r="BE284" i="5"/>
  <c r="BB283" i="5"/>
  <c r="BD247" i="5" a="1"/>
  <c r="BD247" i="5" s="1"/>
  <c r="BF247" i="5" s="1"/>
  <c r="BD241" i="5" a="1"/>
  <c r="BD241" i="5" s="1"/>
  <c r="BF241" i="5" s="1"/>
  <c r="BE148" i="5"/>
  <c r="BD148" i="5" a="1"/>
  <c r="BD148" i="5" s="1"/>
  <c r="BF148" i="5" s="1"/>
  <c r="BE262" i="5"/>
  <c r="BE169" i="5"/>
  <c r="BD169" i="5" a="1"/>
  <c r="BD169" i="5" s="1"/>
  <c r="BF169" i="5" s="1"/>
  <c r="BD162" i="5" a="1"/>
  <c r="BD162" i="5" s="1"/>
  <c r="BF162" i="5" s="1"/>
  <c r="BE162" i="5"/>
  <c r="BE296" i="5"/>
  <c r="BE280" i="5"/>
  <c r="BD279" i="5" a="1"/>
  <c r="BD279" i="5" s="1"/>
  <c r="BF279" i="5" s="1"/>
  <c r="BE279" i="5"/>
  <c r="BD266" i="5" a="1"/>
  <c r="BD266" i="5" s="1"/>
  <c r="BF266" i="5" s="1"/>
  <c r="BE266" i="5"/>
  <c r="BD248" i="5" a="1"/>
  <c r="BD248" i="5" s="1"/>
  <c r="BF248" i="5" s="1"/>
  <c r="BE248" i="5"/>
  <c r="BE231" i="5"/>
  <c r="O72" i="5"/>
  <c r="U72" i="5" s="1"/>
  <c r="BE176" i="5"/>
  <c r="BD176" i="5" a="1"/>
  <c r="BD176" i="5" s="1"/>
  <c r="BF176" i="5" s="1"/>
  <c r="BD287" i="5" a="1"/>
  <c r="BD287" i="5" s="1"/>
  <c r="BF287" i="5" s="1"/>
  <c r="BE287" i="5"/>
  <c r="BE223" i="5"/>
  <c r="BD271" i="5" a="1"/>
  <c r="BD271" i="5" s="1"/>
  <c r="BF271" i="5" s="1"/>
  <c r="BE271" i="5"/>
  <c r="N72" i="5"/>
  <c r="BD293" i="5" a="1"/>
  <c r="BD293" i="5" s="1"/>
  <c r="BF293" i="5" s="1"/>
  <c r="BB263" i="5"/>
  <c r="BE233" i="5"/>
  <c r="BE225" i="5"/>
  <c r="BD170" i="5" a="1"/>
  <c r="BD170" i="5" s="1"/>
  <c r="BF170" i="5" s="1"/>
  <c r="BE170" i="5"/>
  <c r="BD118" i="5" a="1"/>
  <c r="BD118" i="5" s="1"/>
  <c r="BF118" i="5" s="1"/>
  <c r="BD199" i="5" a="1"/>
  <c r="BD199" i="5" s="1"/>
  <c r="BF199" i="5" s="1"/>
  <c r="BE199" i="5"/>
  <c r="BE173" i="5"/>
  <c r="BD173" i="5" a="1"/>
  <c r="BD173" i="5" s="1"/>
  <c r="BF173" i="5" s="1"/>
  <c r="BE168" i="5"/>
  <c r="BD168" i="5" a="1"/>
  <c r="BD168" i="5" s="1"/>
  <c r="BF168" i="5" s="1"/>
  <c r="BD114" i="5" a="1"/>
  <c r="BD114" i="5" s="1"/>
  <c r="BF114" i="5" s="1"/>
  <c r="BD193" i="5" a="1"/>
  <c r="BD193" i="5" s="1"/>
  <c r="BF193" i="5" s="1"/>
  <c r="BE193" i="5"/>
  <c r="BD185" i="5" a="1"/>
  <c r="BD185" i="5" s="1"/>
  <c r="BF185" i="5" s="1"/>
  <c r="BE185" i="5"/>
  <c r="BE70" i="5"/>
  <c r="BB192" i="5"/>
  <c r="BB188" i="5"/>
  <c r="BB186" i="5"/>
  <c r="BB178" i="5"/>
  <c r="BB146" i="5"/>
  <c r="BE143" i="5"/>
  <c r="BD38" i="5" a="1"/>
  <c r="BD38" i="5" s="1"/>
  <c r="BF38" i="5" s="1"/>
  <c r="BD156" i="5" a="1"/>
  <c r="BD156" i="5" s="1"/>
  <c r="BF156" i="5" s="1"/>
  <c r="BE153" i="5"/>
  <c r="BD153" i="5" a="1"/>
  <c r="BD153" i="5" s="1"/>
  <c r="BF153" i="5" s="1"/>
  <c r="BD112" i="5" a="1"/>
  <c r="BD112" i="5" s="1"/>
  <c r="BF112" i="5" s="1"/>
  <c r="BE112" i="5"/>
  <c r="BD104" i="5" a="1"/>
  <c r="BD104" i="5" s="1"/>
  <c r="BF104" i="5" s="1"/>
  <c r="BE104" i="5"/>
  <c r="BE60" i="5"/>
  <c r="BD60" i="5" a="1"/>
  <c r="BD60" i="5" s="1"/>
  <c r="BF60" i="5" s="1"/>
  <c r="BE28" i="5"/>
  <c r="BD28" i="5" a="1"/>
  <c r="BD28" i="5" s="1"/>
  <c r="BF28" i="5" s="1"/>
  <c r="BD21" i="5" a="1"/>
  <c r="BD21" i="5" s="1"/>
  <c r="BF21" i="5" s="1"/>
  <c r="BE21" i="5"/>
  <c r="BD6" i="5" a="1"/>
  <c r="BD6" i="5" s="1"/>
  <c r="BF6" i="5" s="1"/>
  <c r="BE6" i="5"/>
  <c r="BB180" i="5"/>
  <c r="BB174" i="5"/>
  <c r="BD128" i="5" a="1"/>
  <c r="BD128" i="5" s="1"/>
  <c r="BF128" i="5" s="1"/>
  <c r="BE128" i="5"/>
  <c r="BD120" i="5" a="1"/>
  <c r="BD120" i="5" s="1"/>
  <c r="BF120" i="5" s="1"/>
  <c r="BE120" i="5"/>
  <c r="BD102" i="5" a="1"/>
  <c r="BD102" i="5" s="1"/>
  <c r="BF102" i="5" s="1"/>
  <c r="BE85" i="5"/>
  <c r="BD85" i="5" a="1"/>
  <c r="BD85" i="5" s="1"/>
  <c r="BF85" i="5" s="1"/>
  <c r="BD82" i="5" a="1"/>
  <c r="BD82" i="5" s="1"/>
  <c r="BF82" i="5" s="1"/>
  <c r="BE82" i="5"/>
  <c r="BD41" i="5" a="1"/>
  <c r="BD41" i="5" s="1"/>
  <c r="BF41" i="5" s="1"/>
  <c r="BE41" i="5"/>
  <c r="BD141" i="5" a="1"/>
  <c r="BD141" i="5" s="1"/>
  <c r="BF141" i="5" s="1"/>
  <c r="BE129" i="5"/>
  <c r="BD129" i="5" a="1"/>
  <c r="BD129" i="5" s="1"/>
  <c r="BF129" i="5" s="1"/>
  <c r="BD74" i="5" a="1"/>
  <c r="BD74" i="5" s="1"/>
  <c r="BF74" i="5" s="1"/>
  <c r="BE74" i="5"/>
  <c r="BB182" i="5"/>
  <c r="BE167" i="5"/>
  <c r="BB166" i="5"/>
  <c r="BB154" i="5"/>
  <c r="BB138" i="5"/>
  <c r="BE135" i="5"/>
  <c r="BD49" i="5" a="1"/>
  <c r="BD49" i="5" s="1"/>
  <c r="BF49" i="5" s="1"/>
  <c r="BD17" i="5" a="1"/>
  <c r="BD17" i="5" s="1"/>
  <c r="BF17" i="5" s="1"/>
  <c r="BE17" i="5"/>
  <c r="BE145" i="5"/>
  <c r="BD145" i="5" a="1"/>
  <c r="BD145" i="5" s="1"/>
  <c r="BF145" i="5" s="1"/>
  <c r="BD127" i="5" a="1"/>
  <c r="BD127" i="5" s="1"/>
  <c r="BF127" i="5" s="1"/>
  <c r="BE127" i="5"/>
  <c r="BD122" i="5" a="1"/>
  <c r="BD122" i="5" s="1"/>
  <c r="BF122" i="5" s="1"/>
  <c r="BE122" i="5"/>
  <c r="BD119" i="5" a="1"/>
  <c r="BD119" i="5" s="1"/>
  <c r="BF119" i="5" s="1"/>
  <c r="BE119" i="5"/>
  <c r="BD108" i="5" a="1"/>
  <c r="BD108" i="5" s="1"/>
  <c r="BF108" i="5" s="1"/>
  <c r="BE108" i="5"/>
  <c r="BE105" i="5"/>
  <c r="BD105" i="5" a="1"/>
  <c r="BD105" i="5" s="1"/>
  <c r="BF105" i="5" s="1"/>
  <c r="BE5" i="5"/>
  <c r="BB184" i="5"/>
  <c r="BE159" i="5"/>
  <c r="BB158" i="5"/>
  <c r="BB142" i="5"/>
  <c r="BE132" i="5"/>
  <c r="BE103" i="5"/>
  <c r="BD103" i="5" a="1"/>
  <c r="BD103" i="5" s="1"/>
  <c r="BF103" i="5" s="1"/>
  <c r="BE81" i="5"/>
  <c r="BD81" i="5" a="1"/>
  <c r="BD81" i="5" s="1"/>
  <c r="BF81" i="5" s="1"/>
  <c r="BB109" i="5"/>
  <c r="BB107" i="5"/>
  <c r="BE88" i="5"/>
  <c r="BB75" i="5"/>
  <c r="BE72" i="5"/>
  <c r="BE64" i="5"/>
  <c r="BD64" i="5" a="1"/>
  <c r="BD64" i="5" s="1"/>
  <c r="BF64" i="5" s="1"/>
  <c r="BD63" i="5" a="1"/>
  <c r="BD63" i="5" s="1"/>
  <c r="BF63" i="5" s="1"/>
  <c r="BE63" i="5"/>
  <c r="BE32" i="5"/>
  <c r="BD32" i="5" a="1"/>
  <c r="BD32" i="5" s="1"/>
  <c r="BF32" i="5" s="1"/>
  <c r="BD31" i="5" a="1"/>
  <c r="BD31" i="5" s="1"/>
  <c r="BF31" i="5" s="1"/>
  <c r="BE31" i="5"/>
  <c r="BD10" i="5" a="1"/>
  <c r="BD10" i="5" s="1"/>
  <c r="BF10" i="5" s="1"/>
  <c r="BE10" i="5"/>
  <c r="BB113" i="5"/>
  <c r="BB111" i="5"/>
  <c r="BE90" i="5"/>
  <c r="BD89" i="5" a="1"/>
  <c r="BD89" i="5" s="1"/>
  <c r="BF89" i="5" s="1"/>
  <c r="BE68" i="5"/>
  <c r="BD68" i="5" a="1"/>
  <c r="BD68" i="5" s="1"/>
  <c r="BF68" i="5" s="1"/>
  <c r="BD61" i="5" a="1"/>
  <c r="BD61" i="5" s="1"/>
  <c r="BF61" i="5" s="1"/>
  <c r="BD87" i="5" a="1"/>
  <c r="BD87" i="5" s="1"/>
  <c r="BF87" i="5" s="1"/>
  <c r="BE87" i="5"/>
  <c r="BD71" i="5" a="1"/>
  <c r="BD71" i="5" s="1"/>
  <c r="BF71" i="5" s="1"/>
  <c r="BE71" i="5"/>
  <c r="BE40" i="5"/>
  <c r="BD40" i="5" a="1"/>
  <c r="BD40" i="5" s="1"/>
  <c r="BF40" i="5" s="1"/>
  <c r="BD39" i="5" a="1"/>
  <c r="BD39" i="5" s="1"/>
  <c r="BF39" i="5" s="1"/>
  <c r="BE39" i="5"/>
  <c r="BE8" i="5"/>
  <c r="BD8" i="5" a="1"/>
  <c r="BD8" i="5" s="1"/>
  <c r="BF8" i="5" s="1"/>
  <c r="BD7" i="5" a="1"/>
  <c r="BD7" i="5" s="1"/>
  <c r="BF7" i="5" s="1"/>
  <c r="BE7" i="5"/>
  <c r="BD54" i="5" a="1"/>
  <c r="BD54" i="5" s="1"/>
  <c r="BF54" i="5" s="1"/>
  <c r="BE54" i="5"/>
  <c r="BD44" i="5" a="1"/>
  <c r="BD44" i="5" s="1"/>
  <c r="BF44" i="5" s="1"/>
  <c r="BD43" i="5" a="1"/>
  <c r="BD43" i="5" s="1"/>
  <c r="BF43" i="5" s="1"/>
  <c r="BE43" i="5"/>
  <c r="BE37" i="5"/>
  <c r="BB83" i="5"/>
  <c r="BE80" i="5"/>
  <c r="BE48" i="5"/>
  <c r="BD48" i="5" a="1"/>
  <c r="BD48" i="5" s="1"/>
  <c r="BF48" i="5" s="1"/>
  <c r="BD47" i="5" a="1"/>
  <c r="BD47" i="5" s="1"/>
  <c r="BF47" i="5" s="1"/>
  <c r="BE47" i="5"/>
  <c r="BE16" i="5"/>
  <c r="BD16" i="5" a="1"/>
  <c r="BD16" i="5" s="1"/>
  <c r="BF16" i="5" s="1"/>
  <c r="BD15" i="5" a="1"/>
  <c r="BD15" i="5" s="1"/>
  <c r="BF15" i="5" s="1"/>
  <c r="BE15" i="5"/>
  <c r="BD9" i="5" a="1"/>
  <c r="BD9" i="5" s="1"/>
  <c r="BF9" i="5" s="1"/>
  <c r="BE9" i="5"/>
  <c r="BB97" i="5"/>
  <c r="BB95" i="5"/>
  <c r="BD62" i="5" a="1"/>
  <c r="BD62" i="5" s="1"/>
  <c r="BF62" i="5" s="1"/>
  <c r="BE62" i="5"/>
  <c r="BE30" i="5"/>
  <c r="BD13" i="5" a="1"/>
  <c r="BD13" i="5" s="1"/>
  <c r="BF13" i="5" s="1"/>
  <c r="BE13" i="5"/>
  <c r="BB101" i="5"/>
  <c r="BB99" i="5"/>
  <c r="BB79" i="5"/>
  <c r="BE56" i="5"/>
  <c r="BD56" i="5" a="1"/>
  <c r="BD56" i="5" s="1"/>
  <c r="BF56" i="5" s="1"/>
  <c r="BE24" i="5"/>
  <c r="BD24" i="5" a="1"/>
  <c r="BD24" i="5" s="1"/>
  <c r="BF24" i="5" s="1"/>
  <c r="BD23" i="5" a="1"/>
  <c r="BD23" i="5" s="1"/>
  <c r="BF23" i="5" s="1"/>
  <c r="BE23" i="5"/>
  <c r="Y88" i="5"/>
  <c r="Y66" i="5"/>
  <c r="P88" i="5"/>
  <c r="Q88" i="5" s="1"/>
  <c r="P66" i="5"/>
  <c r="Q66" i="5" s="1"/>
  <c r="O66" i="5"/>
  <c r="T66" i="5" s="1"/>
  <c r="O152" i="5"/>
  <c r="Y72" i="5"/>
  <c r="T15" i="5"/>
  <c r="O145" i="5"/>
  <c r="U145" i="5" s="1"/>
  <c r="N145" i="5"/>
  <c r="P14" i="5"/>
  <c r="Y14" i="5"/>
  <c r="N14" i="5"/>
  <c r="Q72" i="5"/>
  <c r="R72" i="5"/>
  <c r="V72" i="5" s="1"/>
  <c r="P145" i="5"/>
  <c r="R145" i="5" s="1"/>
  <c r="N88" i="5"/>
  <c r="N79" i="5"/>
  <c r="T268" i="5"/>
  <c r="U268" i="5"/>
  <c r="T196" i="5"/>
  <c r="U196" i="5"/>
  <c r="T236" i="5"/>
  <c r="U236" i="5"/>
  <c r="P89" i="5"/>
  <c r="Y89" i="5"/>
  <c r="N89" i="5"/>
  <c r="T79" i="5"/>
  <c r="U79" i="5"/>
  <c r="T89" i="5"/>
  <c r="U89" i="5"/>
  <c r="U88" i="5"/>
  <c r="T88" i="5"/>
  <c r="P84" i="5"/>
  <c r="Y84" i="5"/>
  <c r="U84" i="5"/>
  <c r="P79" i="5"/>
  <c r="N84" i="5"/>
  <c r="Y79" i="5"/>
  <c r="T14" i="5"/>
  <c r="U14" i="5"/>
  <c r="N15" i="5"/>
  <c r="P15" i="5"/>
  <c r="Y15" i="5"/>
  <c r="AV3" i="5"/>
  <c r="AV2" i="5" s="1"/>
  <c r="AB26" i="5"/>
  <c r="AB25" i="5"/>
  <c r="AD25" i="5" s="1"/>
  <c r="BD20" i="5" l="1" a="1"/>
  <c r="BD20" i="5" s="1"/>
  <c r="BF20" i="5" s="1"/>
  <c r="BD67" i="5" a="1"/>
  <c r="BD67" i="5" s="1"/>
  <c r="BF67" i="5" s="1"/>
  <c r="BE149" i="5"/>
  <c r="BD221" i="5" a="1"/>
  <c r="BD221" i="5" s="1"/>
  <c r="BF221" i="5" s="1"/>
  <c r="BD206" i="5" a="1"/>
  <c r="BD206" i="5" s="1"/>
  <c r="BF206" i="5" s="1"/>
  <c r="BE86" i="5"/>
  <c r="BD52" i="5" a="1"/>
  <c r="BD52" i="5" s="1"/>
  <c r="BF52" i="5" s="1"/>
  <c r="BD201" i="5" a="1"/>
  <c r="BD201" i="5" s="1"/>
  <c r="BF201" i="5" s="1"/>
  <c r="BE57" i="5"/>
  <c r="BD212" i="5" a="1"/>
  <c r="BD212" i="5" s="1"/>
  <c r="BF212" i="5" s="1"/>
  <c r="BD252" i="5" a="1"/>
  <c r="BD252" i="5" s="1"/>
  <c r="BF252" i="5" s="1"/>
  <c r="BE196" i="5"/>
  <c r="BE33" i="5"/>
  <c r="BE29" i="5"/>
  <c r="BD137" i="5" a="1"/>
  <c r="BD137" i="5" s="1"/>
  <c r="BF137" i="5" s="1"/>
  <c r="BD12" i="5" a="1"/>
  <c r="BD12" i="5" s="1"/>
  <c r="BF12" i="5" s="1"/>
  <c r="BE36" i="5"/>
  <c r="BE245" i="5"/>
  <c r="BD281" i="5" a="1"/>
  <c r="BD281" i="5" s="1"/>
  <c r="BF281" i="5" s="1"/>
  <c r="BE22" i="5"/>
  <c r="BE69" i="5"/>
  <c r="BD157" i="5" a="1"/>
  <c r="BD157" i="5" s="1"/>
  <c r="BF157" i="5" s="1"/>
  <c r="BD93" i="5" a="1"/>
  <c r="BD93" i="5" s="1"/>
  <c r="BF93" i="5" s="1"/>
  <c r="BD213" i="5" a="1"/>
  <c r="BD213" i="5" s="1"/>
  <c r="BF213" i="5" s="1"/>
  <c r="BE204" i="5"/>
  <c r="BE300" i="5"/>
  <c r="BD190" i="5" a="1"/>
  <c r="BD190" i="5" s="1"/>
  <c r="BF190" i="5" s="1"/>
  <c r="BE290" i="5"/>
  <c r="BE106" i="5"/>
  <c r="BE189" i="5"/>
  <c r="BE18" i="5"/>
  <c r="BD260" i="5" a="1"/>
  <c r="BD260" i="5" s="1"/>
  <c r="BF260" i="5" s="1"/>
  <c r="BE116" i="5"/>
  <c r="BE45" i="5"/>
  <c r="BE177" i="5"/>
  <c r="BD46" i="5" a="1"/>
  <c r="BD46" i="5" s="1"/>
  <c r="BF46" i="5" s="1"/>
  <c r="BD125" i="5" a="1"/>
  <c r="BD125" i="5" s="1"/>
  <c r="BF125" i="5" s="1"/>
  <c r="BD285" i="5" a="1"/>
  <c r="BD285" i="5" s="1"/>
  <c r="BF285" i="5" s="1"/>
  <c r="BD26" i="5" a="1"/>
  <c r="BD26" i="5" s="1"/>
  <c r="BF26" i="5" s="1"/>
  <c r="BE117" i="5"/>
  <c r="BE98" i="5"/>
  <c r="BE181" i="5"/>
  <c r="BE53" i="5"/>
  <c r="BD277" i="5" a="1"/>
  <c r="BD277" i="5" s="1"/>
  <c r="BF277" i="5" s="1"/>
  <c r="BE230" i="5"/>
  <c r="BD205" i="5" a="1"/>
  <c r="BD205" i="5" s="1"/>
  <c r="BF205" i="5" s="1"/>
  <c r="BE92" i="5"/>
  <c r="BD297" i="5" a="1"/>
  <c r="BD297" i="5" s="1"/>
  <c r="BF297" i="5" s="1"/>
  <c r="BE268" i="5"/>
  <c r="BE14" i="5"/>
  <c r="BD115" i="5" a="1"/>
  <c r="BD115" i="5" s="1"/>
  <c r="BF115" i="5" s="1"/>
  <c r="BD289" i="5" a="1"/>
  <c r="BD289" i="5" s="1"/>
  <c r="BF289" i="5" s="1"/>
  <c r="BD198" i="5" a="1"/>
  <c r="BD198" i="5" s="1"/>
  <c r="BF198" i="5" s="1"/>
  <c r="BE110" i="5"/>
  <c r="BE59" i="5"/>
  <c r="BD172" i="5" a="1"/>
  <c r="BD172" i="5" s="1"/>
  <c r="BF172" i="5" s="1"/>
  <c r="BE161" i="5"/>
  <c r="BD197" i="5" a="1"/>
  <c r="BD197" i="5" s="1"/>
  <c r="BF197" i="5" s="1"/>
  <c r="BE217" i="5"/>
  <c r="BE134" i="5"/>
  <c r="BE275" i="5"/>
  <c r="BE274" i="5"/>
  <c r="BE227" i="5"/>
  <c r="BD227" i="5" a="1"/>
  <c r="BD227" i="5" s="1"/>
  <c r="BF227" i="5" s="1"/>
  <c r="BE276" i="5"/>
  <c r="BD126" i="5" a="1"/>
  <c r="BD126" i="5" s="1"/>
  <c r="BF126" i="5" s="1"/>
  <c r="BD229" i="5" a="1"/>
  <c r="BD229" i="5" s="1"/>
  <c r="BF229" i="5" s="1"/>
  <c r="BE253" i="5"/>
  <c r="BE292" i="5"/>
  <c r="BD73" i="5" a="1"/>
  <c r="BD73" i="5" s="1"/>
  <c r="BF73" i="5" s="1"/>
  <c r="BD77" i="5" a="1"/>
  <c r="BD77" i="5" s="1"/>
  <c r="BF77" i="5" s="1"/>
  <c r="BE244" i="5"/>
  <c r="BD228" i="5" a="1"/>
  <c r="BD228" i="5" s="1"/>
  <c r="BF228" i="5" s="1"/>
  <c r="BE237" i="5"/>
  <c r="BD164" i="5" a="1"/>
  <c r="BD164" i="5" s="1"/>
  <c r="BF164" i="5" s="1"/>
  <c r="BD34" i="5" a="1"/>
  <c r="BD34" i="5" s="1"/>
  <c r="BF34" i="5" s="1"/>
  <c r="BD4" i="5" a="1"/>
  <c r="BD4" i="5" s="1"/>
  <c r="BF4" i="5" s="1"/>
  <c r="BD11" i="5" a="1"/>
  <c r="BD11" i="5" s="1"/>
  <c r="BF11" i="5" s="1"/>
  <c r="BE257" i="5"/>
  <c r="BD91" i="5" a="1"/>
  <c r="BD91" i="5" s="1"/>
  <c r="BF91" i="5" s="1"/>
  <c r="BD291" i="5" a="1"/>
  <c r="BD291" i="5" s="1"/>
  <c r="BF291" i="5" s="1"/>
  <c r="BE291" i="5"/>
  <c r="BE171" i="5"/>
  <c r="BD171" i="5" a="1"/>
  <c r="BD171" i="5" s="1"/>
  <c r="BF171" i="5" s="1"/>
  <c r="BD194" i="5" a="1"/>
  <c r="BD194" i="5" s="1"/>
  <c r="BF194" i="5" s="1"/>
  <c r="BD251" i="5" a="1"/>
  <c r="BD251" i="5" s="1"/>
  <c r="BF251" i="5" s="1"/>
  <c r="BE51" i="5"/>
  <c r="BE66" i="5"/>
  <c r="BD139" i="5" a="1"/>
  <c r="BD139" i="5" s="1"/>
  <c r="BF139" i="5" s="1"/>
  <c r="BE226" i="5"/>
  <c r="BE123" i="5"/>
  <c r="BE58" i="5"/>
  <c r="BE267" i="5"/>
  <c r="BE160" i="5"/>
  <c r="BD50" i="5" a="1"/>
  <c r="BD50" i="5" s="1"/>
  <c r="BF50" i="5" s="1"/>
  <c r="BD131" i="5" a="1"/>
  <c r="BD131" i="5" s="1"/>
  <c r="BF131" i="5" s="1"/>
  <c r="BE187" i="5"/>
  <c r="BD242" i="5" a="1"/>
  <c r="BD242" i="5" s="1"/>
  <c r="BF242" i="5" s="1"/>
  <c r="BE211" i="5"/>
  <c r="BE258" i="5"/>
  <c r="BE35" i="5"/>
  <c r="BE42" i="5"/>
  <c r="BE19" i="5"/>
  <c r="BD240" i="5" a="1"/>
  <c r="BD240" i="5" s="1"/>
  <c r="BF240" i="5" s="1"/>
  <c r="BE243" i="5"/>
  <c r="BD218" i="5" a="1"/>
  <c r="BD218" i="5" s="1"/>
  <c r="BF218" i="5" s="1"/>
  <c r="BE250" i="5"/>
  <c r="BE203" i="5"/>
  <c r="BD140" i="5" a="1"/>
  <c r="BD140" i="5" s="1"/>
  <c r="BF140" i="5" s="1"/>
  <c r="BE259" i="5"/>
  <c r="BE238" i="5"/>
  <c r="BE239" i="5"/>
  <c r="BE236" i="5"/>
  <c r="BE207" i="5"/>
  <c r="BE202" i="5"/>
  <c r="BE256" i="5"/>
  <c r="T72" i="5"/>
  <c r="BE219" i="5"/>
  <c r="BD301" i="5" a="1"/>
  <c r="BD301" i="5" s="1"/>
  <c r="BF301" i="5" s="1"/>
  <c r="BD152" i="5" a="1"/>
  <c r="BD152" i="5" s="1"/>
  <c r="BF152" i="5" s="1"/>
  <c r="BD210" i="5" a="1"/>
  <c r="BD210" i="5" s="1"/>
  <c r="BF210" i="5" s="1"/>
  <c r="BE235" i="5"/>
  <c r="BD136" i="5" a="1"/>
  <c r="BD136" i="5" s="1"/>
  <c r="BF136" i="5" s="1"/>
  <c r="BE234" i="5"/>
  <c r="U66" i="5"/>
  <c r="BE254" i="5"/>
  <c r="BE200" i="5"/>
  <c r="BD286" i="5" a="1"/>
  <c r="BD286" i="5" s="1"/>
  <c r="BF286" i="5" s="1"/>
  <c r="BE286" i="5"/>
  <c r="R88" i="5"/>
  <c r="S88" i="5" s="1"/>
  <c r="BC79" i="5"/>
  <c r="BC113" i="5"/>
  <c r="BC174" i="5"/>
  <c r="BC146" i="5"/>
  <c r="BC99" i="5"/>
  <c r="BC107" i="5"/>
  <c r="BC180" i="5"/>
  <c r="BC178" i="5"/>
  <c r="BC299" i="5"/>
  <c r="BC101" i="5"/>
  <c r="BC109" i="5"/>
  <c r="BC138" i="5"/>
  <c r="BC186" i="5"/>
  <c r="BD282" i="5" a="1"/>
  <c r="BD282" i="5" s="1"/>
  <c r="BF282" i="5" s="1"/>
  <c r="BE282" i="5"/>
  <c r="BC75" i="5"/>
  <c r="BC95" i="5"/>
  <c r="BC142" i="5"/>
  <c r="BC154" i="5"/>
  <c r="BC188" i="5"/>
  <c r="BD278" i="5" a="1"/>
  <c r="BD278" i="5" s="1"/>
  <c r="BF278" i="5" s="1"/>
  <c r="BE278" i="5"/>
  <c r="BD270" i="5" a="1"/>
  <c r="BD270" i="5" s="1"/>
  <c r="BF270" i="5" s="1"/>
  <c r="BE270" i="5"/>
  <c r="BC97" i="5"/>
  <c r="BC83" i="5"/>
  <c r="BC158" i="5"/>
  <c r="BC166" i="5"/>
  <c r="BC192" i="5"/>
  <c r="BC263" i="5"/>
  <c r="BD195" i="5" a="1"/>
  <c r="BD195" i="5" s="1"/>
  <c r="BF195" i="5" s="1"/>
  <c r="BE195" i="5"/>
  <c r="BD179" i="5" a="1"/>
  <c r="BD179" i="5" s="1"/>
  <c r="BF179" i="5" s="1"/>
  <c r="BE179" i="5"/>
  <c r="BC111" i="5"/>
  <c r="BC150" i="5"/>
  <c r="BD294" i="5" a="1"/>
  <c r="BD294" i="5" s="1"/>
  <c r="BF294" i="5" s="1"/>
  <c r="BE294" i="5"/>
  <c r="BC182" i="5"/>
  <c r="BC283" i="5"/>
  <c r="T145" i="5"/>
  <c r="BC184" i="5"/>
  <c r="BD298" i="5" a="1"/>
  <c r="BD298" i="5" s="1"/>
  <c r="BF298" i="5" s="1"/>
  <c r="BE298" i="5"/>
  <c r="S72" i="5"/>
  <c r="W72" i="5" s="1"/>
  <c r="T152" i="5"/>
  <c r="U152" i="5"/>
  <c r="R66" i="5"/>
  <c r="S66" i="5" s="1"/>
  <c r="Q145" i="5"/>
  <c r="R14" i="5"/>
  <c r="Q14" i="5"/>
  <c r="Q84" i="5"/>
  <c r="R84" i="5"/>
  <c r="Q15" i="5"/>
  <c r="R15" i="5"/>
  <c r="Q89" i="5"/>
  <c r="R89" i="5"/>
  <c r="R79" i="5"/>
  <c r="Q79" i="5"/>
  <c r="S145" i="5"/>
  <c r="V145" i="5"/>
  <c r="V66" i="5" l="1"/>
  <c r="W66" i="5" s="1"/>
  <c r="V88" i="5"/>
  <c r="W88" i="5" s="1"/>
  <c r="BE188" i="5"/>
  <c r="BD188" i="5" a="1"/>
  <c r="BD188" i="5" s="1"/>
  <c r="BF188" i="5" s="1"/>
  <c r="BE111" i="5"/>
  <c r="BD111" i="5" a="1"/>
  <c r="BD111" i="5" s="1"/>
  <c r="BF111" i="5" s="1"/>
  <c r="BE192" i="5"/>
  <c r="BD192" i="5" a="1"/>
  <c r="BD192" i="5" s="1"/>
  <c r="BF192" i="5" s="1"/>
  <c r="BE97" i="5"/>
  <c r="BD97" i="5" a="1"/>
  <c r="BD97" i="5" s="1"/>
  <c r="BF97" i="5" s="1"/>
  <c r="BD138" i="5" a="1"/>
  <c r="BD138" i="5" s="1"/>
  <c r="BF138" i="5" s="1"/>
  <c r="BE138" i="5"/>
  <c r="BD174" i="5" a="1"/>
  <c r="BD174" i="5" s="1"/>
  <c r="BF174" i="5" s="1"/>
  <c r="BE174" i="5"/>
  <c r="BD166" i="5" a="1"/>
  <c r="BD166" i="5" s="1"/>
  <c r="BF166" i="5" s="1"/>
  <c r="BE166" i="5"/>
  <c r="BD283" i="5" a="1"/>
  <c r="BD283" i="5" s="1"/>
  <c r="BF283" i="5" s="1"/>
  <c r="BE283" i="5"/>
  <c r="BD75" i="5" a="1"/>
  <c r="BD75" i="5" s="1"/>
  <c r="BF75" i="5" s="1"/>
  <c r="BE75" i="5"/>
  <c r="BE99" i="5"/>
  <c r="BD99" i="5" a="1"/>
  <c r="BD99" i="5" s="1"/>
  <c r="BF99" i="5" s="1"/>
  <c r="BE178" i="5"/>
  <c r="BD178" i="5" a="1"/>
  <c r="BD178" i="5" s="1"/>
  <c r="BF178" i="5" s="1"/>
  <c r="BE101" i="5"/>
  <c r="BD101" i="5" a="1"/>
  <c r="BD101" i="5" s="1"/>
  <c r="BF101" i="5" s="1"/>
  <c r="BD79" i="5" a="1"/>
  <c r="BD79" i="5" s="1"/>
  <c r="BF79" i="5" s="1"/>
  <c r="BE79" i="5"/>
  <c r="BE109" i="5"/>
  <c r="BD109" i="5" a="1"/>
  <c r="BD109" i="5" s="1"/>
  <c r="BF109" i="5" s="1"/>
  <c r="BE184" i="5"/>
  <c r="BD184" i="5" a="1"/>
  <c r="BD184" i="5" s="1"/>
  <c r="BF184" i="5" s="1"/>
  <c r="BE186" i="5"/>
  <c r="BD186" i="5" a="1"/>
  <c r="BD186" i="5" s="1"/>
  <c r="BF186" i="5" s="1"/>
  <c r="BE180" i="5"/>
  <c r="BD180" i="5" a="1"/>
  <c r="BD180" i="5" s="1"/>
  <c r="BF180" i="5" s="1"/>
  <c r="BE113" i="5"/>
  <c r="BD113" i="5" a="1"/>
  <c r="BD113" i="5" s="1"/>
  <c r="BF113" i="5" s="1"/>
  <c r="BD263" i="5" a="1"/>
  <c r="BD263" i="5" s="1"/>
  <c r="BF263" i="5" s="1"/>
  <c r="BE263" i="5"/>
  <c r="BD83" i="5" a="1"/>
  <c r="BD83" i="5" s="1"/>
  <c r="BF83" i="5" s="1"/>
  <c r="BE83" i="5"/>
  <c r="BD142" i="5" a="1"/>
  <c r="BD142" i="5" s="1"/>
  <c r="BF142" i="5" s="1"/>
  <c r="BE142" i="5"/>
  <c r="BD146" i="5" a="1"/>
  <c r="BD146" i="5" s="1"/>
  <c r="BF146" i="5" s="1"/>
  <c r="BE146" i="5"/>
  <c r="BD299" i="5" a="1"/>
  <c r="BD299" i="5" s="1"/>
  <c r="BF299" i="5" s="1"/>
  <c r="BE299" i="5"/>
  <c r="BE107" i="5"/>
  <c r="BD107" i="5" a="1"/>
  <c r="BD107" i="5" s="1"/>
  <c r="BF107" i="5" s="1"/>
  <c r="S14" i="5"/>
  <c r="V14" i="5"/>
  <c r="S79" i="5"/>
  <c r="V79" i="5"/>
  <c r="V89" i="5"/>
  <c r="S89" i="5"/>
  <c r="V15" i="5"/>
  <c r="S15" i="5"/>
  <c r="S84" i="5"/>
  <c r="V84" i="5"/>
  <c r="W145" i="5"/>
  <c r="AB15" i="5"/>
  <c r="AC22" i="5" s="1"/>
  <c r="W14" i="5" l="1"/>
  <c r="W15" i="5"/>
  <c r="W89" i="5"/>
  <c r="W79" i="5"/>
  <c r="W84" i="5"/>
  <c r="AC23" i="5"/>
  <c r="AX3" i="5"/>
  <c r="AC52" i="5"/>
  <c r="AB52" i="5"/>
  <c r="AC39" i="5"/>
  <c r="AB39" i="5"/>
  <c r="AC33" i="5"/>
  <c r="AB33" i="5"/>
  <c r="AO1" i="5"/>
  <c r="AB23" i="5" l="1"/>
  <c r="AX1" i="5"/>
  <c r="AD39" i="5"/>
  <c r="AD33" i="5"/>
  <c r="AD52" i="5"/>
  <c r="AZ1" i="5"/>
  <c r="AY3" i="5"/>
  <c r="L150" i="5" l="1"/>
  <c r="L157" i="5"/>
  <c r="L165" i="5"/>
  <c r="L173" i="5"/>
  <c r="L181" i="5"/>
  <c r="L189" i="5"/>
  <c r="L204" i="5"/>
  <c r="L212" i="5"/>
  <c r="L220" i="5"/>
  <c r="L228" i="5"/>
  <c r="L236" i="5"/>
  <c r="L243" i="5"/>
  <c r="L251" i="5"/>
  <c r="L259" i="5"/>
  <c r="L267" i="5"/>
  <c r="L274" i="5"/>
  <c r="L282" i="5"/>
  <c r="L155" i="5"/>
  <c r="L187" i="5"/>
  <c r="L218" i="5"/>
  <c r="L249" i="5"/>
  <c r="L151" i="5"/>
  <c r="L158" i="5"/>
  <c r="L166" i="5"/>
  <c r="L174" i="5"/>
  <c r="L182" i="5"/>
  <c r="L190" i="5"/>
  <c r="L197" i="5"/>
  <c r="L205" i="5"/>
  <c r="L213" i="5"/>
  <c r="L221" i="5"/>
  <c r="L229" i="5"/>
  <c r="L244" i="5"/>
  <c r="L252" i="5"/>
  <c r="L260" i="5"/>
  <c r="L268" i="5"/>
  <c r="L275" i="5"/>
  <c r="L283" i="5"/>
  <c r="L160" i="5"/>
  <c r="L184" i="5"/>
  <c r="L199" i="5"/>
  <c r="L223" i="5"/>
  <c r="L238" i="5"/>
  <c r="L254" i="5"/>
  <c r="L269" i="5"/>
  <c r="L285" i="5"/>
  <c r="L148" i="5"/>
  <c r="L179" i="5"/>
  <c r="L210" i="5"/>
  <c r="L234" i="5"/>
  <c r="L265" i="5"/>
  <c r="L164" i="5"/>
  <c r="L180" i="5"/>
  <c r="L203" i="5"/>
  <c r="L235" i="5"/>
  <c r="L258" i="5"/>
  <c r="L281" i="5"/>
  <c r="L152" i="5"/>
  <c r="L159" i="5"/>
  <c r="L167" i="5"/>
  <c r="L175" i="5"/>
  <c r="L183" i="5"/>
  <c r="L191" i="5"/>
  <c r="L198" i="5"/>
  <c r="L206" i="5"/>
  <c r="L214" i="5"/>
  <c r="L222" i="5"/>
  <c r="L230" i="5"/>
  <c r="L237" i="5"/>
  <c r="L245" i="5"/>
  <c r="L253" i="5"/>
  <c r="L261" i="5"/>
  <c r="L276" i="5"/>
  <c r="L284" i="5"/>
  <c r="L168" i="5"/>
  <c r="L176" i="5"/>
  <c r="L192" i="5"/>
  <c r="L207" i="5"/>
  <c r="L215" i="5"/>
  <c r="L231" i="5"/>
  <c r="L246" i="5"/>
  <c r="L262" i="5"/>
  <c r="L277" i="5"/>
  <c r="L149" i="5"/>
  <c r="L266" i="5"/>
  <c r="L146" i="5"/>
  <c r="L153" i="5"/>
  <c r="L161" i="5"/>
  <c r="L169" i="5"/>
  <c r="L177" i="5"/>
  <c r="L185" i="5"/>
  <c r="L193" i="5"/>
  <c r="L200" i="5"/>
  <c r="L208" i="5"/>
  <c r="L216" i="5"/>
  <c r="L224" i="5"/>
  <c r="L232" i="5"/>
  <c r="L239" i="5"/>
  <c r="L247" i="5"/>
  <c r="L255" i="5"/>
  <c r="L263" i="5"/>
  <c r="L270" i="5"/>
  <c r="L278" i="5"/>
  <c r="L286" i="5"/>
  <c r="L163" i="5"/>
  <c r="L195" i="5"/>
  <c r="L226" i="5"/>
  <c r="L257" i="5"/>
  <c r="L280" i="5"/>
  <c r="L156" i="5"/>
  <c r="L196" i="5"/>
  <c r="L219" i="5"/>
  <c r="L242" i="5"/>
  <c r="L273" i="5"/>
  <c r="L147" i="5"/>
  <c r="L154" i="5"/>
  <c r="L162" i="5"/>
  <c r="L170" i="5"/>
  <c r="L178" i="5"/>
  <c r="L186" i="5"/>
  <c r="L194" i="5"/>
  <c r="L201" i="5"/>
  <c r="L209" i="5"/>
  <c r="L217" i="5"/>
  <c r="L225" i="5"/>
  <c r="L233" i="5"/>
  <c r="L240" i="5"/>
  <c r="L248" i="5"/>
  <c r="L256" i="5"/>
  <c r="L264" i="5"/>
  <c r="L271" i="5"/>
  <c r="L279" i="5"/>
  <c r="L287" i="5"/>
  <c r="L171" i="5"/>
  <c r="L202" i="5"/>
  <c r="L241" i="5"/>
  <c r="L272" i="5"/>
  <c r="L172" i="5"/>
  <c r="L188" i="5"/>
  <c r="L211" i="5"/>
  <c r="L227" i="5"/>
  <c r="L250" i="5"/>
  <c r="L3" i="5"/>
  <c r="AD26" i="5"/>
  <c r="AY1" i="5"/>
  <c r="N196" i="5" l="1"/>
  <c r="Y196" i="5"/>
  <c r="P196" i="5"/>
  <c r="Y236" i="5"/>
  <c r="P236" i="5"/>
  <c r="N236" i="5"/>
  <c r="P268" i="5"/>
  <c r="Y268" i="5"/>
  <c r="N268" i="5"/>
  <c r="Y152" i="5"/>
  <c r="P152" i="5"/>
  <c r="N152" i="5"/>
  <c r="AB45" i="5"/>
  <c r="AC45" i="5"/>
  <c r="AB47" i="5"/>
  <c r="AC47" i="5"/>
  <c r="AC50" i="5"/>
  <c r="AB50" i="5"/>
  <c r="AC42" i="5"/>
  <c r="AB42" i="5"/>
  <c r="AC49" i="5"/>
  <c r="AB49" i="5"/>
  <c r="AC41" i="5"/>
  <c r="AB41" i="5"/>
  <c r="AB48" i="5"/>
  <c r="AC48" i="5"/>
  <c r="AC43" i="5"/>
  <c r="AB43" i="5"/>
  <c r="AC58" i="5" a="1"/>
  <c r="AC58" i="5" s="1"/>
  <c r="AC54" i="5" a="1"/>
  <c r="AC54" i="5" s="1"/>
  <c r="AC57" i="5" a="1"/>
  <c r="AC57" i="5" s="1"/>
  <c r="AB54" i="5" a="1"/>
  <c r="AB54" i="5" s="1"/>
  <c r="AB58" i="5" a="1"/>
  <c r="AB58" i="5" s="1"/>
  <c r="AC44" i="5"/>
  <c r="AC35" i="5" a="1"/>
  <c r="AC35" i="5" s="1"/>
  <c r="AB57" i="5" a="1"/>
  <c r="AB57" i="5" s="1"/>
  <c r="AB35" i="5" a="1"/>
  <c r="AB35" i="5" s="1"/>
  <c r="AC56" i="5" a="1"/>
  <c r="AC56" i="5" s="1"/>
  <c r="AC38" i="5"/>
  <c r="AC36" i="5" a="1"/>
  <c r="AC36" i="5" s="1"/>
  <c r="AB56" i="5" a="1"/>
  <c r="AB56" i="5" s="1"/>
  <c r="AB38" i="5"/>
  <c r="AB40" i="5" s="1"/>
  <c r="AB55" i="5"/>
  <c r="AB37" i="5" a="1"/>
  <c r="AB37" i="5" s="1"/>
  <c r="AC55" i="5"/>
  <c r="AB44" i="5"/>
  <c r="AC37" i="5" a="1"/>
  <c r="AC37" i="5" s="1"/>
  <c r="AB36" i="5" a="1"/>
  <c r="AB36" i="5" s="1"/>
  <c r="AC51" i="5"/>
  <c r="AB51" i="5"/>
  <c r="AB46" i="5"/>
  <c r="AC46" i="5"/>
  <c r="AC34" i="5"/>
  <c r="AB34" i="5"/>
  <c r="AC32" i="5"/>
  <c r="AB32" i="5"/>
  <c r="R268" i="5" l="1"/>
  <c r="Q268" i="5"/>
  <c r="R236" i="5"/>
  <c r="Q236" i="5"/>
  <c r="R152" i="5"/>
  <c r="Q152" i="5"/>
  <c r="R196" i="5"/>
  <c r="Q196" i="5"/>
  <c r="AD46" i="5"/>
  <c r="AD58" i="5"/>
  <c r="AD32" i="5"/>
  <c r="AD35" i="5"/>
  <c r="AD37" i="5"/>
  <c r="AD51" i="5"/>
  <c r="AD50" i="5"/>
  <c r="AD49" i="5"/>
  <c r="AD43" i="5"/>
  <c r="AD42" i="5"/>
  <c r="AD44" i="5"/>
  <c r="AD48" i="5"/>
  <c r="AD36" i="5"/>
  <c r="AB53" i="5"/>
  <c r="AD47" i="5"/>
  <c r="AD34" i="5"/>
  <c r="AD38" i="5"/>
  <c r="AD40" i="5" s="1"/>
  <c r="AC40" i="5"/>
  <c r="AD41" i="5"/>
  <c r="AC53" i="5"/>
  <c r="AD45" i="5"/>
  <c r="AD56" i="5"/>
  <c r="AD57" i="5"/>
  <c r="AD54" i="5"/>
  <c r="AD55" i="5"/>
  <c r="V196" i="5" l="1"/>
  <c r="S196" i="5"/>
  <c r="S268" i="5"/>
  <c r="V268" i="5"/>
  <c r="V152" i="5"/>
  <c r="S152" i="5"/>
  <c r="S236" i="5"/>
  <c r="V236" i="5"/>
  <c r="AD53" i="5"/>
  <c r="W236" i="5" l="1"/>
  <c r="W152" i="5"/>
  <c r="W196" i="5"/>
  <c r="W268" i="5"/>
  <c r="BA1" i="5"/>
  <c r="BB3" i="5"/>
  <c r="AK300" i="5" l="1"/>
  <c r="M247" i="5" s="1"/>
  <c r="AK297" i="5"/>
  <c r="M204" i="5" s="1"/>
  <c r="AK67" i="5"/>
  <c r="M64" i="5" s="1"/>
  <c r="AK301" i="5"/>
  <c r="M239" i="5" s="1"/>
  <c r="AK296" i="5"/>
  <c r="M273" i="5" s="1"/>
  <c r="AK295" i="5"/>
  <c r="AK294" i="5"/>
  <c r="M260" i="5" s="1"/>
  <c r="AK298" i="5"/>
  <c r="M226" i="5" s="1"/>
  <c r="AK243" i="5"/>
  <c r="AK174" i="5"/>
  <c r="AK51" i="5"/>
  <c r="AK102" i="5"/>
  <c r="AK45" i="5"/>
  <c r="AK50" i="5"/>
  <c r="M59" i="5" s="1"/>
  <c r="AK56" i="5"/>
  <c r="M29" i="5" s="1"/>
  <c r="AK159" i="5"/>
  <c r="M147" i="5" s="1"/>
  <c r="AK237" i="5"/>
  <c r="AK238" i="5"/>
  <c r="AK41" i="5"/>
  <c r="AK133" i="5"/>
  <c r="BE133" i="5" s="1"/>
  <c r="AK230" i="5"/>
  <c r="AK28" i="5"/>
  <c r="M24" i="5" s="1"/>
  <c r="AK134" i="5"/>
  <c r="M132" i="5" s="1"/>
  <c r="AK215" i="5"/>
  <c r="M205" i="5" s="1"/>
  <c r="AK172" i="5"/>
  <c r="AK288" i="5"/>
  <c r="AK31" i="5"/>
  <c r="AK126" i="5"/>
  <c r="AK280" i="5"/>
  <c r="AK63" i="5"/>
  <c r="M67" i="5" s="1"/>
  <c r="AK164" i="5"/>
  <c r="M157" i="5" s="1"/>
  <c r="AK241" i="5"/>
  <c r="M242" i="5" s="1"/>
  <c r="AK17" i="5"/>
  <c r="AK128" i="5"/>
  <c r="AK234" i="5"/>
  <c r="AK167" i="5"/>
  <c r="AK77" i="5"/>
  <c r="AK291" i="5"/>
  <c r="M180" i="5" s="1"/>
  <c r="AK13" i="5"/>
  <c r="M16" i="5" s="1"/>
  <c r="AK66" i="5"/>
  <c r="M49" i="5" s="1"/>
  <c r="AK180" i="5"/>
  <c r="AK38" i="5"/>
  <c r="AK287" i="5"/>
  <c r="AK68" i="5"/>
  <c r="AK168" i="5"/>
  <c r="AK245" i="5"/>
  <c r="M243" i="5" s="1"/>
  <c r="AK254" i="5"/>
  <c r="M276" i="5" s="1"/>
  <c r="AK57" i="5"/>
  <c r="M50" i="5" s="1"/>
  <c r="AK151" i="5"/>
  <c r="BE151" i="5" s="1"/>
  <c r="AK246" i="5"/>
  <c r="AK44" i="5"/>
  <c r="AK143" i="5"/>
  <c r="AK231" i="5"/>
  <c r="AK181" i="5"/>
  <c r="M161" i="5" s="1"/>
  <c r="AK273" i="5"/>
  <c r="M217" i="5" s="1"/>
  <c r="AK47" i="5"/>
  <c r="M19" i="5" s="1"/>
  <c r="AK144" i="5"/>
  <c r="BE144" i="5" s="1"/>
  <c r="AK55" i="5"/>
  <c r="BE55" i="5" s="1"/>
  <c r="AK73" i="5"/>
  <c r="AK173" i="5"/>
  <c r="AK249" i="5"/>
  <c r="AK33" i="5"/>
  <c r="M9" i="5" s="1"/>
  <c r="AK137" i="5"/>
  <c r="AK242" i="5"/>
  <c r="M216" i="5" s="1"/>
  <c r="AK194" i="5"/>
  <c r="AK89" i="5"/>
  <c r="AK202" i="5"/>
  <c r="AK121" i="5"/>
  <c r="BE121" i="5" s="1"/>
  <c r="AK154" i="5"/>
  <c r="BE154" i="5" s="1"/>
  <c r="AK131" i="5"/>
  <c r="M130" i="5" s="1"/>
  <c r="AK158" i="5"/>
  <c r="BE158" i="5" s="1"/>
  <c r="AK70" i="5"/>
  <c r="M68" i="5" s="1"/>
  <c r="AK146" i="5"/>
  <c r="AK286" i="5"/>
  <c r="AK29" i="5"/>
  <c r="AK101" i="5"/>
  <c r="AK80" i="5"/>
  <c r="AK177" i="5"/>
  <c r="M168" i="5" s="1"/>
  <c r="AK253" i="5"/>
  <c r="M252" i="5" s="1"/>
  <c r="AK23" i="5"/>
  <c r="M39" i="5" s="1"/>
  <c r="AK69" i="5"/>
  <c r="AK160" i="5"/>
  <c r="AK262" i="5"/>
  <c r="AK60" i="5"/>
  <c r="AK152" i="5"/>
  <c r="AK239" i="5"/>
  <c r="M221" i="5" s="1"/>
  <c r="AK199" i="5"/>
  <c r="AK289" i="5"/>
  <c r="M225" i="5" s="1"/>
  <c r="AK61" i="5"/>
  <c r="AK162" i="5"/>
  <c r="AK149" i="5"/>
  <c r="AK87" i="5"/>
  <c r="AK191" i="5"/>
  <c r="AK257" i="5"/>
  <c r="M286" i="5" s="1"/>
  <c r="AK49" i="5"/>
  <c r="M21" i="5" s="1"/>
  <c r="AK156" i="5"/>
  <c r="M149" i="5" s="1"/>
  <c r="AK250" i="5"/>
  <c r="AK252" i="5"/>
  <c r="AK100" i="5"/>
  <c r="BE100" i="5" s="1"/>
  <c r="AK219" i="5"/>
  <c r="AK212" i="5"/>
  <c r="AK27" i="5"/>
  <c r="BE27" i="5" s="1"/>
  <c r="AK54" i="5"/>
  <c r="M53" i="5" s="1"/>
  <c r="AK223" i="5"/>
  <c r="M212" i="5" s="1"/>
  <c r="AK10" i="5"/>
  <c r="AK178" i="5"/>
  <c r="AK147" i="5"/>
  <c r="BE147" i="5" s="1"/>
  <c r="AK94" i="5"/>
  <c r="AK92" i="5"/>
  <c r="AK196" i="5"/>
  <c r="M174" i="5" s="1"/>
  <c r="AK261" i="5"/>
  <c r="M228" i="5" s="1"/>
  <c r="AK140" i="5"/>
  <c r="AK81" i="5"/>
  <c r="AK169" i="5"/>
  <c r="AK90" i="5"/>
  <c r="AK71" i="5"/>
  <c r="AK161" i="5"/>
  <c r="AK247" i="5"/>
  <c r="M279" i="5" s="1"/>
  <c r="AK216" i="5"/>
  <c r="M206" i="5" s="1"/>
  <c r="AK39" i="5"/>
  <c r="M26" i="5" s="1"/>
  <c r="AK72" i="5"/>
  <c r="AK190" i="5"/>
  <c r="AK204" i="5"/>
  <c r="AK108" i="5"/>
  <c r="AK200" i="5"/>
  <c r="AK265" i="5"/>
  <c r="M255" i="5" s="1"/>
  <c r="AK64" i="5"/>
  <c r="M55" i="5" s="1"/>
  <c r="AK165" i="5"/>
  <c r="BE165" i="5" s="1"/>
  <c r="AK258" i="5"/>
  <c r="AK4" i="5"/>
  <c r="AK120" i="5"/>
  <c r="AK227" i="5"/>
  <c r="AK260" i="5"/>
  <c r="AK188" i="5"/>
  <c r="M179" i="5" s="1"/>
  <c r="AK42" i="5"/>
  <c r="M37" i="5" s="1"/>
  <c r="AK59" i="5"/>
  <c r="M65" i="5" s="1"/>
  <c r="AK166" i="5"/>
  <c r="AK14" i="5"/>
  <c r="AK270" i="5"/>
  <c r="AK203" i="5"/>
  <c r="AK187" i="5"/>
  <c r="AK115" i="5"/>
  <c r="AK11" i="5"/>
  <c r="M52" i="5" s="1"/>
  <c r="AK53" i="5"/>
  <c r="M62" i="5" s="1"/>
  <c r="AK79" i="5"/>
  <c r="AK110" i="5"/>
  <c r="AK271" i="5"/>
  <c r="AK43" i="5"/>
  <c r="AK109" i="5"/>
  <c r="AK30" i="5"/>
  <c r="M11" i="5" s="1"/>
  <c r="AK75" i="5"/>
  <c r="M77" i="5" s="1"/>
  <c r="AK103" i="5"/>
  <c r="M100" i="5" s="1"/>
  <c r="AK205" i="5"/>
  <c r="AK269" i="5"/>
  <c r="AK220" i="5"/>
  <c r="AK93" i="5"/>
  <c r="AK197" i="5"/>
  <c r="AK176" i="5"/>
  <c r="M170" i="5" s="1"/>
  <c r="AK84" i="5"/>
  <c r="M82" i="5" s="1"/>
  <c r="AK170" i="5"/>
  <c r="M164" i="5" s="1"/>
  <c r="AK255" i="5"/>
  <c r="AK232" i="5"/>
  <c r="BE232" i="5" s="1"/>
  <c r="AK130" i="5"/>
  <c r="BE130" i="5" s="1"/>
  <c r="AK85" i="5"/>
  <c r="AK208" i="5"/>
  <c r="AK268" i="5"/>
  <c r="M262" i="5" s="1"/>
  <c r="AK118" i="5"/>
  <c r="M116" i="5" s="1"/>
  <c r="AK209" i="5"/>
  <c r="BE209" i="5" s="1"/>
  <c r="AK281" i="5"/>
  <c r="AK76" i="5"/>
  <c r="AK183" i="5"/>
  <c r="BE183" i="5" s="1"/>
  <c r="AK266" i="5"/>
  <c r="AK20" i="5"/>
  <c r="AK129" i="5"/>
  <c r="M124" i="5" s="1"/>
  <c r="AK235" i="5"/>
  <c r="M232" i="5" s="1"/>
  <c r="AK195" i="5"/>
  <c r="M184" i="5" s="1"/>
  <c r="AK179" i="5"/>
  <c r="AK5" i="5"/>
  <c r="AK283" i="5"/>
  <c r="AK91" i="5"/>
  <c r="M91" i="5" s="1"/>
  <c r="AK123" i="5"/>
  <c r="AK82" i="5"/>
  <c r="M90" i="5" s="1"/>
  <c r="AK74" i="5"/>
  <c r="M75" i="5" s="1"/>
  <c r="AK184" i="5"/>
  <c r="M176" i="5" s="1"/>
  <c r="AK78" i="5"/>
  <c r="BE78" i="5" s="1"/>
  <c r="AK46" i="5"/>
  <c r="AK99" i="5"/>
  <c r="AK155" i="5"/>
  <c r="BE155" i="5" s="1"/>
  <c r="AK58" i="5"/>
  <c r="AK21" i="5"/>
  <c r="M13" i="5" s="1"/>
  <c r="AK8" i="5"/>
  <c r="M33" i="5" s="1"/>
  <c r="AK122" i="5"/>
  <c r="AK213" i="5"/>
  <c r="AK277" i="5"/>
  <c r="AK276" i="5"/>
  <c r="AK104" i="5"/>
  <c r="M104" i="5" s="1"/>
  <c r="AK206" i="5"/>
  <c r="AK228" i="5"/>
  <c r="M218" i="5" s="1"/>
  <c r="AK105" i="5"/>
  <c r="M105" i="5" s="1"/>
  <c r="AK189" i="5"/>
  <c r="AK279" i="5"/>
  <c r="AK248" i="5"/>
  <c r="AK185" i="5"/>
  <c r="AK96" i="5"/>
  <c r="BE96" i="5" s="1"/>
  <c r="AK224" i="5"/>
  <c r="AK16" i="5"/>
  <c r="M7" i="5" s="1"/>
  <c r="AK127" i="5"/>
  <c r="M122" i="5" s="1"/>
  <c r="AK217" i="5"/>
  <c r="M202" i="5" s="1"/>
  <c r="AK112" i="5"/>
  <c r="AK88" i="5"/>
  <c r="AK201" i="5"/>
  <c r="AK274" i="5"/>
  <c r="AK36" i="5"/>
  <c r="AK148" i="5"/>
  <c r="M143" i="5" s="1"/>
  <c r="AK251" i="5"/>
  <c r="M282" i="5" s="1"/>
  <c r="AK95" i="5"/>
  <c r="BE95" i="5" s="1"/>
  <c r="AK226" i="5"/>
  <c r="AK267" i="5"/>
  <c r="AK97" i="5"/>
  <c r="AK192" i="5"/>
  <c r="M183" i="5" s="1"/>
  <c r="AK111" i="5"/>
  <c r="AK171" i="5"/>
  <c r="M163" i="5" s="1"/>
  <c r="AK62" i="5"/>
  <c r="AK278" i="5"/>
  <c r="M264" i="5" s="1"/>
  <c r="AK113" i="5"/>
  <c r="M111" i="5" s="1"/>
  <c r="AK37" i="5"/>
  <c r="AK211" i="5"/>
  <c r="AK138" i="5"/>
  <c r="AK139" i="5"/>
  <c r="AK24" i="5"/>
  <c r="M46" i="5" s="1"/>
  <c r="AK132" i="5"/>
  <c r="M127" i="5" s="1"/>
  <c r="AK221" i="5"/>
  <c r="M194" i="5" s="1"/>
  <c r="AK285" i="5"/>
  <c r="AK9" i="5"/>
  <c r="AK114" i="5"/>
  <c r="AK214" i="5"/>
  <c r="BE214" i="5" s="1"/>
  <c r="AK284" i="5"/>
  <c r="AK116" i="5"/>
  <c r="M115" i="5" s="1"/>
  <c r="AK198" i="5"/>
  <c r="M186" i="5" s="1"/>
  <c r="AK135" i="5"/>
  <c r="M131" i="5" s="1"/>
  <c r="AK264" i="5"/>
  <c r="AK244" i="5"/>
  <c r="AK106" i="5"/>
  <c r="M113" i="5" s="1"/>
  <c r="AK240" i="5"/>
  <c r="M233" i="5" s="1"/>
  <c r="AK32" i="5"/>
  <c r="M23" i="5" s="1"/>
  <c r="AK136" i="5"/>
  <c r="AK225" i="5"/>
  <c r="M209" i="5" s="1"/>
  <c r="AK236" i="5"/>
  <c r="M219" i="5" s="1"/>
  <c r="AK98" i="5"/>
  <c r="AK210" i="5"/>
  <c r="AK290" i="5"/>
  <c r="M269" i="5" s="1"/>
  <c r="AK52" i="5"/>
  <c r="M61" i="5" s="1"/>
  <c r="AK157" i="5"/>
  <c r="M150" i="5" s="1"/>
  <c r="AK259" i="5"/>
  <c r="M277" i="5" s="1"/>
  <c r="AK86" i="5"/>
  <c r="M85" i="5" s="1"/>
  <c r="AK19" i="5"/>
  <c r="M60" i="5" s="1"/>
  <c r="AK26" i="5"/>
  <c r="M22" i="5" s="1"/>
  <c r="AK18" i="5"/>
  <c r="AK6" i="5"/>
  <c r="AK163" i="5"/>
  <c r="BE163" i="5" s="1"/>
  <c r="AK107" i="5"/>
  <c r="M108" i="5" s="1"/>
  <c r="AK299" i="5"/>
  <c r="M227" i="5" s="1"/>
  <c r="AK282" i="5"/>
  <c r="M254" i="5" s="1"/>
  <c r="AK186" i="5"/>
  <c r="M172" i="5" s="1"/>
  <c r="AK35" i="5"/>
  <c r="M70" i="5" s="1"/>
  <c r="AK40" i="5"/>
  <c r="AK141" i="5"/>
  <c r="AK229" i="5"/>
  <c r="M211" i="5" s="1"/>
  <c r="AK293" i="5"/>
  <c r="M240" i="5" s="1"/>
  <c r="AK25" i="5"/>
  <c r="M56" i="5" s="1"/>
  <c r="AK124" i="5"/>
  <c r="BE124" i="5" s="1"/>
  <c r="AK222" i="5"/>
  <c r="AK12" i="5"/>
  <c r="AK125" i="5"/>
  <c r="AK207" i="5"/>
  <c r="M192" i="5" s="1"/>
  <c r="AK153" i="5"/>
  <c r="M148" i="5" s="1"/>
  <c r="AK272" i="5"/>
  <c r="AK15" i="5"/>
  <c r="M6" i="5" s="1"/>
  <c r="AK117" i="5"/>
  <c r="M125" i="5" s="1"/>
  <c r="AK256" i="5"/>
  <c r="M265" i="5" s="1"/>
  <c r="AK48" i="5"/>
  <c r="AK145" i="5"/>
  <c r="AK233" i="5"/>
  <c r="M231" i="5" s="1"/>
  <c r="AK292" i="5"/>
  <c r="M245" i="5" s="1"/>
  <c r="AK119" i="5"/>
  <c r="M118" i="5" s="1"/>
  <c r="AK218" i="5"/>
  <c r="M207" i="5" s="1"/>
  <c r="AK7" i="5"/>
  <c r="M43" i="5" s="1"/>
  <c r="AK65" i="5"/>
  <c r="BE65" i="5" s="1"/>
  <c r="AK175" i="5"/>
  <c r="BE175" i="5" s="1"/>
  <c r="AK275" i="5"/>
  <c r="M241" i="5" s="1"/>
  <c r="AK142" i="5"/>
  <c r="AK22" i="5"/>
  <c r="M4" i="5" s="1"/>
  <c r="AK83" i="5"/>
  <c r="M86" i="5" s="1"/>
  <c r="AK263" i="5"/>
  <c r="M270" i="5" s="1"/>
  <c r="AK34" i="5"/>
  <c r="M42" i="5" s="1"/>
  <c r="AK150" i="5"/>
  <c r="BE150" i="5" s="1"/>
  <c r="AK193" i="5"/>
  <c r="AK182" i="5"/>
  <c r="BE182" i="5" s="1"/>
  <c r="M189" i="5"/>
  <c r="M246" i="5"/>
  <c r="M177" i="5"/>
  <c r="M54" i="5"/>
  <c r="M18" i="5"/>
  <c r="M78" i="5"/>
  <c r="M69" i="5"/>
  <c r="M139" i="5"/>
  <c r="M74" i="5"/>
  <c r="M280" i="5"/>
  <c r="M32" i="5"/>
  <c r="M140" i="5"/>
  <c r="M57" i="5"/>
  <c r="M97" i="5"/>
  <c r="M76" i="5"/>
  <c r="M155" i="5"/>
  <c r="M128" i="5"/>
  <c r="M248" i="5"/>
  <c r="M271" i="5"/>
  <c r="M160" i="5"/>
  <c r="M98" i="5"/>
  <c r="M34" i="5"/>
  <c r="M71" i="5"/>
  <c r="M12" i="5"/>
  <c r="M48" i="5"/>
  <c r="M119" i="5"/>
  <c r="M198" i="5"/>
  <c r="M94" i="5"/>
  <c r="M234" i="5"/>
  <c r="M101" i="5"/>
  <c r="M80" i="5"/>
  <c r="M93" i="5"/>
  <c r="M166" i="5"/>
  <c r="M284" i="5"/>
  <c r="M267" i="5"/>
  <c r="M251" i="5"/>
  <c r="M224" i="5"/>
  <c r="M283" i="5"/>
  <c r="M123" i="5"/>
  <c r="M96" i="5"/>
  <c r="M83" i="5"/>
  <c r="M20" i="5"/>
  <c r="M197" i="5"/>
  <c r="M10" i="5"/>
  <c r="M220" i="5"/>
  <c r="M215" i="5"/>
  <c r="M153" i="5"/>
  <c r="M154" i="5"/>
  <c r="M102" i="5"/>
  <c r="M256" i="5"/>
  <c r="M214" i="5"/>
  <c r="M92" i="5"/>
  <c r="M95" i="5"/>
  <c r="M257" i="5"/>
  <c r="M281" i="5"/>
  <c r="M266" i="5"/>
  <c r="M190" i="5"/>
  <c r="M238" i="5"/>
  <c r="M44" i="5"/>
  <c r="M203" i="5"/>
  <c r="M223" i="5"/>
  <c r="M156" i="5"/>
  <c r="M193" i="5"/>
  <c r="M51" i="5"/>
  <c r="M195" i="5"/>
  <c r="M110" i="5"/>
  <c r="M165" i="5"/>
  <c r="M99" i="5"/>
  <c r="M191" i="5"/>
  <c r="M103" i="5"/>
  <c r="M187" i="5"/>
  <c r="M261" i="5"/>
  <c r="M244" i="5"/>
  <c r="M47" i="5"/>
  <c r="M58" i="5"/>
  <c r="M201" i="5"/>
  <c r="M263" i="5"/>
  <c r="M173" i="5"/>
  <c r="M274" i="5"/>
  <c r="M229" i="5"/>
  <c r="M133" i="5"/>
  <c r="M38" i="5"/>
  <c r="M109" i="5"/>
  <c r="M5" i="5"/>
  <c r="M117" i="5"/>
  <c r="M35" i="5"/>
  <c r="M162" i="5"/>
  <c r="M146" i="5"/>
  <c r="M230" i="5"/>
  <c r="M171" i="5"/>
  <c r="M253" i="5"/>
  <c r="M275" i="5"/>
  <c r="M287" i="5"/>
  <c r="M107" i="5"/>
  <c r="M182" i="5"/>
  <c r="M199" i="5"/>
  <c r="M27" i="5"/>
  <c r="M200" i="5"/>
  <c r="M129" i="5"/>
  <c r="M45" i="5"/>
  <c r="M126" i="5"/>
  <c r="M178" i="5"/>
  <c r="M8" i="5"/>
  <c r="M81" i="5"/>
  <c r="M28" i="5"/>
  <c r="M278" i="5"/>
  <c r="M181" i="5"/>
  <c r="M259" i="5"/>
  <c r="M25" i="5"/>
  <c r="M144" i="5"/>
  <c r="M141" i="5"/>
  <c r="M36" i="5"/>
  <c r="M222" i="5"/>
  <c r="M285" i="5"/>
  <c r="M249" i="5"/>
  <c r="M158" i="5"/>
  <c r="M63" i="5"/>
  <c r="M30" i="5"/>
  <c r="M73" i="5"/>
  <c r="M106" i="5"/>
  <c r="M272" i="5"/>
  <c r="M237" i="5"/>
  <c r="M159" i="5"/>
  <c r="M87" i="5"/>
  <c r="M31" i="5"/>
  <c r="M210" i="5"/>
  <c r="M41" i="5"/>
  <c r="M17" i="5"/>
  <c r="M208" i="5"/>
  <c r="M151" i="5"/>
  <c r="M235" i="5"/>
  <c r="BC3" i="5"/>
  <c r="AK3" i="5"/>
  <c r="BB1" i="5"/>
  <c r="O226" i="5" l="1"/>
  <c r="P226" i="5"/>
  <c r="N226" i="5"/>
  <c r="Y226" i="5"/>
  <c r="O260" i="5"/>
  <c r="P260" i="5"/>
  <c r="N260" i="5"/>
  <c r="Y260" i="5"/>
  <c r="Y227" i="5"/>
  <c r="O227" i="5"/>
  <c r="P227" i="5"/>
  <c r="N227" i="5"/>
  <c r="BE295" i="5"/>
  <c r="N273" i="5"/>
  <c r="Y273" i="5"/>
  <c r="P273" i="5"/>
  <c r="O273" i="5"/>
  <c r="N239" i="5"/>
  <c r="O239" i="5"/>
  <c r="P239" i="5"/>
  <c r="Y239" i="5"/>
  <c r="Y64" i="5"/>
  <c r="P64" i="5"/>
  <c r="N64" i="5"/>
  <c r="O64" i="5"/>
  <c r="O204" i="5"/>
  <c r="P204" i="5"/>
  <c r="N204" i="5"/>
  <c r="Y204" i="5"/>
  <c r="N247" i="5"/>
  <c r="P247" i="5"/>
  <c r="O247" i="5"/>
  <c r="Y247" i="5"/>
  <c r="M40" i="5"/>
  <c r="O40" i="5" s="1"/>
  <c r="O272" i="5"/>
  <c r="N272" i="5"/>
  <c r="Y272" i="5"/>
  <c r="P272" i="5"/>
  <c r="N207" i="5"/>
  <c r="P207" i="5"/>
  <c r="Y207" i="5"/>
  <c r="O207" i="5"/>
  <c r="O82" i="5"/>
  <c r="P82" i="5"/>
  <c r="Y82" i="5"/>
  <c r="N82" i="5"/>
  <c r="O280" i="5"/>
  <c r="P280" i="5"/>
  <c r="N280" i="5"/>
  <c r="Y280" i="5"/>
  <c r="O18" i="5"/>
  <c r="Y18" i="5"/>
  <c r="P18" i="5"/>
  <c r="N18" i="5"/>
  <c r="O219" i="5"/>
  <c r="N219" i="5"/>
  <c r="Y219" i="5"/>
  <c r="P219" i="5"/>
  <c r="N216" i="5"/>
  <c r="O216" i="5"/>
  <c r="P216" i="5"/>
  <c r="Y216" i="5"/>
  <c r="M258" i="5"/>
  <c r="O67" i="5"/>
  <c r="P67" i="5"/>
  <c r="Y67" i="5"/>
  <c r="N67" i="5"/>
  <c r="O36" i="5"/>
  <c r="N36" i="5"/>
  <c r="P36" i="5"/>
  <c r="Y36" i="5"/>
  <c r="O277" i="5"/>
  <c r="N277" i="5"/>
  <c r="P277" i="5"/>
  <c r="Y277" i="5"/>
  <c r="O28" i="5"/>
  <c r="P28" i="5"/>
  <c r="Y28" i="5"/>
  <c r="N28" i="5"/>
  <c r="O8" i="5"/>
  <c r="P8" i="5"/>
  <c r="Y8" i="5"/>
  <c r="N8" i="5"/>
  <c r="O228" i="5"/>
  <c r="N228" i="5"/>
  <c r="P228" i="5"/>
  <c r="Y228" i="5"/>
  <c r="O202" i="5"/>
  <c r="P202" i="5"/>
  <c r="N202" i="5"/>
  <c r="Y202" i="5"/>
  <c r="O21" i="5"/>
  <c r="P21" i="5"/>
  <c r="Y21" i="5"/>
  <c r="N21" i="5"/>
  <c r="O100" i="5"/>
  <c r="P100" i="5"/>
  <c r="Y100" i="5"/>
  <c r="N100" i="5"/>
  <c r="O282" i="5"/>
  <c r="P282" i="5"/>
  <c r="N282" i="5"/>
  <c r="Y282" i="5"/>
  <c r="O35" i="5"/>
  <c r="N35" i="5"/>
  <c r="P35" i="5"/>
  <c r="Y35" i="5"/>
  <c r="O108" i="5"/>
  <c r="P108" i="5"/>
  <c r="Y108" i="5"/>
  <c r="N108" i="5"/>
  <c r="O261" i="5"/>
  <c r="P261" i="5"/>
  <c r="N261" i="5"/>
  <c r="Y261" i="5"/>
  <c r="O99" i="5"/>
  <c r="P99" i="5"/>
  <c r="Y99" i="5"/>
  <c r="N99" i="5"/>
  <c r="N193" i="5"/>
  <c r="Y193" i="5"/>
  <c r="O193" i="5"/>
  <c r="P193" i="5"/>
  <c r="M142" i="5"/>
  <c r="N254" i="5"/>
  <c r="O254" i="5"/>
  <c r="Y254" i="5"/>
  <c r="P254" i="5"/>
  <c r="N281" i="5"/>
  <c r="O281" i="5"/>
  <c r="P281" i="5"/>
  <c r="Y281" i="5"/>
  <c r="O92" i="5"/>
  <c r="N92" i="5"/>
  <c r="Y92" i="5"/>
  <c r="P92" i="5"/>
  <c r="O153" i="5"/>
  <c r="P153" i="5"/>
  <c r="Y153" i="5"/>
  <c r="N153" i="5"/>
  <c r="P283" i="5"/>
  <c r="N283" i="5"/>
  <c r="Y283" i="5"/>
  <c r="O283" i="5"/>
  <c r="Y80" i="5"/>
  <c r="O80" i="5"/>
  <c r="P80" i="5"/>
  <c r="N80" i="5"/>
  <c r="M114" i="5"/>
  <c r="O125" i="5"/>
  <c r="P125" i="5"/>
  <c r="Y125" i="5"/>
  <c r="N125" i="5"/>
  <c r="O34" i="5"/>
  <c r="N34" i="5"/>
  <c r="Y34" i="5"/>
  <c r="P34" i="5"/>
  <c r="P128" i="5"/>
  <c r="O128" i="5"/>
  <c r="N128" i="5"/>
  <c r="Y128" i="5"/>
  <c r="N174" i="5"/>
  <c r="O174" i="5"/>
  <c r="P174" i="5"/>
  <c r="Y174" i="5"/>
  <c r="M175" i="5"/>
  <c r="O54" i="5"/>
  <c r="P54" i="5"/>
  <c r="N54" i="5"/>
  <c r="Y54" i="5"/>
  <c r="O235" i="5"/>
  <c r="N235" i="5"/>
  <c r="P235" i="5"/>
  <c r="Y235" i="5"/>
  <c r="O180" i="5"/>
  <c r="P180" i="5"/>
  <c r="N180" i="5"/>
  <c r="Y180" i="5"/>
  <c r="N209" i="5"/>
  <c r="P209" i="5"/>
  <c r="Y209" i="5"/>
  <c r="O209" i="5"/>
  <c r="O197" i="5"/>
  <c r="P197" i="5"/>
  <c r="N197" i="5"/>
  <c r="Y197" i="5"/>
  <c r="N97" i="5"/>
  <c r="P97" i="5"/>
  <c r="Y97" i="5"/>
  <c r="O97" i="5"/>
  <c r="O158" i="5"/>
  <c r="N158" i="5"/>
  <c r="P158" i="5"/>
  <c r="Y158" i="5"/>
  <c r="O68" i="5"/>
  <c r="P68" i="5"/>
  <c r="N68" i="5"/>
  <c r="Y68" i="5"/>
  <c r="O252" i="5"/>
  <c r="Y252" i="5"/>
  <c r="N252" i="5"/>
  <c r="P252" i="5"/>
  <c r="O23" i="5"/>
  <c r="Y23" i="5"/>
  <c r="N23" i="5"/>
  <c r="P23" i="5"/>
  <c r="P200" i="5"/>
  <c r="Y200" i="5"/>
  <c r="N200" i="5"/>
  <c r="O200" i="5"/>
  <c r="Y276" i="5"/>
  <c r="O276" i="5"/>
  <c r="P276" i="5"/>
  <c r="N276" i="5"/>
  <c r="P118" i="5"/>
  <c r="O118" i="5"/>
  <c r="N118" i="5"/>
  <c r="Y118" i="5"/>
  <c r="O265" i="5"/>
  <c r="P265" i="5"/>
  <c r="N265" i="5"/>
  <c r="Y265" i="5"/>
  <c r="O117" i="5"/>
  <c r="Y117" i="5"/>
  <c r="N117" i="5"/>
  <c r="P117" i="5"/>
  <c r="O274" i="5"/>
  <c r="P274" i="5"/>
  <c r="N274" i="5"/>
  <c r="Y274" i="5"/>
  <c r="P255" i="5"/>
  <c r="N255" i="5"/>
  <c r="O255" i="5"/>
  <c r="Y255" i="5"/>
  <c r="O279" i="5"/>
  <c r="Y279" i="5"/>
  <c r="N279" i="5"/>
  <c r="P279" i="5"/>
  <c r="O42" i="5"/>
  <c r="Y42" i="5"/>
  <c r="P42" i="5"/>
  <c r="N42" i="5"/>
  <c r="N238" i="5"/>
  <c r="Y238" i="5"/>
  <c r="P238" i="5"/>
  <c r="O238" i="5"/>
  <c r="N257" i="5"/>
  <c r="O257" i="5"/>
  <c r="P257" i="5"/>
  <c r="Y257" i="5"/>
  <c r="N214" i="5"/>
  <c r="O214" i="5"/>
  <c r="Y214" i="5"/>
  <c r="P214" i="5"/>
  <c r="N215" i="5"/>
  <c r="P215" i="5"/>
  <c r="Y215" i="5"/>
  <c r="O215" i="5"/>
  <c r="O13" i="5"/>
  <c r="N13" i="5"/>
  <c r="P13" i="5"/>
  <c r="Y13" i="5"/>
  <c r="P224" i="5"/>
  <c r="O224" i="5"/>
  <c r="N224" i="5"/>
  <c r="Y224" i="5"/>
  <c r="O168" i="5"/>
  <c r="Y168" i="5"/>
  <c r="N168" i="5"/>
  <c r="P168" i="5"/>
  <c r="N234" i="5"/>
  <c r="P234" i="5"/>
  <c r="O234" i="5"/>
  <c r="Y234" i="5"/>
  <c r="N198" i="5"/>
  <c r="O198" i="5"/>
  <c r="Y198" i="5"/>
  <c r="P198" i="5"/>
  <c r="O98" i="5"/>
  <c r="N98" i="5"/>
  <c r="P98" i="5"/>
  <c r="Y98" i="5"/>
  <c r="O147" i="5"/>
  <c r="P147" i="5"/>
  <c r="N147" i="5"/>
  <c r="Y147" i="5"/>
  <c r="N57" i="5"/>
  <c r="P57" i="5"/>
  <c r="O57" i="5"/>
  <c r="Y57" i="5"/>
  <c r="O113" i="5"/>
  <c r="P113" i="5"/>
  <c r="Y113" i="5"/>
  <c r="N113" i="5"/>
  <c r="N177" i="5"/>
  <c r="O177" i="5"/>
  <c r="P177" i="5"/>
  <c r="Y177" i="5"/>
  <c r="N131" i="5"/>
  <c r="O131" i="5"/>
  <c r="P131" i="5"/>
  <c r="Y131" i="5"/>
  <c r="O16" i="5"/>
  <c r="P16" i="5"/>
  <c r="N16" i="5"/>
  <c r="Y16" i="5"/>
  <c r="P244" i="5"/>
  <c r="Y244" i="5"/>
  <c r="O244" i="5"/>
  <c r="N244" i="5"/>
  <c r="Y33" i="5"/>
  <c r="O33" i="5"/>
  <c r="P33" i="5"/>
  <c r="N33" i="5"/>
  <c r="O248" i="5"/>
  <c r="P248" i="5"/>
  <c r="N248" i="5"/>
  <c r="Y248" i="5"/>
  <c r="N127" i="5"/>
  <c r="P127" i="5"/>
  <c r="O127" i="5"/>
  <c r="Y127" i="5"/>
  <c r="O208" i="5"/>
  <c r="Y208" i="5"/>
  <c r="P208" i="5"/>
  <c r="N208" i="5"/>
  <c r="N41" i="5"/>
  <c r="O41" i="5"/>
  <c r="P41" i="5"/>
  <c r="Y41" i="5"/>
  <c r="O31" i="5"/>
  <c r="N31" i="5"/>
  <c r="P31" i="5"/>
  <c r="Y31" i="5"/>
  <c r="O4" i="5"/>
  <c r="P4" i="5"/>
  <c r="Y4" i="5"/>
  <c r="N4" i="5"/>
  <c r="O73" i="5"/>
  <c r="Y73" i="5"/>
  <c r="N73" i="5"/>
  <c r="P73" i="5"/>
  <c r="N249" i="5"/>
  <c r="O249" i="5"/>
  <c r="Y249" i="5"/>
  <c r="P249" i="5"/>
  <c r="Y141" i="5"/>
  <c r="O141" i="5"/>
  <c r="P141" i="5"/>
  <c r="N141" i="5"/>
  <c r="O116" i="5"/>
  <c r="Y116" i="5"/>
  <c r="P116" i="5"/>
  <c r="N116" i="5"/>
  <c r="M167" i="5"/>
  <c r="N60" i="5"/>
  <c r="O60" i="5"/>
  <c r="P60" i="5"/>
  <c r="Y60" i="5"/>
  <c r="O178" i="5"/>
  <c r="Y178" i="5"/>
  <c r="N178" i="5"/>
  <c r="P178" i="5"/>
  <c r="M134" i="5"/>
  <c r="O182" i="5"/>
  <c r="N182" i="5"/>
  <c r="P182" i="5"/>
  <c r="Y182" i="5"/>
  <c r="O26" i="5"/>
  <c r="N26" i="5"/>
  <c r="Y26" i="5"/>
  <c r="P26" i="5"/>
  <c r="P275" i="5"/>
  <c r="O275" i="5"/>
  <c r="N275" i="5"/>
  <c r="Y275" i="5"/>
  <c r="O5" i="5"/>
  <c r="N5" i="5"/>
  <c r="P5" i="5"/>
  <c r="Y5" i="5"/>
  <c r="O173" i="5"/>
  <c r="Y173" i="5"/>
  <c r="P173" i="5"/>
  <c r="N173" i="5"/>
  <c r="O211" i="5"/>
  <c r="N211" i="5"/>
  <c r="P211" i="5"/>
  <c r="Y211" i="5"/>
  <c r="O165" i="5"/>
  <c r="Y165" i="5"/>
  <c r="N165" i="5"/>
  <c r="P165" i="5"/>
  <c r="O156" i="5"/>
  <c r="Y156" i="5"/>
  <c r="P156" i="5"/>
  <c r="N156" i="5"/>
  <c r="O9" i="5"/>
  <c r="Y9" i="5"/>
  <c r="P9" i="5"/>
  <c r="N9" i="5"/>
  <c r="M112" i="5"/>
  <c r="O86" i="5"/>
  <c r="P86" i="5"/>
  <c r="Y86" i="5"/>
  <c r="N86" i="5"/>
  <c r="O256" i="5"/>
  <c r="N256" i="5"/>
  <c r="Y256" i="5"/>
  <c r="P256" i="5"/>
  <c r="O150" i="5"/>
  <c r="P150" i="5"/>
  <c r="Y150" i="5"/>
  <c r="N150" i="5"/>
  <c r="O20" i="5"/>
  <c r="N20" i="5"/>
  <c r="P20" i="5"/>
  <c r="Y20" i="5"/>
  <c r="O251" i="5"/>
  <c r="Y251" i="5"/>
  <c r="N251" i="5"/>
  <c r="P251" i="5"/>
  <c r="O75" i="5"/>
  <c r="P75" i="5"/>
  <c r="Y75" i="5"/>
  <c r="N75" i="5"/>
  <c r="O94" i="5"/>
  <c r="N94" i="5"/>
  <c r="P94" i="5"/>
  <c r="Y94" i="5"/>
  <c r="N119" i="5"/>
  <c r="P119" i="5"/>
  <c r="Y119" i="5"/>
  <c r="O119" i="5"/>
  <c r="O269" i="5"/>
  <c r="P269" i="5"/>
  <c r="Y269" i="5"/>
  <c r="N269" i="5"/>
  <c r="N104" i="5"/>
  <c r="P104" i="5"/>
  <c r="Y104" i="5"/>
  <c r="O104" i="5"/>
  <c r="O205" i="5"/>
  <c r="N205" i="5"/>
  <c r="Y205" i="5"/>
  <c r="P205" i="5"/>
  <c r="N74" i="5"/>
  <c r="P74" i="5"/>
  <c r="O74" i="5"/>
  <c r="Y74" i="5"/>
  <c r="N246" i="5"/>
  <c r="O246" i="5"/>
  <c r="P246" i="5"/>
  <c r="Y246" i="5"/>
  <c r="N179" i="5"/>
  <c r="O179" i="5"/>
  <c r="P179" i="5"/>
  <c r="Y179" i="5"/>
  <c r="P25" i="5"/>
  <c r="O25" i="5"/>
  <c r="Y25" i="5"/>
  <c r="N25" i="5"/>
  <c r="N49" i="5"/>
  <c r="O49" i="5"/>
  <c r="P49" i="5"/>
  <c r="Y49" i="5"/>
  <c r="O203" i="5"/>
  <c r="N203" i="5"/>
  <c r="Y203" i="5"/>
  <c r="P203" i="5"/>
  <c r="P93" i="5"/>
  <c r="Y93" i="5"/>
  <c r="N93" i="5"/>
  <c r="O93" i="5"/>
  <c r="O87" i="5"/>
  <c r="Y87" i="5"/>
  <c r="P87" i="5"/>
  <c r="N87" i="5"/>
  <c r="O221" i="5"/>
  <c r="P221" i="5"/>
  <c r="Y221" i="5"/>
  <c r="N221" i="5"/>
  <c r="O30" i="5"/>
  <c r="P30" i="5"/>
  <c r="Y30" i="5"/>
  <c r="N30" i="5"/>
  <c r="N77" i="5"/>
  <c r="O77" i="5"/>
  <c r="P77" i="5"/>
  <c r="Y77" i="5"/>
  <c r="O22" i="5"/>
  <c r="P22" i="5"/>
  <c r="Y22" i="5"/>
  <c r="N22" i="5"/>
  <c r="O259" i="5"/>
  <c r="P259" i="5"/>
  <c r="Y259" i="5"/>
  <c r="N259" i="5"/>
  <c r="O81" i="5"/>
  <c r="P81" i="5"/>
  <c r="Y81" i="5"/>
  <c r="N81" i="5"/>
  <c r="M188" i="5"/>
  <c r="P126" i="5"/>
  <c r="O126" i="5"/>
  <c r="Y126" i="5"/>
  <c r="N126" i="5"/>
  <c r="O27" i="5"/>
  <c r="Y27" i="5"/>
  <c r="N27" i="5"/>
  <c r="P27" i="5"/>
  <c r="O107" i="5"/>
  <c r="N107" i="5"/>
  <c r="Y107" i="5"/>
  <c r="P107" i="5"/>
  <c r="N115" i="5"/>
  <c r="O115" i="5"/>
  <c r="P115" i="5"/>
  <c r="Y115" i="5"/>
  <c r="O253" i="5"/>
  <c r="P253" i="5"/>
  <c r="N253" i="5"/>
  <c r="Y253" i="5"/>
  <c r="O109" i="5"/>
  <c r="P109" i="5"/>
  <c r="Y109" i="5"/>
  <c r="N109" i="5"/>
  <c r="O263" i="5"/>
  <c r="Y263" i="5"/>
  <c r="P263" i="5"/>
  <c r="N263" i="5"/>
  <c r="O124" i="5"/>
  <c r="Y124" i="5"/>
  <c r="P124" i="5"/>
  <c r="N124" i="5"/>
  <c r="P183" i="5"/>
  <c r="N183" i="5"/>
  <c r="O183" i="5"/>
  <c r="Y183" i="5"/>
  <c r="N223" i="5"/>
  <c r="P223" i="5"/>
  <c r="Y223" i="5"/>
  <c r="O223" i="5"/>
  <c r="O241" i="5"/>
  <c r="P241" i="5"/>
  <c r="Y241" i="5"/>
  <c r="N241" i="5"/>
  <c r="Y11" i="5"/>
  <c r="N11" i="5"/>
  <c r="P11" i="5"/>
  <c r="O11" i="5"/>
  <c r="O176" i="5"/>
  <c r="P176" i="5"/>
  <c r="Y176" i="5"/>
  <c r="N176" i="5"/>
  <c r="O220" i="5"/>
  <c r="P220" i="5"/>
  <c r="N220" i="5"/>
  <c r="Y220" i="5"/>
  <c r="O83" i="5"/>
  <c r="Y83" i="5"/>
  <c r="P83" i="5"/>
  <c r="N83" i="5"/>
  <c r="O267" i="5"/>
  <c r="Y267" i="5"/>
  <c r="N267" i="5"/>
  <c r="P267" i="5"/>
  <c r="O164" i="5"/>
  <c r="Y164" i="5"/>
  <c r="P164" i="5"/>
  <c r="N164" i="5"/>
  <c r="O212" i="5"/>
  <c r="Y212" i="5"/>
  <c r="N212" i="5"/>
  <c r="P212" i="5"/>
  <c r="O48" i="5"/>
  <c r="N48" i="5"/>
  <c r="P48" i="5"/>
  <c r="Y48" i="5"/>
  <c r="O160" i="5"/>
  <c r="Y160" i="5"/>
  <c r="N160" i="5"/>
  <c r="P160" i="5"/>
  <c r="M136" i="5"/>
  <c r="O139" i="5"/>
  <c r="N139" i="5"/>
  <c r="Y139" i="5"/>
  <c r="P139" i="5"/>
  <c r="O189" i="5"/>
  <c r="P189" i="5"/>
  <c r="N189" i="5"/>
  <c r="Y189" i="5"/>
  <c r="M135" i="5"/>
  <c r="O287" i="5"/>
  <c r="Y287" i="5"/>
  <c r="N287" i="5"/>
  <c r="P287" i="5"/>
  <c r="O266" i="5"/>
  <c r="P266" i="5"/>
  <c r="Y266" i="5"/>
  <c r="N266" i="5"/>
  <c r="N62" i="5"/>
  <c r="Y62" i="5"/>
  <c r="O62" i="5"/>
  <c r="P62" i="5"/>
  <c r="O132" i="5"/>
  <c r="P132" i="5"/>
  <c r="Y132" i="5"/>
  <c r="N132" i="5"/>
  <c r="N225" i="5"/>
  <c r="O225" i="5"/>
  <c r="P225" i="5"/>
  <c r="Y225" i="5"/>
  <c r="O161" i="5"/>
  <c r="P161" i="5"/>
  <c r="Y161" i="5"/>
  <c r="N161" i="5"/>
  <c r="O285" i="5"/>
  <c r="N285" i="5"/>
  <c r="P285" i="5"/>
  <c r="Y285" i="5"/>
  <c r="N231" i="5"/>
  <c r="P231" i="5"/>
  <c r="Y231" i="5"/>
  <c r="O231" i="5"/>
  <c r="O181" i="5"/>
  <c r="P181" i="5"/>
  <c r="Y181" i="5"/>
  <c r="N181" i="5"/>
  <c r="O50" i="5"/>
  <c r="Y50" i="5"/>
  <c r="P50" i="5"/>
  <c r="N50" i="5"/>
  <c r="P163" i="5"/>
  <c r="N163" i="5"/>
  <c r="O163" i="5"/>
  <c r="Y163" i="5"/>
  <c r="O45" i="5"/>
  <c r="N45" i="5"/>
  <c r="P45" i="5"/>
  <c r="Y45" i="5"/>
  <c r="N199" i="5"/>
  <c r="P199" i="5"/>
  <c r="Y199" i="5"/>
  <c r="O199" i="5"/>
  <c r="N218" i="5"/>
  <c r="O218" i="5"/>
  <c r="P218" i="5"/>
  <c r="Y218" i="5"/>
  <c r="N61" i="5"/>
  <c r="O61" i="5"/>
  <c r="Y61" i="5"/>
  <c r="P61" i="5"/>
  <c r="O171" i="5"/>
  <c r="Y171" i="5"/>
  <c r="N171" i="5"/>
  <c r="P171" i="5"/>
  <c r="O162" i="5"/>
  <c r="Y162" i="5"/>
  <c r="P162" i="5"/>
  <c r="N162" i="5"/>
  <c r="N38" i="5"/>
  <c r="O38" i="5"/>
  <c r="P38" i="5"/>
  <c r="Y38" i="5"/>
  <c r="N201" i="5"/>
  <c r="O201" i="5"/>
  <c r="P201" i="5"/>
  <c r="Y201" i="5"/>
  <c r="N187" i="5"/>
  <c r="Y187" i="5"/>
  <c r="P187" i="5"/>
  <c r="O187" i="5"/>
  <c r="P110" i="5"/>
  <c r="O110" i="5"/>
  <c r="N110" i="5"/>
  <c r="Y110" i="5"/>
  <c r="M169" i="5"/>
  <c r="O39" i="5"/>
  <c r="N39" i="5"/>
  <c r="P39" i="5"/>
  <c r="Y39" i="5"/>
  <c r="M120" i="5"/>
  <c r="O172" i="5"/>
  <c r="P172" i="5"/>
  <c r="Y172" i="5"/>
  <c r="N172" i="5"/>
  <c r="O102" i="5"/>
  <c r="N102" i="5"/>
  <c r="P102" i="5"/>
  <c r="Y102" i="5"/>
  <c r="N6" i="5"/>
  <c r="O6" i="5"/>
  <c r="P6" i="5"/>
  <c r="Y6" i="5"/>
  <c r="N217" i="5"/>
  <c r="O217" i="5"/>
  <c r="P217" i="5"/>
  <c r="Y217" i="5"/>
  <c r="P233" i="5"/>
  <c r="Y233" i="5"/>
  <c r="N233" i="5"/>
  <c r="O233" i="5"/>
  <c r="O143" i="5"/>
  <c r="N143" i="5"/>
  <c r="Y143" i="5"/>
  <c r="P143" i="5"/>
  <c r="O12" i="5"/>
  <c r="P12" i="5"/>
  <c r="Y12" i="5"/>
  <c r="N12" i="5"/>
  <c r="O70" i="5"/>
  <c r="N70" i="5"/>
  <c r="Y70" i="5"/>
  <c r="P70" i="5"/>
  <c r="O155" i="5"/>
  <c r="P155" i="5"/>
  <c r="Y155" i="5"/>
  <c r="N155" i="5"/>
  <c r="N69" i="5"/>
  <c r="O69" i="5"/>
  <c r="P69" i="5"/>
  <c r="Y69" i="5"/>
  <c r="M250" i="5"/>
  <c r="O210" i="5"/>
  <c r="P210" i="5"/>
  <c r="N210" i="5"/>
  <c r="Y210" i="5"/>
  <c r="P146" i="5"/>
  <c r="N146" i="5"/>
  <c r="O146" i="5"/>
  <c r="Y146" i="5"/>
  <c r="P130" i="5"/>
  <c r="O130" i="5"/>
  <c r="N130" i="5"/>
  <c r="Y130" i="5"/>
  <c r="N101" i="5"/>
  <c r="Y101" i="5"/>
  <c r="O101" i="5"/>
  <c r="P101" i="5"/>
  <c r="O29" i="5"/>
  <c r="N29" i="5"/>
  <c r="P29" i="5"/>
  <c r="Y29" i="5"/>
  <c r="M137" i="5"/>
  <c r="O37" i="5"/>
  <c r="N37" i="5"/>
  <c r="Y37" i="5"/>
  <c r="P37" i="5"/>
  <c r="P106" i="5"/>
  <c r="N106" i="5"/>
  <c r="O106" i="5"/>
  <c r="Y106" i="5"/>
  <c r="O184" i="5"/>
  <c r="P184" i="5"/>
  <c r="Y184" i="5"/>
  <c r="N184" i="5"/>
  <c r="N206" i="5"/>
  <c r="O206" i="5"/>
  <c r="P206" i="5"/>
  <c r="Y206" i="5"/>
  <c r="P278" i="5"/>
  <c r="N278" i="5"/>
  <c r="Y278" i="5"/>
  <c r="O278" i="5"/>
  <c r="P122" i="5"/>
  <c r="N122" i="5"/>
  <c r="O122" i="5"/>
  <c r="Y122" i="5"/>
  <c r="O264" i="5"/>
  <c r="Y264" i="5"/>
  <c r="P264" i="5"/>
  <c r="N264" i="5"/>
  <c r="N286" i="5"/>
  <c r="O286" i="5"/>
  <c r="P286" i="5"/>
  <c r="Y286" i="5"/>
  <c r="O53" i="5"/>
  <c r="P53" i="5"/>
  <c r="N53" i="5"/>
  <c r="Y53" i="5"/>
  <c r="O243" i="5"/>
  <c r="Y243" i="5"/>
  <c r="P243" i="5"/>
  <c r="N243" i="5"/>
  <c r="N230" i="5"/>
  <c r="Y230" i="5"/>
  <c r="P230" i="5"/>
  <c r="O230" i="5"/>
  <c r="O194" i="5"/>
  <c r="N194" i="5"/>
  <c r="P194" i="5"/>
  <c r="Y194" i="5"/>
  <c r="O133" i="5"/>
  <c r="Y133" i="5"/>
  <c r="N133" i="5"/>
  <c r="P133" i="5"/>
  <c r="O58" i="5"/>
  <c r="Y58" i="5"/>
  <c r="P58" i="5"/>
  <c r="N58" i="5"/>
  <c r="N103" i="5"/>
  <c r="P103" i="5"/>
  <c r="O103" i="5"/>
  <c r="Y103" i="5"/>
  <c r="O195" i="5"/>
  <c r="N195" i="5"/>
  <c r="P195" i="5"/>
  <c r="Y195" i="5"/>
  <c r="Y90" i="5"/>
  <c r="N90" i="5"/>
  <c r="O90" i="5"/>
  <c r="P90" i="5"/>
  <c r="N111" i="5"/>
  <c r="Y111" i="5"/>
  <c r="O111" i="5"/>
  <c r="P111" i="5"/>
  <c r="P95" i="5"/>
  <c r="O95" i="5"/>
  <c r="N95" i="5"/>
  <c r="Y95" i="5"/>
  <c r="O154" i="5"/>
  <c r="N154" i="5"/>
  <c r="P154" i="5"/>
  <c r="Y154" i="5"/>
  <c r="O10" i="5"/>
  <c r="N10" i="5"/>
  <c r="Y10" i="5"/>
  <c r="P10" i="5"/>
  <c r="O96" i="5"/>
  <c r="P96" i="5"/>
  <c r="Y96" i="5"/>
  <c r="N96" i="5"/>
  <c r="O284" i="5"/>
  <c r="P284" i="5"/>
  <c r="Y284" i="5"/>
  <c r="N284" i="5"/>
  <c r="O170" i="5"/>
  <c r="Y170" i="5"/>
  <c r="P170" i="5"/>
  <c r="N170" i="5"/>
  <c r="M213" i="5"/>
  <c r="N71" i="5"/>
  <c r="O71" i="5"/>
  <c r="P71" i="5"/>
  <c r="Y71" i="5"/>
  <c r="N271" i="5"/>
  <c r="O271" i="5"/>
  <c r="P271" i="5"/>
  <c r="Y271" i="5"/>
  <c r="O76" i="5"/>
  <c r="N76" i="5"/>
  <c r="Y76" i="5"/>
  <c r="P76" i="5"/>
  <c r="O140" i="5"/>
  <c r="Y140" i="5"/>
  <c r="P140" i="5"/>
  <c r="N140" i="5"/>
  <c r="M138" i="5"/>
  <c r="O240" i="5"/>
  <c r="Y240" i="5"/>
  <c r="P240" i="5"/>
  <c r="N240" i="5"/>
  <c r="Y242" i="5"/>
  <c r="O242" i="5"/>
  <c r="N242" i="5"/>
  <c r="P242" i="5"/>
  <c r="O270" i="5"/>
  <c r="N270" i="5"/>
  <c r="Y270" i="5"/>
  <c r="P270" i="5"/>
  <c r="Y59" i="5"/>
  <c r="N59" i="5"/>
  <c r="O59" i="5"/>
  <c r="P59" i="5"/>
  <c r="N46" i="5"/>
  <c r="O46" i="5"/>
  <c r="Y46" i="5"/>
  <c r="P46" i="5"/>
  <c r="N123" i="5"/>
  <c r="O123" i="5"/>
  <c r="P123" i="5"/>
  <c r="Y123" i="5"/>
  <c r="O151" i="5"/>
  <c r="N151" i="5"/>
  <c r="P151" i="5"/>
  <c r="Y151" i="5"/>
  <c r="O17" i="5"/>
  <c r="P17" i="5"/>
  <c r="Y17" i="5"/>
  <c r="N17" i="5"/>
  <c r="N159" i="5"/>
  <c r="P159" i="5"/>
  <c r="Y159" i="5"/>
  <c r="O159" i="5"/>
  <c r="O19" i="5"/>
  <c r="N19" i="5"/>
  <c r="P19" i="5"/>
  <c r="Y19" i="5"/>
  <c r="O237" i="5"/>
  <c r="N237" i="5"/>
  <c r="Y237" i="5"/>
  <c r="P237" i="5"/>
  <c r="O245" i="5"/>
  <c r="Y245" i="5"/>
  <c r="N245" i="5"/>
  <c r="P245" i="5"/>
  <c r="O262" i="5"/>
  <c r="N262" i="5"/>
  <c r="Y262" i="5"/>
  <c r="P262" i="5"/>
  <c r="O7" i="5"/>
  <c r="Y7" i="5"/>
  <c r="N7" i="5"/>
  <c r="P7" i="5"/>
  <c r="O192" i="5"/>
  <c r="Y192" i="5"/>
  <c r="P192" i="5"/>
  <c r="N192" i="5"/>
  <c r="O63" i="5"/>
  <c r="P63" i="5"/>
  <c r="N63" i="5"/>
  <c r="Y63" i="5"/>
  <c r="N222" i="5"/>
  <c r="O222" i="5"/>
  <c r="P222" i="5"/>
  <c r="Y222" i="5"/>
  <c r="P144" i="5"/>
  <c r="Y144" i="5"/>
  <c r="N144" i="5"/>
  <c r="O144" i="5"/>
  <c r="N186" i="5"/>
  <c r="O186" i="5"/>
  <c r="Y186" i="5"/>
  <c r="P186" i="5"/>
  <c r="O65" i="5"/>
  <c r="P65" i="5"/>
  <c r="Y65" i="5"/>
  <c r="N65" i="5"/>
  <c r="O129" i="5"/>
  <c r="N129" i="5"/>
  <c r="P129" i="5"/>
  <c r="Y129" i="5"/>
  <c r="O157" i="5"/>
  <c r="Y157" i="5"/>
  <c r="N157" i="5"/>
  <c r="P157" i="5"/>
  <c r="O52" i="5"/>
  <c r="N52" i="5"/>
  <c r="P52" i="5"/>
  <c r="Y52" i="5"/>
  <c r="M185" i="5"/>
  <c r="O229" i="5"/>
  <c r="P229" i="5"/>
  <c r="N229" i="5"/>
  <c r="Y229" i="5"/>
  <c r="O47" i="5"/>
  <c r="Y47" i="5"/>
  <c r="P47" i="5"/>
  <c r="N47" i="5"/>
  <c r="N191" i="5"/>
  <c r="O191" i="5"/>
  <c r="P191" i="5"/>
  <c r="Y191" i="5"/>
  <c r="Y51" i="5"/>
  <c r="N51" i="5"/>
  <c r="P51" i="5"/>
  <c r="O51" i="5"/>
  <c r="O105" i="5"/>
  <c r="P105" i="5"/>
  <c r="Y105" i="5"/>
  <c r="N105" i="5"/>
  <c r="O44" i="5"/>
  <c r="N44" i="5"/>
  <c r="Y44" i="5"/>
  <c r="P44" i="5"/>
  <c r="N190" i="5"/>
  <c r="O190" i="5"/>
  <c r="Y190" i="5"/>
  <c r="P190" i="5"/>
  <c r="O148" i="5"/>
  <c r="N148" i="5"/>
  <c r="P148" i="5"/>
  <c r="Y148" i="5"/>
  <c r="M121" i="5"/>
  <c r="N232" i="5"/>
  <c r="P232" i="5"/>
  <c r="Y232" i="5"/>
  <c r="O232" i="5"/>
  <c r="O24" i="5"/>
  <c r="P24" i="5"/>
  <c r="Y24" i="5"/>
  <c r="N24" i="5"/>
  <c r="O166" i="5"/>
  <c r="N166" i="5"/>
  <c r="P166" i="5"/>
  <c r="Y166" i="5"/>
  <c r="N85" i="5"/>
  <c r="O85" i="5"/>
  <c r="Y85" i="5"/>
  <c r="P85" i="5"/>
  <c r="O149" i="5"/>
  <c r="N149" i="5"/>
  <c r="Y149" i="5"/>
  <c r="P149" i="5"/>
  <c r="O43" i="5"/>
  <c r="Y43" i="5"/>
  <c r="N43" i="5"/>
  <c r="P43" i="5"/>
  <c r="O91" i="5"/>
  <c r="P91" i="5"/>
  <c r="Y91" i="5"/>
  <c r="N91" i="5"/>
  <c r="O55" i="5"/>
  <c r="N55" i="5"/>
  <c r="Y55" i="5"/>
  <c r="P55" i="5"/>
  <c r="O32" i="5"/>
  <c r="P32" i="5"/>
  <c r="Y32" i="5"/>
  <c r="N32" i="5"/>
  <c r="O78" i="5"/>
  <c r="N78" i="5"/>
  <c r="P78" i="5"/>
  <c r="Y78" i="5"/>
  <c r="N56" i="5"/>
  <c r="O56" i="5"/>
  <c r="P56" i="5"/>
  <c r="Y56" i="5"/>
  <c r="M3" i="5"/>
  <c r="N3" i="5" s="1"/>
  <c r="BC2" i="5"/>
  <c r="BE3" i="5"/>
  <c r="BJ2" i="5"/>
  <c r="BJ1" i="5"/>
  <c r="AD12" i="5"/>
  <c r="AE12" i="5" s="1"/>
  <c r="AD13" i="5"/>
  <c r="AE13" i="5" s="1"/>
  <c r="BD3" i="5" a="1"/>
  <c r="BD3" i="5" s="1"/>
  <c r="P40" i="5" l="1"/>
  <c r="Q40" i="5" s="1"/>
  <c r="Q247" i="5"/>
  <c r="R247" i="5"/>
  <c r="Q64" i="5"/>
  <c r="R64" i="5"/>
  <c r="N40" i="5"/>
  <c r="Y40" i="5"/>
  <c r="Q260" i="5"/>
  <c r="R260" i="5"/>
  <c r="U260" i="5"/>
  <c r="T260" i="5"/>
  <c r="Q239" i="5"/>
  <c r="R239" i="5"/>
  <c r="Q204" i="5"/>
  <c r="R204" i="5"/>
  <c r="T239" i="5"/>
  <c r="U239" i="5"/>
  <c r="T204" i="5"/>
  <c r="U204" i="5"/>
  <c r="Q227" i="5"/>
  <c r="R227" i="5"/>
  <c r="U64" i="5"/>
  <c r="T64" i="5"/>
  <c r="T273" i="5"/>
  <c r="U273" i="5"/>
  <c r="T227" i="5"/>
  <c r="U227" i="5"/>
  <c r="R226" i="5"/>
  <c r="Q226" i="5"/>
  <c r="T247" i="5"/>
  <c r="U247" i="5"/>
  <c r="R273" i="5"/>
  <c r="Q273" i="5"/>
  <c r="T226" i="5"/>
  <c r="U226" i="5"/>
  <c r="R32" i="5"/>
  <c r="Q32" i="5"/>
  <c r="Q178" i="5"/>
  <c r="R178" i="5"/>
  <c r="O167" i="5"/>
  <c r="N167" i="5"/>
  <c r="Y167" i="5"/>
  <c r="P167" i="5"/>
  <c r="U141" i="5"/>
  <c r="T141" i="5"/>
  <c r="R248" i="5"/>
  <c r="Q248" i="5"/>
  <c r="U131" i="5"/>
  <c r="T131" i="5"/>
  <c r="Q113" i="5"/>
  <c r="R113" i="5"/>
  <c r="R147" i="5"/>
  <c r="Q147" i="5"/>
  <c r="U198" i="5"/>
  <c r="T198" i="5"/>
  <c r="T214" i="5"/>
  <c r="U214" i="5"/>
  <c r="R274" i="5"/>
  <c r="Q274" i="5"/>
  <c r="Q23" i="5"/>
  <c r="R23" i="5"/>
  <c r="T174" i="5"/>
  <c r="U174" i="5"/>
  <c r="T254" i="5"/>
  <c r="U254" i="5"/>
  <c r="R202" i="5"/>
  <c r="Q202" i="5"/>
  <c r="Q8" i="5"/>
  <c r="R8" i="5"/>
  <c r="Q207" i="5"/>
  <c r="R207" i="5"/>
  <c r="T32" i="5"/>
  <c r="U32" i="5"/>
  <c r="U91" i="5"/>
  <c r="T91" i="5"/>
  <c r="T149" i="5"/>
  <c r="U149" i="5"/>
  <c r="U166" i="5"/>
  <c r="T166" i="5"/>
  <c r="Q191" i="5"/>
  <c r="R191" i="5"/>
  <c r="Q52" i="5"/>
  <c r="R52" i="5"/>
  <c r="Q129" i="5"/>
  <c r="R129" i="5"/>
  <c r="R144" i="5"/>
  <c r="Q144" i="5"/>
  <c r="U63" i="5"/>
  <c r="T63" i="5"/>
  <c r="Q19" i="5"/>
  <c r="R19" i="5"/>
  <c r="Q151" i="5"/>
  <c r="R151" i="5"/>
  <c r="R240" i="5"/>
  <c r="Q240" i="5"/>
  <c r="T140" i="5"/>
  <c r="U140" i="5"/>
  <c r="Q170" i="5"/>
  <c r="R170" i="5"/>
  <c r="R154" i="5"/>
  <c r="Q154" i="5"/>
  <c r="U111" i="5"/>
  <c r="T111" i="5"/>
  <c r="U133" i="5"/>
  <c r="T133" i="5"/>
  <c r="U53" i="5"/>
  <c r="T53" i="5"/>
  <c r="U264" i="5"/>
  <c r="T264" i="5"/>
  <c r="R278" i="5"/>
  <c r="Q278" i="5"/>
  <c r="T184" i="5"/>
  <c r="U184" i="5"/>
  <c r="U37" i="5"/>
  <c r="T37" i="5"/>
  <c r="U29" i="5"/>
  <c r="T29" i="5"/>
  <c r="Q130" i="5"/>
  <c r="R130" i="5"/>
  <c r="Q217" i="5"/>
  <c r="R217" i="5"/>
  <c r="T172" i="5"/>
  <c r="U172" i="5"/>
  <c r="U171" i="5"/>
  <c r="T171" i="5"/>
  <c r="U45" i="5"/>
  <c r="T45" i="5"/>
  <c r="T50" i="5"/>
  <c r="U50" i="5"/>
  <c r="T161" i="5"/>
  <c r="U161" i="5"/>
  <c r="T132" i="5"/>
  <c r="U132" i="5"/>
  <c r="U266" i="5"/>
  <c r="T266" i="5"/>
  <c r="Q48" i="5"/>
  <c r="R48" i="5"/>
  <c r="R164" i="5"/>
  <c r="Q164" i="5"/>
  <c r="Q83" i="5"/>
  <c r="R83" i="5"/>
  <c r="T124" i="5"/>
  <c r="U124" i="5"/>
  <c r="U109" i="5"/>
  <c r="T109" i="5"/>
  <c r="Q115" i="5"/>
  <c r="R115" i="5"/>
  <c r="T259" i="5"/>
  <c r="U259" i="5"/>
  <c r="U221" i="5"/>
  <c r="T221" i="5"/>
  <c r="Q93" i="5"/>
  <c r="R93" i="5"/>
  <c r="U75" i="5"/>
  <c r="T75" i="5"/>
  <c r="U20" i="5"/>
  <c r="T20" i="5"/>
  <c r="T256" i="5"/>
  <c r="U256" i="5"/>
  <c r="Q9" i="5"/>
  <c r="R9" i="5"/>
  <c r="R173" i="5"/>
  <c r="Q173" i="5"/>
  <c r="T26" i="5"/>
  <c r="U26" i="5"/>
  <c r="U73" i="5"/>
  <c r="T73" i="5"/>
  <c r="U31" i="5"/>
  <c r="T31" i="5"/>
  <c r="U208" i="5"/>
  <c r="T208" i="5"/>
  <c r="T248" i="5"/>
  <c r="U248" i="5"/>
  <c r="R244" i="5"/>
  <c r="Q244" i="5"/>
  <c r="U113" i="5"/>
  <c r="T113" i="5"/>
  <c r="U147" i="5"/>
  <c r="T147" i="5"/>
  <c r="U168" i="5"/>
  <c r="T168" i="5"/>
  <c r="U13" i="5"/>
  <c r="T13" i="5"/>
  <c r="T279" i="5"/>
  <c r="U279" i="5"/>
  <c r="U274" i="5"/>
  <c r="T274" i="5"/>
  <c r="Q276" i="5"/>
  <c r="R276" i="5"/>
  <c r="U252" i="5"/>
  <c r="T252" i="5"/>
  <c r="R158" i="5"/>
  <c r="Q158" i="5"/>
  <c r="T34" i="5"/>
  <c r="U34" i="5"/>
  <c r="R80" i="5"/>
  <c r="Q80" i="5"/>
  <c r="T92" i="5"/>
  <c r="U92" i="5"/>
  <c r="T202" i="5"/>
  <c r="U202" i="5"/>
  <c r="U8" i="5"/>
  <c r="T8" i="5"/>
  <c r="T277" i="5"/>
  <c r="U277" i="5"/>
  <c r="Q216" i="5"/>
  <c r="R216" i="5"/>
  <c r="R18" i="5"/>
  <c r="Q18" i="5"/>
  <c r="T46" i="5"/>
  <c r="U46" i="5"/>
  <c r="Q76" i="5"/>
  <c r="R76" i="5"/>
  <c r="R96" i="5"/>
  <c r="Q96" i="5"/>
  <c r="R101" i="5"/>
  <c r="Q101" i="5"/>
  <c r="Q210" i="5"/>
  <c r="R210" i="5"/>
  <c r="T217" i="5"/>
  <c r="U217" i="5"/>
  <c r="P120" i="5"/>
  <c r="Y120" i="5"/>
  <c r="N120" i="5"/>
  <c r="O120" i="5"/>
  <c r="Q61" i="5"/>
  <c r="R61" i="5"/>
  <c r="T199" i="5"/>
  <c r="U199" i="5"/>
  <c r="R62" i="5"/>
  <c r="Q62" i="5"/>
  <c r="R287" i="5"/>
  <c r="Q287" i="5"/>
  <c r="R189" i="5"/>
  <c r="Q189" i="5"/>
  <c r="Q176" i="5"/>
  <c r="R176" i="5"/>
  <c r="R241" i="5"/>
  <c r="Q241" i="5"/>
  <c r="U115" i="5"/>
  <c r="T115" i="5"/>
  <c r="Q203" i="5"/>
  <c r="R203" i="5"/>
  <c r="Q205" i="5"/>
  <c r="R205" i="5"/>
  <c r="Q251" i="5"/>
  <c r="R251" i="5"/>
  <c r="R249" i="5"/>
  <c r="Q249" i="5"/>
  <c r="U215" i="5"/>
  <c r="T215" i="5"/>
  <c r="Q117" i="5"/>
  <c r="R117" i="5"/>
  <c r="Q265" i="5"/>
  <c r="R265" i="5"/>
  <c r="T276" i="5"/>
  <c r="U276" i="5"/>
  <c r="Q197" i="5"/>
  <c r="R197" i="5"/>
  <c r="Q180" i="5"/>
  <c r="R180" i="5"/>
  <c r="R54" i="5"/>
  <c r="Q54" i="5"/>
  <c r="U80" i="5"/>
  <c r="T80" i="5"/>
  <c r="P142" i="5"/>
  <c r="O142" i="5"/>
  <c r="N142" i="5"/>
  <c r="Y142" i="5"/>
  <c r="Q99" i="5"/>
  <c r="R99" i="5"/>
  <c r="Q108" i="5"/>
  <c r="R108" i="5"/>
  <c r="R282" i="5"/>
  <c r="Q282" i="5"/>
  <c r="Q21" i="5"/>
  <c r="R21" i="5"/>
  <c r="R67" i="5"/>
  <c r="Q67" i="5"/>
  <c r="U216" i="5"/>
  <c r="T216" i="5"/>
  <c r="Q82" i="5"/>
  <c r="R82" i="5"/>
  <c r="Q91" i="5"/>
  <c r="R91" i="5"/>
  <c r="Q270" i="5"/>
  <c r="R270" i="5"/>
  <c r="Q111" i="5"/>
  <c r="R111" i="5"/>
  <c r="R103" i="5"/>
  <c r="Q103" i="5"/>
  <c r="O188" i="5"/>
  <c r="N188" i="5"/>
  <c r="Y188" i="5"/>
  <c r="P188" i="5"/>
  <c r="Q259" i="5"/>
  <c r="R259" i="5"/>
  <c r="Q221" i="5"/>
  <c r="R221" i="5"/>
  <c r="T49" i="5"/>
  <c r="U49" i="5"/>
  <c r="U179" i="5"/>
  <c r="T179" i="5"/>
  <c r="Q74" i="5"/>
  <c r="R74" i="5"/>
  <c r="R104" i="5"/>
  <c r="Q104" i="5"/>
  <c r="R119" i="5"/>
  <c r="Q119" i="5"/>
  <c r="R75" i="5"/>
  <c r="Q75" i="5"/>
  <c r="O121" i="5"/>
  <c r="Y121" i="5"/>
  <c r="P121" i="5"/>
  <c r="N121" i="5"/>
  <c r="Q105" i="5"/>
  <c r="R105" i="5"/>
  <c r="T191" i="5"/>
  <c r="U191" i="5"/>
  <c r="Q186" i="5"/>
  <c r="R186" i="5"/>
  <c r="Q78" i="5"/>
  <c r="R78" i="5"/>
  <c r="U105" i="5"/>
  <c r="T105" i="5"/>
  <c r="U229" i="5"/>
  <c r="T229" i="5"/>
  <c r="T52" i="5"/>
  <c r="U52" i="5"/>
  <c r="T129" i="5"/>
  <c r="U129" i="5"/>
  <c r="Q222" i="5"/>
  <c r="R222" i="5"/>
  <c r="U7" i="5"/>
  <c r="T7" i="5"/>
  <c r="U245" i="5"/>
  <c r="T245" i="5"/>
  <c r="T19" i="5"/>
  <c r="U19" i="5"/>
  <c r="U40" i="5"/>
  <c r="T40" i="5"/>
  <c r="T151" i="5"/>
  <c r="U151" i="5"/>
  <c r="U270" i="5"/>
  <c r="T270" i="5"/>
  <c r="T240" i="5"/>
  <c r="U240" i="5"/>
  <c r="R71" i="5"/>
  <c r="Q71" i="5"/>
  <c r="T170" i="5"/>
  <c r="U170" i="5"/>
  <c r="U96" i="5"/>
  <c r="T96" i="5"/>
  <c r="U154" i="5"/>
  <c r="T154" i="5"/>
  <c r="Q195" i="5"/>
  <c r="R195" i="5"/>
  <c r="Q58" i="5"/>
  <c r="R58" i="5"/>
  <c r="R194" i="5"/>
  <c r="Q194" i="5"/>
  <c r="R243" i="5"/>
  <c r="Q243" i="5"/>
  <c r="R286" i="5"/>
  <c r="Q286" i="5"/>
  <c r="U122" i="5"/>
  <c r="T122" i="5"/>
  <c r="Q206" i="5"/>
  <c r="R206" i="5"/>
  <c r="T106" i="5"/>
  <c r="U106" i="5"/>
  <c r="T101" i="5"/>
  <c r="U101" i="5"/>
  <c r="T146" i="5"/>
  <c r="U146" i="5"/>
  <c r="T210" i="5"/>
  <c r="U210" i="5"/>
  <c r="U70" i="5"/>
  <c r="T70" i="5"/>
  <c r="T143" i="5"/>
  <c r="U143" i="5"/>
  <c r="R102" i="5"/>
  <c r="Q102" i="5"/>
  <c r="Q201" i="5"/>
  <c r="R201" i="5"/>
  <c r="Q162" i="5"/>
  <c r="R162" i="5"/>
  <c r="T163" i="5"/>
  <c r="U163" i="5"/>
  <c r="R285" i="5"/>
  <c r="Q285" i="5"/>
  <c r="Q225" i="5"/>
  <c r="R225" i="5"/>
  <c r="T62" i="5"/>
  <c r="U62" i="5"/>
  <c r="T189" i="5"/>
  <c r="U189" i="5"/>
  <c r="T48" i="5"/>
  <c r="U48" i="5"/>
  <c r="U164" i="5"/>
  <c r="T164" i="5"/>
  <c r="T83" i="5"/>
  <c r="U83" i="5"/>
  <c r="T176" i="5"/>
  <c r="U176" i="5"/>
  <c r="T241" i="5"/>
  <c r="U241" i="5"/>
  <c r="T183" i="5"/>
  <c r="U183" i="5"/>
  <c r="Q263" i="5"/>
  <c r="R263" i="5"/>
  <c r="T27" i="5"/>
  <c r="U27" i="5"/>
  <c r="R87" i="5"/>
  <c r="Q87" i="5"/>
  <c r="Q246" i="5"/>
  <c r="R246" i="5"/>
  <c r="Q94" i="5"/>
  <c r="R94" i="5"/>
  <c r="T9" i="5"/>
  <c r="U9" i="5"/>
  <c r="U165" i="5"/>
  <c r="T165" i="5"/>
  <c r="U173" i="5"/>
  <c r="T173" i="5"/>
  <c r="Q182" i="5"/>
  <c r="R182" i="5"/>
  <c r="T178" i="5"/>
  <c r="U178" i="5"/>
  <c r="Q116" i="5"/>
  <c r="R116" i="5"/>
  <c r="Q41" i="5"/>
  <c r="R41" i="5"/>
  <c r="T127" i="5"/>
  <c r="U127" i="5"/>
  <c r="Q33" i="5"/>
  <c r="R33" i="5"/>
  <c r="Q177" i="5"/>
  <c r="R177" i="5"/>
  <c r="U57" i="5"/>
  <c r="T57" i="5"/>
  <c r="Q98" i="5"/>
  <c r="R98" i="5"/>
  <c r="T234" i="5"/>
  <c r="U234" i="5"/>
  <c r="Q257" i="5"/>
  <c r="R257" i="5"/>
  <c r="Q42" i="5"/>
  <c r="R42" i="5"/>
  <c r="T255" i="5"/>
  <c r="U255" i="5"/>
  <c r="T265" i="5"/>
  <c r="U265" i="5"/>
  <c r="U23" i="5"/>
  <c r="T23" i="5"/>
  <c r="U158" i="5"/>
  <c r="T158" i="5"/>
  <c r="U197" i="5"/>
  <c r="T197" i="5"/>
  <c r="U180" i="5"/>
  <c r="T180" i="5"/>
  <c r="U54" i="5"/>
  <c r="T54" i="5"/>
  <c r="R281" i="5"/>
  <c r="Q281" i="5"/>
  <c r="T99" i="5"/>
  <c r="U99" i="5"/>
  <c r="T108" i="5"/>
  <c r="U108" i="5"/>
  <c r="T282" i="5"/>
  <c r="U282" i="5"/>
  <c r="U21" i="5"/>
  <c r="T21" i="5"/>
  <c r="R228" i="5"/>
  <c r="Q228" i="5"/>
  <c r="R36" i="5"/>
  <c r="Q36" i="5"/>
  <c r="T67" i="5"/>
  <c r="U67" i="5"/>
  <c r="T18" i="5"/>
  <c r="U18" i="5"/>
  <c r="T82" i="5"/>
  <c r="U82" i="5"/>
  <c r="T56" i="5"/>
  <c r="U56" i="5"/>
  <c r="R232" i="5"/>
  <c r="Q232" i="5"/>
  <c r="R63" i="5"/>
  <c r="Q63" i="5"/>
  <c r="R245" i="5"/>
  <c r="Q245" i="5"/>
  <c r="T271" i="5"/>
  <c r="U271" i="5"/>
  <c r="R53" i="5"/>
  <c r="Q53" i="5"/>
  <c r="R184" i="5"/>
  <c r="Q184" i="5"/>
  <c r="T130" i="5"/>
  <c r="U130" i="5"/>
  <c r="T69" i="5"/>
  <c r="U69" i="5"/>
  <c r="R70" i="5"/>
  <c r="Q70" i="5"/>
  <c r="Q143" i="5"/>
  <c r="R143" i="5"/>
  <c r="Q172" i="5"/>
  <c r="R172" i="5"/>
  <c r="T286" i="5"/>
  <c r="U286" i="5"/>
  <c r="T206" i="5"/>
  <c r="U206" i="5"/>
  <c r="O137" i="5"/>
  <c r="Y137" i="5"/>
  <c r="N137" i="5"/>
  <c r="P137" i="5"/>
  <c r="Y250" i="5"/>
  <c r="N250" i="5"/>
  <c r="O250" i="5"/>
  <c r="P250" i="5"/>
  <c r="T233" i="5"/>
  <c r="U233" i="5"/>
  <c r="T110" i="5"/>
  <c r="U110" i="5"/>
  <c r="T201" i="5"/>
  <c r="U201" i="5"/>
  <c r="T61" i="5"/>
  <c r="U61" i="5"/>
  <c r="Q199" i="5"/>
  <c r="R199" i="5"/>
  <c r="Q181" i="5"/>
  <c r="R181" i="5"/>
  <c r="T225" i="5"/>
  <c r="U225" i="5"/>
  <c r="R139" i="5"/>
  <c r="Q139" i="5"/>
  <c r="R160" i="5"/>
  <c r="Q160" i="5"/>
  <c r="R212" i="5"/>
  <c r="Q212" i="5"/>
  <c r="Q267" i="5"/>
  <c r="R267" i="5"/>
  <c r="T11" i="5"/>
  <c r="U11" i="5"/>
  <c r="Q68" i="5"/>
  <c r="R68" i="5"/>
  <c r="T97" i="5"/>
  <c r="U97" i="5"/>
  <c r="T209" i="5"/>
  <c r="U209" i="5"/>
  <c r="O175" i="5"/>
  <c r="N175" i="5"/>
  <c r="Y175" i="5"/>
  <c r="P175" i="5"/>
  <c r="T128" i="5"/>
  <c r="U128" i="5"/>
  <c r="Q125" i="5"/>
  <c r="R125" i="5"/>
  <c r="T283" i="5"/>
  <c r="U283" i="5"/>
  <c r="R153" i="5"/>
  <c r="Q153" i="5"/>
  <c r="T281" i="5"/>
  <c r="U281" i="5"/>
  <c r="R193" i="5"/>
  <c r="Q193" i="5"/>
  <c r="R28" i="5"/>
  <c r="Q28" i="5"/>
  <c r="O258" i="5"/>
  <c r="P258" i="5"/>
  <c r="Y258" i="5"/>
  <c r="N258" i="5"/>
  <c r="Q219" i="5"/>
  <c r="R219" i="5"/>
  <c r="Q272" i="5"/>
  <c r="R272" i="5"/>
  <c r="P136" i="5"/>
  <c r="O136" i="5"/>
  <c r="Y136" i="5"/>
  <c r="N136" i="5"/>
  <c r="Q55" i="5"/>
  <c r="R55" i="5"/>
  <c r="R43" i="5"/>
  <c r="Q43" i="5"/>
  <c r="R85" i="5"/>
  <c r="Q85" i="5"/>
  <c r="U190" i="5"/>
  <c r="T190" i="5"/>
  <c r="Q229" i="5"/>
  <c r="R229" i="5"/>
  <c r="U85" i="5"/>
  <c r="T85" i="5"/>
  <c r="R24" i="5"/>
  <c r="Q24" i="5"/>
  <c r="R44" i="5"/>
  <c r="Q44" i="5"/>
  <c r="U51" i="5"/>
  <c r="T51" i="5"/>
  <c r="R157" i="5"/>
  <c r="Q157" i="5"/>
  <c r="T186" i="5"/>
  <c r="U186" i="5"/>
  <c r="T222" i="5"/>
  <c r="U222" i="5"/>
  <c r="R262" i="5"/>
  <c r="Q262" i="5"/>
  <c r="Q237" i="5"/>
  <c r="R237" i="5"/>
  <c r="U159" i="5"/>
  <c r="T159" i="5"/>
  <c r="R59" i="5"/>
  <c r="Q59" i="5"/>
  <c r="R242" i="5"/>
  <c r="Q242" i="5"/>
  <c r="P138" i="5"/>
  <c r="N138" i="5"/>
  <c r="O138" i="5"/>
  <c r="Y138" i="5"/>
  <c r="T71" i="5"/>
  <c r="U71" i="5"/>
  <c r="Q10" i="5"/>
  <c r="R10" i="5"/>
  <c r="Q107" i="5"/>
  <c r="R107" i="5"/>
  <c r="R81" i="5"/>
  <c r="Q81" i="5"/>
  <c r="R22" i="5"/>
  <c r="Q22" i="5"/>
  <c r="R30" i="5"/>
  <c r="Q30" i="5"/>
  <c r="U25" i="5"/>
  <c r="T25" i="5"/>
  <c r="T246" i="5"/>
  <c r="U246" i="5"/>
  <c r="R269" i="5"/>
  <c r="Q269" i="5"/>
  <c r="R150" i="5"/>
  <c r="Q150" i="5"/>
  <c r="Q86" i="5"/>
  <c r="R86" i="5"/>
  <c r="T275" i="5"/>
  <c r="U275" i="5"/>
  <c r="U249" i="5"/>
  <c r="T249" i="5"/>
  <c r="R4" i="5"/>
  <c r="Q4" i="5"/>
  <c r="T41" i="5"/>
  <c r="U41" i="5"/>
  <c r="Q127" i="5"/>
  <c r="R127" i="5"/>
  <c r="T33" i="5"/>
  <c r="U33" i="5"/>
  <c r="R16" i="5"/>
  <c r="Q16" i="5"/>
  <c r="T177" i="5"/>
  <c r="U177" i="5"/>
  <c r="Q57" i="5"/>
  <c r="R57" i="5"/>
  <c r="Q234" i="5"/>
  <c r="R234" i="5"/>
  <c r="T224" i="5"/>
  <c r="U224" i="5"/>
  <c r="Q215" i="5"/>
  <c r="R215" i="5"/>
  <c r="U257" i="5"/>
  <c r="T257" i="5"/>
  <c r="U200" i="5"/>
  <c r="T200" i="5"/>
  <c r="U78" i="5"/>
  <c r="T78" i="5"/>
  <c r="U55" i="5"/>
  <c r="T55" i="5"/>
  <c r="T43" i="5"/>
  <c r="U43" i="5"/>
  <c r="U24" i="5"/>
  <c r="T24" i="5"/>
  <c r="Q148" i="5"/>
  <c r="R148" i="5"/>
  <c r="Q51" i="5"/>
  <c r="R51" i="5"/>
  <c r="R47" i="5"/>
  <c r="Q47" i="5"/>
  <c r="Q192" i="5"/>
  <c r="R192" i="5"/>
  <c r="R123" i="5"/>
  <c r="Q123" i="5"/>
  <c r="U59" i="5"/>
  <c r="T59" i="5"/>
  <c r="T76" i="5"/>
  <c r="U76" i="5"/>
  <c r="U195" i="5"/>
  <c r="T195" i="5"/>
  <c r="T58" i="5"/>
  <c r="U58" i="5"/>
  <c r="T194" i="5"/>
  <c r="U194" i="5"/>
  <c r="T243" i="5"/>
  <c r="U243" i="5"/>
  <c r="R122" i="5"/>
  <c r="Q122" i="5"/>
  <c r="Q106" i="5"/>
  <c r="R106" i="5"/>
  <c r="R146" i="5"/>
  <c r="Q146" i="5"/>
  <c r="R6" i="5"/>
  <c r="Q6" i="5"/>
  <c r="U102" i="5"/>
  <c r="T102" i="5"/>
  <c r="Q39" i="5"/>
  <c r="R39" i="5"/>
  <c r="R110" i="5"/>
  <c r="Q110" i="5"/>
  <c r="U162" i="5"/>
  <c r="T162" i="5"/>
  <c r="Q163" i="5"/>
  <c r="R163" i="5"/>
  <c r="U181" i="5"/>
  <c r="T181" i="5"/>
  <c r="T285" i="5"/>
  <c r="U285" i="5"/>
  <c r="T287" i="5"/>
  <c r="U287" i="5"/>
  <c r="Q11" i="5"/>
  <c r="R11" i="5"/>
  <c r="Q183" i="5"/>
  <c r="R183" i="5"/>
  <c r="T263" i="5"/>
  <c r="U263" i="5"/>
  <c r="T81" i="5"/>
  <c r="U81" i="5"/>
  <c r="T22" i="5"/>
  <c r="U22" i="5"/>
  <c r="T30" i="5"/>
  <c r="U30" i="5"/>
  <c r="T87" i="5"/>
  <c r="U87" i="5"/>
  <c r="U203" i="5"/>
  <c r="T203" i="5"/>
  <c r="Q25" i="5"/>
  <c r="R25" i="5"/>
  <c r="U205" i="5"/>
  <c r="T205" i="5"/>
  <c r="T269" i="5"/>
  <c r="U269" i="5"/>
  <c r="T94" i="5"/>
  <c r="U94" i="5"/>
  <c r="T251" i="5"/>
  <c r="U251" i="5"/>
  <c r="T150" i="5"/>
  <c r="U150" i="5"/>
  <c r="U86" i="5"/>
  <c r="T86" i="5"/>
  <c r="R156" i="5"/>
  <c r="Q156" i="5"/>
  <c r="R211" i="5"/>
  <c r="Q211" i="5"/>
  <c r="Q5" i="5"/>
  <c r="R5" i="5"/>
  <c r="R275" i="5"/>
  <c r="Q275" i="5"/>
  <c r="T182" i="5"/>
  <c r="U182" i="5"/>
  <c r="Q60" i="5"/>
  <c r="R60" i="5"/>
  <c r="T116" i="5"/>
  <c r="U116" i="5"/>
  <c r="T4" i="5"/>
  <c r="U4" i="5"/>
  <c r="T16" i="5"/>
  <c r="U16" i="5"/>
  <c r="T98" i="5"/>
  <c r="U98" i="5"/>
  <c r="Q224" i="5"/>
  <c r="R224" i="5"/>
  <c r="T42" i="5"/>
  <c r="U42" i="5"/>
  <c r="Q255" i="5"/>
  <c r="R255" i="5"/>
  <c r="U117" i="5"/>
  <c r="T117" i="5"/>
  <c r="T68" i="5"/>
  <c r="U68" i="5"/>
  <c r="Q235" i="5"/>
  <c r="R235" i="5"/>
  <c r="R128" i="5"/>
  <c r="Q128" i="5"/>
  <c r="U125" i="5"/>
  <c r="T125" i="5"/>
  <c r="T153" i="5"/>
  <c r="U153" i="5"/>
  <c r="U193" i="5"/>
  <c r="T193" i="5"/>
  <c r="Q35" i="5"/>
  <c r="R35" i="5"/>
  <c r="U228" i="5"/>
  <c r="T228" i="5"/>
  <c r="T28" i="5"/>
  <c r="U28" i="5"/>
  <c r="T36" i="5"/>
  <c r="U36" i="5"/>
  <c r="Q190" i="5"/>
  <c r="R190" i="5"/>
  <c r="R7" i="5"/>
  <c r="Q7" i="5"/>
  <c r="R46" i="5"/>
  <c r="Q46" i="5"/>
  <c r="O169" i="5"/>
  <c r="P169" i="5"/>
  <c r="Y169" i="5"/>
  <c r="N169" i="5"/>
  <c r="T38" i="5"/>
  <c r="U38" i="5"/>
  <c r="T218" i="5"/>
  <c r="U218" i="5"/>
  <c r="Q231" i="5"/>
  <c r="R231" i="5"/>
  <c r="R132" i="5"/>
  <c r="Q132" i="5"/>
  <c r="R155" i="5"/>
  <c r="Q155" i="5"/>
  <c r="Q12" i="5"/>
  <c r="R12" i="5"/>
  <c r="T6" i="5"/>
  <c r="U6" i="5"/>
  <c r="T187" i="5"/>
  <c r="U187" i="5"/>
  <c r="R171" i="5"/>
  <c r="Q171" i="5"/>
  <c r="T231" i="5"/>
  <c r="U231" i="5"/>
  <c r="N135" i="5"/>
  <c r="O135" i="5"/>
  <c r="Y135" i="5"/>
  <c r="P135" i="5"/>
  <c r="R220" i="5"/>
  <c r="Q220" i="5"/>
  <c r="T223" i="5"/>
  <c r="U223" i="5"/>
  <c r="Q253" i="5"/>
  <c r="R253" i="5"/>
  <c r="U126" i="5"/>
  <c r="T126" i="5"/>
  <c r="T93" i="5"/>
  <c r="U93" i="5"/>
  <c r="T104" i="5"/>
  <c r="U104" i="5"/>
  <c r="T119" i="5"/>
  <c r="U119" i="5"/>
  <c r="Q256" i="5"/>
  <c r="R256" i="5"/>
  <c r="N112" i="5"/>
  <c r="P112" i="5"/>
  <c r="Y112" i="5"/>
  <c r="O112" i="5"/>
  <c r="Q26" i="5"/>
  <c r="R26" i="5"/>
  <c r="P134" i="5"/>
  <c r="O134" i="5"/>
  <c r="N134" i="5"/>
  <c r="Y134" i="5"/>
  <c r="U60" i="5"/>
  <c r="T60" i="5"/>
  <c r="Q73" i="5"/>
  <c r="R73" i="5"/>
  <c r="Q198" i="5"/>
  <c r="R198" i="5"/>
  <c r="R168" i="5"/>
  <c r="Q168" i="5"/>
  <c r="Q214" i="5"/>
  <c r="R214" i="5"/>
  <c r="T238" i="5"/>
  <c r="U238" i="5"/>
  <c r="R279" i="5"/>
  <c r="Q279" i="5"/>
  <c r="T118" i="5"/>
  <c r="U118" i="5"/>
  <c r="R252" i="5"/>
  <c r="Q252" i="5"/>
  <c r="Q97" i="5"/>
  <c r="R97" i="5"/>
  <c r="R209" i="5"/>
  <c r="Q209" i="5"/>
  <c r="Q34" i="5"/>
  <c r="R34" i="5"/>
  <c r="P114" i="5"/>
  <c r="N114" i="5"/>
  <c r="O114" i="5"/>
  <c r="Y114" i="5"/>
  <c r="R92" i="5"/>
  <c r="Q92" i="5"/>
  <c r="Q254" i="5"/>
  <c r="R254" i="5"/>
  <c r="Q261" i="5"/>
  <c r="R261" i="5"/>
  <c r="Q100" i="5"/>
  <c r="R100" i="5"/>
  <c r="R280" i="5"/>
  <c r="Q280" i="5"/>
  <c r="T207" i="5"/>
  <c r="U207" i="5"/>
  <c r="Q161" i="5"/>
  <c r="R161" i="5"/>
  <c r="Q266" i="5"/>
  <c r="R266" i="5"/>
  <c r="Q223" i="5"/>
  <c r="R223" i="5"/>
  <c r="Q109" i="5"/>
  <c r="R109" i="5"/>
  <c r="Q27" i="5"/>
  <c r="R27" i="5"/>
  <c r="U77" i="5"/>
  <c r="T77" i="5"/>
  <c r="Q165" i="5"/>
  <c r="R165" i="5"/>
  <c r="Q149" i="5"/>
  <c r="R149" i="5"/>
  <c r="T232" i="5"/>
  <c r="U232" i="5"/>
  <c r="O185" i="5"/>
  <c r="P185" i="5"/>
  <c r="Y185" i="5"/>
  <c r="N185" i="5"/>
  <c r="Q65" i="5"/>
  <c r="R65" i="5"/>
  <c r="T144" i="5"/>
  <c r="U144" i="5"/>
  <c r="Q159" i="5"/>
  <c r="R159" i="5"/>
  <c r="Q17" i="5"/>
  <c r="R17" i="5"/>
  <c r="U123" i="5"/>
  <c r="T123" i="5"/>
  <c r="T242" i="5"/>
  <c r="U242" i="5"/>
  <c r="O213" i="5"/>
  <c r="Y213" i="5"/>
  <c r="N213" i="5"/>
  <c r="P213" i="5"/>
  <c r="Q284" i="5"/>
  <c r="R284" i="5"/>
  <c r="T95" i="5"/>
  <c r="U95" i="5"/>
  <c r="R90" i="5"/>
  <c r="Q90" i="5"/>
  <c r="R133" i="5"/>
  <c r="Q133" i="5"/>
  <c r="U230" i="5"/>
  <c r="T230" i="5"/>
  <c r="T278" i="5"/>
  <c r="U278" i="5"/>
  <c r="Q37" i="5"/>
  <c r="R37" i="5"/>
  <c r="Q56" i="5"/>
  <c r="R56" i="5"/>
  <c r="R166" i="5"/>
  <c r="Q166" i="5"/>
  <c r="U148" i="5"/>
  <c r="T148" i="5"/>
  <c r="T44" i="5"/>
  <c r="U44" i="5"/>
  <c r="U47" i="5"/>
  <c r="T47" i="5"/>
  <c r="U157" i="5"/>
  <c r="T157" i="5"/>
  <c r="T65" i="5"/>
  <c r="U65" i="5"/>
  <c r="T192" i="5"/>
  <c r="U192" i="5"/>
  <c r="T262" i="5"/>
  <c r="U262" i="5"/>
  <c r="U237" i="5"/>
  <c r="T237" i="5"/>
  <c r="T17" i="5"/>
  <c r="U17" i="5"/>
  <c r="R140" i="5"/>
  <c r="Q140" i="5"/>
  <c r="R271" i="5"/>
  <c r="Q271" i="5"/>
  <c r="T284" i="5"/>
  <c r="U284" i="5"/>
  <c r="T10" i="5"/>
  <c r="U10" i="5"/>
  <c r="Q95" i="5"/>
  <c r="R95" i="5"/>
  <c r="U90" i="5"/>
  <c r="T90" i="5"/>
  <c r="U103" i="5"/>
  <c r="T103" i="5"/>
  <c r="R230" i="5"/>
  <c r="Q230" i="5"/>
  <c r="Q264" i="5"/>
  <c r="R264" i="5"/>
  <c r="R29" i="5"/>
  <c r="Q29" i="5"/>
  <c r="R69" i="5"/>
  <c r="Q69" i="5"/>
  <c r="T155" i="5"/>
  <c r="U155" i="5"/>
  <c r="T12" i="5"/>
  <c r="U12" i="5"/>
  <c r="R233" i="5"/>
  <c r="Q233" i="5"/>
  <c r="U39" i="5"/>
  <c r="T39" i="5"/>
  <c r="R187" i="5"/>
  <c r="Q187" i="5"/>
  <c r="R38" i="5"/>
  <c r="Q38" i="5"/>
  <c r="R218" i="5"/>
  <c r="Q218" i="5"/>
  <c r="Q45" i="5"/>
  <c r="R45" i="5"/>
  <c r="R50" i="5"/>
  <c r="Q50" i="5"/>
  <c r="U139" i="5"/>
  <c r="T139" i="5"/>
  <c r="U160" i="5"/>
  <c r="T160" i="5"/>
  <c r="U212" i="5"/>
  <c r="T212" i="5"/>
  <c r="T267" i="5"/>
  <c r="U267" i="5"/>
  <c r="U220" i="5"/>
  <c r="T220" i="5"/>
  <c r="R124" i="5"/>
  <c r="Q124" i="5"/>
  <c r="U253" i="5"/>
  <c r="T253" i="5"/>
  <c r="U107" i="5"/>
  <c r="T107" i="5"/>
  <c r="Q126" i="5"/>
  <c r="R126" i="5"/>
  <c r="R77" i="5"/>
  <c r="Q77" i="5"/>
  <c r="R49" i="5"/>
  <c r="Q49" i="5"/>
  <c r="R179" i="5"/>
  <c r="Q179" i="5"/>
  <c r="T74" i="5"/>
  <c r="U74" i="5"/>
  <c r="R20" i="5"/>
  <c r="Q20" i="5"/>
  <c r="T156" i="5"/>
  <c r="U156" i="5"/>
  <c r="U211" i="5"/>
  <c r="T211" i="5"/>
  <c r="U5" i="5"/>
  <c r="T5" i="5"/>
  <c r="R141" i="5"/>
  <c r="Q141" i="5"/>
  <c r="Q31" i="5"/>
  <c r="R31" i="5"/>
  <c r="R208" i="5"/>
  <c r="Q208" i="5"/>
  <c r="U244" i="5"/>
  <c r="T244" i="5"/>
  <c r="Q131" i="5"/>
  <c r="R131" i="5"/>
  <c r="Q13" i="5"/>
  <c r="R13" i="5"/>
  <c r="R238" i="5"/>
  <c r="Q238" i="5"/>
  <c r="Q118" i="5"/>
  <c r="R118" i="5"/>
  <c r="R200" i="5"/>
  <c r="Q200" i="5"/>
  <c r="U235" i="5"/>
  <c r="T235" i="5"/>
  <c r="Q174" i="5"/>
  <c r="R174" i="5"/>
  <c r="R283" i="5"/>
  <c r="Q283" i="5"/>
  <c r="U261" i="5"/>
  <c r="T261" i="5"/>
  <c r="T35" i="5"/>
  <c r="U35" i="5"/>
  <c r="T100" i="5"/>
  <c r="U100" i="5"/>
  <c r="R277" i="5"/>
  <c r="Q277" i="5"/>
  <c r="U219" i="5"/>
  <c r="T219" i="5"/>
  <c r="T280" i="5"/>
  <c r="U280" i="5"/>
  <c r="T272" i="5"/>
  <c r="U272" i="5"/>
  <c r="Y3" i="5"/>
  <c r="P3" i="5"/>
  <c r="R3" i="5" s="1"/>
  <c r="O3" i="5"/>
  <c r="T3" i="5" s="1"/>
  <c r="BF3" i="5"/>
  <c r="R40" i="5" l="1"/>
  <c r="S40" i="5" s="1"/>
  <c r="S260" i="5"/>
  <c r="V260" i="5"/>
  <c r="S273" i="5"/>
  <c r="V273" i="5"/>
  <c r="S204" i="5"/>
  <c r="V204" i="5"/>
  <c r="V227" i="5"/>
  <c r="S227" i="5"/>
  <c r="S239" i="5"/>
  <c r="V239" i="5"/>
  <c r="V64" i="5"/>
  <c r="S64" i="5"/>
  <c r="S226" i="5"/>
  <c r="V226" i="5"/>
  <c r="S247" i="5"/>
  <c r="V247" i="5"/>
  <c r="S223" i="5"/>
  <c r="V223" i="5"/>
  <c r="S127" i="5"/>
  <c r="V127" i="5"/>
  <c r="T136" i="5"/>
  <c r="U136" i="5"/>
  <c r="V206" i="5"/>
  <c r="S206" i="5"/>
  <c r="V170" i="5"/>
  <c r="S170" i="5"/>
  <c r="R167" i="5"/>
  <c r="Q167" i="5"/>
  <c r="V200" i="5"/>
  <c r="S200" i="5"/>
  <c r="S141" i="5"/>
  <c r="V141" i="5"/>
  <c r="V20" i="5"/>
  <c r="S20" i="5"/>
  <c r="V77" i="5"/>
  <c r="S77" i="5"/>
  <c r="S124" i="5"/>
  <c r="V124" i="5"/>
  <c r="S218" i="5"/>
  <c r="V218" i="5"/>
  <c r="S233" i="5"/>
  <c r="V233" i="5"/>
  <c r="V29" i="5"/>
  <c r="S29" i="5"/>
  <c r="S271" i="5"/>
  <c r="V271" i="5"/>
  <c r="V133" i="5"/>
  <c r="S133" i="5"/>
  <c r="S280" i="5"/>
  <c r="V280" i="5"/>
  <c r="V92" i="5"/>
  <c r="S92" i="5"/>
  <c r="S209" i="5"/>
  <c r="V209" i="5"/>
  <c r="V279" i="5"/>
  <c r="S279" i="5"/>
  <c r="Q134" i="5"/>
  <c r="R134" i="5"/>
  <c r="S132" i="5"/>
  <c r="V132" i="5"/>
  <c r="V128" i="5"/>
  <c r="S128" i="5"/>
  <c r="S156" i="5"/>
  <c r="V156" i="5"/>
  <c r="S6" i="5"/>
  <c r="V6" i="5"/>
  <c r="S47" i="5"/>
  <c r="V47" i="5"/>
  <c r="V81" i="5"/>
  <c r="S81" i="5"/>
  <c r="U138" i="5"/>
  <c r="T138" i="5"/>
  <c r="S24" i="5"/>
  <c r="V24" i="5"/>
  <c r="S85" i="5"/>
  <c r="V85" i="5"/>
  <c r="R136" i="5"/>
  <c r="Q136" i="5"/>
  <c r="T258" i="5"/>
  <c r="U258" i="5"/>
  <c r="V153" i="5"/>
  <c r="S153" i="5"/>
  <c r="S160" i="5"/>
  <c r="V160" i="5"/>
  <c r="U137" i="5"/>
  <c r="T137" i="5"/>
  <c r="S184" i="5"/>
  <c r="V184" i="5"/>
  <c r="S63" i="5"/>
  <c r="V63" i="5"/>
  <c r="S281" i="5"/>
  <c r="V281" i="5"/>
  <c r="S194" i="5"/>
  <c r="V194" i="5"/>
  <c r="U121" i="5"/>
  <c r="T121" i="5"/>
  <c r="S249" i="5"/>
  <c r="V249" i="5"/>
  <c r="V287" i="5"/>
  <c r="S287" i="5"/>
  <c r="V101" i="5"/>
  <c r="S101" i="5"/>
  <c r="V173" i="5"/>
  <c r="S173" i="5"/>
  <c r="S164" i="5"/>
  <c r="V164" i="5"/>
  <c r="V202" i="5"/>
  <c r="S202" i="5"/>
  <c r="V274" i="5"/>
  <c r="S274" i="5"/>
  <c r="S56" i="5"/>
  <c r="V56" i="5"/>
  <c r="Q135" i="5"/>
  <c r="R135" i="5"/>
  <c r="S255" i="5"/>
  <c r="V255" i="5"/>
  <c r="V68" i="5"/>
  <c r="S68" i="5"/>
  <c r="S41" i="5"/>
  <c r="V41" i="5"/>
  <c r="V126" i="5"/>
  <c r="S126" i="5"/>
  <c r="S95" i="5"/>
  <c r="V95" i="5"/>
  <c r="S37" i="5"/>
  <c r="V37" i="5"/>
  <c r="V159" i="5"/>
  <c r="S159" i="5"/>
  <c r="Q185" i="5"/>
  <c r="R185" i="5"/>
  <c r="V266" i="5"/>
  <c r="S266" i="5"/>
  <c r="V100" i="5"/>
  <c r="S100" i="5"/>
  <c r="V97" i="5"/>
  <c r="S97" i="5"/>
  <c r="S73" i="5"/>
  <c r="V73" i="5"/>
  <c r="V26" i="5"/>
  <c r="S26" i="5"/>
  <c r="V253" i="5"/>
  <c r="S253" i="5"/>
  <c r="T135" i="5"/>
  <c r="U135" i="5"/>
  <c r="S231" i="5"/>
  <c r="V231" i="5"/>
  <c r="Q169" i="5"/>
  <c r="R169" i="5"/>
  <c r="S235" i="5"/>
  <c r="V235" i="5"/>
  <c r="S51" i="5"/>
  <c r="V51" i="5"/>
  <c r="V215" i="5"/>
  <c r="S215" i="5"/>
  <c r="S86" i="5"/>
  <c r="V86" i="5"/>
  <c r="V107" i="5"/>
  <c r="S107" i="5"/>
  <c r="V237" i="5"/>
  <c r="S237" i="5"/>
  <c r="S272" i="5"/>
  <c r="V272" i="5"/>
  <c r="Q250" i="5"/>
  <c r="R250" i="5"/>
  <c r="V257" i="5"/>
  <c r="S257" i="5"/>
  <c r="V177" i="5"/>
  <c r="S177" i="5"/>
  <c r="S116" i="5"/>
  <c r="V116" i="5"/>
  <c r="S58" i="5"/>
  <c r="V58" i="5"/>
  <c r="R188" i="5"/>
  <c r="Q188" i="5"/>
  <c r="S270" i="5"/>
  <c r="V270" i="5"/>
  <c r="V99" i="5"/>
  <c r="S99" i="5"/>
  <c r="V265" i="5"/>
  <c r="S265" i="5"/>
  <c r="V251" i="5"/>
  <c r="S251" i="5"/>
  <c r="S9" i="5"/>
  <c r="V9" i="5"/>
  <c r="S93" i="5"/>
  <c r="V93" i="5"/>
  <c r="S48" i="5"/>
  <c r="V48" i="5"/>
  <c r="S217" i="5"/>
  <c r="V217" i="5"/>
  <c r="V191" i="5"/>
  <c r="S191" i="5"/>
  <c r="T134" i="5"/>
  <c r="U134" i="5"/>
  <c r="S143" i="5"/>
  <c r="V143" i="5"/>
  <c r="S225" i="5"/>
  <c r="V225" i="5"/>
  <c r="S108" i="5"/>
  <c r="V108" i="5"/>
  <c r="S113" i="5"/>
  <c r="V113" i="5"/>
  <c r="V118" i="5"/>
  <c r="S118" i="5"/>
  <c r="V264" i="5"/>
  <c r="S264" i="5"/>
  <c r="V277" i="5"/>
  <c r="S277" i="5"/>
  <c r="S283" i="5"/>
  <c r="V283" i="5"/>
  <c r="S38" i="5"/>
  <c r="V38" i="5"/>
  <c r="V140" i="5"/>
  <c r="S140" i="5"/>
  <c r="S90" i="5"/>
  <c r="V90" i="5"/>
  <c r="U213" i="5"/>
  <c r="T213" i="5"/>
  <c r="T185" i="5"/>
  <c r="U185" i="5"/>
  <c r="U114" i="5"/>
  <c r="T114" i="5"/>
  <c r="T169" i="5"/>
  <c r="U169" i="5"/>
  <c r="S275" i="5"/>
  <c r="V275" i="5"/>
  <c r="V110" i="5"/>
  <c r="S110" i="5"/>
  <c r="S146" i="5"/>
  <c r="V146" i="5"/>
  <c r="Q138" i="5"/>
  <c r="R138" i="5"/>
  <c r="V157" i="5"/>
  <c r="S157" i="5"/>
  <c r="V43" i="5"/>
  <c r="S43" i="5"/>
  <c r="V28" i="5"/>
  <c r="S28" i="5"/>
  <c r="T175" i="5"/>
  <c r="U175" i="5"/>
  <c r="S139" i="5"/>
  <c r="V139" i="5"/>
  <c r="T250" i="5"/>
  <c r="U250" i="5"/>
  <c r="V70" i="5"/>
  <c r="S70" i="5"/>
  <c r="S53" i="5"/>
  <c r="V53" i="5"/>
  <c r="S232" i="5"/>
  <c r="V232" i="5"/>
  <c r="S87" i="5"/>
  <c r="V87" i="5"/>
  <c r="V285" i="5"/>
  <c r="S285" i="5"/>
  <c r="V102" i="5"/>
  <c r="S102" i="5"/>
  <c r="V75" i="5"/>
  <c r="S75" i="5"/>
  <c r="V67" i="5"/>
  <c r="S67" i="5"/>
  <c r="S54" i="5"/>
  <c r="V54" i="5"/>
  <c r="S241" i="5"/>
  <c r="V241" i="5"/>
  <c r="V62" i="5"/>
  <c r="S62" i="5"/>
  <c r="R120" i="5"/>
  <c r="Q120" i="5"/>
  <c r="S96" i="5"/>
  <c r="V96" i="5"/>
  <c r="S18" i="5"/>
  <c r="V18" i="5"/>
  <c r="S158" i="5"/>
  <c r="V158" i="5"/>
  <c r="T167" i="5"/>
  <c r="U167" i="5"/>
  <c r="V256" i="5"/>
  <c r="S256" i="5"/>
  <c r="S35" i="5"/>
  <c r="V35" i="5"/>
  <c r="Q258" i="5"/>
  <c r="R258" i="5"/>
  <c r="S201" i="5"/>
  <c r="V201" i="5"/>
  <c r="S74" i="5"/>
  <c r="V74" i="5"/>
  <c r="S27" i="5"/>
  <c r="V27" i="5"/>
  <c r="S161" i="5"/>
  <c r="V161" i="5"/>
  <c r="V261" i="5"/>
  <c r="S261" i="5"/>
  <c r="S214" i="5"/>
  <c r="V214" i="5"/>
  <c r="T112" i="5"/>
  <c r="U112" i="5"/>
  <c r="V12" i="5"/>
  <c r="S12" i="5"/>
  <c r="V224" i="5"/>
  <c r="S224" i="5"/>
  <c r="V5" i="5"/>
  <c r="S5" i="5"/>
  <c r="V183" i="5"/>
  <c r="S183" i="5"/>
  <c r="V39" i="5"/>
  <c r="S39" i="5"/>
  <c r="S106" i="5"/>
  <c r="V106" i="5"/>
  <c r="S148" i="5"/>
  <c r="V148" i="5"/>
  <c r="V10" i="5"/>
  <c r="S10" i="5"/>
  <c r="V229" i="5"/>
  <c r="S229" i="5"/>
  <c r="V55" i="5"/>
  <c r="S55" i="5"/>
  <c r="S219" i="5"/>
  <c r="V219" i="5"/>
  <c r="V125" i="5"/>
  <c r="S125" i="5"/>
  <c r="S267" i="5"/>
  <c r="V267" i="5"/>
  <c r="S33" i="5"/>
  <c r="V33" i="5"/>
  <c r="V195" i="5"/>
  <c r="S195" i="5"/>
  <c r="S222" i="5"/>
  <c r="V222" i="5"/>
  <c r="S105" i="5"/>
  <c r="V105" i="5"/>
  <c r="V91" i="5"/>
  <c r="S91" i="5"/>
  <c r="S21" i="5"/>
  <c r="V21" i="5"/>
  <c r="V180" i="5"/>
  <c r="S180" i="5"/>
  <c r="S117" i="5"/>
  <c r="V117" i="5"/>
  <c r="V205" i="5"/>
  <c r="S205" i="5"/>
  <c r="S176" i="5"/>
  <c r="V176" i="5"/>
  <c r="S76" i="5"/>
  <c r="V76" i="5"/>
  <c r="S216" i="5"/>
  <c r="V216" i="5"/>
  <c r="S130" i="5"/>
  <c r="V130" i="5"/>
  <c r="V207" i="5"/>
  <c r="S207" i="5"/>
  <c r="V178" i="5"/>
  <c r="S178" i="5"/>
  <c r="V17" i="5"/>
  <c r="S17" i="5"/>
  <c r="S57" i="5"/>
  <c r="V57" i="5"/>
  <c r="S111" i="5"/>
  <c r="V111" i="5"/>
  <c r="S174" i="5"/>
  <c r="V174" i="5"/>
  <c r="S238" i="5"/>
  <c r="V238" i="5"/>
  <c r="S208" i="5"/>
  <c r="V208" i="5"/>
  <c r="S179" i="5"/>
  <c r="V179" i="5"/>
  <c r="V50" i="5"/>
  <c r="S50" i="5"/>
  <c r="V187" i="5"/>
  <c r="S187" i="5"/>
  <c r="V230" i="5"/>
  <c r="S230" i="5"/>
  <c r="R114" i="5"/>
  <c r="Q114" i="5"/>
  <c r="S252" i="5"/>
  <c r="V252" i="5"/>
  <c r="S46" i="5"/>
  <c r="V46" i="5"/>
  <c r="S123" i="5"/>
  <c r="V123" i="5"/>
  <c r="S16" i="5"/>
  <c r="V16" i="5"/>
  <c r="V4" i="5"/>
  <c r="S4" i="5"/>
  <c r="V150" i="5"/>
  <c r="S150" i="5"/>
  <c r="S30" i="5"/>
  <c r="V30" i="5"/>
  <c r="S242" i="5"/>
  <c r="V242" i="5"/>
  <c r="S262" i="5"/>
  <c r="V262" i="5"/>
  <c r="V193" i="5"/>
  <c r="S193" i="5"/>
  <c r="V36" i="5"/>
  <c r="S36" i="5"/>
  <c r="V286" i="5"/>
  <c r="S286" i="5"/>
  <c r="S71" i="5"/>
  <c r="V71" i="5"/>
  <c r="S119" i="5"/>
  <c r="V119" i="5"/>
  <c r="T188" i="5"/>
  <c r="U188" i="5"/>
  <c r="V244" i="5"/>
  <c r="S244" i="5"/>
  <c r="S278" i="5"/>
  <c r="V278" i="5"/>
  <c r="V240" i="5"/>
  <c r="S240" i="5"/>
  <c r="V144" i="5"/>
  <c r="S144" i="5"/>
  <c r="V248" i="5"/>
  <c r="S248" i="5"/>
  <c r="S131" i="5"/>
  <c r="V131" i="5"/>
  <c r="Q213" i="5"/>
  <c r="R213" i="5"/>
  <c r="S198" i="5"/>
  <c r="V198" i="5"/>
  <c r="S190" i="5"/>
  <c r="V190" i="5"/>
  <c r="S199" i="5"/>
  <c r="V199" i="5"/>
  <c r="S42" i="5"/>
  <c r="V42" i="5"/>
  <c r="V259" i="5"/>
  <c r="S259" i="5"/>
  <c r="U120" i="5"/>
  <c r="T120" i="5"/>
  <c r="V115" i="5"/>
  <c r="S115" i="5"/>
  <c r="V52" i="5"/>
  <c r="S52" i="5"/>
  <c r="V31" i="5"/>
  <c r="S31" i="5"/>
  <c r="V45" i="5"/>
  <c r="S45" i="5"/>
  <c r="S284" i="5"/>
  <c r="V284" i="5"/>
  <c r="S65" i="5"/>
  <c r="V65" i="5"/>
  <c r="S149" i="5"/>
  <c r="V149" i="5"/>
  <c r="S109" i="5"/>
  <c r="V109" i="5"/>
  <c r="S254" i="5"/>
  <c r="V254" i="5"/>
  <c r="V34" i="5"/>
  <c r="S34" i="5"/>
  <c r="R112" i="5"/>
  <c r="Q112" i="5"/>
  <c r="V60" i="5"/>
  <c r="S60" i="5"/>
  <c r="V25" i="5"/>
  <c r="S25" i="5"/>
  <c r="S11" i="5"/>
  <c r="V11" i="5"/>
  <c r="V163" i="5"/>
  <c r="S163" i="5"/>
  <c r="V192" i="5"/>
  <c r="S192" i="5"/>
  <c r="V234" i="5"/>
  <c r="S234" i="5"/>
  <c r="S181" i="5"/>
  <c r="V181" i="5"/>
  <c r="Q137" i="5"/>
  <c r="R137" i="5"/>
  <c r="V172" i="5"/>
  <c r="S172" i="5"/>
  <c r="S98" i="5"/>
  <c r="V98" i="5"/>
  <c r="S182" i="5"/>
  <c r="V182" i="5"/>
  <c r="S94" i="5"/>
  <c r="V94" i="5"/>
  <c r="V263" i="5"/>
  <c r="S263" i="5"/>
  <c r="V162" i="5"/>
  <c r="S162" i="5"/>
  <c r="S78" i="5"/>
  <c r="V78" i="5"/>
  <c r="S221" i="5"/>
  <c r="V221" i="5"/>
  <c r="S82" i="5"/>
  <c r="V82" i="5"/>
  <c r="T142" i="5"/>
  <c r="U142" i="5"/>
  <c r="V197" i="5"/>
  <c r="S197" i="5"/>
  <c r="S203" i="5"/>
  <c r="V203" i="5"/>
  <c r="V61" i="5"/>
  <c r="S61" i="5"/>
  <c r="V210" i="5"/>
  <c r="S210" i="5"/>
  <c r="S276" i="5"/>
  <c r="V276" i="5"/>
  <c r="S83" i="5"/>
  <c r="V83" i="5"/>
  <c r="S151" i="5"/>
  <c r="V151" i="5"/>
  <c r="V129" i="5"/>
  <c r="S129" i="5"/>
  <c r="S8" i="5"/>
  <c r="V8" i="5"/>
  <c r="S23" i="5"/>
  <c r="V23" i="5"/>
  <c r="V165" i="5"/>
  <c r="S165" i="5"/>
  <c r="R175" i="5"/>
  <c r="Q175" i="5"/>
  <c r="V246" i="5"/>
  <c r="S246" i="5"/>
  <c r="S186" i="5"/>
  <c r="V186" i="5"/>
  <c r="V19" i="5"/>
  <c r="S19" i="5"/>
  <c r="V13" i="5"/>
  <c r="S13" i="5"/>
  <c r="V49" i="5"/>
  <c r="S49" i="5"/>
  <c r="V69" i="5"/>
  <c r="S69" i="5"/>
  <c r="S166" i="5"/>
  <c r="V166" i="5"/>
  <c r="S168" i="5"/>
  <c r="V168" i="5"/>
  <c r="S220" i="5"/>
  <c r="V220" i="5"/>
  <c r="S171" i="5"/>
  <c r="V171" i="5"/>
  <c r="S155" i="5"/>
  <c r="V155" i="5"/>
  <c r="V7" i="5"/>
  <c r="S7" i="5"/>
  <c r="S211" i="5"/>
  <c r="V211" i="5"/>
  <c r="S122" i="5"/>
  <c r="V122" i="5"/>
  <c r="V269" i="5"/>
  <c r="S269" i="5"/>
  <c r="S22" i="5"/>
  <c r="V22" i="5"/>
  <c r="S59" i="5"/>
  <c r="V59" i="5"/>
  <c r="V44" i="5"/>
  <c r="S44" i="5"/>
  <c r="V212" i="5"/>
  <c r="S212" i="5"/>
  <c r="V245" i="5"/>
  <c r="S245" i="5"/>
  <c r="S228" i="5"/>
  <c r="V228" i="5"/>
  <c r="S243" i="5"/>
  <c r="V243" i="5"/>
  <c r="R121" i="5"/>
  <c r="Q121" i="5"/>
  <c r="V104" i="5"/>
  <c r="S104" i="5"/>
  <c r="S103" i="5"/>
  <c r="V103" i="5"/>
  <c r="S282" i="5"/>
  <c r="V282" i="5"/>
  <c r="Q142" i="5"/>
  <c r="R142" i="5"/>
  <c r="V189" i="5"/>
  <c r="S189" i="5"/>
  <c r="V80" i="5"/>
  <c r="S80" i="5"/>
  <c r="V154" i="5"/>
  <c r="S154" i="5"/>
  <c r="S147" i="5"/>
  <c r="V147" i="5"/>
  <c r="S32" i="5"/>
  <c r="V32" i="5"/>
  <c r="Q3" i="5"/>
  <c r="N2" i="5"/>
  <c r="AB1" i="5"/>
  <c r="AC2" i="5"/>
  <c r="AC1" i="5"/>
  <c r="P2" i="5"/>
  <c r="AB2" i="5"/>
  <c r="AD1" i="5"/>
  <c r="U3" i="5"/>
  <c r="AD2" i="5"/>
  <c r="O2" i="5"/>
  <c r="V3" i="5"/>
  <c r="S3" i="5"/>
  <c r="V40" i="5" l="1"/>
  <c r="W40" i="5" s="1"/>
  <c r="W147" i="5"/>
  <c r="W155" i="5"/>
  <c r="W166" i="5"/>
  <c r="W151" i="5"/>
  <c r="W82" i="5"/>
  <c r="W60" i="5"/>
  <c r="W109" i="5"/>
  <c r="W190" i="5"/>
  <c r="W242" i="5"/>
  <c r="W16" i="5"/>
  <c r="W179" i="5"/>
  <c r="W178" i="5"/>
  <c r="W76" i="5"/>
  <c r="W222" i="5"/>
  <c r="W27" i="5"/>
  <c r="W35" i="5"/>
  <c r="W18" i="5"/>
  <c r="W241" i="5"/>
  <c r="W53" i="5"/>
  <c r="W90" i="5"/>
  <c r="W108" i="5"/>
  <c r="W9" i="5"/>
  <c r="W270" i="5"/>
  <c r="W51" i="5"/>
  <c r="W41" i="5"/>
  <c r="W56" i="5"/>
  <c r="W156" i="5"/>
  <c r="W218" i="5"/>
  <c r="W141" i="5"/>
  <c r="W247" i="5"/>
  <c r="W226" i="5"/>
  <c r="W204" i="5"/>
  <c r="W273" i="5"/>
  <c r="W239" i="5"/>
  <c r="W260" i="5"/>
  <c r="W227" i="5"/>
  <c r="W64" i="5"/>
  <c r="W34" i="5"/>
  <c r="W52" i="5"/>
  <c r="W240" i="5"/>
  <c r="W193" i="5"/>
  <c r="W150" i="5"/>
  <c r="W187" i="5"/>
  <c r="W205" i="5"/>
  <c r="W91" i="5"/>
  <c r="W55" i="5"/>
  <c r="W224" i="5"/>
  <c r="W67" i="5"/>
  <c r="W43" i="5"/>
  <c r="W110" i="5"/>
  <c r="W118" i="5"/>
  <c r="W26" i="5"/>
  <c r="W266" i="5"/>
  <c r="W202" i="5"/>
  <c r="W287" i="5"/>
  <c r="W92" i="5"/>
  <c r="W29" i="5"/>
  <c r="W77" i="5"/>
  <c r="W186" i="5"/>
  <c r="W23" i="5"/>
  <c r="W83" i="5"/>
  <c r="W203" i="5"/>
  <c r="W221" i="5"/>
  <c r="W94" i="5"/>
  <c r="W198" i="5"/>
  <c r="W30" i="5"/>
  <c r="W123" i="5"/>
  <c r="W208" i="5"/>
  <c r="W176" i="5"/>
  <c r="W21" i="5"/>
  <c r="W219" i="5"/>
  <c r="W148" i="5"/>
  <c r="W214" i="5"/>
  <c r="W74" i="5"/>
  <c r="W96" i="5"/>
  <c r="W54" i="5"/>
  <c r="W28" i="5"/>
  <c r="W146" i="5"/>
  <c r="W225" i="5"/>
  <c r="W217" i="5"/>
  <c r="W235" i="5"/>
  <c r="W37" i="5"/>
  <c r="W194" i="5"/>
  <c r="W209" i="5"/>
  <c r="W271" i="5"/>
  <c r="W124" i="5"/>
  <c r="W184" i="5"/>
  <c r="W189" i="5"/>
  <c r="W104" i="5"/>
  <c r="W245" i="5"/>
  <c r="W7" i="5"/>
  <c r="W69" i="5"/>
  <c r="W31" i="5"/>
  <c r="W49" i="5"/>
  <c r="W197" i="5"/>
  <c r="W265" i="5"/>
  <c r="W154" i="5"/>
  <c r="W80" i="5"/>
  <c r="W246" i="5"/>
  <c r="W13" i="5"/>
  <c r="W129" i="5"/>
  <c r="W210" i="5"/>
  <c r="W162" i="5"/>
  <c r="W234" i="5"/>
  <c r="W25" i="5"/>
  <c r="W115" i="5"/>
  <c r="W4" i="5"/>
  <c r="W50" i="5"/>
  <c r="W17" i="5"/>
  <c r="W229" i="5"/>
  <c r="W39" i="5"/>
  <c r="W12" i="5"/>
  <c r="W62" i="5"/>
  <c r="W75" i="5"/>
  <c r="W157" i="5"/>
  <c r="W99" i="5"/>
  <c r="W215" i="5"/>
  <c r="W126" i="5"/>
  <c r="W153" i="5"/>
  <c r="W170" i="5"/>
  <c r="W165" i="5"/>
  <c r="W192" i="5"/>
  <c r="W45" i="5"/>
  <c r="W248" i="5"/>
  <c r="W286" i="5"/>
  <c r="W183" i="5"/>
  <c r="W277" i="5"/>
  <c r="W237" i="5"/>
  <c r="W97" i="5"/>
  <c r="W173" i="5"/>
  <c r="W279" i="5"/>
  <c r="W206" i="5"/>
  <c r="W282" i="5"/>
  <c r="W243" i="5"/>
  <c r="W44" i="5"/>
  <c r="W122" i="5"/>
  <c r="W171" i="5"/>
  <c r="S137" i="5"/>
  <c r="V137" i="5"/>
  <c r="W149" i="5"/>
  <c r="W111" i="5"/>
  <c r="W212" i="5"/>
  <c r="W263" i="5"/>
  <c r="W244" i="5"/>
  <c r="W180" i="5"/>
  <c r="W10" i="5"/>
  <c r="W102" i="5"/>
  <c r="W191" i="5"/>
  <c r="W159" i="5"/>
  <c r="W133" i="5"/>
  <c r="W163" i="5"/>
  <c r="S112" i="5"/>
  <c r="V112" i="5"/>
  <c r="W259" i="5"/>
  <c r="W144" i="5"/>
  <c r="W36" i="5"/>
  <c r="W230" i="5"/>
  <c r="W207" i="5"/>
  <c r="W195" i="5"/>
  <c r="W5" i="5"/>
  <c r="W256" i="5"/>
  <c r="W285" i="5"/>
  <c r="W70" i="5"/>
  <c r="W140" i="5"/>
  <c r="W264" i="5"/>
  <c r="W251" i="5"/>
  <c r="S188" i="5"/>
  <c r="V188" i="5"/>
  <c r="W257" i="5"/>
  <c r="W107" i="5"/>
  <c r="W253" i="5"/>
  <c r="W100" i="5"/>
  <c r="W68" i="5"/>
  <c r="W274" i="5"/>
  <c r="W101" i="5"/>
  <c r="S136" i="5"/>
  <c r="V136" i="5"/>
  <c r="W81" i="5"/>
  <c r="W128" i="5"/>
  <c r="W200" i="5"/>
  <c r="S138" i="5"/>
  <c r="V138" i="5"/>
  <c r="V121" i="5"/>
  <c r="S121" i="5"/>
  <c r="W19" i="5"/>
  <c r="W61" i="5"/>
  <c r="W172" i="5"/>
  <c r="V114" i="5"/>
  <c r="S114" i="5"/>
  <c r="W125" i="5"/>
  <c r="W177" i="5"/>
  <c r="W103" i="5"/>
  <c r="W228" i="5"/>
  <c r="W59" i="5"/>
  <c r="W211" i="5"/>
  <c r="W220" i="5"/>
  <c r="W8" i="5"/>
  <c r="W276" i="5"/>
  <c r="W78" i="5"/>
  <c r="W182" i="5"/>
  <c r="W181" i="5"/>
  <c r="W11" i="5"/>
  <c r="W65" i="5"/>
  <c r="W42" i="5"/>
  <c r="V213" i="5"/>
  <c r="S213" i="5"/>
  <c r="W119" i="5"/>
  <c r="W46" i="5"/>
  <c r="W238" i="5"/>
  <c r="W57" i="5"/>
  <c r="W130" i="5"/>
  <c r="W33" i="5"/>
  <c r="W106" i="5"/>
  <c r="W261" i="5"/>
  <c r="W201" i="5"/>
  <c r="W87" i="5"/>
  <c r="W38" i="5"/>
  <c r="W143" i="5"/>
  <c r="W48" i="5"/>
  <c r="W58" i="5"/>
  <c r="S250" i="5"/>
  <c r="V250" i="5"/>
  <c r="W86" i="5"/>
  <c r="S169" i="5"/>
  <c r="V169" i="5"/>
  <c r="W95" i="5"/>
  <c r="W255" i="5"/>
  <c r="W281" i="5"/>
  <c r="W160" i="5"/>
  <c r="W85" i="5"/>
  <c r="W47" i="5"/>
  <c r="W132" i="5"/>
  <c r="W127" i="5"/>
  <c r="V142" i="5"/>
  <c r="S142" i="5"/>
  <c r="V120" i="5"/>
  <c r="S120" i="5"/>
  <c r="S167" i="5"/>
  <c r="V167" i="5"/>
  <c r="W269" i="5"/>
  <c r="W32" i="5"/>
  <c r="W22" i="5"/>
  <c r="W168" i="5"/>
  <c r="W98" i="5"/>
  <c r="W254" i="5"/>
  <c r="W284" i="5"/>
  <c r="W199" i="5"/>
  <c r="W131" i="5"/>
  <c r="W278" i="5"/>
  <c r="W71" i="5"/>
  <c r="W262" i="5"/>
  <c r="W252" i="5"/>
  <c r="W174" i="5"/>
  <c r="W216" i="5"/>
  <c r="W117" i="5"/>
  <c r="W105" i="5"/>
  <c r="W267" i="5"/>
  <c r="W161" i="5"/>
  <c r="S258" i="5"/>
  <c r="V258" i="5"/>
  <c r="W158" i="5"/>
  <c r="W232" i="5"/>
  <c r="W139" i="5"/>
  <c r="W275" i="5"/>
  <c r="W283" i="5"/>
  <c r="W113" i="5"/>
  <c r="W93" i="5"/>
  <c r="W116" i="5"/>
  <c r="W272" i="5"/>
  <c r="W231" i="5"/>
  <c r="W73" i="5"/>
  <c r="V185" i="5"/>
  <c r="S185" i="5"/>
  <c r="V135" i="5"/>
  <c r="S135" i="5"/>
  <c r="W164" i="5"/>
  <c r="W249" i="5"/>
  <c r="W63" i="5"/>
  <c r="W24" i="5"/>
  <c r="W6" i="5"/>
  <c r="V134" i="5"/>
  <c r="S134" i="5"/>
  <c r="W280" i="5"/>
  <c r="W233" i="5"/>
  <c r="W20" i="5"/>
  <c r="W223" i="5"/>
  <c r="V175" i="5"/>
  <c r="S175" i="5"/>
  <c r="AB17" i="5"/>
  <c r="AC17" i="5" s="1"/>
  <c r="AC4" i="5"/>
  <c r="AC5" i="5"/>
  <c r="AF17" i="5"/>
  <c r="AC8" i="5"/>
  <c r="AC9" i="5"/>
  <c r="R1" i="5"/>
  <c r="W3" i="5"/>
  <c r="W258" i="5" l="1"/>
  <c r="W137" i="5"/>
  <c r="W188" i="5"/>
  <c r="W185" i="5"/>
  <c r="W120" i="5"/>
  <c r="W114" i="5"/>
  <c r="W250" i="5"/>
  <c r="W138" i="5"/>
  <c r="W175" i="5"/>
  <c r="W167" i="5"/>
  <c r="W121" i="5"/>
  <c r="W213" i="5"/>
  <c r="W134" i="5"/>
  <c r="W135" i="5"/>
  <c r="W142" i="5"/>
  <c r="W169" i="5"/>
  <c r="W136" i="5"/>
  <c r="W112" i="5"/>
  <c r="AB8" i="5"/>
  <c r="AD8" i="5" s="1"/>
  <c r="AB4" i="5"/>
  <c r="AD4" i="5" s="1"/>
  <c r="AB9" i="5"/>
  <c r="AD9" i="5" s="1"/>
  <c r="AB5" i="5"/>
  <c r="AD5" i="5" s="1"/>
  <c r="AE17" i="5"/>
  <c r="AB10" i="5" l="1"/>
  <c r="AB13" i="5" s="1"/>
  <c r="BD295" i="5" s="1" a="1"/>
  <c r="BD295" i="5" s="1"/>
  <c r="BF295" i="5" s="1"/>
  <c r="AB6" i="5"/>
  <c r="AB12" i="5" s="1"/>
  <c r="BD96" i="5" l="1" a="1"/>
  <c r="BD96" i="5" s="1"/>
  <c r="BF96" i="5" s="1"/>
  <c r="BD151" i="5" a="1"/>
  <c r="BD151" i="5" s="1"/>
  <c r="BF151" i="5" s="1"/>
  <c r="BD133" i="5" a="1"/>
  <c r="BD133" i="5" s="1"/>
  <c r="BF133" i="5" s="1"/>
  <c r="BD65" i="5" a="1"/>
  <c r="BD65" i="5" s="1"/>
  <c r="BF65" i="5" s="1"/>
  <c r="BD27" i="5" a="1"/>
  <c r="BD27" i="5" s="1"/>
  <c r="BF27" i="5" s="1"/>
  <c r="BD95" i="5" a="1"/>
  <c r="BD95" i="5" s="1"/>
  <c r="BF95" i="5" s="1"/>
  <c r="BD144" i="5" a="1"/>
  <c r="BD144" i="5" s="1"/>
  <c r="BF144" i="5" s="1"/>
  <c r="BD124" i="5" a="1"/>
  <c r="BD124" i="5" s="1"/>
  <c r="BF124" i="5" s="1"/>
  <c r="BD130" i="5" a="1"/>
  <c r="BD130" i="5" s="1"/>
  <c r="BF130" i="5" s="1"/>
  <c r="BD78" i="5" a="1"/>
  <c r="BD78" i="5" s="1"/>
  <c r="BF78" i="5" s="1"/>
  <c r="BD147" i="5" a="1"/>
  <c r="BD147" i="5" s="1"/>
  <c r="BF147" i="5" s="1"/>
  <c r="BD150" i="5" a="1"/>
  <c r="BD150" i="5" s="1"/>
  <c r="BF150" i="5" s="1"/>
  <c r="BD55" i="5" a="1"/>
  <c r="BD55" i="5" s="1"/>
  <c r="BF55" i="5" s="1"/>
  <c r="BD121" i="5" a="1"/>
  <c r="BD121" i="5" s="1"/>
  <c r="BF121" i="5" s="1"/>
  <c r="BD100" i="5" a="1"/>
  <c r="BD100" i="5" s="1"/>
  <c r="BF100" i="5" s="1"/>
  <c r="BD209" i="5" a="1"/>
  <c r="BD209" i="5" s="1"/>
  <c r="BF209" i="5" s="1"/>
  <c r="BD158" i="5" a="1"/>
  <c r="BD158" i="5" s="1"/>
  <c r="BF158" i="5" s="1"/>
  <c r="BD155" i="5" a="1"/>
  <c r="BD155" i="5" s="1"/>
  <c r="BF155" i="5" s="1"/>
  <c r="BD183" i="5" a="1"/>
  <c r="BD183" i="5" s="1"/>
  <c r="BF183" i="5" s="1"/>
  <c r="BD154" i="5" a="1"/>
  <c r="BD154" i="5" s="1"/>
  <c r="BF154" i="5" s="1"/>
  <c r="BD182" i="5" a="1"/>
  <c r="BD182" i="5" s="1"/>
  <c r="BF182" i="5" s="1"/>
  <c r="BD232" i="5" a="1"/>
  <c r="BD232" i="5" s="1"/>
  <c r="BF232" i="5" s="1"/>
  <c r="BD175" i="5" a="1"/>
  <c r="BD175" i="5" s="1"/>
  <c r="BF175" i="5" s="1"/>
  <c r="BD165" i="5" a="1"/>
  <c r="BD165" i="5" s="1"/>
  <c r="BF165" i="5" s="1"/>
  <c r="BD214" i="5" a="1"/>
  <c r="BD214" i="5" s="1"/>
  <c r="BF214" i="5" s="1"/>
  <c r="BD163" i="5" a="1"/>
  <c r="BD163" i="5" s="1"/>
  <c r="BF163" i="5" s="1"/>
  <c r="AF12" i="5"/>
  <c r="BO3" i="5" s="1"/>
  <c r="AD16" i="5"/>
  <c r="BI1" i="5"/>
  <c r="AD15" i="5"/>
  <c r="AF13" i="5"/>
  <c r="BP3" i="5" s="1"/>
  <c r="BI2" i="5"/>
  <c r="AB16" i="5"/>
  <c r="AC16" i="5" s="1"/>
  <c r="AD18" i="5" l="1"/>
  <c r="BR3" i="5"/>
  <c r="AB19" i="5"/>
  <c r="AB20" i="5" s="1"/>
  <c r="AC20" i="5" s="1"/>
  <c r="BD1" i="5"/>
  <c r="V2" i="5" a="1"/>
  <c r="V2" i="5" s="1"/>
  <c r="X2" i="5" s="1"/>
  <c r="AC19" i="5" l="1"/>
  <c r="W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<sst xmlns="http://schemas.openxmlformats.org/spreadsheetml/2006/main" count="8099" uniqueCount="1940">
  <si>
    <t>Date</t>
  </si>
  <si>
    <t>ISIN</t>
  </si>
  <si>
    <t>Weight</t>
  </si>
  <si>
    <t>Name</t>
  </si>
  <si>
    <t>Business Description</t>
  </si>
  <si>
    <t>Market</t>
  </si>
  <si>
    <t>Sector</t>
  </si>
  <si>
    <t>Long</t>
  </si>
  <si>
    <t>Short</t>
  </si>
  <si>
    <t>Net</t>
  </si>
  <si>
    <t>United States</t>
  </si>
  <si>
    <t>Information Technology</t>
  </si>
  <si>
    <t>N</t>
  </si>
  <si>
    <t>Industrials</t>
  </si>
  <si>
    <t>Consumer Discretionary</t>
  </si>
  <si>
    <t>US2264061068</t>
  </si>
  <si>
    <t>Median</t>
  </si>
  <si>
    <t>75th Percentile</t>
  </si>
  <si>
    <t>25th Percentile</t>
  </si>
  <si>
    <t>Materials</t>
  </si>
  <si>
    <t>Health Care</t>
  </si>
  <si>
    <t>Communication Services</t>
  </si>
  <si>
    <t>Consumer Staples</t>
  </si>
  <si>
    <t>Financials</t>
  </si>
  <si>
    <t>Energy</t>
  </si>
  <si>
    <t>Real Estate</t>
  </si>
  <si>
    <t>Utilities</t>
  </si>
  <si>
    <t>US70439P1084</t>
  </si>
  <si>
    <t>US78435P1057</t>
  </si>
  <si>
    <t>US2274831047</t>
  </si>
  <si>
    <t>US9706461053</t>
  </si>
  <si>
    <t>US2774614067</t>
  </si>
  <si>
    <t>US46571Y1073</t>
  </si>
  <si>
    <t>US76155X1000</t>
  </si>
  <si>
    <t>US65345N1063</t>
  </si>
  <si>
    <t>Avg Mkt Cap mn USD</t>
  </si>
  <si>
    <t>Median Mkt Cap mn USD</t>
  </si>
  <si>
    <t>Wtd. Avg Mkt Cap mn USD</t>
  </si>
  <si>
    <t>75th Percentile Mkt Cap mn USD</t>
  </si>
  <si>
    <t>25th Percentile Mkt Cap mn USD</t>
  </si>
  <si>
    <t>US74319N1000</t>
  </si>
  <si>
    <t>US89677Y1001</t>
  </si>
  <si>
    <t>US6420451089</t>
  </si>
  <si>
    <t>CRESY.O</t>
  </si>
  <si>
    <t>TPVG.K</t>
  </si>
  <si>
    <t>RIC</t>
  </si>
  <si>
    <t>Market Value</t>
  </si>
  <si>
    <t>US86614G1013</t>
  </si>
  <si>
    <t>PAY</t>
  </si>
  <si>
    <t>SEZL.O</t>
  </si>
  <si>
    <t>CCRN.O</t>
  </si>
  <si>
    <t>ACDC.O</t>
  </si>
  <si>
    <t>WLFC.O</t>
  </si>
  <si>
    <t>SMC</t>
  </si>
  <si>
    <t>AESI.K</t>
  </si>
  <si>
    <t>KODK.K</t>
  </si>
  <si>
    <t>IIIV.O</t>
  </si>
  <si>
    <t>RVMD.O</t>
  </si>
  <si>
    <t>NN.O</t>
  </si>
  <si>
    <t>Paymentus Holdings, Inc. is a provider of cloud-based bill payment technology and solutions for more than 1,900 billers and financial institutions across North America. The Company delivers its product suite through a technology stack. The Company's artificial intelligence (AI)-driven software-as-a-service (SaaS) platform provides a single-vendor solution. Its Instant Payment Network (IPN) connects IPN partners' platforms and various billers to its integrated billing, payment and reconciliation capabilities. Its platform for financial institutions reconnects the financial institutions to their customers by providing a real-time financial hub where consumers can consolidate their financial obligations, pay bills, move money in real time and improve their understanding of their own financial position. Its solution includes electronic bill presentment across numerous channels including Web, mobile, text, secure portable document format (PDF), email, interactive voice response and chatbot.</t>
  </si>
  <si>
    <t>Cross Country Healthcare, Inc. is a technology-enabled workforce solution and advisory company. It operates through two segments: Nurse and Allied Staffing and Physician Staffing. The Nurse and Allied Staffing segment provides traditional staffing, recruiting, and value-added total talent solutions, including temporary and permanent placement of travel and local nurse and allied professionals, and healthcare leaders within nursing, allied, physician, and human resources; vendor neutral programs and managed service programs (MSP); education healthcare services; in-home care services; and outsourcing services. The Physician Staffing segment provides physicians in many specialties, as well as certified registered nurse anesthetists, nurse practitioners, and physician assistants as independent contractors on temporary assignments throughout the United States at various healthcare facilities, such as acute and non-acute care facilities, government facilities and managed care organizations.</t>
  </si>
  <si>
    <t>ProFrac Holding Corp. is a technology-focused, vertically integrated energy services company. The Company is engaged in providing well stimulation services, proppants production and other complementary products and services to oil and gas companies engaged in the exploration and production (E&amp;P) of unconventional oil and natural gas resources throughout the United States. It has segments: stimulation services, proppant production and manufacturing. Its stimulation services segment owns and operates a fleet of mobile hydraulic fracturing units and other auxiliary equipment that generates revenue by providing stimulation services to its customers. Its proppant production segment provides proppant to oilfield service providers and E&amp;P companies. Its manufacturing segment sells highly engineered, tight tolerance machined, assembled, and factory tested products, such as high horsepower pumps, valves, piping, swivels, large-bore manifold systems and fluid ends.</t>
  </si>
  <si>
    <t>Willis Lease Finance Corporation, along with its subsidiaries, is a lessor and servicer of commercial aircraft and aircraft engines. The Company operates through two segments: Leasing and Related Operations, and Spare Parts Sales. The Leasing and Related Operations segment involves acquiring and leasing, primarily pursuant to operating leases, commercial aircraft, aircraft engines and other aircraft equipment and the selective purchase and resale of commercial aircraft engines and other aircraft equipment and other related businesses. The Spare Parts Sales segment involves the purchase and resale of after-market engine parts, whole engines, engine modules and portable aircraft components. The Spare Parts Sales segment also enables the Company to provide end-of-life solutions for surplus aircraft and engines, as well as manage the full lifecycle of its lease assets. Its subsidiaries include WEST Engine Funding LLC, Willis Aeronautical Services, Inc. and Willis Asset Management Limited.</t>
  </si>
  <si>
    <t>TriplePoint Venture Growth BDC Corp. is an externally managed, closed-end, non-diversified management investment company that operates as a business development company. It is focused on providing customized debt financing with warrants and direct equity investments to venture growth stage companies in technology and other high growth industries backed by a select group of venture capital firms. Its investment objective is to maximize its total return to stockholders primarily in the form of current income and, to a lesser extent, capital appreciation by lending primarily with warrants to venture growth stage companies focused on technology and other high growth industries backed by TriplePoint Capital LLC (TPC) select group of leading venture capital investors. TPC is a Sand Hill Road-based global investment platform, which provides customized debt financing, leasing, direct equity investments and other complementary solutions. Its investment adviser is TriplePoint Advisers LLC.</t>
  </si>
  <si>
    <t>Eastman Kodak Company is a manufacturer focused on commercial print and advanced materials and chemicals. It operates through three segments: Print, Advanced Materials and Chemicals, and Brand. The Print segment is comprised of five lines of business: the Prepress Solutions business, the PROSPER business, the Software business, the Electrophotographic Printing Solutions business and the VERSAMARK business. Print segment products include digital offset plate offerings and computer-to-plate imaging solutions, digital printing solutions using electrically charged toner-based technology, production press systems, consumables (primarily ink), inkjet components, software and services. Its Advanced Materials and Chemicals segment is comprised of four lines of business: Industrial Film and Chemicals business, Motion Picture business, Advanced Materials and Functional Printing business, and the Licensing and Analytical Services business. The Brand segment contains the brand licensing business.</t>
  </si>
  <si>
    <t>NextNav Inc. (NextNav) is engaged in delivering positioning, navigation, and timing (PNT) solutions that overcome the limitations of the existing space-based global positioning system (GPS). NextNav delivers differentiated PNT solutions through its network-based Pinnacle and TerraPoiNT solutions. Pinnacle is its z-axis service, a vertical positioning network to cover the entire metropolitan area. Its Pinnacle system provides accurate altitude service to any device with a barometric pressure sensor, including most off-the-shelf Android and iOS smartphones, appropriately specified internet of things (IOT) devices, as well as vehicles and other equipment. TerraPoiNT system is a terrestrial-based, encrypted network designed to overcome the limitations inherent in the space-based nature of GPS. It also provides advanced geolocation solutions to IoT modem and digital signal processor vendors and end IoT users. Its customers include wireless carriers, applications developers, and others.</t>
  </si>
  <si>
    <t>Total Country</t>
  </si>
  <si>
    <t>86614G101</t>
  </si>
  <si>
    <t>89677Y100</t>
  </si>
  <si>
    <t>CUSIP</t>
  </si>
  <si>
    <t>CGS Position</t>
  </si>
  <si>
    <t>Total Sector</t>
  </si>
  <si>
    <t>US00436Q1067</t>
  </si>
  <si>
    <t>United States of America</t>
  </si>
  <si>
    <t>ACEL.K</t>
  </si>
  <si>
    <t>Accel Entertainment Inc</t>
  </si>
  <si>
    <t>Sezzle Inc</t>
  </si>
  <si>
    <t>Triplepoint Venture Growth BDC Corp</t>
  </si>
  <si>
    <t>I3 Verticals Inc</t>
  </si>
  <si>
    <t>Summit Midstream Corp</t>
  </si>
  <si>
    <t>Eastman Kodak Co</t>
  </si>
  <si>
    <t>Willis Lease Finance Corp</t>
  </si>
  <si>
    <t>226406106</t>
  </si>
  <si>
    <t>Cresud SACIF y A</t>
  </si>
  <si>
    <t>CRESUD ADR REP 10 ORD</t>
  </si>
  <si>
    <t>SEZZLE ORD</t>
  </si>
  <si>
    <t>EASTMAN KODAK ORD</t>
  </si>
  <si>
    <t>I3 VERTICALS CL A ORD</t>
  </si>
  <si>
    <t>ATLAS ENERGY SOLUTIONS ORD</t>
  </si>
  <si>
    <t>NEXTNAV ORD</t>
  </si>
  <si>
    <t>PROFRAC HOLDING CL A ORD</t>
  </si>
  <si>
    <t>REVOLUTION MEDICINES ORD</t>
  </si>
  <si>
    <t>SUMMIT MIDSTREAM ORD</t>
  </si>
  <si>
    <t>TRIPLEPOINT VENTURE GROWTH BDC ORD</t>
  </si>
  <si>
    <t>WILLS LEASE FINANCE ORD</t>
  </si>
  <si>
    <t>Country</t>
  </si>
  <si>
    <t>Price</t>
  </si>
  <si>
    <t>Quantity</t>
  </si>
  <si>
    <t>New Portfolio (Vinesh)</t>
  </si>
  <si>
    <t>New Weight</t>
  </si>
  <si>
    <t>Diff</t>
  </si>
  <si>
    <t>Current Weight</t>
  </si>
  <si>
    <t>Close</t>
  </si>
  <si>
    <t>New</t>
  </si>
  <si>
    <t>Re-Size</t>
  </si>
  <si>
    <t>Revolution Medicines, Inc. is a clinical-stage oncology company developing novel targeted therapies for RAS-addicted cancers. The Company’s research and development pipeline comprises RAS(ON) inhibitors that bind directly to RAS variants, which it refers to as RAS(ON) Inhibitors, and RAS companion inhibitors that target key nodes in the RAS pathway or associated pathways, which it refers to as RAS Companion Inhibitors. Its RAS(ON) Inhibitors are designed to be used as monotherapy, in combination with other RAS(ON) Inhibitors and/or in combination with RAS Companion Inhibitors or other therapeutic agents. Its RAS Companion Inhibitors are designed primarily for combination treatment strategies centered on its RAS(ON) Inhibitors. The Company’s RAS(ON) Inhibitors RMC-6236 RMC-6291 and RMC-9805 are in clinical development. RMC-6236, its RASMULTI(ON) inhibitor, is designed as a potent, oral, RAS-selective tri-complex inhibitor of multiple RAS(ON) variants, including cancer drivers.</t>
  </si>
  <si>
    <t>Sezzle Inc. is a fintech company. The Company’s payment platform increases the purchasing power of consumers by offering interest-free installment plans at online stores and select in-store locations. Its payment options allow consumers to take control over their spending. Its digital payments platform allows merchants to offer their consumers a flexible alternative to traditional credit. Its Sezzle Platform offers a payments solution for consumers that instantly extends credit at the point-of-sale, allowing consumers to purchase and receive the ordered merchandise at the time of sale while paying in installments over time. The Sezzle Platform flagship product, pay-in-four, allows consumers to pay a fourth of the purchase price up front, and then another fourth of the purchase price every two weeks thereafter over a total of six weeks. Its Sezzle Virtual Card allows consumers to access the Sezzle Platform in the form of close-end installment loans and shop with merchants.</t>
  </si>
  <si>
    <t>itemname=TR.BusinessSummary</t>
  </si>
  <si>
    <t>Portfolio</t>
  </si>
  <si>
    <t>AUM</t>
  </si>
  <si>
    <t>Avg. Weight</t>
  </si>
  <si>
    <t>Close: Longs</t>
  </si>
  <si>
    <t>Close: Shorts</t>
  </si>
  <si>
    <t>Market Cap
(mn USD)</t>
  </si>
  <si>
    <t xml:space="preserve">Open: Longs </t>
  </si>
  <si>
    <t xml:space="preserve">Open: Shorts </t>
  </si>
  <si>
    <t>Kill: Opposite</t>
  </si>
  <si>
    <t>Kill: Country</t>
  </si>
  <si>
    <t>Kill:
Total</t>
  </si>
  <si>
    <t>Check</t>
  </si>
  <si>
    <t>Day 0</t>
  </si>
  <si>
    <t>CGS buys</t>
  </si>
  <si>
    <t>Day 1</t>
  </si>
  <si>
    <t>Vinesh recommends short</t>
  </si>
  <si>
    <t>We close our CGS position and go short</t>
  </si>
  <si>
    <t>Day 2</t>
  </si>
  <si>
    <t>Vinesh conitnues short</t>
  </si>
  <si>
    <t>Day 3</t>
  </si>
  <si>
    <t>We remove the stock from our long book</t>
  </si>
  <si>
    <t>Day 4</t>
  </si>
  <si>
    <t>Vinesh recommends close short</t>
  </si>
  <si>
    <t>We close short</t>
  </si>
  <si>
    <t>Day 7</t>
  </si>
  <si>
    <t>Don't record history and score based on merit</t>
  </si>
  <si>
    <t>Size up</t>
  </si>
  <si>
    <t>ACCEL ENTERTAINMENT CL A 1 ORD</t>
  </si>
  <si>
    <t>Re-Size ($)</t>
  </si>
  <si>
    <t>Re-Size (Qt)</t>
  </si>
  <si>
    <t>Re-Size: Sells</t>
  </si>
  <si>
    <t>Re-Size: Buy</t>
  </si>
  <si>
    <t>Extra Re-Size Longs</t>
  </si>
  <si>
    <t>Re-Size: BuyToCover</t>
  </si>
  <si>
    <t>Re-Size: SellShort</t>
  </si>
  <si>
    <t>Extra Re-Size Shorts</t>
  </si>
  <si>
    <t>Effective Weight</t>
  </si>
  <si>
    <t>New Opening: Longs</t>
  </si>
  <si>
    <t>New Opening: Shorts</t>
  </si>
  <si>
    <t>Total Traded</t>
  </si>
  <si>
    <t>Total Deployed</t>
  </si>
  <si>
    <t>Total Unsized Traded</t>
  </si>
  <si>
    <t>Threshold</t>
  </si>
  <si>
    <t xml:space="preserve">New Position Oversized </t>
  </si>
  <si>
    <t>Number of trades</t>
  </si>
  <si>
    <t>Annual Estimate</t>
  </si>
  <si>
    <t>Close Trade</t>
  </si>
  <si>
    <t>Close (Qt)</t>
  </si>
  <si>
    <t>Mkt Cap (mn USD)</t>
  </si>
  <si>
    <t>Accel Entertainment, Inc. is a distributed gaming operator in the United States and a partner for local business owners in the markets it serves. The Company offers turnkey full-service gaming solutions to authorized non-casino locations such as bars, restaurants, convenience stores, truck stops, and fraternal and veteran establishments across the country. The Company installs, maintains, operates and services gaming terminals and related equipment for its location partners as well as redemption devices, stand-alone ATMs and amusement devices, including jukeboxes, dartboards, pool tables, and other entertainment related equipment. It also designs and manufactures gaming terminals and related equipment. It is an operator and owner of multiple licensed video poker establishments (Toucan Gaming) in Louisiana. The Company's operations include Illinois, Montana, Nevada, Nebraska, Georgia, Iowa, and Pennsylvania. Its brands include Century Gaming, Grand Vision Gaming and Bulldog Gaming.</t>
  </si>
  <si>
    <t>New Trade</t>
  </si>
  <si>
    <t>New (Qt)</t>
  </si>
  <si>
    <t>Dollar Traded</t>
  </si>
  <si>
    <t xml:space="preserve">Commisions: Daily &amp; Annualized </t>
  </si>
  <si>
    <t>Target Long</t>
  </si>
  <si>
    <t>Target Short</t>
  </si>
  <si>
    <t>Actual Long</t>
  </si>
  <si>
    <t>Actual Short</t>
  </si>
  <si>
    <t>US4005011022</t>
  </si>
  <si>
    <t>OMAB.O</t>
  </si>
  <si>
    <t>Grupo Aeroportuario del Centro Norte SAB de CV</t>
  </si>
  <si>
    <t>Cresud SACIF y A is an Argentina-based company engaged mainly in the agricultural sector engaged in the production of basic agricultural commodities with a growing presence in the agricultural sector of Argentina and Brazil as well as in other Latin American countries. The Business segments focus on acquiring, developing and exploiting agricultural properties accommodating farming activities, cattle raising, including a meat packing plant as well as grains and sugarcane production. The Company's acquisition, development and exploitation of agricultural properties allow for selective sale and leasing land to third parties that perform agency and agro-industrial services. Also known as Cresud Inc. is also directly and indirectly engaged in the real estate business through IRSA and its subsidiaries and joint ventures, including development, acquisition and operation of shopping malls, offices, and luxury hotels in Argentina.</t>
  </si>
  <si>
    <t>GRUPO ARPRTUR DL ADR REP 8 SRS B ORD</t>
  </si>
  <si>
    <t>Kill:
Manual</t>
  </si>
  <si>
    <t>US5288771034</t>
  </si>
  <si>
    <t>LX.O</t>
  </si>
  <si>
    <t>LEXINFINTECH HOLDINGS ADR</t>
  </si>
  <si>
    <t>US1999081045</t>
  </si>
  <si>
    <t>FIX</t>
  </si>
  <si>
    <t>COMFORT SYSTEMS USA ORD</t>
  </si>
  <si>
    <t>Lexinfintech Holdings Ltd is a company principally engaged in the provision of consumer finance technology services. The Company's main business is to apply technologies including AI and big data to form an online risk assessment and management system based on quantitative decision-making. Leveraging Lexin's unique consumption ecosystem that integrates online consumer financing, offline inclusive financing, fintech SaaS services, and e-commerce platforms. The Company is mainly engaged in connecting financial institutions with consumers through technology and financial services, offering finance services to young generation consumer. The Company mainly conducts its businesses in the Chinese market.</t>
  </si>
  <si>
    <t>Comfort Systems USA, Inc. provides mechanical and electrical contracting services. The Company operates through two segments: Mechanical and Electrical. The Mechanical segment principally includes heating, ventilation and air conditioning (HVAC), plumbing, piping and controls, as well as off-site construction, monitoring and fire protection. This segment also installs connecting and distribution elements, such as piping and ducting. The Electrical segment includes installation and servicing of electrical systems. The Company builds, installs, maintains, repairs and replaces mechanical, electrical and plumbing (MEP) systems throughout its approximately 44 operating units at 172 locations across the United States. It is also engaged in offering engineering, design-assist and turnkey, direct hire construction services of modular systems serving the advanced technology, power and industrial sectors. It also provides mechanical construction services to the commercial and industrial sectors.</t>
  </si>
  <si>
    <t>US69888T2078</t>
  </si>
  <si>
    <t>US1375861036</t>
  </si>
  <si>
    <t>US14843C1053</t>
  </si>
  <si>
    <t>PARR.K</t>
  </si>
  <si>
    <t>Par Pacific Holdings Inc</t>
  </si>
  <si>
    <t>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t>
  </si>
  <si>
    <t>Comfort Systems USA Inc</t>
  </si>
  <si>
    <t>Lexinfintech Holdings Ltd</t>
  </si>
  <si>
    <t>CANG.K</t>
  </si>
  <si>
    <t>CSTL.O</t>
  </si>
  <si>
    <t>Castle Biosciences Inc</t>
  </si>
  <si>
    <t>Castle Biosciences, Inc. is a commercial-stage diagnostics company. The Company is focused on providing physicians and their patients with personalized, clinically actionable information to clinicians and their patients to inform treatment decisions and improve health outcomes. Its portfolio consists of tests for skin cancers, uveal melanoma, Barretts esophagus and mental health conditions. Its products include DecisionDx-Melanoma, DecisionDx-SCC, MyPath Melanoma, TissueCypher, and DecisionDx-UM, IDgenetix. DecisionDx-Melanoma is a risk stratification gene expression profile (GEP) test that predicts the risk of metastasis, or recurrence, for patients diagnosed with invasive cutaneous melanoma (CM), a deadly skin cancer. MyPath Melanoma is GEP test offering for patients with difficult-to-diagnose melanocytic lesions. IDgenetix is pharmacogenomics (PGx) test that helps to guide optimal drug treatment for patients diagnosed with major depressive disorder, bipolar disorder, and other.</t>
  </si>
  <si>
    <t>CASTLE BIOSCIENCES ORD</t>
  </si>
  <si>
    <t>CANGO ADS REP 2 CL A ORD</t>
  </si>
  <si>
    <t>US31810T1016</t>
  </si>
  <si>
    <t>US8789721086</t>
  </si>
  <si>
    <t>US22663K1079</t>
  </si>
  <si>
    <t>FINV.K</t>
  </si>
  <si>
    <t>FinVolution Group</t>
  </si>
  <si>
    <t>FinVolution Group, formerly PPDAI GROUP INC, is a China-based company mainly engaged in operating an online consumer finance platform. The Company’s products and services include loan services offered to borrowers, investment services offered to individual investors and institutional funding partners. The loan services offered to borrowers include standard loan products, consumption loan products and other loan products. The investment services offered to individual investors include self-discretionary investing tools, automated investing tools, investment programs and a secondary loan market. The Company also introduces borrowers to institutional funding partners and provides preliminary credit assessment services as well as other services.</t>
  </si>
  <si>
    <t>TECX.O</t>
  </si>
  <si>
    <t>878972108</t>
  </si>
  <si>
    <t>Tectonic Therapeutic Inc</t>
  </si>
  <si>
    <t>Tectonic Therapeutic, Inc. is a biotechnology company. The Company is focused on the discovery and development of therapeutic proteins and antibodies that modulate the activity of G-protein coupled receptors (GPCRs). Leveraging its technology platform called GEODe (GPCRs Engineered for Optimal Discovery), the Company is focused on developing biologic medicines that overcome the existing challenges of GPCR-targeted drug discovery and harness the human body to modify the course of disease. The Company’s lead program, TX000045 (TX45), is an Fc-relaxin fusion molecule that activates the RXFP1 receptor, the GPCR target of the hormone relaxin. TX45 is being evaluated in Phase Ia/Ib clinical trials as a potential treatment for Group 2 Pulmonary Hypertension with Heart Failure with Preserved Ejection Fraction (HFpEF). Its second program addresses Hereditary Hemorrhagic Telangiectasia (HHT).</t>
  </si>
  <si>
    <t>CRNX.O</t>
  </si>
  <si>
    <t>Crinetics Pharmaceuticals Inc</t>
  </si>
  <si>
    <t>Crinetics Pharmaceuticals, Inc. is a clinical-stage pharmaceutical company focused on the discovery, development and commercialization of therapeutics for rare endocrine diseases and endocrine-related tumors. Its Paltusotine, an investigational, oral somatostatin receptor type 2 (SST2) agonist, is in Phase 3 clinical development for acromegaly and Phase 2 clinical development for carcinoid syndrome associated with neuroendocrine tumors. It has demonstrated pharmacologic proof-of-concept in a Phase 1 clinical study for CRN04894, an investigational, oral ACTH antagonist, that is in Phase 2 clinical studies for the treatment of congenital adrenal hyperplasia and Cushing's disease. Its drug candidates are orally delivered, small molecule new chemical entities resulting from in-house drug discovery efforts, including other programs addressing a variety of endocrine conditions such as hyperparathyroidism, polycystic kidney disease, Graves' disease, thyroid eye disease, diabetes and obesity.</t>
  </si>
  <si>
    <t>FINVOLUTION GROUP ADR</t>
  </si>
  <si>
    <t>TECTONIC THERAPEUTIC ORD</t>
  </si>
  <si>
    <t>CRINETICS PHARMACEUTICALS ORD</t>
  </si>
  <si>
    <t>Summit Midstream Corporation is focused on developing, owning and operating midstream energy infrastructure assets that are strategically located in the core producing areas of unconventional resource basins, primarily shale formations, in the continental United States. The Company provides natural gas, crude oil and produced water gathering, processing and transportation services pursuant to primarily long-term, fee-based agreements with customers and counterparties in five unconventional resource basins: Williston Basin, which includes the Bakken and Three Forks shale formations in North Dakota; Denver-Julesburg Basin, which includes the Niobrara and Codell shale formations in Colorado and Wyoming; Fort Worth Basin, which includes the Barnett Shale formation in Texas; the Arkoma Basin, which includes the Woodford and Caney shale formations in Oklahoma, and Piceance Basin, which includes the Mesaverde formation as well as the Mancos and Niobrara shale formations in Colorado.</t>
  </si>
  <si>
    <t>US7665597024</t>
  </si>
  <si>
    <t>US5949724083</t>
  </si>
  <si>
    <t>RIGL.O</t>
  </si>
  <si>
    <t>Rigel Pharmaceuticals Inc</t>
  </si>
  <si>
    <t>Rigel Pharmaceuticals, Inc. is a biotechnology company. The Company is engaged in developing and providing novel therapies that significantly improve the lives of patients with hematologic disorders and cancer. It is focused on products that address signaling pathways that are critical to disease mechanisms. Its first product is TAVALISSE (fostamatinib disodium hexahydrate) tablets, the approved oral spleen tyrosine kinase inhibitor for the treatment of adult patients with chronic immune thrombocytopenia (ITP) who have had an insufficient response to a previous treatment. Its second product is REZLIDHIA (olutasidenib) capsules for the treatment of adult patients with relapsed or refractory (R/R) acute myeloid leukemia (AML) with a susceptible isocitrate dehydrogenase-1 (IDH1) mutation as detected by an FDA-approved test. Its GAVRETO (pralsetinib) product is a once daily, small molecule, oral, kinase inhibitor of wild type rearranged during transfection (RET) and oncogenic RET fusions.</t>
  </si>
  <si>
    <t>MSTR.O</t>
  </si>
  <si>
    <t>Microstrategy Inc</t>
  </si>
  <si>
    <t>Avg. Delta</t>
  </si>
  <si>
    <t>Output 1</t>
  </si>
  <si>
    <t>Output 2</t>
  </si>
  <si>
    <t>Data &gt; WhatIf &gt; DataTable &gt; Column = Q2</t>
  </si>
  <si>
    <t>RIGEL PHARMACEUTICALS ORD</t>
  </si>
  <si>
    <t>MICROSTRATEGY CL A ORD</t>
  </si>
  <si>
    <t>US9314271084</t>
  </si>
  <si>
    <t>WBA.O</t>
  </si>
  <si>
    <t>Walgreens Boots Alliance Inc</t>
  </si>
  <si>
    <t>i3 Verticals, Inc. builds, acquires and grows software solutions in the public sector and healthcare vertical markets. Its segments include Public Sector and Healthcare, and an Other category. The Public Sector segment include products and solutions that create an efficient flow of information throughout a variety of public sector entities. Its five sub-verticals within the Public Sector vertical include JusticeTech and Public Safety, Transportation, Utilities, Enterprise Resource Planning, and Education. It delivers integrated payments with its proprietary payment facilitator platform throughout many of these products. The Healthcare segment is a provider of software Solutions, which include products, such as care delivery platform, which includes a range of solutions, including practice management tools, patient engagement applications, and patient payment solutions. Its Payer software solutions include solutions for managing compliance requirements, including appeals and grievance.</t>
  </si>
  <si>
    <t>WALGREEN BOOTS ALLIANCE ORD</t>
  </si>
  <si>
    <t>US32026V1044</t>
  </si>
  <si>
    <t>FFWM.K</t>
  </si>
  <si>
    <t>FIRST FOUNDATION ORD</t>
  </si>
  <si>
    <t>First Foundation Inc. is a financial services company that provides a comprehensive platform of financial services to individuals, businesses, and other organizations. The Company and its subsidiaries offer personal banking, business banking, and private wealth management services, including investment, trust, insurance, and philanthropy services. Its comprehensive platform of financial services is designed to help each client at any stage in their financial journey. It operates through two segments: Banking and Investment Management and Wealth Planning (Wealth Management). The Banking segment includes the operations of First Foundation Bank (FFB), First Foundation Insurance Services (FFIS), First Foundation Public Finance (FFPF), and Blue Moon Management LLC. The Wealth Management segment includes the operations of First Foundation Advisors (FFA). Through FFB, it offers a range of loan products, deposit products, treasury management products and services, and trust services.</t>
  </si>
  <si>
    <t>CA98420N1050</t>
  </si>
  <si>
    <t>US1523091007</t>
  </si>
  <si>
    <t>First Foundation Inc</t>
  </si>
  <si>
    <t>XENE.O</t>
  </si>
  <si>
    <t>Xenon Pharmaceuticals Inc</t>
  </si>
  <si>
    <t>Xenon Pharmaceuticals Inc. is a Canada-based neuroscience-focused biopharmaceutical company committed to discovering, developing, and commercializing therapeutics to improve the lives of people living with neurological and psychiatric disorders. The Company is advancing a novel product pipeline to address areas of high unmet medical need, including epilepsy and depression. Azetukalner, the Company's lead Kv7 channel opener, represents the most advanced, clinically validated potassium channel modulator in late-stage clinical development for multiple indications. Azetukalner is being developed for the treatment of epilepsy, including focal onset seizures (FOS) and primary generalized tonic-clonic seizures (PGTCS) as well as major depressive disorder (MDD). The Company is evaluating multiple therapeutic candidates targeting Kv7, Nav1.7, and Nav1.1 across various indications. It has an ongoing collaboration with Neurocrine Biosciences, Inc. to develop treatments for epilepsy.</t>
  </si>
  <si>
    <t>CNTA.O</t>
  </si>
  <si>
    <t>Centessa Pharmaceuticals plc is a United Kingdom-based clinical-stage pharmaceutical company. Its advanced programs include a hemophilia program, an orexin agonist program for the treatment of narcolepsy and other sleep-wake disorders, and an immuno-oncology program focused on its LockBody technology platform. SerpinPC, its advanced product candidate, is an investigational, potentially first-in-class subcutaneously administered novel inhibitor of activated protein C for hemophilia. Its Orexin Receptor 2 (OX2R) Agonist Program includes ORX750, which is an investigational, orally administered, selective OX2R agonist designed to directly target the underlying pathophysiology of orexin neuron loss in narcolepsy type 1 and to address sleep-wake disorders with normal orexin levels such as narcolepsy type 2 and idiopathic hypersomnia. It is also exploring follow-up orexin agonists for potential expansion opportunities into a range of sleep-wake disorders and broader neurological indications.</t>
  </si>
  <si>
    <t>XENON PHARMACEUTICALS ORD</t>
  </si>
  <si>
    <t>CENTESSA PHARMACEUTICALS ADR</t>
  </si>
  <si>
    <t>US1567271093</t>
  </si>
  <si>
    <t>US2210151005</t>
  </si>
  <si>
    <t>US4967191051</t>
  </si>
  <si>
    <t>US75644T1007</t>
  </si>
  <si>
    <t>US35953C1062</t>
  </si>
  <si>
    <t>CRNC.O</t>
  </si>
  <si>
    <t>Cerence Inc</t>
  </si>
  <si>
    <t>CRVS.O</t>
  </si>
  <si>
    <t>Corvus Pharmaceuticals Inc</t>
  </si>
  <si>
    <t>Corvus Pharmaceuticals, Inc. is a clinical-stage biopharmaceutical company. The Company is focused on the development of ITK inhibition as a new approach to immunotherapy for a range of cancer and immune diseases. Its lead product candidate is soquelitinib, a selective, covalent inhibitor of ITK (interleukin 2 inducible T cell kinase) and is in a multi-center Phase 1/1b clinical trial in patients with various recurrent, malignant T cell lymphomas. Soquelitinib is designed to inhibit the proliferation of certain malignant T cells. Its second product candidate, ciforadenant, is an oral, small molecule antagonist of the A2A receptor for adenosine designed to disable a tumor’s ability to subvert attack by the immune system by blocking the binding of immunosuppressive adenosine in the tumor microenvironment to the A2A receptor. The Company’s third product candidate is mupadolimab, a humanized monoclonal antibody that is designed to react with a specific site on CD73.</t>
  </si>
  <si>
    <t>KINS.O</t>
  </si>
  <si>
    <t>Kingstone Companies Inc</t>
  </si>
  <si>
    <t>Kingstone Companies, Inc. is a northeast regional property and casualty insurance holding company whose principal operating subsidiary is Kingstone Insurance Company (KICO). KICO is a carrier writing business through retail and wholesale agents and brokers. KICO is engaged in writing personal lines and commercial auto insurance in New York. KICO is also licensed in New Jersey, Rhode Island, Massachusetts, Connecticut, Pennsylvania, New Hampshire, and Maine. In addition, through its subsidiary, Cosi Agency, Inc. (Cosi), a multi-state licensed general agency, it accesses alternative distribution channels. Its product lines include personal lines, livery physical damage, and other. Personal lines consist of homeowners, dwelling fire, cooperative/condominium, renters, and personal umbrella policies. The Company writes for-hire vehicle physical damage only policies for livery and car service vehicles and taxicabs. The Company also writes canine legal liability policies.</t>
  </si>
  <si>
    <t>Red Cat Holdings Inc</t>
  </si>
  <si>
    <t>FIP.O</t>
  </si>
  <si>
    <t>FTAI Infrastructure Inc. is in the business of acquiring, developing and operating assets and businesses that represent critical infrastructure for customers in the transportation, energy and industrial products industries. Its Railroad segment is comprised of over six freight railroads and one switching company that provide rail service to certain manufacturing and production facilities; Jefferson Terminal segment consists of a multi-modal crude oil and refined products terminal and other related assets; Repauno segment consists of deep-water port located along the Delaware River with an underground storage cavern, a multipurpose dock, and a rail-to-ship transloading system; Power and Gas segment is comprised of an equity method investment in Long Ridge, which is a multi-modal port located along the Ohio River with rail, dock and multiple industrial development opportunities, and Sustainability and Energy Transition segment is comprised of Aleon/Gladieux, Clean Planet and CarbonFree.</t>
  </si>
  <si>
    <t>CERENCE ORD</t>
  </si>
  <si>
    <t>CORVUS PHARMACEUTICALS ORD</t>
  </si>
  <si>
    <t>KINGSTONE COMPANIES ORD</t>
  </si>
  <si>
    <t>FTAI INFRASTRUCTURE ORD</t>
  </si>
  <si>
    <t>US04016X1019</t>
  </si>
  <si>
    <t>US82686Q1013</t>
  </si>
  <si>
    <t>US5657881067</t>
  </si>
  <si>
    <t>ARGX.O</t>
  </si>
  <si>
    <t>SLN.O</t>
  </si>
  <si>
    <t>82686Q101</t>
  </si>
  <si>
    <t>Silence Therapeutics PLC</t>
  </si>
  <si>
    <t>Silence Therapeutics plc is a United Kingdom-based biotechnology company. The Company is developing medicines by harnessing the body's natural mechanism of RNA interference, or RNAi, to inhibit the expression of specific target genes. The Company's mRNAi GOLD (GalNAc Oligonucleotide Discovery) platform can be used to create siRNAs (short interfering RNAs) that precisely target and silence disease-associated genes in the liver. Its wholly owned product candidates include zerlasiran (SLN360), which is designed to address the high and prevalent unmet medical need in reducing cardiovascular risk in people born with high levels of lipoprotein (a), and SLN124, which is designed to address hematological diseases. It also maintains ongoing research and development collaborations with AstraZeneca, Mallinckrodt Pharmaceuticals and Hansoh Pharma, among others. These collaborations collectively represent up to 16 pipeline programs. Its other pipeline products include SLN-HAN-1 and SLN-HAN-2.</t>
  </si>
  <si>
    <t>MARA.O</t>
  </si>
  <si>
    <t>MARA Holdings Inc</t>
  </si>
  <si>
    <t>MARA Holdings Inc, formerly Marathon Digital Holdings, Inc. is a digital asset compute that develops and deploys technologies. The Company’s digital asset compute portfolio spans multiple states and countries. It manages large grid-connected deployments that reduce energy waste and inefficiencies, as well as small, dispersed deployments that transform stranded or wasted energy resources into more productive and sustainable assets. Its technologies include 2PIC by MARA, MARAFW, MARA SLIPSTREAM, ANDURO, and ALYS. The Company’s 2PIC by MARA is a next generation of immersion cooling technology. MARATools provides a streamlined process for firmware installation, configuration, and management of ASICs. Anduro is a multi-sidechain platform on bitcoin. ALYS is a bitcoin sidechain where builders can use Ethereum smart contracts. The Company’s digital asset compute portfolio approximately 265,000 operational miners.</t>
  </si>
  <si>
    <t>SILENCE THERAPEUTICS ADR REP 3 ORD</t>
  </si>
  <si>
    <t>MARA HOLDINGS ORD</t>
  </si>
  <si>
    <t>Revolution Medicines Inc</t>
  </si>
  <si>
    <t>NextNav Inc</t>
  </si>
  <si>
    <t>US1564311082</t>
  </si>
  <si>
    <t>CENX.O</t>
  </si>
  <si>
    <t>Century Aluminum Company is a global producer of primary aluminum and operates aluminum reduction facilities, or smelters. The Company operates in the United States and Iceland. The Company's primary aluminum reduction facilities produce primary aluminum products. The Company's annual production capacity is approximately 1,016,000 tons per year (tpy). In addition to its primary aluminum assets, it owns a carbon anode production facility located in the Netherlands (Vlissingen). Carbon anodes are consumed in the production of primary aluminum. Vlissingen supplies carbon anodes to its aluminum smelter in Grundartangi, Iceland. Each of its aluminum smelters in the United States produces anodes at on-site facilities. Through its Natur-Al product line, it provides low-carbon aluminum products. The Grundartangi facility, located in Grundartangi, Iceland, is an aluminum reduction facility owned and operated by the Company’s wholly owned subsidiary, Nordural Grundartangi ehf.</t>
  </si>
  <si>
    <t>US24665A1034</t>
  </si>
  <si>
    <t>DK</t>
  </si>
  <si>
    <t>Delek US Holdings Inc</t>
  </si>
  <si>
    <t>Delek US Holdings, Inc. is a diversified downstream energy company with assets in petroleum refining, logistics, pipelines, and renewable fuels. The Company's segments include Refining and Logistics. The Refining segment processes crude oil and other feedstocks for the manufacture of transportation motor fuels, including various grades of gasoline, diesel fuel and aviation fuel, asphalt and other petroleum-based products. The Refining segment also owns and operates three biodiesel facilities involved in the production of biodiesel fuels and related activities, located in Crossett, Arkansas, Cleburne, Texas and New Albany, Mississippi. The Logistics segment is engaged in gathering, transporting and storing crude oil and natural gas, marketing, distributing, transporting and storing intermediate and refined products and disposing and recycling water in select regions of the southeastern United States, the Delaware Basin in New Mexico and West Texas.</t>
  </si>
  <si>
    <t>argenx SE</t>
  </si>
  <si>
    <t>ARGENX ADR REP ORD</t>
  </si>
  <si>
    <t>Current US 2 Portfolio Patch (Enfusion)</t>
  </si>
  <si>
    <t>VGG0457F1071</t>
  </si>
  <si>
    <t>US0207641061</t>
  </si>
  <si>
    <t>ARCO.K</t>
  </si>
  <si>
    <t>G0457F107</t>
  </si>
  <si>
    <t>Arcos Dorados Holdings Inc</t>
  </si>
  <si>
    <t>Arcos Dorados Holdings Inc. is a McDonald's franchisee. The Company operates or franchises over 2,140 McDonald's-branded restaurants. It divides its operations into four geographical divisions: Brazil; the Caribbean division, consisting of Aruba, Colombia, Curacao, French Guiana, Guadeloupe, Martinique, Puerto Rico, Trinidad and Tobago, the United States Virgin Islands of Saint Croix and Saint Thomas, and Venezuela; the North Latin America division (NOLAD), consisting of Costa Rica, Mexico and Panama, and the South Latin America division (SLAD), consisting of Argentina, Chile, Ecuador, Peru and Uruguay. Its menus feature over three tiers of products: entry-level options, such as its Big Pleasures, Small Prices offerings and Almuerzos Colombianos (Colombian Lunches) in Colombia; core menu options, such as the Big Mac, Happy Meal and Quarter Pounder, and premium options, such as Big Tasty or Angus premium hamburgers and chicken sandwiches and low-calorie or low-sodium products.</t>
  </si>
  <si>
    <t>AMR</t>
  </si>
  <si>
    <t>Alpha Metallurgical Resources Inc</t>
  </si>
  <si>
    <t>Alpha Metallurgical Resources, Inc. is a mining company with operations across Virginia and West Virginia. The Company supplies metallurgical products to the steel industry. Its portfolio of mining operations consists of about 15 underground mines, seven surface mines and nine coal preparation plants. It extracts, processes and markets met and thermal coal from deep and surface mines for sale to steel and coke producers, industrial customers, and electric utilities. It conducts mining operations only in the United States with mines in Central Appalachia. The Company operates in one segment: Met, which consists of five active mines and two preparation plants in Virginia, 17 active mines and six preparation plants in West Virginia, as well as expenses associated with certain idled/closed mines. The Met segment operations consist of met coal mines, including Deep Mine 41, Road Fork 52, Black Eagle, and Lynn Branch. It ships met coal to domestic and international steel and coke producers.</t>
  </si>
  <si>
    <t>ARCOS DORADOS HOLDINGS CL A ORD</t>
  </si>
  <si>
    <t>KYG4412G1010</t>
  </si>
  <si>
    <t>US30041R1086</t>
  </si>
  <si>
    <t>G4412G101</t>
  </si>
  <si>
    <t>Herbalife Ltd</t>
  </si>
  <si>
    <t>Herbalife Ltd. is a global nutrition company. The Company sells weight management; targeted nutrition; energy, sports and fitness; and other nutrition products to and through a network of independent members (Members). Its products include meal replacements, protein shakes, teas, aloes, high-protein snacks, vitamins and supplements, and sports nutrition. The Company offers a range of meal replacement products, such as protein shakes, bars, and soups. Its snack portfolio includes a variety of sweet, savory and creamy options, such as high protein iced coffee, protein bars, snack shakes, soups, and baking mixes. Its Herbal Aloe Concentrate is a beverage formulated with aloe vera, which can be mixed with water, tea or protein shake. It has also developed a portfolio of dietary supplements, including solutions for heart health, digestive health, immunity and others. It sells products in approximately 95 markets across the world.</t>
  </si>
  <si>
    <t>EVER.O</t>
  </si>
  <si>
    <t>EverQuote Inc</t>
  </si>
  <si>
    <t>EverQuote, Inc. operates an online marketplace for insurance shopping, connecting consumers with insurance provider customers, which includes both carriers and agents. The Company’s data and technology platform, matches and connects consumers seeking to purchase insurance with relevant options from its network of insurance providers, saving consumers and providers time and money. Its technology platform combines internally developed, third-party and open-source software. Its Websites and supporting services, as well as its development and test environments, are hosted across industry-standard cloud providers, such as Amazon Web Services and Google Cloud Platform. It uses content delivery network solutions for fast, local access to its products. Its insurance provider customers include insurance carriers and third-party insurance agents. Insurance carriers write auto, home and renters, and life insurance policies for consumers directly and through agents.</t>
  </si>
  <si>
    <t>EVERQUOTE CL A ORD</t>
  </si>
  <si>
    <t>argenx SE, formerly arGEN X BV, is a Netherlands-based biopharmaceutical company. It is primarily engaged in creating and developing a pipeline of differentiated antibody therapeutics for the treatment of severe autoimmune diseases using its discovery platform, Simple Antibody, which exploits characteristics of the llama immune system. The Company develops a pipeline of antibody therapeutics focused on cancer and autoimmune indications. It includes, but is not limited to: Empasiprubart, a complement inhibitor targeting C2, blocking the function of both the classical and lectin pathways, while leaving the alternative pathway intact, ARGX-119 an antagonist to the MuSK receptor with potential in multiple neuromuscular indications.</t>
  </si>
  <si>
    <t>US76156B1070</t>
  </si>
  <si>
    <t>US43940T1097</t>
  </si>
  <si>
    <t>RVLV.K</t>
  </si>
  <si>
    <t>Revolve Group Inc</t>
  </si>
  <si>
    <t>Revolve Group, Inc. is a fashion retailer for millennial and generation Z consumers. The Company is an online retailer and fashion brand. Through its Websites and mobile applications, it delivers a customer experience with a curated merchandise offering. The Company sells merchandise through two complementary segments: REVOLVE and FWRD. REVOLVE segment offers an assortment of premium apparel, footwear, beauty, accessories and home products from emerging, established and owned brands. FWRD segment offers an assortment of curated and elevated iconic and emerging luxury brands. Its platform connects a community of consumers, global fashion influencers, and emerging, established, and owned brands. Its brands include Lovers and Friends, GRLFRND, NBD, Camila Coelho, Alexandre Vauthier, and House of Harlow 1960. Its customers can engage with the Company in approximately 12 languages and pay in over 50 currencies using one of 20 payment methods, including third-party alternatives.</t>
  </si>
  <si>
    <t>HOPE.O</t>
  </si>
  <si>
    <t>Hope Bancorp, Inc. is the holding company of Bank of Hope (the Bank). The Company's loan portfolio segments include commercial real estate (CRE) loans, commercial and industrial (C&amp;I) loans, residential mortgage loans, and consumer and other loans. CRE loans are extended for the purchase and refinance of commercial real estate and are generally secured by first deeds of trust and are collateralized by residential or commercial properties. C&amp;I loans are loans provided to businesses for various purposes such as for working capital, purchasing inventory, debt refinancing, business acquisitions, international trade finance activities, and other business related financing needs, and also include syndicated loans. Residential mortgage loans are extended for personal, family, or household use and are secured by a mortgage or deed of trust. Consumer and other loans consist of home equity, credit cards, and other personal loans. It operates over 54 full-service branches in the United States.</t>
  </si>
  <si>
    <t>REVOLVE GROUP CL A ORD</t>
  </si>
  <si>
    <t>KYG386441037</t>
  </si>
  <si>
    <t>US64031N1081</t>
  </si>
  <si>
    <t>GCT.O</t>
  </si>
  <si>
    <t>GigaCloud Technology Inc</t>
  </si>
  <si>
    <t>NNI</t>
  </si>
  <si>
    <t>Nelnet Inc</t>
  </si>
  <si>
    <t>Nelnet, Inc. operates businesses that are engaged in loan servicing and education technology services and payments. The Company's segments include Loan Servicing and Systems (LSS), Education Technology Services and Payments (ETSP), Asset Generation and Management (AGM), and Nelnet Bank. The LSS segment is focused on student and consumer loan servicing, loan servicing-related technology solutions and outsourcing business services. This segment includes the brands Nelnet Diversified Solutions, Nelnet Government Services and others. The ETSP segment provides education and payment technology and services for K-12 schools, higher education institutions, churches, and businesses in the United States and internationally. The AGM segment includes the acquisition and management of student and other loan assets, including investment interests therein. The Nelnet Bank includes an Internet Utah-chartered industrial bank focused on the private education and unsecured consumer loan markets.</t>
  </si>
  <si>
    <t>GIGACLOUD TECHNOLOGY CL A ORD</t>
  </si>
  <si>
    <t>NELNET CL A ORD</t>
  </si>
  <si>
    <t>Cerence Inc. is a provider of artificial intelligence (AI)-powered assistants for connected and autonomous vehicles. The Company builds AI-powered virtual assistants for the mobility/transportation market. Its software platform is used to build virtual assistants that can communicate, find information and take action across an expanding variety of categories. Its software platform has a hybrid architecture combining edge software components with cloud-connected components. Its Edge software components are installed on a vehicle’s head unit and can operate without access to external networks and information. Its Cloud-connected components comprise certain speech and natural language understanding-related technologies, AI-enabled personalization and context-based response frameworks, and a content integration platform. Virtual assistants built with its software platform address user requests across various categories, such as navigation, control, media, communication, and more.</t>
  </si>
  <si>
    <t>BMG8726X1065</t>
  </si>
  <si>
    <t>KYG114481008</t>
  </si>
  <si>
    <t>TNK</t>
  </si>
  <si>
    <t>G8726X106</t>
  </si>
  <si>
    <t>Teekay Tankers Ltd</t>
  </si>
  <si>
    <t>Teekay Tankers Ltd. is a Bermuda-based company. The Company's primary business is to own and operate crude oil and refined product. operates mid-sized tankers. In addition, to its core business, the Company also provide STS support services, along with its tanker commercial management operations. The Company owns a fleet of approximately 42 double-hull tankers, including 24 Supermax tankers,18 Aframax/LR2 tankers, and has six time chartered-in tankers. Its vessels are typically employed through a mix of spot tanker market trading and short- or medium-term fixed-rate time charter contracts. The Company also owns a crude carrier (VLCC) through a 50% owned joint venture. It owns a ship-to-ship transfer business that performs full-service lightering and lightering support operations in the United States, Gulf, and Caribbean.</t>
  </si>
  <si>
    <t>BTDR.O</t>
  </si>
  <si>
    <t>Bitdeer Technologies Group is a technology company for blockchain. It provides computing solutions for customers. The Company handles processes involved in computing, such as equipment procurement, transport logistics, datacenter design and construction, and equipment management. It primarily operates three business lines: self-mining, hash rate sharing, and hosting. Its Self-mining refers to cryptocurrency mining for its own account, which allows it to directly capture the high appreciation potential of cryptocurrency. It offers two types of hash rate sharing solutions, namely Cloud Hash Rate and Hash Rate Marketplace. Through Cloud Hash Rate, the Company sells its hash rate to customers. It offers hash rate subscription plans at fixed price and share mining income with them under certain arrangements. The Company's hosting services offer customers one-stop mining rig hosting solutions encompassing deployment, maintenance and management services for efficient cryptocurrency mining.</t>
  </si>
  <si>
    <t>US6323071042</t>
  </si>
  <si>
    <t>US68386H1032</t>
  </si>
  <si>
    <t>TEEKAY TANKERS CL A ORD</t>
  </si>
  <si>
    <t>BITDEER TECHNOLOGIES CL A ORD</t>
  </si>
  <si>
    <t>NTRA.O</t>
  </si>
  <si>
    <t>Natera Inc</t>
  </si>
  <si>
    <t>Natera, Inc. is a diagnostics company, which is focused on the development and commercialization of molecular testing services, applying its technology in the fields of women’s health, oncology and organ health. Its cell-free deoxyribonucleic acid (cfDNA) technology combines its molecular assays, which reliably measure many informative regions across the genome from samples as small as a single cell. The Company's product offerings include Panorama Non-Invasive Prenatal Test (NIPT), Vistara, Horizon Carrier Screening, Spectrum Preimplantation Genetics, Anora Miscarriage Test, Empower, and Prospera. The Company also offers Constellation, a cloud-based software platform that enables laboratory customers to gain access through the cloud to the Company’s algorithms and bioinformatics in order to validate and launch tests based on the Company’s technology. Its NIPT screens for chromosomal abnormalities of a fetus as well as in twin pregnancies, typically with a blood draw from the mother.</t>
  </si>
  <si>
    <t>OPFI.K</t>
  </si>
  <si>
    <t>OppFi Inc</t>
  </si>
  <si>
    <t>OppFi Inc. provides a tech-enabled, mission-driven specialty finance platform that broadens the reach of community banks to extend credit access to everyday Americans. The Company’s platform powers banks to offer accessible lending products through its proprietary technology. Its specialty finance platform focuses on helping these consumers rebuilds their financial health. Its platform provides customer experience in the industry and powers banks to offer credit products. Its primary product is offered by its OppLoans platform. The OppFi platform is a mobile-optimized online application where eligible applicants, at their request, are able to opt into the OppFi TurnUp Program. This program helps these applicants find more affordable credit options by checking the market voluntarily. It also services customers for its SalaryTap products. SalaryTap is a payroll deduction secured installment loan product.</t>
  </si>
  <si>
    <t>DELEK US HOLDINGS ORD</t>
  </si>
  <si>
    <t>PAR PACIFIC HOLDINGS ORD</t>
  </si>
  <si>
    <t>NATERA ORD</t>
  </si>
  <si>
    <t>OPPFI CL A ORD</t>
  </si>
  <si>
    <t>US9026731029</t>
  </si>
  <si>
    <t>US8036071004</t>
  </si>
  <si>
    <t>US6047491013</t>
  </si>
  <si>
    <t>Walgreens Boots Alliance, Inc. is an integrated healthcare, pharmacy and retailing company. The Company’s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and the Benavides brand in Mexico. The Company's U.S. Healthcare segment is a consumer-centric, technology-enabled healthcare business that engages consumers through a personalized, omni-channel experience across the care journey.</t>
  </si>
  <si>
    <t>UFPT.O</t>
  </si>
  <si>
    <t>UFP Technologies Inc</t>
  </si>
  <si>
    <t>UFP Technologies, Inc. is a designer and custom manufacturer of comprehensive solutions for medical devices, sterile packaging, and other engineered custom products. Its single-use and single-patient devices and components are used in a range of medical devices and packaging for minimally invasive surgery, infection prevention, surfaces and support, wound care, wearables, orthopedic soft goods, and orthopedic implants. It is also providing engineered products and components. Typical applications of its products include military uniform and gear components, automotive interior trim, air filtration, and protective cases and inserts. It also engineers’ components for automotive use, such as interior trim and structural applications. These components are produced using a compression molding process. It also develops and manufactures single-use safe patient handling systems, thermoformed, heat-sealed implantable medical device components, custom-engineered foam and thermoplastic components.</t>
  </si>
  <si>
    <t>SRPT.O</t>
  </si>
  <si>
    <t>Sarepta Therapeutics Inc</t>
  </si>
  <si>
    <t>Sarepta Therapeutics, Inc. is a commercial-stage biopharmaceutical company. The Company is focused on helping patients through the discovery and development of ribonucleic acid (RNA)-targeted therapeutics, gene therapy and other genetic therapeutic modalities for the treatment of rare diseases. It has developed multiple approved products for the treatment of Duchenne muscular dystrophy (Duchenne) and is developing potential therapeutic candidates for a range of diseases and disorders, including Duchenne, Limb-girdle muscular dystrophies (LGMDs) and other neuromuscular and central nervous system (CNS) related disorders. It has developed and commercialized four approved products for the treatment of Duchenne: EXONDYS 51 (eteplirsen), Injection (EXONDYS 51), VYONDYS 53 (golodirsen) Injection (VYONDYS 53), AMONDYS 45 (casimersen) Injection (AMONDYS 45), and ELEVIDYS. Its pipeline includes approximately 40 programs at various stages of discovery, pre-clinical and clinical development.</t>
  </si>
  <si>
    <t>MIRM.O</t>
  </si>
  <si>
    <t>Mirum Pharmaceuticals Inc</t>
  </si>
  <si>
    <t>Mirum Pharmaceuticals, Inc. is a biopharmaceutical company. The Company is focused on the identification, acquisition, development and commercialization of therapies for debilitating rare and orphan diseases. It has three medicines: LIVMARLI (maralixibat) oral solution (Livmarli), Cholbam (cholic acid) capsules, and Chenodal (chenodiol) tablets. Livmarli is an orally administered, minimally-absorbed ileal bile acid transporter (IBAT) inhibitor (IBATi) that is used for the treatment of cholestatic pruritus in patients with Alagille syndrome (ALGS) in the United States and various other countries and for cholestatic pruritus in patient with progressive familial intrahepatic cholestasis (PFIC) in the United States. Cholbam is used for the treatment of bile acid synthesis disorders due to single enzyme deficiencies and adjunctive treatment of peroxisomal disorders. It is also advancing its product candidate, volixibat, for the treatment of adult patients with cholestatic liver diseases.</t>
  </si>
  <si>
    <t>UFP TECHNOLOGIES ORD</t>
  </si>
  <si>
    <t>SAREPTA THERAPEUTICS ORD</t>
  </si>
  <si>
    <t>MIRUM PHARMACEUTICALS ORD</t>
  </si>
  <si>
    <t>US98423F1093</t>
  </si>
  <si>
    <t>XMTR.O</t>
  </si>
  <si>
    <t>Xometry Inc</t>
  </si>
  <si>
    <t>Xometry, Inc. provides artificial intelligence (AI)-powered marketplace, Thomasnet.com industrial sourcing platform and suite of cloud-based services. The Company provides manufacturers the critical resources they need to grow their business and makes it easy for buyers to create locally resilient supply chains. It connects buyers with suppliers of manufacturing services. Xometry Instant Quoting Engine leverages millions of pieces of data to analyze complex parts in real-time, matches buyers with the right suppliers globally, and provides pricing and lead times. Its AI-enabled technology platform is powered by machine learning algorithms and dataset, resulting in a two-sided marketplace. It uses technology to enable product designers, engineers, buyers, and supply chain professionals to access the capacity of a global network of manufacturing facilities. Its suppliers’ capabilities include computer numerical control manufacturing, sheet metal forming, and sheet cutting, among others.</t>
  </si>
  <si>
    <t>XOMETRY CL A ORD</t>
  </si>
  <si>
    <t>US7820111000</t>
  </si>
  <si>
    <t>US45769N1054</t>
  </si>
  <si>
    <t>US87484T1088</t>
  </si>
  <si>
    <t>RSI</t>
  </si>
  <si>
    <t>Rush Street Interactive Inc</t>
  </si>
  <si>
    <t>Rush Street Interactive, Inc. is an online gaming and sports entertainment company focused on markets in the United States, Canada and Latin America. The Company provides its customers with an array of gaming offerings, such as real-money online casino, online sports betting and retail sports betting (that is sports betting services provided at bricks-and-mortar locations), as well as social gaming, which involved free-to-play games that use virtual credits that users can earn or purchase. The Company’s brands include BetRivers, PlaySugarHouse and RushBet. It offers real-money mobile and online operations in 15 United States, including Pennsylvania, Illinois, New Jersey, New York, Ohio, Delaware, Michigan, Indiana, Virginia, Colorado, Maryland, Iowa, West Virginia, Arizona and Louisiana, as well as in the regulated international markets of Ontario, Canada, Colombia and Mexico.</t>
  </si>
  <si>
    <t>ISSC.O</t>
  </si>
  <si>
    <t>Innovative Solutions and Support Inc</t>
  </si>
  <si>
    <t>TALO.K</t>
  </si>
  <si>
    <t>Talos Energy Inc</t>
  </si>
  <si>
    <t>Talos Energy Inc. is an independent energy company focused on maximizing long-term value through its upstream exploration and production in the United States Gulf of Mexico and offshore Mexico. The Company is engaged in acquiring, exploring, and producing assets in geological trends while maintaining a focus on safe and efficient operations, environmental responsibility and community impact. The Upstream Segment is the Company's only reportable segment. The Upstream segment is engaged in the exploration and production of oil, natural gas, and natural gas liquids (NGLs). Its area of focus in the United States is the Gulf of Mexico Deepwater and its core areas are Green Canyon, Mississippi Canyon and Shelf and Gulf Coast. Green Canyon is a Deepwater region in the Central United States Gulf of Mexico. Its area of focus in Mexico is the Block 7, Zama Unit Area segment located within the Sureste Basin, in the shallow waters off the coast of Mexico's Tabasco state.</t>
  </si>
  <si>
    <t>RUSH STREET INTERACTIVE CL A ORD</t>
  </si>
  <si>
    <t>INNOVATIVE SOLUTIONS AND SUPPORT ORD</t>
  </si>
  <si>
    <t>TALOS ENERGY ORD</t>
  </si>
  <si>
    <t>US8592411016</t>
  </si>
  <si>
    <t>STRL.O</t>
  </si>
  <si>
    <t>Sterling Infrastructure Inc</t>
  </si>
  <si>
    <t>Sterling Infrastructure, Inc. operates through a variety of subsidiaries, specializing in E-Infrastructure, Transportation and Building Solutions in the United States. Its segments include E-Infrastructure Solutions, Transportation Solutions, and Building Solutions. The E-Infrastructure Solutions segment is a provider of large-scale specialty site infrastructure improvement contracting services in the Southeastern, Northeastern and Mid-Atlantic United States. It serves large, blue-chip end users in the e-commerce, data center, distribution center, warehousing, energy sectors and more. The Transportation Solutions segment is comprised of heavy highway, aviation, and rail, and relies heavily on federal and state infrastructure spending. The principal markets of this segment are Arizona, Colorado, Hawaii, Nevada, Texas, and Utah. The Building Solutions segment is comprised of its residential and commercial businesses. It focuses on concrete construction of multifamily foundations.</t>
  </si>
  <si>
    <t>46571Y107</t>
  </si>
  <si>
    <t>75644T100</t>
  </si>
  <si>
    <t>Red Cat Holdings Inc is a Puerto Rico-based provider of products, services and solutions to the drone industry. The Company provides its services to the enterprise, military, and consumer markets via designing, developing, marketing, and drone software and products' sales. Red Cat's Golden Eagle drones are approved by the Department of Defense for reconnaissance, public safety, and inspection applications. The technology of Skypersonic Inc, a subsidiary of the Company enables drones to complete inspection services in locations where Global Positioning System (GPS) is not available, yet still record and transmit data even while being operated from thousands of miles away. The Company's offering also includes First Person View (FPV) video goggles that give pilots a better perspective to control their drone in flight. Red Cat Holdings Inc operates through several subsidiaries, including Teal Acquisition I Corp and Rotor Riot, LLC.</t>
  </si>
  <si>
    <t>STERLING INFRASTRUCTURE ORD</t>
  </si>
  <si>
    <t>US50060P1066</t>
  </si>
  <si>
    <t>US6677461013</t>
  </si>
  <si>
    <t>US0185223007</t>
  </si>
  <si>
    <t>US98389B1008</t>
  </si>
  <si>
    <t>KOP</t>
  </si>
  <si>
    <t>Koppers Holdings Inc</t>
  </si>
  <si>
    <t>Koppers Holdings Inc. is an integrated global provider of treated wood products, wood preservation chemicals and carbon compounds. The Company operates through three segments: Railroad and Utility Products and Services (RUPS), Performance Chemicals (PC) and Carbon Materials and Chemicals (CMC). Its RUPS segment sells treated and untreated wood products, rail joint bars and services primarily to the railroad markets in the United States and Canada and treated wood products and services to the utility markets. Its PC segment develops, manufactures, and markets wood preservation chemicals and wood treatment technologies and services to a diverse range of end markets including infrastructure, residential and commercial construction, and agriculture. The Company's CMC segment is primarily a manufacturer of creosote, carbon pitch, naphthalene, phthalic anhydride, and carbon black feedstock. The Company has manufacturing capabilities in North America, South America, Australasia, and Europe.</t>
  </si>
  <si>
    <t>NWPX.O</t>
  </si>
  <si>
    <t>Northwest Pipe Co</t>
  </si>
  <si>
    <t>Northwest Pipe Company is a manufacturer of water-related infrastructure products. The Company also manufactures storm water and wastewater technology products, precast and reinforced concrete products, pump lift stations, steel casing pipe, bar-wrapped concrete cylinder pipe, and offers pipeline system joints, fittings, and specialized components. The Company provides solution-based products for a wide range of markets under the ParkUSA, Geneva Pipe and Precast, Permalok, and Northwest Pipe Company lines. The Company's Engineered Steel Pressure Pipe (SPP) segment manufactures large-diameter, high-pressure steel pipeline systems for use in water infrastructure applications, which are primarily related to drinking water systems. The Company's Precast Infrastructure and Engineered Systems (Precast) segment manufactures storm water and wastewater technology products, high-quality precast and reinforced concrete products.</t>
  </si>
  <si>
    <t>ALE</t>
  </si>
  <si>
    <t>ALLETE Inc</t>
  </si>
  <si>
    <t>Xcel Energy Inc</t>
  </si>
  <si>
    <t>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t>
  </si>
  <si>
    <t>ALPHA METALLURGICAL RESOURCES ORD</t>
  </si>
  <si>
    <t>KOPPERS HOLDINGS ORD</t>
  </si>
  <si>
    <t>NORTHWEST PIPE ORD</t>
  </si>
  <si>
    <t>US49456B1017</t>
  </si>
  <si>
    <t>KMI</t>
  </si>
  <si>
    <t>Kinder Morgan Inc</t>
  </si>
  <si>
    <t>=IFERROR(VLOOKUP(AI3,filter.xlsx!A$2:E$30,5,FALSE),"")</t>
  </si>
  <si>
    <t>US1280302027</t>
  </si>
  <si>
    <t>US71722W1071</t>
  </si>
  <si>
    <t>US00217D1000</t>
  </si>
  <si>
    <t>US09263B2079</t>
  </si>
  <si>
    <t>US29667J1016</t>
  </si>
  <si>
    <t>US7504911022</t>
  </si>
  <si>
    <t>US78574H1041</t>
  </si>
  <si>
    <t>US88080T1043</t>
  </si>
  <si>
    <t>Innovative Solutions and Support, Inc. specializes in the engineering, manufacturing, and supply of advanced avionic solutions. The Company's global product reach and customer base span commercial, business and aviation and military markets, catering to both airframe manufacturers and aftermarket services for fixed-wing and rotorcraft applications. Its product portfolio consists of five categories: integrated flight deck systems COCKPIT/IP, navigation systems, communication systems, sensors and control systems, and advanced flight actuators. Its integrated flight deck systems COCKPIT/IP category includes crew alerting and engine displays, integrated standby instruments and mission displays. Its navigation systems category includes flight management systems, navigation radios and transponders. Its communication systems category includes communication radios, audio panels and radio management units. Its sensors and control systems category includes air data computers and magnetometers.</t>
  </si>
  <si>
    <t>CALM.O</t>
  </si>
  <si>
    <t>Cal-Maine Foods Inc</t>
  </si>
  <si>
    <t>Cal-Maine Foods, Inc. is primarily engaged in the production, grading, packaging, marketing and distribution of fresh shell eggs, including conventional, cage-free, organic, brown, free-range, pasture-raised and nutritionally enhanced eggs. The Company’s integrated operations consist of hatching chicks, growing and maintaining flocks of pullets, layers and breeders, manufacturing feed, and producing, processing, packaging, and distributing shell eggs. The Company provides specialty and conventional eggs. Specialty eggs encompass a broad range of products, such as cage-free, organic, brown, free-range, pasture-raised and nutritionally enhanced eggs. Its Farmhouse Eggs brand eggs are produced at its facilities by hens that are provided with a vegetarian diet. It markets organic, vegetarian and omega-3 eggs under its 4-Grain brand, which consists of conventional and cage-free eggs. Its Sunups and Sunny Meadow brands are sold as conventional eggs.</t>
  </si>
  <si>
    <t>Phathom Pharmaceuticals Inc</t>
  </si>
  <si>
    <t>Phathom Pharmaceuticals, Inc. is a biopharmaceutical company. The Company is focused on developing and commercializing novel treatments for gastrointestinal (GI) diseases. The Company’s pipeline product candidate, VOQUEZNA, VOQUEZNA TRIPLE PAK, and VOQUEZNA DUAL PAK. Its product candidate, VOQUEZNA, contains vonoprazan, an oral small molecule potassium-competitive acid blocker (PCAB). PCABs are a novel class of medicines that block acid secretion in the stomach. Vonoprazan has also demonstrated clinical benefits in the treatment of erosive gastroesophageal reflux disease (erosive GERD), and in combination with antibiotics for the treatment of Helicobacter pylori (H. pylori) infection. GERD and H. pylori infection are two of the most common acid-related GI diseases. GERD is a disease that develops when the reflux of acidic stomach contents causes troublesome symptoms and/or complications. H. pylori is a bacterial pathogen.</t>
  </si>
  <si>
    <t>ASTS.O</t>
  </si>
  <si>
    <t>AST SpaceMobile Inc</t>
  </si>
  <si>
    <t>AST SpaceMobile, Inc. is engaged in building a global cellular broadband network in space to operate directly with standard, unmodified mobile devices based on its intellectual property (IP) and patent portfolio, and designed for both commercial and government applications. Its SpaceMobile Service is being designed to provide high-speed cellular broadband services to end-users who are out of terrestrial cellular coverage using existing mobile devices. The Company is engaged in designing and developing the constellation of BlueBird (BB) satellites in advance of launching its planned space-based cellular broadband network distributed through a constellation of low earth orbit (LEO) satellites. The Company intends to continue testing the capabilities of the BlueWalker 3 (BW3) test satellite, including further testing with cellular service providers and devices. The Company primarily operates in the United States, India, Scotland, Spain and Israel.</t>
  </si>
  <si>
    <t>BKSY.K</t>
  </si>
  <si>
    <t>Blacksky Technology Inc</t>
  </si>
  <si>
    <t>BlackSky Technology Inc. is a space-based intelligence company. The Company delivers on-demand, high frequency imagery, monitoring and analytics of the strategic locations, economic assets, and events in the world. It designs, owns and operates low earth orbit small satellite constellations. Its BlackSky Spectra platform processes data from its constellation and from other third-party sensors to develop the critical insights and analytics that its customers require. Its Spectra is a first-of-its-kind commercial platform that helps customers manage their monitoring activities from space. Spectra software platform processes millions of observations a day from both its proprietary satellite constellation and by using data from multiple external sources, including imaging, radar and radio frequency satellites, environmental sensors, asset tracking sensors, Internet of things connected devices, internet-enabled narrative sources, and a variety of geotemporal data feeds.</t>
  </si>
  <si>
    <t>ESQ.O</t>
  </si>
  <si>
    <t>Esquire Financial Holdings Inc</t>
  </si>
  <si>
    <t>Esquire Financial Holdings, Inc. is a financial holding company, which operates through its subsidiary, Esquire Bank, National Association (the Bank). The Bank is a full-service commercial bank dedicated to serving the financial needs of the legal and small business communities on a national basis, as well as commercial and retail customers in the New York metropolitan market. It offers tailored products and solutions to the legal community and their clients as well as dynamic and flexible payment processing solutions to small business owners, both on a national basis. The Bank also offers traditional banking products for businesses and consumers in its local market area. Its products offered to businesses and consumers include checking, savings, money market, and time deposits, a wide range of commercial and consumer loans, as well as customary banking services. The Bank operates a payment processing platform through third-party Independent Sales Organizations (ISOs).</t>
  </si>
  <si>
    <t>RDNT.O</t>
  </si>
  <si>
    <t>RadNet Inc</t>
  </si>
  <si>
    <t>RadNet, Inc. is a national provider of fixed-site diagnostic imaging services and related information technology solutions (including artificial intelligence) in the United States. It has a network of 366 owned and/or operated outpatient imaging centers. The Company’s Imaging Center segment provides physicians with imaging capabilities to facilitate the diagnosis and treatment of diseases and disorders. Its services include magnetic resonance imaging (MRI), computed tomography (CT), positron emission tomography (PET), nuclear medicine, mammography, ultrasound, diagnostic radiology (X-ray), fluoroscopy and other related procedures. The Company’s Artificial Intelligence (AI) segment develops and deploys clinical applications to enhance interpretation of medical images and improve patient outcomes with an emphasis on brain, breast, prostate and pulmonary diagnostics. The Company, through its joint ventured Arizona Diagnostic Radiology Group, LLC, owns seven outpatient imaging centers.</t>
  </si>
  <si>
    <t>SOC</t>
  </si>
  <si>
    <t>Sable Offshore Corp</t>
  </si>
  <si>
    <t>Sable Offshore Corp., formerly Flame Acquisition Corp, is focused on interests in certain oil and gas properties located offshore in the Santa Ynez Unit (SYU). SYU consists of three offshore platforms and a wholly owned onshore processing facility located along the Gaviota Coast at Las Flores Canyon in Santa Barbara County, California. The offshore position comprises 16 federal leases across approximately 76,000 acres. The Company’s Hondo platform and the Harmony platform develop the Hondo Field, and the Heritage platform develops the Pescado and Sacate Fields. The platforms are located five to nine miles offshore of Santa Barbara County in shallow water depths of 900 to 1,200 feet and service 112 wells, comprised of 90 producers, 12 injectors and 10 idle with an additional 102 identified, undrilled opportunities. The onshore facilities occupy approximately 35 acres and are comprised of an oil treating plant, a biologic/physical water treating plant, POPCO gas plant, and others.</t>
  </si>
  <si>
    <t>WULF.O</t>
  </si>
  <si>
    <t>TeraWulf Inc. owns and operates environmentally sustainable, data center infrastructure in the United States, specifically designed for bitcoin mining and high-performance computing. The Company owns and operates the Lake Mariner facility, which is located at a former coal power plant site in Western New York. It generates revenue primarily through bitcoin mining, leveraging predominantly zero-carbon energy sources, including nuclear and hydroelectric power. The Company is specializing in building and operating digital infrastructure to lead the energy transition through bitcoin mining and artificial intelligence (AI) and high-performance computing applications. The Company operates on a flexible infrastructure model, leveraging its core expertise in energy management to maximize operational efficiency while minimizing environmental impact.</t>
  </si>
  <si>
    <t>78574H104</t>
  </si>
  <si>
    <t>221015100</t>
  </si>
  <si>
    <t>US82835W1080</t>
  </si>
  <si>
    <t>US31847R1023</t>
  </si>
  <si>
    <t>US8168511090</t>
  </si>
  <si>
    <t>31810T101</t>
  </si>
  <si>
    <t>528877103</t>
  </si>
  <si>
    <t>76156B107</t>
  </si>
  <si>
    <t>14843C105</t>
  </si>
  <si>
    <t>667746101</t>
  </si>
  <si>
    <t>SPRY.O</t>
  </si>
  <si>
    <t>ARS Pharmaceuticals Inc</t>
  </si>
  <si>
    <t>ARS Pharmaceuticals, Inc. is a biopharmaceutical company. The Company is focused on developing neffy, for the emergency treatment of Type I allergic reactions, including anaphylaxis. neffy is a proprietary composition of epinephrine with an absorption enhancer called Intravail, which allows neffy to provide injection-like absorption of epinephrine at a low dose, in a small, administered and nasal spray. Type I allergic reactions are potentially life-threatening hypersensitivity reactions that can occur within minutes of exposure to an allergen and need to be treated immediately to relieve symptoms and prevent further progression.</t>
  </si>
  <si>
    <t>98389B100</t>
  </si>
  <si>
    <t>FAF</t>
  </si>
  <si>
    <t>First American Financial Corp</t>
  </si>
  <si>
    <t>First American Financial Corporation, through its subsidiaries, is engaged in the business of providing title insurance, settlement services and other financial services and risk solutions. Its segments include Title Insurance and Services, Home Warranty, and Corporate segment. The Title Insurance and Services segment issues title insurance policies on residential and commercial property in the United States and offers similar or related products and services internationally. This segment also provides closing and/or escrow services, accommodates tax-deferred exchanges of real estate, and maintains, manages and provides access to title plant data and records. The Home Warranty segment provides residential service contracts that cover residential systems, such as heating and air conditioning systems, and certain appliances against failures that occur as the result of normal usage during the coverage period. The Corporate segment includes investments in venture-stage companies.</t>
  </si>
  <si>
    <t>SRE</t>
  </si>
  <si>
    <t>Sempra</t>
  </si>
  <si>
    <t>Sempra is a North American energy infrastructure company. The Company's businesses invest in, develop and operate energy infrastructure, and provide electric and gas services to customers. The Company's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t>
  </si>
  <si>
    <t>00217D100</t>
  </si>
  <si>
    <t>29667J101</t>
  </si>
  <si>
    <t>018522300</t>
  </si>
  <si>
    <t>496719105</t>
  </si>
  <si>
    <t>87484T108</t>
  </si>
  <si>
    <t>32026V104</t>
  </si>
  <si>
    <t>970646105</t>
  </si>
  <si>
    <t>98420N105</t>
  </si>
  <si>
    <t>277461406</t>
  </si>
  <si>
    <t>22663K107</t>
  </si>
  <si>
    <t>76155X100</t>
  </si>
  <si>
    <t>65345N106</t>
  </si>
  <si>
    <t>CAL MAINE FOODS ORD</t>
  </si>
  <si>
    <t>AST SPACEMOBILE CL A ORD</t>
  </si>
  <si>
    <t>BLACKSKY TECHNOLOGY CL A ORD</t>
  </si>
  <si>
    <t>ESQUIRE FINANCIAL HOLDINGS ORD</t>
  </si>
  <si>
    <t>RADNET ORD</t>
  </si>
  <si>
    <t>SABLE OFFSHORE CL A ORD</t>
  </si>
  <si>
    <t>TERAWULF ORD</t>
  </si>
  <si>
    <t>US1717572069</t>
  </si>
  <si>
    <t>US7580754023</t>
  </si>
  <si>
    <t>ARS PHARMACEUTICALS ORD</t>
  </si>
  <si>
    <t>FIRST AMERICAN FINANCIAL ORD</t>
  </si>
  <si>
    <t>CDTX.O</t>
  </si>
  <si>
    <t>171757206</t>
  </si>
  <si>
    <t>Cidara Therapeutics Inc</t>
  </si>
  <si>
    <t>Cidara Therapeutics, Inc. is a biotechnology company. The Company is developing targeted immunotherapies designed for patients facing serious diseases. The Company’s portfolio comprises various treatment and prevention paradigms, including drug-Fc conjugate (DFC) from its Cloudbreak platform targeting oncologic, viral and autoimmune diseases. The Company is focused on advancing Cloudbreak development programs, including its lead oncology candidate, CBO421, as well as advancing other pipeline assets. CBO421 is a development candidate targeting CD73 for the treatment of solid tumors. Its advanced DFC program is CD388, a highly potent antiviral designed to deliver universal prevention and treatment of seasonal and pandemic influenza, which is in Phase I and Phase IIa clinical trials. Its additional programs target multiple autoimmune indications.</t>
  </si>
  <si>
    <t>RWT</t>
  </si>
  <si>
    <t>Redwood Trust Inc</t>
  </si>
  <si>
    <t>Redwood Trust, Inc. is a specialty finance company focused on several distinct areas of housing credit. The Company's segments include Residential Consumer Mortgage Banking, Residential Investor Mortgage Banking, and Investment Portfolio. The Residential Consumer Mortgage Banking segment consists of a mortgage loan conduit that acquires residential loans from third-party originators for subsequent sale to whole loan buyers, securitization through its SEMT (Sequoia) private-label securitization program, or transfer into its investment portfolio. The Residential Investor Mortgage Banking segment consists of a platform that originates business purpose lending loans for subsequent securitization, sale, or transfer into its investment portfolio. The Investment Portfolio segment consists of organic investments sourced through the Company's mortgage banking operations. Additionally, through RWT Horizons, its venture investing initiative, the Company invests in early-stage companies.</t>
  </si>
  <si>
    <t>CIDARA THERAPEUTICS ORD</t>
  </si>
  <si>
    <t>REDWOOD REIT ORD</t>
  </si>
  <si>
    <t>SEMPRA ORD</t>
  </si>
  <si>
    <t>ALLETE ORD</t>
  </si>
  <si>
    <t>US7672041008</t>
  </si>
  <si>
    <t>US6412881053</t>
  </si>
  <si>
    <t>US55277P1049</t>
  </si>
  <si>
    <t>US28852N1090</t>
  </si>
  <si>
    <t>US69349H1077</t>
  </si>
  <si>
    <t>RIO</t>
  </si>
  <si>
    <t>Rio Tinto PLC</t>
  </si>
  <si>
    <t>Rio Tinto plc is a United Kingdom-based mining and metals company. It operates in 35 countries and its portfolio includes iron ore, copper, aluminum and a range of other minerals and materials. Its segments include Iron Ore, Aluminum, Copper, and Minerals. Iron Ore segment includes iron ore mining and salt and gypsum production in Western Australia. Its iron ore operations in the Pilbara comprise an integrated network of over 17 iron ore mines and four independent port terminals. Aluminum segment includes bauxite mining, alumina refining, and aluminum smelting and recycling. Copper segment includes mining and refining of copper, gold, silver, molybdenum, other by-products and licensing of extraction technologies. Minerals segment includes mining and processing of borates, titanium dioxide feedstock and iron concentrate and pellets from the iron ore company of Canada. It also includes diamond mining, sorting and marketing and development projects for battery materials, such as lithium.</t>
  </si>
  <si>
    <t>NPCE.O</t>
  </si>
  <si>
    <t>Neuropace Inc</t>
  </si>
  <si>
    <t>NeuroPace, Inc. is a medical device company. The Company is focused on transforming the lives of people living with epilepsy by reducing or eliminating the occurrence of debilitating seizures. Its novel and differentiated RNS System is a brain-responsive platform that delivers personalized, real-time treatment at the seizure source. The Company has developed its RNS System to address the individualized nature of drug-resistant epilepsy and deliver a safe therapy for focal onset seizures anywhere in the brain. The RNS System is a device that records brain activity data and allows clinicians to monitor patients not only in person, but also remotely. RNS System monitors and analyzes the brain’s electrical activity, recognizes patient-specific abnormal patterns, and delivers treatment at the seizure source. The Company’s RNS System is also engaged in treating other brain disorders, including depression, impulse control disorders, memory disorders, and post-traumatic stress disorder.</t>
  </si>
  <si>
    <t>MGEE.O</t>
  </si>
  <si>
    <t>MGE Energy Inc</t>
  </si>
  <si>
    <t>MGE Energy, Inc. is a public utility holding company. The Company's segments include Regulated electric utility operations; Regulated gas utility operations; Nonregulated energy operations, and Transmission investments. The Regulated electric utility operations segment is engaged in generating, purchasing, and distributing electricity through Madison Gas and Electric Company (MGE). The Regulated gas utility operations segment is engaged in purchasing and distributing natural gas through MGE. The Nonregulated energy operations segment owns and leases electric generating capacity that assists MGE through MGE Energy's wholly owned subsidiaries MGE Power Elm Road and MGE Power West Campus. The Transmission investments segment includes the investment in American Transmission Company LLC, which is engaged in the business of providing electric transmission services in Wisconsin, and ATC Holdco LLC, which facilitate out-of-state electric transmission development and investments.</t>
  </si>
  <si>
    <t>EFC</t>
  </si>
  <si>
    <t>28852N109</t>
  </si>
  <si>
    <t>Ellington Financial Inc</t>
  </si>
  <si>
    <t>Ellington Financial Inc. is a real estate investment trust. The Company acquires and manages mortgage-related, consumer-related, corporate-related, and other financial assets. The Company’s segments include the Investment Portfolio Segment and the Longbridge Segment. The Investment Portfolio Segment is focused on investing in a diverse array of financial assets, including residential and commercial mortgage loans, residential mortgage-backed securities (RMBS), commercial mortgage-backed securities (CMBS), consumer loans and asset-backed securities (ABS), including ABS backed by consumer loans, collateralized loan obligations (CLOs), non-mortgage- and mortgage-related derivatives, debt and equity investments in loan origination companies, and other strategic investments. The Longbridge Segment is focused on the origination and servicing of reverse mortgage loans. The Company is externally managed and advised by Ellington Financial Management LLC.</t>
  </si>
  <si>
    <t>69349H107</t>
  </si>
  <si>
    <t>TXNM Energy Inc</t>
  </si>
  <si>
    <t>TXNM Energy, Inc., formerly PNM Resources, Inc., is an energy holding company. The Company provides electricity to approximately 800,000 homes and businesses in New Mexico and Texas through its regulated utilities, Public Service Company of New Mexico (PNM) and Texas-New Mexico Power Company’s (TNMP). PNM is a regulated utility in New Mexico with operations primarily engaged in the generation, transmission and distribution of electricity. PNM serves nearly 550,000 New Mexico residential and business customers in Greater Albuquerque, Rio Rancho, Los Lunas, and others. TNMP provides transmission and distribution services in Texas. TNMP owns 992 circuit miles of overhead electric transmission lines; 7,319 pole miles of overhead distribution lines; 1,433 circuit miles of underground distribution lines, and 128 substations. TNMP provides transmission and distribution services to Retail Electric Providers (REPs) that provide electric service to customers in TNMP’s service territories.</t>
  </si>
  <si>
    <t>43940T109</t>
  </si>
  <si>
    <t>Hope Bancorp Inc</t>
  </si>
  <si>
    <t>RIO TINTO ADR REP ONE ORD</t>
  </si>
  <si>
    <t>NEUROPACE ORD</t>
  </si>
  <si>
    <t>MGE ENERGY ORD</t>
  </si>
  <si>
    <t>ELLINGTON FINANCIAL ORD</t>
  </si>
  <si>
    <t>KINDER MORGAN CL P ORD</t>
  </si>
  <si>
    <t>HOPE BANCORP ORD</t>
  </si>
  <si>
    <t>US0381692070</t>
  </si>
  <si>
    <t>APLD.O</t>
  </si>
  <si>
    <t>038169207</t>
  </si>
  <si>
    <t>Applied Digital Corp</t>
  </si>
  <si>
    <t>Applied Digital Corporation is a designer, developer, and operator of next-generation digital infrastructure across North America. It provides digital infrastructure solutions and cloud services for high-performance computing (HPC) and artificial intelligence (AI). Its segments include Blockchain data center hosting (the Datacenter Hosting Business), cloud services, through a wholly owned subsidiary (the Cloud Services Business) and HPC data center hosting (the HPC Hosting Business). The Datacenter hosting segment operates datacenters to provide energized space to crypto-mining customers. The Cloud services segment operates through its Sai Computing brand and provides cloud services for customers, such as artificial intelligence and machine learning developers, to develop their advanced products. The HPC hosting segment designs, builds, and operates datacenters, which are designed to support high-computer applications using advanced infrastructures to provide services to customers.</t>
  </si>
  <si>
    <t>APPLIED DIGITAL ORD</t>
  </si>
  <si>
    <t>GB00BDSFG982</t>
  </si>
  <si>
    <t>US33830T1034</t>
  </si>
  <si>
    <t>US29415C1018</t>
  </si>
  <si>
    <t>US70932M1071</t>
  </si>
  <si>
    <t>FTI</t>
  </si>
  <si>
    <t>G87110105</t>
  </si>
  <si>
    <t>TechnipFMC PLC</t>
  </si>
  <si>
    <t>TechnipFMC plc is a United Kingdom-based technology company, which operates in the energy industry. The Company is focused on delivering fully integrated projects, products, and services. The Company operates through two segments: Subsea and Surface Technologies. The Subsea segment manufactures and designs products and systems, performs engineering, procurement and project management and provides services used by oil and gas companies involved in offshore exploration and production of crude oil and natural gas. The Surface Technologies segment designs, manufactures and supplies technologically advanced wellhead systems and high-pressure valves and pumps used in stimulation activities for oilfield service companies and provides installation, flowback and other services for exploration and production companies. The Company operates across various countries, including the United States; Brazil; Norway; the United Kingdom; Guyana, and all other countries.</t>
  </si>
  <si>
    <t>FSBC.O</t>
  </si>
  <si>
    <t>Five Star Bancorp</t>
  </si>
  <si>
    <t>Five Star Bancorp is a bank holding company that operates through its subsidiary, Five Star Bank (the Bank), a California state-chartered bank. It provides range of banking products and services to small and medium-sized businesses, professionals, and individuals primarily in Northern California through seven branch offices, the Internet, and its mobile banking application. It offers a variety of loans to small and medium-sized businesses, professionals, and individuals, including commercial real estate, commercial, commercial land and construction, and farmland loans. It also provides residential real estate and construction loans and consumer loans. It offers a range of deposit products for small and medium-sized businesses, professionals, and individuals, including a variety of checking and savings accounts, time deposits, and money market accounts. It offers a range of deposit services, including debit cards, remote deposit capture, online banking, and direct deposit services.</t>
  </si>
  <si>
    <t>Eos Energy Enterprises Inc</t>
  </si>
  <si>
    <t>Eos Energy Enterprises, Inc. designs, develops, manufactures, and markets zinc-based energy storage solutions for utility-scale, microgrid, and commercial and industrial applications. The Company has developed a range of intellectual property with multiple patents covering battery chemistry, mechanical product design, energy block configuration and a software operating system (Battery Management System or BMS). The BMS software uses proprietary Eos-developed algorithms and includes ambient and battery temperature sensors, as well as voltage and electric current sensors for the electrical strings and the system. It focuses on manufacturing and selling turn-key direct current (DC) battery energy storage systems. It also plans to develop a turn-key alternating current (AC) system. The Company offers an advanced Znyth technology battery energy storage system (BESS) designed to provide the operating flexibility to manage increased grid complexity. Its primary market is North America.</t>
  </si>
  <si>
    <t>PFSI.K</t>
  </si>
  <si>
    <t>70932M107</t>
  </si>
  <si>
    <t>PennyMac Financial Services Inc</t>
  </si>
  <si>
    <t>PennyMac Financial Services, Inc. is a specialty financial services company, which is focused on the production and servicing of the United States mortgage loans and the management of investments related to the United States mortgage market. The Company operates through three segments: production, servicing (together, production and servicing comprise its mortgage banking activities) and investment management. The production segment performs loan origination, acquisition and sale activities for its account, as well as for PennyMac Mortgage Investment Trust (PMT). The servicing segment performs loan servicing for both newly originated loans it is holding for sale and loans its services for others, including for PMT. The investment management segment performs investment management activities for PMT, which include the activities associated with investment asset acquisitions and dispositions such as sourcing, due diligence, negotiation and settlement.</t>
  </si>
  <si>
    <t>GigaCloud Technology Inc specializes in global end-to-end business to business (B2B) technology solutions for large parcel merchandise. The Company’s B2B e-commerce platform, the GigaCloud Marketplace, integrates everything from discovery, payments and logistics tools into one easy-to-use platform. Its global marketplace connects manufacturers, primarily in Asia, with resellers, primarily in the United States, Asia and Europe, to execute cross-border transactions. The Company offers a comprehensive solution that transports products from the manufacturer’s warehouse to the end customer’s doorstep, all at one fixed price. The GigaCloud Marketplace offers SKUs across furniture, home appliances, fitness equipment and other large parcel categories from its active 3P sellers. Its operations include GigaCloud 3P, GigaCloud 1P and Off-platform Ecommerce. Its GigaCloud 3P operation includes platform commission, ocean transportation service, warehousing service, packaging service and others.</t>
  </si>
  <si>
    <t>TECHNIPFMC ORD</t>
  </si>
  <si>
    <t>FIVE STAR BANCORP ORD</t>
  </si>
  <si>
    <t>PENNYMAC FINANCIAL ORD</t>
  </si>
  <si>
    <t>US0009571003</t>
  </si>
  <si>
    <t>US89055F1030</t>
  </si>
  <si>
    <t>US51509P1030</t>
  </si>
  <si>
    <t>US90187B8046</t>
  </si>
  <si>
    <t>US46131B7047</t>
  </si>
  <si>
    <t>ABM</t>
  </si>
  <si>
    <t>ABM Industries Inc</t>
  </si>
  <si>
    <t>ABM Industries Inc, which operates through its subsidiaries, is a provider of integrated facility, infrastructure, and mobility solutions. The Company’s segments include Business &amp; Industry (B&amp;I), Manufacturing &amp; Distribution (M&amp;D), Education, Aviation, and Technical Solutions. The B&amp;I segment encompasses janitorial, facilities engineering, and parking services for commercial real estate properties, sports and entertainment venues, and other facilities. The M&amp;D segment provides integrated facility services, engineering, janitorial, and other specialized services. The Education segment delivers janitorial, custodial, landscaping and grounds, facilities engineering, and parking services. The Aviation segment supports airlines and airports with services ranging from parking and janitorial to passenger assistance, catering logistics, air cabin maintenance, and transportation. The Technical Solutions segment specializes in facility infrastructure, mechanical and electrical services.</t>
  </si>
  <si>
    <t>BLD</t>
  </si>
  <si>
    <t>TopBuild Corp. is an installer and specialty distributor of insulation and related building material products to the construction industry in the United States and Canada. The Company operates through two segments: Installation and Specialty Distribution. The Installation segment installs insulation and other building products. It installs other building products, including glass and windows, rain gutters, garage doors, closet shelving, and fireplaces. Its Installation customer base includes national and regional single-family homebuilders, single-family custom builders, and individual homeowners. This segment operates approximately 240 branches located across the United States. The Specialty Distribution segment distributes building and mechanical insulation, insulation accessories, rain gutters and other building product materials for the residential and commercial/industrial end markets. The Company’s customer base consists of insulation contractors of various sizes.</t>
  </si>
  <si>
    <t>LSEA.O</t>
  </si>
  <si>
    <t>Landsea Homes Corp</t>
  </si>
  <si>
    <t>Landsea Homes Corporation is a residential homebuilder. It designs, construction, markets and sales of suburban and urban single-family detached and attached homes in Arizona, California, Colorado, Florida, Texas, and Metro New York. The Arizona market includes entry-level, single-family homes in Avondale, Buckeye, Chandler, Goodyear, Mesa, Phoenix, Queen Creek, Surprise and Tolleson. The California market consists of single-family detached and attached homes in Alameda, Contra Costa, Marin, San Joaquin and Santa Clara counties in Northern California and Los Angeles, Orange and San Bernardino counties in Southern California. The Metro New York market consists of a condominium project in the Chelsea neighborhood in New York City, New York. The Texas market includes single-family homes and a master-planned community around Austin. The Colorado market focuses on entry level and first-time move up communities with new single-family detached homes in Mead and Brighton.</t>
  </si>
  <si>
    <t>TWO</t>
  </si>
  <si>
    <t>90187B804</t>
  </si>
  <si>
    <t>Two Harbors Investment Corp</t>
  </si>
  <si>
    <t>Two Harbors Investment Corp. is a real estate investment trust (REIT) that invests in mortgage servicing rights (MSR), residential mortgage-backed securities and other financial assets. The Company, through its operational platform, RoundPoint Mortgage Servicing LLC, is a servicer of conventional loans. The Company, through its subsidiary, Matrix Financial Services Corporation, holds the requisite approvals from Fannie Mae and Freddie Mac to own and manage MSR. Its Agency residential mortgage-backed securities portfolio is comprised of fixed rate mortgage-backed securities backed by single-family and multi-family mortgage loans. Its other assets may include financial and mortgage-related assets other than its target assets, including non-Agency securities (securities that are not issued or guaranteed by Ginnie Mae, Fannie Mae or Freddie Mac), other Agency securities and certain non-hedging transactions that may produce non-qualifying income for purposes of REIT gross income tests.</t>
  </si>
  <si>
    <t>IVR</t>
  </si>
  <si>
    <t>Invesco Mortgage Capital Inc</t>
  </si>
  <si>
    <t>Invesco Mortgage Capital Inc. is focused on investing in, financing and managing mortgage-backed securities (MBS) and other mortgage-related assets. Its objective is to provide attractive risk-adjusted returns to its stockholders, through dividends and secondarily through capital appreciation. It invests in residential mortgage-backed securities (RMBS) that are guaranteed by a United States government agency, such as the Government National Mortgage Association (Ginnie Mae), or a federally chartered corporation, such as the Federal National Mortgage Association (Fannie Mae) or the Federal Home Loan Mortgage Corporation (Freddie Mac) (Agency RMBS). It also invests in commercial mortgage-backed securities (CMBS) and RMBS that are not guaranteed by a United States government agency or a federally chartered corporation, as well as commercial mortgage loans, TBAs and other real estate-related investments. It conducts its business through its subsidiary, IAS Operating Partnership L.P.</t>
  </si>
  <si>
    <t>ABM INDUSTRIES ORD</t>
  </si>
  <si>
    <t>TOPBUILD ORD</t>
  </si>
  <si>
    <t>LANDSEA HOMES ORD</t>
  </si>
  <si>
    <t>TWO HARBORS INVESTMENT ORD</t>
  </si>
  <si>
    <t>INVESCO MORTGAGE CAPITAL REIT ORD</t>
  </si>
  <si>
    <t>US18539C2044</t>
  </si>
  <si>
    <t>US18539C1053</t>
  </si>
  <si>
    <t>US16411R2085</t>
  </si>
  <si>
    <t>US88830M1027</t>
  </si>
  <si>
    <t>US3175854047</t>
  </si>
  <si>
    <t>US6903701018</t>
  </si>
  <si>
    <t>US45765U1034</t>
  </si>
  <si>
    <t>US7140461093</t>
  </si>
  <si>
    <t>US6873801053</t>
  </si>
  <si>
    <t>US91829F1049</t>
  </si>
  <si>
    <t>CH0044328745</t>
  </si>
  <si>
    <t>US6515871076</t>
  </si>
  <si>
    <t>CWEN.K</t>
  </si>
  <si>
    <t>Clearway Energy, Inc. is a renewable energy company. The Company invests in energy infrastructures and focuses on investments in clean energy and owns modern, sustainable and long-term contracted assets across North America. Its businesses are segregated based on conventional power generation and renewable businesses, which consist of solar, wind and energy storage. It owns approximately 6,200 net megawatts (MW) of installed wind, solar and energy storage projects. The Company's approximately 8,700 net MW of assets also includes approximately 2,500 net MW of natural gas-fired generation facilities. Its conventional projects include Carlsbad, El Segundo, GenConn Devon, GenConn Middletown, Marsh Landing and Walnut Creek. The Company’s utility scale solar projects include Agua Caliente, Alpine, Avenal, Avra Valley, Blythe, Borrego, Buckthorn Solar, CVSR, Daggett 2, Daggett 3, Desert Sunlight 250, Kansas South, and others. Its wind projects include Black Rock, Buffalo Bear and Cedar Creek.</t>
  </si>
  <si>
    <t>CWENa.K</t>
  </si>
  <si>
    <t>Cheniere Energy Inc</t>
  </si>
  <si>
    <t>Cheniere Energy, Inc. (Cheniere) is an energy infrastructure company primarily engaged in liquefied natural gas (LNG)-related businesses. The Company provides clean, secure LNG to integrated energy companies, utilities, and energy trading companies worldwide. It owns and operates two natural gas liquefaction and export facilities at the Sabine Pass LNG and Corpus Christi LNG terminal. Sabine Pass LNG terminal located in Cameron Parish, Louisiana, which has natural gas liquefaction facilities consisting of six operational natural gas liquefaction Trains for a total production capacity of over 30 million tons per annum (mtpa) of LNG (the SPL Project). Corpus Christi LNG terminal near Corpus Christi, Texas, owns and operates three Trains for a total production capacity of approximately 15 mtpa of LNG. In addition, the Company operates a 21.5-mile natural gas supply pipeline that interconnects the Corpus Christi LNG terminal with several interstate and intrastate natural gas pipelines.</t>
  </si>
  <si>
    <t>TWI</t>
  </si>
  <si>
    <t>Titan International Inc</t>
  </si>
  <si>
    <t>Titan International, Inc. is a global manufacturer of off-highway wheels, tires, assemblies, and undercarriage products. The Company's segments include agricultural, earthmoving/construction and consumer. Its agricultural wheels, tires, and components are manufactured for use on various agricultural equipment. The earthmoving/construction segment manufactures wheels, tires, and undercarriage systems and components for various types of off-the-road (OTR) earthmoving, mining, military, construction, and forestry equipment, including skid steers and aerial lifts. The consumer segment manufactures bias truck tires in Latin America and light truck tires in Russia. The Company also offers select products for ATVs, side-by-sides, rock climbers, turf, and lawn and garden. This segment also includes custom rubber stock mixing sales to a variety of OEMs in tangential industries. It manufactures and sells certain tires under the Goodyear Farm Tire, Titan Tire and Voltyre-Prom Tire brands.</t>
  </si>
  <si>
    <t>FISI.O</t>
  </si>
  <si>
    <t>Financial Institutions Inc</t>
  </si>
  <si>
    <t>Financial Institutions, Inc. is a financial holding company. The Company provides a full range of banking and related financial services to consumer, commercial and municipal customers through its bank and non-bank subsidiaries. It offers a range of deposit, lending and other financial services to individuals, municipalities and businesses in the Western and Central New York branch network and its Mid-Atlantic commercial loan production office serving the Baltimore and Washington, D.C. region, through its banking subsidiary, Five Star Bank. Its indirect lending network includes relationships with franchised automobile dealers in Western and Central New York, the Capital District of New York, and Northern and Central Pennsylvania. It offers customized investment advice, wealth management, investment consulting and retirement plan services through its subsidiary, Courier Capital, LLC.</t>
  </si>
  <si>
    <t>BYON.K</t>
  </si>
  <si>
    <t>690370101</t>
  </si>
  <si>
    <t>Beyond Inc</t>
  </si>
  <si>
    <t>NSIT.O</t>
  </si>
  <si>
    <t>Insight Enterprises Inc</t>
  </si>
  <si>
    <t>Revvity Inc</t>
  </si>
  <si>
    <t>Revvity, Inc. is a provider of health science solutions, technologies, and services, which delivers workflows from discovery to development, and diagnosis to cure. Its segments include Life Sciences and Diagnostics. The Life Sciences segment provides products and services targeted towards the life sciences market. The Life Sciences Segment applications include MicroBeta, The MuviCyte live-cell imaging system, The Signals Image Artist, The VICTOR Nivo multimode plate reader benchtop system, The EnSight multimode plate reader benchtop system, BioLegend LEGENDplex bead-based reagents, and The Quantum GX2 system. Its Diagnostics segment develops diagnostics, tools, and applications focused on clinically oriented customers, within the reproductive health, immunodiagnostics, and applied genomics markets. It offers instruments, reagents, assay platforms and software to hospitals, and medical labs. It is focused on reproductive health, immunodiagnostics, and emerging market diagnostics.</t>
  </si>
  <si>
    <t>ORRF.O</t>
  </si>
  <si>
    <t>687380105</t>
  </si>
  <si>
    <t>Orrstown Financial Services Inc</t>
  </si>
  <si>
    <t>Orrstown Financial Services, Inc. is a financial holding company for its wholly owned subsidiary Orrstown Bank (the Bank). The Bank provides a range of consumer and business financial services in Adams, Berks, Cumberland, Dauphin, Franklin, Lancaster, Perry, and York Counties, Pennsylvania and Anne Arundel, Baltimore, Howard, and Washington Counties, Maryland, as well as Baltimore City, Maryland. The Company operates in the community banking segment and engages in lending activities, including commercial, residential, commercial mortgages, construction, municipal, and various forms of consumer lending, and deposit services, including checking, savings, time, and money market deposits. The Company's lending area also includes adjacent counties in Pennsylvania and Maryland, as well as Loudon County, Virginia and Berkeley, Jefferson and Morgan Counties, West Virginia. The Company also provides fiduciary services, investment advisory, insurance and brokerage services.</t>
  </si>
  <si>
    <t>VOXX.O</t>
  </si>
  <si>
    <t>VOXX International Corporation is an international manufacturer and distributor in the automotive electronics, consumer electronics, and biometrics industries. The Company operates through three segments: Automotive Electronics, Consumer Electronics and Biometrics. The Automotive Electronics segment designs, manufactures, distributes and markets rear-seat entertainment devices, remote start systems, automotive security products and devices, vehicle access systems, mobile interface modules, mobile multimedia devices, and others. Consumer Electronics segment designs, manufactures, distributes and markets home theater systems, A/V receivers, premium loudspeakers, outdoor speakers, business music systems, streaming music systems, cinema speakers, architectural speakers, wireless and Bluetooth speakers and soundbars. Its Biometrics segment designs, markets and distributes iris identification and biometric security related products. The Company has a portfolio of approximately 28 brands.</t>
  </si>
  <si>
    <t>CB</t>
  </si>
  <si>
    <t>Chubb Ltd</t>
  </si>
  <si>
    <t>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t>
  </si>
  <si>
    <t>NEU</t>
  </si>
  <si>
    <t>NewMarket Corp</t>
  </si>
  <si>
    <t>CLEARWAY ENERGY CL C ORD</t>
  </si>
  <si>
    <t>CLEARWAY ENERGY CL A ORD</t>
  </si>
  <si>
    <t>TITAN INTERNATIONAL ORD</t>
  </si>
  <si>
    <t>FINANCIAL INSTITUTIONS ORD</t>
  </si>
  <si>
    <t>BEYOND ORD</t>
  </si>
  <si>
    <t>INSIGHT ENTERPRISES ORD</t>
  </si>
  <si>
    <t>ORRSTOWN FINANCIAL SERVICES ORD</t>
  </si>
  <si>
    <t>CHUBB ORD</t>
  </si>
  <si>
    <t>NEWMARKET ORD</t>
  </si>
  <si>
    <t>US5588681057</t>
  </si>
  <si>
    <t>US45867G1013</t>
  </si>
  <si>
    <t>US69318J1007</t>
  </si>
  <si>
    <t>BMG7496G1033</t>
  </si>
  <si>
    <t>Madrigal Pharmaceuticals Inc</t>
  </si>
  <si>
    <t>Madrigal Pharmaceuticals, Inc. is a clinical-stage biopharmaceutical company. The Company is engaged in pursuing novel therapeutics for non-alcoholic steatohepatitis (NASH). The Company's product candidate, resmetirom, is a once-daily, oral, liver-directed thyroid hormone receptor-β (THR-β) agonist designed to target key underlying causes of NASH. NASH is a more advanced form of non-alcoholic fatty liver disease (NAFLD). The Company’s clinical development program includes MAESTRO-NASH, MAESTRO-NAFLD-1, and MAESTRO-NASH OUTCOMES.</t>
  </si>
  <si>
    <t>InterDigital Inc</t>
  </si>
  <si>
    <t>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t>
  </si>
  <si>
    <t>PC Connection Inc</t>
  </si>
  <si>
    <t>PC Connection, Inc. delivers custom-configured computer systems overnight from its ISO 9001:2015 certified technical configuration lab at its distribution center in Wilmington, Ohio. The Company provides a range of information technology (IT) solutions, from the desktop to the cloud, including computer systems, data center solutions, software and peripheral equipment, networking communication, and other products and accessories, which the Company purchases from manufacturers, distributors and other suppliers. The Company operates through three segments: Connection Enterprise Solutions, Connection Business Solutions and Connection Public Sector Solutions. Connection Enterprise Solutions segment is engaged in serving large enterprise customers. Connection Business Solutions segment is engaged in serving small to medium-sized businesses (SMBs). Connection Public Sector Solutions segment is engaged in serving federal, state, and local government and educational institutions.</t>
  </si>
  <si>
    <t>Renaissancere Holdings Ltd</t>
  </si>
  <si>
    <t>RenaissanceRe Holdings Ltd. is a global provider of reinsurance and insurance. The Company provides property, casualty and specialty reinsurance and certain insurance solutions to customers, principally through intermediaries. The Company has two segments. The Property segment is comprised of catastrophe and other property reinsurance and insurance written on behalf of its operating subsidiaries, joint ventures, and managed funds. The Casualty and Specialty segment is comprised of casualty and specialty reinsurance and insurance written on behalf of its operating subsidiaries, joint ventures, and managed funds. The Company writes catastrophe reinsurance and insurance coverage protecting against natural and man-made catastrophes, such as earthquakes, hurricanes, typhoons and tsunamis, winter storms, freezes, floods, fires, windstorms, tornadoes, explosions and acts of terrorism, among others. Its subsidiaries include Renaissance Reinsurance Ltd., Validus Reinsurance Ltd. and others.</t>
  </si>
  <si>
    <t>MDGL.O</t>
  </si>
  <si>
    <t>HLF</t>
  </si>
  <si>
    <t>IDCC.O</t>
  </si>
  <si>
    <t>CNXN.O</t>
  </si>
  <si>
    <t>RNR</t>
  </si>
  <si>
    <t>RVTY.K</t>
  </si>
  <si>
    <t>TXNM.K</t>
  </si>
  <si>
    <t>RCAT.O</t>
  </si>
  <si>
    <t>MADRIGAL PHARMACEUTICALS ORD</t>
  </si>
  <si>
    <t>LNG</t>
  </si>
  <si>
    <t>CHENIERE ENERGY ORD</t>
  </si>
  <si>
    <t>INTERDIGITAL ORD</t>
  </si>
  <si>
    <t>PC CONNECTION ORD</t>
  </si>
  <si>
    <t>EOSE.O</t>
  </si>
  <si>
    <t>EOS ENERGY ENTERPRISES CL A ORD</t>
  </si>
  <si>
    <t>RENAISSANCERE ORD</t>
  </si>
  <si>
    <t>REVVITY ORD</t>
  </si>
  <si>
    <t>US1252691001</t>
  </si>
  <si>
    <t>US30040W1080</t>
  </si>
  <si>
    <t>US0495601058</t>
  </si>
  <si>
    <t>MicroStrategy Incorporated, doing business as Strategy, is a Bitcoin Treasury Company. The Company is engaged in the design, development, marketing, and sales of its software platform through licensing arrangements and cloud subscriptions and related services. It has adopted Bitcoin as its primary treasury reserve asset. By using proceeds from equity and debt financings, as well as cash flows from its operations, it accumulates Bitcoin and advocates for its role as digital capital. It provides investors with varying degrees of economic exposure to Bitcoin by offering a range of securities, including equity and fixed income instruments. In addition, it provides artificial intelligence (AI)-powered enterprise analytics software. Its cloud-native flagship, MicroStrategy ONE, powers some of the analytics deployments for customers spanning a range of industries, including retail, banking, technology, manufacturing, insurance, consulting, healthcare, telecommunications and the public sector.</t>
  </si>
  <si>
    <t>PHAT.O</t>
  </si>
  <si>
    <t>020764106</t>
  </si>
  <si>
    <t>69888T207</t>
  </si>
  <si>
    <t>CF</t>
  </si>
  <si>
    <t>CF Industries Holdings Inc</t>
  </si>
  <si>
    <t>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t>
  </si>
  <si>
    <t>000957100</t>
  </si>
  <si>
    <t>69318J100</t>
  </si>
  <si>
    <t>ES</t>
  </si>
  <si>
    <t>Eversource Energy</t>
  </si>
  <si>
    <t>88830M102</t>
  </si>
  <si>
    <t>55277P104</t>
  </si>
  <si>
    <t>XEL.O</t>
  </si>
  <si>
    <t>ATO</t>
  </si>
  <si>
    <t>049560105</t>
  </si>
  <si>
    <t>Atmos Energy Corp</t>
  </si>
  <si>
    <t>Atmos Energy Corporation is a natural gas-only distributor. The Company delivers natural gas to over 3.3 million distribution customers in over 1,400 communities across eight states located primarily in the South. It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are consists of regulated pipeline and storage operations of its Atmos Pipeline-Texas (APT) division and its natural gas transmission operations in Louisiana. APT is an intrastate pipeline operation in Texas with a heavy concentration in the established natural gas-producing areas of central, northern, and eastern Texas, extending into or near the major producing areas of the Barnett Shale, the Texas Gulf Coast, and the Permian Basin of West Texas.</t>
  </si>
  <si>
    <t>CF INDUSTRIES HOLDINGS ORD</t>
  </si>
  <si>
    <t>EVERSOURCE ENERGY ORD</t>
  </si>
  <si>
    <t>ATMOS ENERGY ORD</t>
  </si>
  <si>
    <t>US6826801036</t>
  </si>
  <si>
    <t>US45167R1041</t>
  </si>
  <si>
    <t>OKE</t>
  </si>
  <si>
    <t>ONEOK Inc</t>
  </si>
  <si>
    <t>Oneok, Inc. is a midstream operator that provides gathering, processing, fractionation, transportation and storage services. The Company's segments include Natural Gas Gathering and Processing; Natural Gas Liquids; Natural Gas Pipelines, and Refined Products and Crude. The Natural Gas Gathering and Processing segment provides midstream services to producers in North Dakota, Montana, Wyoming, Kansas and Oklahoma. The Natural Gas Liquids segment owns and operates facilities that gather, fractionate, treat and distribute natural gas liquids (NGLs) and store Purity NGLs, primarily in Oklahoma, Kansas, Texas, New Mexico and the Rocky Mountain region, which includes the Williston, Powder River and DJ Basins. The Natural Gas Pipelines segment transports and stores natural gas. The Refined Products and Crude segment transports, stores and distributes refined products and crude oil, as well as conducts certain commodity-related activities including liquids blending and marketing activities.</t>
  </si>
  <si>
    <t>IEX</t>
  </si>
  <si>
    <t>IDEX Corp</t>
  </si>
  <si>
    <t>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t>
  </si>
  <si>
    <t>152309100</t>
  </si>
  <si>
    <t>Centessa Pharmaceuticals PLC</t>
  </si>
  <si>
    <t>G11448100</t>
  </si>
  <si>
    <t>Bitdeer Technologies Group</t>
  </si>
  <si>
    <t>74319N100</t>
  </si>
  <si>
    <t>ProFrac Holding Corp</t>
  </si>
  <si>
    <t>35953C106</t>
  </si>
  <si>
    <t>Ftai Infrastructure Inc</t>
  </si>
  <si>
    <t>642045108</t>
  </si>
  <si>
    <t>Atlas Energy Solutions Inc</t>
  </si>
  <si>
    <t/>
  </si>
  <si>
    <t>IDEX ORD</t>
  </si>
  <si>
    <t>US74164F1030</t>
  </si>
  <si>
    <t>US92847W1036</t>
  </si>
  <si>
    <t>US4385161066</t>
  </si>
  <si>
    <t>US46578C1080</t>
  </si>
  <si>
    <t>US98956P1021</t>
  </si>
  <si>
    <t>US00191U1025</t>
  </si>
  <si>
    <t>US53115L1044</t>
  </si>
  <si>
    <t>US45866F1049</t>
  </si>
  <si>
    <t>US8245961003</t>
  </si>
  <si>
    <t>US03783C1009</t>
  </si>
  <si>
    <t>US4532041096</t>
  </si>
  <si>
    <t>PRIM.K</t>
  </si>
  <si>
    <t>74164F103</t>
  </si>
  <si>
    <t>Primoris Services Corp</t>
  </si>
  <si>
    <t>Primoris Services Corporation is engaged in providing of infrastructure services. The Company provides a range of construction, maintenance, replacement, fabrication, and engineering services to a diversified base of customers through its two segments: Utilities, and Energy. The Utilities segment offers services, including the installation and maintenance of new and existing natural gas and electric utility distribution and transmission systems, and communications systems. The Energy segment operates throughout the United States and Canada and specializes in a range of services that include engineering, procurement, construction, retrofits, highway and bridge construction, demolition, site work, soil stabilization, mass excavation, flood control, upgrades, repairs, outages, pipeline construction and maintenance, pipeline integrity services, and maintenance services for entities in the renewable energy and energy storage, renewable fuels, and petroleum and petrochemical industries.</t>
  </si>
  <si>
    <t>VITL.O</t>
  </si>
  <si>
    <t>Vital Farms Inc</t>
  </si>
  <si>
    <t>HON.O</t>
  </si>
  <si>
    <t>Honeywell International Inc</t>
  </si>
  <si>
    <t>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t>
  </si>
  <si>
    <t>IE</t>
  </si>
  <si>
    <t>Ivanhoe Electric Inc</t>
  </si>
  <si>
    <t>Ivanhoe Electric Inc. is a mineral exploration and development company that combines advanced mineral exploration technologies with electric metals exploration projects located in the United States. The Company uses its Typhoon geophysical surveying system, together with advanced data analytics provided by its subsidiary, Computational Geosciences Inc., to accelerate and de-risk the mineral exploration process. Its portfolio of electric metals exploration projects includes the Santa Cruz Copper Project in Arizona and the Tintic Copper-Gold Project in Utah. It also operates a 50/50 joint venture with Saudi Arabian Mining Company Ma’aden to explore for minerals on over 48,500 square kilometers (km2) of underexplored Arabian Shield in Saudi Arabia. Its other key mineral projects are the Hog Heaven Copper-Silver-Gold Project, located in Montana, San Matias Copper-Gold-Silver Project in northern Colombia and the Sama Nickel-Copper-Palladium Project, located in the Ivory Coast.</t>
  </si>
  <si>
    <t>ZBH</t>
  </si>
  <si>
    <t>Zimmer Biomet Holdings Inc</t>
  </si>
  <si>
    <t>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t>
  </si>
  <si>
    <t>ASGN.K</t>
  </si>
  <si>
    <t>00191U102</t>
  </si>
  <si>
    <t>ASGN Inc</t>
  </si>
  <si>
    <t>ASGN Incorporated is a provider of information technology (IT) services and solutions to the commercial and government sectors. The Company operates through two segments: Commercial and Federal Government. The Commercial segment provides IT services and solutions, digital and creative services to Fortune 1000 and large enterprise clients across the United States, Canada and Europe. The Federal Government segment delivers advanced solutions in cloud and enterprise IT, cybersecurity, artificial intelligence, machine learning and digital transformation to meet the mission critical needs of defense, intelligence and federal civilian agencies. This segment provides services under time-and-materials, cost reimbursable, and firm-fixed-price contracts. The Company helps corporate enterprises and government organizations develop, implement and operate critical IT and business solutions through its integrated offering of IT consulting and professional staffing.</t>
  </si>
  <si>
    <t>LBRT.K</t>
  </si>
  <si>
    <t>53115L104</t>
  </si>
  <si>
    <t>Liberty Energy Inc</t>
  </si>
  <si>
    <t>ICE</t>
  </si>
  <si>
    <t>Intercontinental Exchange Inc</t>
  </si>
  <si>
    <t>SHG</t>
  </si>
  <si>
    <t>824596100</t>
  </si>
  <si>
    <t>Shinhan Financial Group Co Ltd</t>
  </si>
  <si>
    <t>Shinhan Financial Group Co Ltd is a Korea-based company principally engaged in the bank business. The Company operates its business through five segments. The Bank segment offers commercial bank services. The Credit Card segment provides credit card services. The Financial Investment segment involves in the trading and consignment trading of securities. The Life Insurance segment is engaged in the life insurance business. The Other segment is involved in the asset management, facilities rental and rental business, savings banks, financial information technology (IT) services, fund general office management, debts collection and credit investigation, private equities investment, real estate investment and operation.</t>
  </si>
  <si>
    <t>APPF.O</t>
  </si>
  <si>
    <t>Appfolio Inc</t>
  </si>
  <si>
    <t>AppFolio, Inc. is a provider of cloud business management solutions for the real estate industry. The Company’s solutions are designed to enable its customers to digitally transform their businesses and address critical operations. It helps its customers navigate an increasingly interconnected and growing network of stakeholders in their business ecosystems, including property owners, real estate investment managers, rental prospects, residents, and vendors, and provides key functionality related to critical transactions across the real estate lifecycle, including screening potential tenants, sending and receiving payments and providing insurance-related risk mitigation services. Its solutions include AppFolio, AppFolio Property Manager Core, AppFolio Property Manager Plus, AppFolio Property Manager Max, and FolioSpace. The Company also offers value-added services, such as marketing and leasing, electronic payment services, business optimization, and risk mitigation.</t>
  </si>
  <si>
    <t>PI.O</t>
  </si>
  <si>
    <t>453204109</t>
  </si>
  <si>
    <t>Impinj Inc</t>
  </si>
  <si>
    <t>itemname=TR.PrimaryIssueRICCode</t>
  </si>
  <si>
    <t>itemname=TR.ISIN</t>
  </si>
  <si>
    <t>itemname=TR.CUSIPExtended</t>
  </si>
  <si>
    <t>itemname=TR.CommonName</t>
  </si>
  <si>
    <t>itemname=TR.ExchangeCountry</t>
  </si>
  <si>
    <t>itemname=TR.GICSSector</t>
  </si>
  <si>
    <t>currency=USD&amp;itemname=TR.CompanyMarketCapitalization</t>
  </si>
  <si>
    <t>currency=USD&amp;itemname=TR.PriceClose</t>
  </si>
  <si>
    <t>PRIMORIS SERVICES ORD</t>
  </si>
  <si>
    <t>VITAL FARMS ORD</t>
  </si>
  <si>
    <t>HONEYWELL INTERNATIONAL ORD</t>
  </si>
  <si>
    <t>IVANHOE ELECTRIC ORD</t>
  </si>
  <si>
    <t>ASGN ORD</t>
  </si>
  <si>
    <t>LIBERTY ENERGY CL A ORD</t>
  </si>
  <si>
    <t>INTERCONTINENTAL EXCHANGE ORD</t>
  </si>
  <si>
    <t>SHINHAN FINANCIAL ADR REPSG 1 ORD</t>
  </si>
  <si>
    <t>APPFOLIO CL A ORD</t>
  </si>
  <si>
    <t>IMPINJ ORD</t>
  </si>
  <si>
    <t>US8851601018</t>
  </si>
  <si>
    <t>US3927091013</t>
  </si>
  <si>
    <t>US7495271071</t>
  </si>
  <si>
    <t>US05464C1018</t>
  </si>
  <si>
    <t>US22410J1060</t>
  </si>
  <si>
    <t>US87652V1098</t>
  </si>
  <si>
    <t>US92242T1016</t>
  </si>
  <si>
    <t>JE00BL970N11</t>
  </si>
  <si>
    <t>US5335351004</t>
  </si>
  <si>
    <t>US3647601083</t>
  </si>
  <si>
    <t>US7710491033</t>
  </si>
  <si>
    <t>US92338C1036</t>
  </si>
  <si>
    <t>US9026811052</t>
  </si>
  <si>
    <t>US48241A1051</t>
  </si>
  <si>
    <t>THO</t>
  </si>
  <si>
    <t>885160101</t>
  </si>
  <si>
    <t>Thor Industries Inc</t>
  </si>
  <si>
    <t>THOR Industries, Inc. is a manufacturer of recreational vehicles (RV). The Company manufactures a variety of RVs in the United States and Europe, and sells those vehicles, as well as related parts and accessories, primarily to independent, non-franchise dealers throughout the United States, Canada and Europe. Its segments include North American Towable Recreational Vehicles, North American Motorized Recreational Vehicles and European Recreational Vehicles. The North American Towable Recreational Vehicles segment consists of Airstream (towable), Heartland (including Cruiser RV and DRV), Jayco (including Jayco towable, Starcraft and Highland Ridge), Keystone (including CrossRoads and Dutchmen), and KZ (including Venture RV). The North American Motorized Recreational Vehicles segment consists of Airstream (motorized), Jayco (including Jayco motorized and Entegra Coach), Thor Motor Coach and the Tiffin Group. The European Recreational Vehicles segment consists of the EHG business.</t>
  </si>
  <si>
    <t>GRBK.K</t>
  </si>
  <si>
    <t>392709101</t>
  </si>
  <si>
    <t>Green Brick Partners Inc</t>
  </si>
  <si>
    <t>Green Brick Partners, Inc. is a diversified homebuilding and land development company. The Company is engaged in all aspects of the homebuilding process, including land acquisition and development, entitlements, design, construction, title and mortgage services, marketing and sales and the creation of brand images at its residential neighborhoods and master planned communities. The Company operates through three segments: Builder operations Central, Builder operations Southeast, and Land development. The Builder operations Central segment represents operations by its builders in Texas. The Builder operations Southeast segment represents operations by its builders in Georgia and Florida. The Land Development segment acquires land for the development of residential lots that are transferred to its controlled builders or sold to third party homebuilders. The Company owns or controls approximately 28,700 home sites in high-growth submarkets.</t>
  </si>
  <si>
    <t>REVG.K</t>
  </si>
  <si>
    <t>REV Group Inc</t>
  </si>
  <si>
    <t>REV Group, Inc. is a designer, manufacturer, and distributor of specialty vehicles and related aftermarket parts and services, serving a diversified customer base, primarily in the North America. The Company's segments include Specialty Vehicles and Recreational Vehicles. The Specialty Vehicles segment sells fire apparatus equipment under the E-ONE, KME, and Ferrara brands, and Spartan ER, which consists of the Spartan Emergency Response, Smeal, Spartan Fire Chassis, and Ladder Tower brands, ambulances under the AEV, Horton, Leader, Road Rescue and Wheeled Coach brands, and terminal trucks and sweepers under the Capacity and Laymor brands, respectively. The Recreational Vehicles segment serves the RV market through brands, such as American Coach, Fleetwood RV, Holiday Rambler, Renegade RV, Midwest Automotive Designs, and Lance Camper. Its products in the segment include Class A motorized RVs, Class C and Super C motorized RVs, Class B RVs, and towable travel trailers and truck campers.</t>
  </si>
  <si>
    <t>AXON.O</t>
  </si>
  <si>
    <t>Axon Enterprise Inc</t>
  </si>
  <si>
    <t>Axon Enterprise, Inc. is a provider of law enforcement technology solutions. The Company is engaged in building the public safety operating system by integrating hardware devices and cloud software solutions that lead modern policing, defense and security. Its ecosystem includes TASER energy devices, body-worn cameras, in-car cameras, cloud-hosted digital evidence management solutions, productivity software, real-time operations capabilities and third-party integrations through its partner network. The Company's TASER segment offers manufacture and sale of conducted electrical devices, batteries, accessories, extended warranties, and other products and services. Software and Sensors segment development, manufacture and sale of fully integrated hardware and cloud-based software solutions that enable law enforcement to capture, store, manage, share and analyze video, and other digital evidence. The Company is also engaged in offering real-time crime center (RTCC) technology.</t>
  </si>
  <si>
    <t>CBRL.O</t>
  </si>
  <si>
    <t>22410J106</t>
  </si>
  <si>
    <t>Cracker Barrel Old Country Store Inc</t>
  </si>
  <si>
    <t>Cracker Barrel Old Country Store, Inc. is engaged in the operation and development of the Cracker Barrel Old Country Store concept (Cracker Barrel). It operates 658 Cracker Barrel stores in 44 states and 68 Maple Street Biscuit Company stores in 10 states. The Company’s format of its stores consists of a trademarked rustic old country-store design offering a full-service restaurant menu that features home-style country food and a wide variety of decorative and functional items such as rocking chairs, holiday and seasonal gifts, toys, apparel, cookware and foods. Its restaurants serve breakfast, lunch and dinner daily and offer dine-in, pick-up and delivery services. Its breakfast items include juices, eggs, pancakes, meats, grits, and a variety of biscuit specialties, such as gravy and biscuits and country ham and biscuits. Its Lunch and dinner items include fried and grilled chicken, chicken and dumplings, chicken pot pie, meatloaf, country fried steak, pork chops, fish, and more.</t>
  </si>
  <si>
    <t>TASK.O</t>
  </si>
  <si>
    <t>Taskus Inc</t>
  </si>
  <si>
    <t>TaskUs, Inc. is a provider of outsourced digital services and customer experience. The Company's global, omni-channel delivery model is focused on providing its clients three key services: Digital Customer Experience (Digital CX), Trust and Safety, and Artificial Intelligence (AI) services. The Company's Digital CX solutions include omni-channel customer care, learning experience, new product or market launches, sales and customer acquisition, and TaskUs Digital CX Consulting. Its Trust and Safety consists of two primary areas of service: content moderation and risk and response. Content moderation pertains to the review and disposition of user and advertiser generated content, which may include removal or labeling of policy violating, offensive or misleading content. The Company's AI services solutions include data annotation that refines large sets of training data for its clients by annotating videos, photos, audio clips and text based on their policy specifications.</t>
  </si>
  <si>
    <t>VVX</t>
  </si>
  <si>
    <t>92242T101</t>
  </si>
  <si>
    <t>V2X Inc</t>
  </si>
  <si>
    <t>V2X, Inc. builds smart solutions designed to integrate physical and digital infrastructure. The Company provides critical mission solutions primarily to defense clients in around 322 locations and 51 countries and territories worldwide. It delivers a suite of integrated solutions across the operations and logistics, aerospace, training, and technology markets to national security, defense, civilian and international clients. Its aerospace solutions provide the engineering, facilities, and skilled employees required to sustain systems and platforms. Its technology solutions include capabilities, such as the deployment, integration, and maintenance of sensors and solutions, as well as the operation of complex systems in austere locations. Its operations and logistics capabilities provide government clients with full spectrum support for logistics, infrastructure sustainment and contingency operations, wherever needed. Its training solutions deliver full life cycle training solutions.</t>
  </si>
  <si>
    <t>GAMB.O</t>
  </si>
  <si>
    <t>G3R239101</t>
  </si>
  <si>
    <t>Gambling.com Group Ltd</t>
  </si>
  <si>
    <t>Gambling.com Group Limited is a provider of digital marketing services for the global online gambling industry. The Company is primarily operating in the United States and Ireland. The Company, through its technology platform, publishes a portfolio of premier branded websites including Gambling.com, Bookies.com, Casinos.com, and RotoWire.com. The Company owns and operates more than 50 websites in seven languages across 15 national markets covering all aspects of the online gambling industry, including iGaming and sports betting, and the fantasy sports industry. The Company's OddsJam platform provides a suite of tools and services to assist consumers and enterprises in sports betting. Each of its websites is tailored for different user interests and markets within the online gambling industry and includes original and curated news relating to the sector, such as odds, statistics, product reviews and product comparisons of online gambling services around the world.</t>
  </si>
  <si>
    <t>LINC.O</t>
  </si>
  <si>
    <t>Lincoln Educational Services Corporation is a provider of diversified career-oriented post-secondary education. The Company offers career-oriented programs to recent high school graduates and working adults in five principal areas of study: automotive technology, health sciences, skilled trades, business and information technology, and hospitality services. The Company operates 22 campuses in 13 states under four brands: Lincoln College of Technology, Lincoln Technical Institute, Lincoln Culinary Institute, and Euphoria Institute of Beauty Arts and Sciences. The Company operates through two segments: Campus Operations and Transitional. The Campus Operations segment includes campuses that are continuing in operation and contribute to the Company’s core operations and performance. The Transitional segment refers to campuses that are marked for closure and are currently being taught-out.</t>
  </si>
  <si>
    <t>GAP</t>
  </si>
  <si>
    <t>364760108</t>
  </si>
  <si>
    <t>Gap Inc</t>
  </si>
  <si>
    <t>The Gap, Inc. is a specialty apparel company in America. The Company offers apparel, accessories and personal care products for women, men and children. Its Old Navy, Gap, Banana Republic, and Athleta brands offer clothing, accessories and lifestyle products for men, women and children. It is an omni-channel retailer, with sales to customers both in stores and online, through Company-operated and franchise stores, websites, and third-party arrangements. Its omni-channel services, including buying online pick-up in store, order-in-store, find-in-store, and ship-from-store, as well as enhanced mobile-enabled experiences, are tailored across its collection of brands. Gap includes adult apparel and accessories, GapKids, babyGap, Gap Maternity, GapBody, and GapFit collections. Banana Republic is a premium lifestyle retailer celebrating exploration and self-expression through timeless quality, versatile fabrics, and exceptionally made womenswear, menswear, and home designs.</t>
  </si>
  <si>
    <t>RBLX.K</t>
  </si>
  <si>
    <t>Roblox Corp</t>
  </si>
  <si>
    <t>Roblox Corporation operates a free to use immersive platform for connection and communication (Roblox Platform), where every day, people come to create, play, work, learn, and connect with each other in experiences built by its global community of creators. It operates the Roblox Platform as live services that allow users to play and socialize with others for free. Its platform consists of the Roblox Client, the Roblox Studio, and the Roblox Cloud. Roblox Client is the application that allows users to seamlessly explore 3D immersive experiences. Roblox Studio is the free toolset that allows developers and creators to build, publish, and operate three dimensional (3D) immersive experiences and other content accessed with the Roblox Client. Roblox Cloud includes the services and infrastructure that power its Platform. It offers developers and creators the ability to build engaging, immersive experiences and marketplace items that they can easily share with the Roblox community.</t>
  </si>
  <si>
    <t>VLTO.K</t>
  </si>
  <si>
    <t>Veralto Corp</t>
  </si>
  <si>
    <t>Veralto Corporation provides essential technology solutions that monitor, enhance, and protect key resources around the globe. The Company operates through two segments: Water Quality (WQ) and Product Quality &amp; Innovation (PQI). The WQ segment provides a comprehensive portfolio of water analytics and differentiated water treatment solutions that enable the reliable delivery of safe drinking water by public and private utilities from source water to the consumer and back into the water cycle. It provides proprietary precision instrumentation and advanced water treatment technologies under Hach, Trojan Technologies, ChemTreat, and other global WQ brands. Its PQI segment provides a broad set of solutions for brand owners and consumer packaged goods companies that enable speed to market as well as traceability and quality control of their products. The brands in this segment include Videojet, Linx, Esko, X-Rite, Pantone and others. TraceGains is complementary to its PQI segment.</t>
  </si>
  <si>
    <t>UGI</t>
  </si>
  <si>
    <t>902681105</t>
  </si>
  <si>
    <t>UGI Corp</t>
  </si>
  <si>
    <t>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and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t>
  </si>
  <si>
    <t>KB</t>
  </si>
  <si>
    <t>48241A105</t>
  </si>
  <si>
    <t>KB Financial Group Inc</t>
  </si>
  <si>
    <t>KB Financial Group Inc is a Korean-based company principally engaged in the financial business. The Company operates its business through six segments. The Banking segment consists of retail banking services provided by Kookmin Bank. This segment is engaged in the lending and receiving of large corporations, small and medium-sized businesses, SOHO and household customers, the investment of securities and derivatives, and financing, among others. The Credit Card segment operates credit sales, cash advances and card loans, among others. The Securities segment is engaged in the trading, consignment and acquisition of securities. The Non-life Insurance segment is engaged in the non-life insurance. The Life Insurance segment is engaged in the life insurance. The other segment is engaged in the maintenance of computer-related equipment and systems, the investigation of credit and the collection of debt, among others.</t>
  </si>
  <si>
    <t>THOR INDUSTRIES ORD</t>
  </si>
  <si>
    <t>GREEN BRICK PARTNERS ORD</t>
  </si>
  <si>
    <t>HERBALIFE ORD</t>
  </si>
  <si>
    <t>REV GROUP ORD</t>
  </si>
  <si>
    <t>AXON ENTERPRISE ORD</t>
  </si>
  <si>
    <t>CRACKER BARREL OLD COUNTRY STORE ORD</t>
  </si>
  <si>
    <t>TASKUS CL A ORD</t>
  </si>
  <si>
    <t>V2X ORD</t>
  </si>
  <si>
    <t>GAMBLING COM GROUP ORD</t>
  </si>
  <si>
    <t>LINCOLN EDUCATIONAL SERVICES ORD</t>
  </si>
  <si>
    <t>GAP ORD</t>
  </si>
  <si>
    <t>ROBLOX CL A ORD</t>
  </si>
  <si>
    <t>ZIMMER BIOMET HOLDINGS ORD</t>
  </si>
  <si>
    <t>VERALTO ORD</t>
  </si>
  <si>
    <t>ONEOK ORD</t>
  </si>
  <si>
    <t>KB FINANCIAL GROUP ADR REP ONE ORD</t>
  </si>
  <si>
    <t>US69366J2006</t>
  </si>
  <si>
    <t>US36118L1061</t>
  </si>
  <si>
    <t>US50050N1037</t>
  </si>
  <si>
    <t>US4500473032</t>
  </si>
  <si>
    <t>US37892E1029</t>
  </si>
  <si>
    <t>Cango Inc is a holding company principally engaged in the provision of automotive transaction service platform. The Company mainly provides automobile trading solutions and after-market services facilitation services. Automobile trading solutions mainly include car sourcing and transaction facilitation services, along with logistics and warehousing support for dealers, which are accessible primarily through Cango U-car application (app). After-market services facilitation services include the sale of insurance policies and other after-market services. The Company provides automotive financing facilitation services, as well as value-added services, such as assistance with administrative procedures associated with car purchasing and financing. The Company also operates overseas crypto mining business.</t>
  </si>
  <si>
    <t>Vital Farms, Inc. offers a range of ethically produced foods nationwide. The Company is a national consumer brand that works with over 425 family farms and is the United States brand of pasture-raised eggs. The Company focuses on the humane treatment of farm animals and sustainable farming practices. Its products, including shell eggs, butter, hard-boiled eggs, and liquid whole eggs, are sold in approximately 24,000 stores nationwide. The Company packages, markets and distributes shell eggs, butter, and other products. The retail varieties of its shell eggs are based on supplemental feed type, egg size, and pack size. Its egg packaging consists primarily of corrugated boxes and egg cartons. The Company offers unsalted and sea-salted varieties of its butter, which is sold in two-stick and four-stick packs. The Company’s products are principally sold under the name Vital Farms in addition to other trade names, primarily to retail and foodservice channels in the United States.</t>
  </si>
  <si>
    <t>Liberty Energy Inc. is an energy services company. The Company is a provider of completion services and technologies to onshore oil, natural gas, and enhanced geothermal energy producers in North America. It also owns and operates Liberty Power Innovations LLC, providing advanced distributed power and energy storage solutions for the commercial and industrial, data center, energy, and mining industries. It provides hydraulic fracturing services and related technologies to onshore oil and natural gas exploration and production (E&amp;P) companies. It offers customers hydraulic fracturing services, together with complementary services including wireline services, proppant delivery solutions, field gas processing and treating, compressed natural gas (CNG) delivery, data analytics, related goods (including its sand mine operations), and technologies to facilitate lower emission completions. The Company’s areas of operations are in all the active shale basins in North America.</t>
  </si>
  <si>
    <t>766559702</t>
  </si>
  <si>
    <t>128030202</t>
  </si>
  <si>
    <t>24665A103</t>
  </si>
  <si>
    <t>04016X101</t>
  </si>
  <si>
    <t>156727109</t>
  </si>
  <si>
    <t>782011100</t>
  </si>
  <si>
    <t>78435P105</t>
  </si>
  <si>
    <t>767204100</t>
  </si>
  <si>
    <t>125269100</t>
  </si>
  <si>
    <t>641288105</t>
  </si>
  <si>
    <t>00436Q106</t>
  </si>
  <si>
    <t>400501102</t>
  </si>
  <si>
    <t>PTCT.O</t>
  </si>
  <si>
    <t>PTC Therapeutics Inc</t>
  </si>
  <si>
    <t>PTC Therapeutics, Inc. is a global biopharmaceutical company. The Company is focused on the discovery, development, and commercialization of clinically differentiated medicines that provide benefits to patients with rare disorders. The Company has a diversified therapeutic portfolio that includes several commercial products and product candidates in various stages of development, including discovery, research and clinical stages, focused on the development of new treatments for multiple therapeutic areas for rare diseases relating to neurology and metabolism. It has two products, Translarna (ataluren) and Emflaza (deflazacort), for the treatment of Duchenne muscular dystrophy (DMD) a rare, life-threatening disorder. Its Upstaza, a gene therapy for the treatment of Aromatic L-Amino Decarboxylase (AADC) deficiency, a rare central nervous system (CNS) disorder. Its Tegsedi and Waylivra are for the treatment of rare diseases. Its Evrysdi, a treatment for spinal muscular atrophy (SMA).</t>
  </si>
  <si>
    <t>604749101</t>
  </si>
  <si>
    <t>82835W108</t>
  </si>
  <si>
    <t>FUTU.O</t>
  </si>
  <si>
    <t>Futu Holdings Ltd</t>
  </si>
  <si>
    <t>Futu Holdings Limited is an investment holding company engaged in offering digitized brokerage platforms. The Company is involved in the provision of online brokerage services and margin financing services through software and websites. The Company mainly provides investing services through its digital brokerage platform under the name of Futu NiuNiu. The Company’s service offerings include trade executions and margin financings, which allow its clients to trade securities across markets, such as stocks, warrants, options and exchange traded funds (ETFs). In addition, the Company also provides financial information and online community services.</t>
  </si>
  <si>
    <t>KTB</t>
  </si>
  <si>
    <t>Kontoor Brands, Inc. is a global lifestyle apparel company. The Company designs, manufactures, procures, sells and licenses apparel, footwear and accessories, primarily under the brand names Wrangler and Lee. The Company's segments include Wrangler, Lee and Other. The Wrangler segment offers multiple sub-brands and collections within the Wrangler brand, including 20X, Aura from the Women at Wrangler, Cowboy Cut, Premium Patch, Riggs Workwear, Rock 47, Rustler, Wrangler Retro, Wrangler Rugged Wear and Wrangler All Terrain Gear. The Lee segment includes a range of jeans, pants, shirts, shorts and jackets for adults and children. The Lee brand offers multiple sub-brands and collections, including Lee101, Riders by Lee Indigo and Chic by Lee. The Other segment includes sales and licensing of Rock &amp; Republic, other company-owned brands and private label apparel. Its distribution channels include United States Wholesale, Non-United States Wholesale and direct-to-consumer.</t>
  </si>
  <si>
    <t>749527107</t>
  </si>
  <si>
    <t>51509P103</t>
  </si>
  <si>
    <t>92847W103</t>
  </si>
  <si>
    <t>68386H103</t>
  </si>
  <si>
    <t>IRS</t>
  </si>
  <si>
    <t>450047303</t>
  </si>
  <si>
    <t>IRSA Inversiones y Representaciones SA</t>
  </si>
  <si>
    <t>IRSA Inversiones y Representaciones Sociedad Anonima is a holding company. The Company invests on its own behalf and through investee companies in companies operating in various sectors of the Israeli and global economy. The Company's segments are Cellcom, which includes cellular telephone services, content and added value services, other services and revenues from the sale of end user equipment in the cellular field; Property and Buildings and projects in Las Vegas, which includes the rental of income-generating properties and residential buildings; Shufersal, which includes retail and the rental of income-generating properties; Adama, which includes the sale of agro products and non-agro products; Clal Insurance Enterprise Holdings, which operates through subsidiary companies in the fields of insurance, pensions and provident funds, in the field of financial services and in the holding of assets and real businesses, and Others.</t>
  </si>
  <si>
    <t>50060P106</t>
  </si>
  <si>
    <t>87652V109</t>
  </si>
  <si>
    <t>GIC</t>
  </si>
  <si>
    <t>37892E102</t>
  </si>
  <si>
    <t>Global Industrial Co</t>
  </si>
  <si>
    <t>Global Industrial Company is an industrial distributor. The Company offers industrial and maintenance, repair, and operations (MRO) products, including its own Global Industrial brands, which are marketed in North America. Its products categories includes storage and shelving, safety and security, carts and trucks, heating, ventilation, air conditioning (HVAC) and fans, furniture and decor, material handling, janitorial and facility maintenance, workbenches and shop desks, tools and instruments, plumbing and pumps, office and school supplies, packaging and shipping, lighting and electrical, foodservice and retail, medical and laboratory, motors and power transmission, building supplies, machining, fasteners and hardware, vehicle maintenance, and raw materials. The Company's private brands include Global, GlobalIndustrial.com, Nexel, Paramount, Absocold and Interion. The Company offers its products through e-commerce Websites.</t>
  </si>
  <si>
    <t>317585404</t>
  </si>
  <si>
    <t>09263B207</t>
  </si>
  <si>
    <t>29415C101</t>
  </si>
  <si>
    <t>45769N105</t>
  </si>
  <si>
    <t>91829F104</t>
  </si>
  <si>
    <t>VOXX International Corp</t>
  </si>
  <si>
    <t>PTC THERAPEUTICS ORD</t>
  </si>
  <si>
    <t>FUTU HOLDINGS ADR</t>
  </si>
  <si>
    <t>KONTOOR BRANDS ORD</t>
  </si>
  <si>
    <t>IRSA INVERSIONES ADS REP 10 ORD</t>
  </si>
  <si>
    <t>GLOBAL INDUSTRIAL ORD</t>
  </si>
  <si>
    <t>AUDIOVOX CL A ORD</t>
  </si>
  <si>
    <t>US0028962076</t>
  </si>
  <si>
    <t>US29084Q1004</t>
  </si>
  <si>
    <t>US83089J1088</t>
  </si>
  <si>
    <t>US90291C2017</t>
  </si>
  <si>
    <t>US50012A1088</t>
  </si>
  <si>
    <t>US1993331057</t>
  </si>
  <si>
    <t>US7110401053</t>
  </si>
  <si>
    <t>US4131601027</t>
  </si>
  <si>
    <t>US44980X1090</t>
  </si>
  <si>
    <t>ANF</t>
  </si>
  <si>
    <t>Abercrombie &amp; Fitch Co</t>
  </si>
  <si>
    <t>Abercrombie &amp; Fitch Co., through its subsidiaries, is a global, digitally led omnichannel retailer. The Company offers a range of assortment of apparel, personal care products and accessories for men, women, and kids, which are sold primarily through its Company-owned stores and digital channels, as well as through various third-party arrangements. The Company’s brands include Abercrombie brands, which includes Abercrombie &amp; Fitch and abercrombie kids, and Hollister brands, which includes Hollister and Gilly Hicks. Its geographic segments include Americas, EMEA, and APAC. The Americas segment includes operations in North America and South America. The EMEA segment includes operations in Europe, the Middle East and Africa. The APAC segment includes operations in the Asia-Pacific region, including Asia and Oceania. The Company operates 40 international franchise stores across the Company’s brands primarily located within the Americas and EMEA region.</t>
  </si>
  <si>
    <t>EME</t>
  </si>
  <si>
    <t>EMCOR Group Inc</t>
  </si>
  <si>
    <t>EMCOR Group, Inc. is a specialty contractor in the United States and a provider of electrical and mechanical construction and facilities services, building services and industrial services. The Company provides services to a range of commercial, technology, manufacturing, industrial, healthcare, utility and institutional customers through approximately 100 operating subsidiaries, which specialize principally in providing construction services relating to electrical and mechanical systems in all types of facilities and in providing various services relating to the operation, maintenance and management of those facilities. Such operating subsidiaries are organized into five segments: United States electrical construction and facilities services, United States mechanical construction and facilities services, United States building services, United States industrial services and United Kingdom building services. Its operating subsidiaries offer comprehensive and diverse solutions.</t>
  </si>
  <si>
    <t>SKYT.O</t>
  </si>
  <si>
    <t>83089J108</t>
  </si>
  <si>
    <t>Skywater Technology Inc</t>
  </si>
  <si>
    <t>SkyWater Technology, Inc. (SkyWater) is an independent, pure-play technology foundry that offers advanced semiconductor development and manufacturing services. Its technology-as-a-Service (TaaS) model leverages a foundation of technology and microelectronics manufacturing capacity to co-develop process technology intellectual property (IP) with its customers that enable disruptive concepts through its Advanced Technology Services (ATS) for diverse microelectronics (integrated circuits (ICs)) and related micro-and nanotechnology applications. In addition to differentiated technology development services, it supports customers with volume production of ICs for high-growth markets through its Wafer Services. SkyWater’s technologies offer diverse categories, including mixed-signal metal-oxide-semiconductor (CMOS), read-out integrated circuits (ICs), rad-hard ICs, power management, microelectromechanical systems (MEMS), superconducting ICs, photonics, carbon nanotubes and interposers.</t>
  </si>
  <si>
    <t>USAU.O</t>
  </si>
  <si>
    <t>90291C201</t>
  </si>
  <si>
    <t>US Gold Corp</t>
  </si>
  <si>
    <t>U.S. Gold Corp. is a gold development and exploration company. The Company has a portfolio of exploration properties. The Company owns certain mining leases and other mineral rights comprising the CK Gold Project in Wyoming, the Keystone Project in Nevada and the Challis Gold Project in Idaho. The CK Gold Project deposit is a development stage, large-tonnage, gold-copper deposit with high-grade mineralization exposed at the surface surrounded by a large, low-grade zone with potential for expanding resources. The CK Gold Project property comprises about 1,120 acres and is 100% owned by the Company. The Challis Gold Project is located about 75 kilometers (kms) southwest (SW) of Salmon, ID and 20 kms SW of Revival Gold's Beartrack Project, within the Tertiary Challis Volcanic Field. The Keystone project is a Carlin-type gold deposit exploration project located on Nevada's Cortez Trend, one of the world's most prolific gold mining trends and home to some of North America's largest mines.</t>
  </si>
  <si>
    <t>KGS</t>
  </si>
  <si>
    <t>Kodiak Gas Services Inc</t>
  </si>
  <si>
    <t>Kodiak Gas Services, Inc. is a contract compression services provider in the continental United States with a fleet of approximately 4.3 million horsepower. The Company manages its business through two operating segments: Compression Operations and Other Services. Compression Operations consists of operating Company-owned and customer-owned compression infrastructure for its customers, pursuant to fixed-revenue contracts to enable the production, gathering and transportation of natural gas and oil. Other Services consist of a full range of contract services to support the needs of its customers, including station construction, maintenance and overhaul, and other ancillary time and material-based offerings. The Company focuses on providing contract compression and related services to oil and gas producers and midstream customers in high-volume gas gathering systems, processing facilities, multi-well gas lift applications and natural gas transmission systems.</t>
  </si>
  <si>
    <t>CMCO.O</t>
  </si>
  <si>
    <t>Columbus McKinnon Corp</t>
  </si>
  <si>
    <t>Columbus McKinnon Corporation is a designer, manufacturer and marketer of intelligent motion solutions for material handling. Its products include a variety of electric, air-powered, lever, and hand hoists, hoist trolleys, explosion-protected hoists, winches, and aluminum work stations; alloy and carbon steel chain; forged attachments, such as hooks, shackles, textile slings, clamps, and load binders; mechanical and electromechanical actuators and rotary unions; below-the-hook special purpose lifters; and power and motion control systems, such as alternate current (AC) and direct current (DC) drive systems, radio remote controls, push button pendant stations, brakes, and collision avoidance and power delivery subsystems. Its brands include Budgit, Chester, CM, Coffing, Little Mule, Pfaff, Shaw-Box, STAHL, Yale, Magnetek and Herc-Alloy. Its targeted market verticals include manufacturing, transportation including EV production and aerospace, energy and utilities, and process industries.</t>
  </si>
  <si>
    <t>PFIS.O</t>
  </si>
  <si>
    <t>711040105</t>
  </si>
  <si>
    <t>Peoples Financial Services Corp</t>
  </si>
  <si>
    <t>Peoples Financial Services Corp. is the bank holding company of Peoples Security Bank and Trust Company (Peoples Bank). The Peoples Bank is an independent community bank serving its retail and commercial customers through 44 full-service community banking offices located within the Allegheny, Bucks, Lackawanna, Lebanon, Lehigh, Luzerne, Monroe, Montgomery, Northampton, Susquehanna, Wayne, and Wyoming Counties in Pennsylvania, Middlesex County in New Jersey and Broome County in New York. It offers a range of financial products and services to individuals, businesses, not-for-profit organizations and government entities. Its primary lending products are real estate, commercial and consumer loans. Its primary deposit products are savings and demand deposit accounts and certificates of deposit. It also offers automated teller machine access, credit cards, active investment accounts, trust department services and other various lending, depository, and related financial services.</t>
  </si>
  <si>
    <t>HLIT.O</t>
  </si>
  <si>
    <t>Harmonic Inc</t>
  </si>
  <si>
    <t>IPGP.O</t>
  </si>
  <si>
    <t>IPG Photonics Corp</t>
  </si>
  <si>
    <t>IPG Photonics Corporation develops, manufactures, and sells fiber lasers and diode lasers that are used for diverse applications in materials processing. Its portfolio of laser solutions is used in materials processing, medical, advanced applications and communications. It designs and manufactures components used in its finished products, from semiconductor diodes to optical fiber preforms, finished fiber lasers and complementary products. It also manufactures and sells complementary products used with its lasers, including optical delivery cables, fiber couplers, beam switches, optical processing heads, in-line sensors and chillers. It offers laser-based and non-laser-based systems for certain markets and applications. It sells its products globally to original equipment manufacturers (OEMs), system integrators and end users. It markets its products internationally, primarily through its direct sales force. The Company’s portfolio also includes laser cleaning systems.</t>
  </si>
  <si>
    <t>ABERCROMBIE AND FITCH CL A ORD</t>
  </si>
  <si>
    <t>EMCOR GROUP ORD</t>
  </si>
  <si>
    <t>SKYWATER TECHNOLOGY ORD</t>
  </si>
  <si>
    <t>U S GOLD ORD</t>
  </si>
  <si>
    <t>KODIAK GAS SERVICES ORD</t>
  </si>
  <si>
    <t>COLUMBUS MCKINNON ORD</t>
  </si>
  <si>
    <t>PEOPLES FINANCIAL SERVICES ORD</t>
  </si>
  <si>
    <t>HARMONIC ORD</t>
  </si>
  <si>
    <t>IPG PHOTONICS ORD</t>
  </si>
  <si>
    <t>US1104481072</t>
  </si>
  <si>
    <t>US0396531008</t>
  </si>
  <si>
    <t>US9111631035</t>
  </si>
  <si>
    <t>US7141572039</t>
  </si>
  <si>
    <t>US1011211018</t>
  </si>
  <si>
    <t>US24869P1049</t>
  </si>
  <si>
    <t>US86800U3023</t>
  </si>
  <si>
    <t>US2536512021</t>
  </si>
  <si>
    <t>US45166A1025</t>
  </si>
  <si>
    <t>US0042391096</t>
  </si>
  <si>
    <t>Intercontinental Exchange, Inc. provides financial technology and data services across major asset classes, helping its customers access workflow tools that increase transparency and efficiency. Its Exchanges segment operates regulated marketplace technology for the listing, trading and clearing of an array of derivatives contracts and financial securities as well as data and connectivity services related to its exchanges and clearing houses. Its Fixed Income and Data Services segment provides fixed income pricing, reference data, indices, analytics and execution services as well as global credit default swaps (CDS), clearing and multi-asset class data delivery technology. Its Mortgage Technology segment provides a technology platform that offers customers comprehensive, digital workflow tools that aim to address inefficiencies and mitigate risks that exist in the United States residential mortgage market life cycle, from application through closing, servicing and the secondary market.</t>
  </si>
  <si>
    <t>BTI</t>
  </si>
  <si>
    <t>110448107</t>
  </si>
  <si>
    <t>British American Tobacco plc</t>
  </si>
  <si>
    <t>British American Tobacco p.l.c. is a consumer-centric, multi-category consumer goods company. The Company provides tobacco and nicotine products. Its segments include the United States, Asia Pacific Middle East and Africa, Americas and Europe. The Company’s product categories include Vapor, Tobacco Heating Products (THPs), Modern Oral, Traditional Oral and Combustible cigarettes. Vapor products are handheld, battery-powered devices that heat a liquid (called an e-liquid) to produce an inhalable aerosol, known as vapor. THPs are a new category of tobacco product designed to heat rather than burn tobacco. Modern Oral products are smoke-free oral nicotine products called nicotine pouches, designed for use in the mouth. Traditional oral products include snus and snuff. Its brands include Vuse, glo, Velo, Grizzly, Dunhill, Kent, Lucky Strike, Pall Mall, Rothmans, Newport, Natural American Spirit, Camel, Vogue, Viceroy, Kool, Peter Stuyvesant, Craven A, State Express 555 and Shuang Xi.</t>
  </si>
  <si>
    <t>ACA</t>
  </si>
  <si>
    <t>039653100</t>
  </si>
  <si>
    <t>Arcosa Inc</t>
  </si>
  <si>
    <t>Arcosa, Inc. is a provider of infrastructure-related products and solutions. It operates through three segments: Construction Products, Engineered Structures and Transportation Products. Its Construction Products segment produces and sells natural and recycled aggregates, specialty materials, and construction site support equipment, including trench shields and shoring products. Its Engineered Structures segment manufactures and sells steel structures for infrastructure businesses, including utility structures for electricity transmission and distribution, structural wind towers, traffic structures, and telecommunication structures. Its Transportation Products segment manufactures and sells inland barges, fiberglass barge covers, winches, marine hardware, and steel components for railcars and other transportation and industrial equipment. It also manufactures concrete and steel poles for a range of infrastructure applications, including lighting, traffic, and electric distribution.</t>
  </si>
  <si>
    <t>UNFI.K</t>
  </si>
  <si>
    <t>911163103</t>
  </si>
  <si>
    <t>United Natural Foods Inc</t>
  </si>
  <si>
    <t>United Natural Foods, Inc. is a distributor of grocery and non-food products, and support services provider to retailers in the United States and Canada. The Company operates through two segments: Wholesale and Retail. It also includes a manufacturing division and a branded product line division. The Wholesale segment is engaged in the distribution of grocery and non-food products and provides support services to retailers in the United States and Canada. The Retail segment derives revenues from the sale of groceries and other products at retail locations operated by the Company. The Company offers approximately 250,000 products consisting of national, regional and private label brands grouped into the following main product categories: grocery and general merchandise; perishables; frozen foods; wellness and personal care items; and bulk and foodservice products. Its other segment includes a single location food manufacturing business.</t>
  </si>
  <si>
    <t>PESI.O</t>
  </si>
  <si>
    <t>714157203</t>
  </si>
  <si>
    <t>Perma-Fix Environmental Services Inc</t>
  </si>
  <si>
    <t>Perma-Fix Environmental Services, Inc. is a nuclear services company and a provider of nuclear and mixed waste management services. It operates through two segments: Treatment and Services. The Treatment Segment includes nuclear, low-level radioactive, mixed waste, hazardous and non-hazardous waste treatment, processing, and disposal; and research and development (R&amp;D) activities to identify, develop and implement innovative waste processing techniques for problematic waste streams. Its Services segment includes technical services, nuclear services and the Company-owned equipment calibration and maintenance laboratory that services, maintains, calibrates, and sources health physics, industrial hygiene (IH) and customized nuclear, environmental, and occupational safety and health (NEOSH) instrumentation. Its technical services provide professional radiological measurement and site survey of large government and commercial installations using advanced methods, technology and engineering.</t>
  </si>
  <si>
    <t>BXP</t>
  </si>
  <si>
    <t>BXP Inc</t>
  </si>
  <si>
    <t>BXP, Inc. is a fully integrated, self-administered and self-managed real estate investment trust. The Company develops, owns and manages premier workplaces in the United States. The Company's segments by geographic area are Boston, Los Angeles, New York, San Francisco, Seattle, and Washington, DC. Its segment by property type includes Office (which includes office, life sciences and retail), Residential, and Hotel. Its portfolio totals 53.0 million square feet and 184 properties, including nine properties under construction/redevelopment. Its properties consist of 162 office and life sciences properties (including seven properties under construction/redevelopment); 14 retail properties (including one property under construction); seven residential properties (including two properties under construction), and one hotel. Its properties include Times Square Tower, 100 Federal Street, 767 Fifth Avenue, 601 Lexington Avenue, Atlantic Wharf Office Building, 343 Madison Avenue, and others.</t>
  </si>
  <si>
    <t>DENN.O</t>
  </si>
  <si>
    <t>24869P104</t>
  </si>
  <si>
    <t>Denny's Corp</t>
  </si>
  <si>
    <t>Denny's Corporation is a franchised full-service restaurant brand. The Company owns and operates the Denny’s brand (Denny’s) and the Keke’s Breakfast Cafe brand (Keke’s). It operates in two segments: Denny’s and Keke’s. The Company has approximately 1,631 restaurants, 1,558 of which were franchised/licensed restaurants and 73 of which were company operated. Denny’s brand consists of approximately 1,573 franchised, licensed and company restaurants around the world, including 1,445 restaurants in the United States and 166 international restaurant locations. Denny’s offers a range of selection of lunch and dinner items, including entrees, burgers, sandwiches and salads, along with an assortment of appetizers and desserts. It has four dayparts, breakfast, lunch, dinner and late night. Keke's is a daytime eatery dedicated to providing a breakfast experience. Keke’s brand consists of approximately 58 franchised and company restaurants. It also serves burgers, paninis, salads, and sandwiches.</t>
  </si>
  <si>
    <t>SMCI.O</t>
  </si>
  <si>
    <t>Super Micro Computer Inc</t>
  </si>
  <si>
    <t>Super Micro Computer, Inc. is an application-optimized Total IT solution provider. The Company is a provider of accelerated compute platforms that are comprised of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 categories include servers &amp; storage, building blocks, edge, embedded &amp; telecom, networking, and workstations &amp; gaming products. Its servers &amp; storage includes Rackmount Servers, GPU Servers, Twin Servers and Storage Servers. It operates in the United States, Asia and Europe.</t>
  </si>
  <si>
    <t>DBD</t>
  </si>
  <si>
    <t>253651202</t>
  </si>
  <si>
    <t>Diebold Nixdorf Inc</t>
  </si>
  <si>
    <t>Diebold Nixdorf, Incorporated provides a portfolio of solutions designed to automate, digitize and transform the way people bank and shop. The Company's segments include Banking and Retail. Its Banking segment provides integrated solutions for financial institutions of all sizes. The Banking portfolio products consists of cash recyclers and dispensers, intelligent deposit terminals, teller automation, and kiosk technologies. Its DN Vynamic software is an end-to-end software portfolio in the banking marketplace designed to simplify and enhance the consumer experience. The Retail segment offers a portfolio of retail services and products that improves the checkout process for retailers while enhancing shopping experiences for consumers. The retail product portfolio includes self-checkout (SCO) products and ordering kiosks. DN Vynamic software suite for retailers provides a comprehensive, modular and open solution ranging from the in-store check-out to solutions across multiple channels.</t>
  </si>
  <si>
    <t>IDYA.O</t>
  </si>
  <si>
    <t>45166A102</t>
  </si>
  <si>
    <t>IDEAYA Biosciences Inc</t>
  </si>
  <si>
    <t>IDEAYA Biosciences, Inc. is a precision medicine oncology company. The Company is engaged in the discovery and development of targeted therapeutics for patient populations selected using molecular diagnostics. Its lead product candidates are darovasertib (IDE196), IDE397, IDE161 and GSK101 (Pol Theta Helicase). IDE196, a small molecule protein kinase C (PKC), inhibitor, in combination with crizotinib, an investigational cMET inhibitor. IDE397, is its small molecule methionine adenosyltransferase 2a (MAT2A), inhibitor. IDE161, is its small molecule poly (ADP-ribose) glycohydrolase (PARG), inhibitor. IDE196 is its clinical-stage PKC inhibitor that the Company is evaluating as a synthetic lethal combination therapy. IDE397, a MAT2A inhibitor for patients with solid tumors having MTAP deletions. IDE161 is its clinical-stage, potent and selective small molecule inhibitor of PARG for patients having tumors with defined biomarkers based on genetic mutations and/or molecular signatures.</t>
  </si>
  <si>
    <t>AKR</t>
  </si>
  <si>
    <t>BRITISH AMERICAN TOBACCO ADR REP ORD</t>
  </si>
  <si>
    <t>ARCOSA ORD</t>
  </si>
  <si>
    <t>UNITED NATURAL FOODS ORD</t>
  </si>
  <si>
    <t>PERMA FIX ENVIRONMENTAL SERVICES ORD</t>
  </si>
  <si>
    <t>BXP ORD</t>
  </si>
  <si>
    <t>DENNYS ORD</t>
  </si>
  <si>
    <t>SUPER MICRO COMPUTER ORD</t>
  </si>
  <si>
    <t>DIEBOLD NIXDORF ORD</t>
  </si>
  <si>
    <t>IDEAYA BIOSCIENCES ORD</t>
  </si>
  <si>
    <t>ACADIA REALTY REIT ORD</t>
  </si>
  <si>
    <t>US0886061086</t>
  </si>
  <si>
    <t>US24703L2025</t>
  </si>
  <si>
    <t>US8086251076</t>
  </si>
  <si>
    <t>US68628V3087</t>
  </si>
  <si>
    <t>NL0013056914</t>
  </si>
  <si>
    <t>US26152H3012</t>
  </si>
  <si>
    <t>US6267171022</t>
  </si>
  <si>
    <t>US21867A1051</t>
  </si>
  <si>
    <t>US1924221039</t>
  </si>
  <si>
    <t>US9553061055</t>
  </si>
  <si>
    <t>US5534981064</t>
  </si>
  <si>
    <t>Beyond, Inc. is an e-commerce focused affinity company that owns or has ownership interests in various retail brands. The Company owns Bed Bath &amp; Beyond, Overstock, Zulily, and other related brands and websites. Through its Bed Bath &amp; Beyond brand, it provides an extensive array of home-related products. Its product categories include furniture, rugs, bedding, bath, kitchen, decor, outdoor, home improvement, lighting, baby and kids, and others. Through its Overstock brand, the Company provides an array of goods at discounted prices, and a treasure hunt-like experience for its target customers. Its product assortment includes core legacy categories such as indoor and outdoor furniture, apparel and footwear, rugs, decor, lighting, jewelry and watches, sports and entertainment, and others. Zulily's primary focus is attracting a loyal customer base with flash sales on women's, kid's, and men's apparel, footwear, beauty, and wellness. The Company also owns BuyBuy Baby brand.</t>
  </si>
  <si>
    <t>70439P108</t>
  </si>
  <si>
    <t>Paymentus Holdings Inc</t>
  </si>
  <si>
    <t>BHP</t>
  </si>
  <si>
    <t>BHP Group Limited is an Australia-based resources company. The Company is a producer of commodities, including iron ore, copper, nickel, potash and metallurgical (steelmaking) coal. It is focused on offering a range of resources, which provides copper for renewable energy; nickel for electric vehicles; potash for sustainable farming, and iron ore and metallurgical coal for the steel needed for global infrastructure and the energy transition. Its segments include Copper, Iron Ore, and Coal. Its Copper segment is engaged in mining of copper, silver, zinc, molybdenum, uranium, and gold. Its Iron Ore segment is engaged in mining of iron ore. Its Coal segment is engaged in mining of metallurgical coal and energy coal. The Company is also focused on operating Olympic Dam, Prominent Hill, and Carrapateena underground copper-gold mines in South Australia. Its operations are situated in Australia, Europe, China, Japan, India, South Korea, rest of Asia, North America, South America, and others.</t>
  </si>
  <si>
    <t>DELL.K</t>
  </si>
  <si>
    <t>Dell Technologies Inc</t>
  </si>
  <si>
    <t>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t>
  </si>
  <si>
    <t>SAIC.O</t>
  </si>
  <si>
    <t>Science Applications International Corp</t>
  </si>
  <si>
    <t>Science Applications International Corporation is a technology integrator providing full life cycle services and solutions in the technical, engineering and enterprise information technology (IT) markets. The Company's portfolio of offerings across the defense, space, civilian and intelligence markets includes secure solutions in mission IT, enterprise IT, engineering services and professional services. It integrates emerging technology securely into mission critical operations that modernize and enable critical national imperatives, including IT modernization, digital engineering, artificial intelligence and ground vehicles support. Its segments include Defense and Intelligence, and Civilian. Defense and Intelligence segment provides a diverse portfolio of national security solutions to the defense and intelligence departments and agencies of the United States Government. Civilian segment provides solutions to the civilian markets, encompassing federal, state, and local governments.</t>
  </si>
  <si>
    <t>ORN</t>
  </si>
  <si>
    <t>68628V308</t>
  </si>
  <si>
    <t>Orion Group Holdings Inc</t>
  </si>
  <si>
    <t>Orion Group Holdings, Inc. is a specialty construction company that serves the infrastructure, industrial, and building sectors. The Company provides services both on and off the water in the continental United States, Alaska, Hawaii, Canada and the Caribbean Basin. It operates through two segments: marine and concrete. The marine segment provides construction and dredging services relating to marine transportation facility construction, marine pipeline construction, marine environmental structures, dredging of waterways, channels and ports, environmental dredging, design, and specialty services. The concrete segment provides turnkey concrete construction services, including place and finish, site prep, layout, forming, and rebar placement for large commercial, structural, and other associated business areas. The Company's specialty services include design, salvage, demolition, surveying, towing, diving and underwater inspection, excavation, and repair.</t>
  </si>
  <si>
    <t>ESTC.K</t>
  </si>
  <si>
    <t>Elastic NV</t>
  </si>
  <si>
    <t>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t>
  </si>
  <si>
    <t>DRD</t>
  </si>
  <si>
    <t>26152H301</t>
  </si>
  <si>
    <t>DRDGOLD Ltd</t>
  </si>
  <si>
    <t>DRDGOLD Limited is a South Africa-based holding company. The Company is primarily involved in the retreatment of surface gold tailings. The Company’s business includes Ergo, Far West Gold Recoveries (FWGR), Hot Button Features and Resources and Reserves. Ergo business is a surface gold retreatment operation, which treats old slime dams and sand dumps to the south of Johannesburg’s central business district, as well as the East and Central Rand goldfields. The operation comprises three plants. The Ergo and Knights plants operate as metallurgical plants. The Ergo plant treats around 1.7 Mtpm of material. The City Deep plant operates as a pump/milling station feeding the metallurgical plants. The Company’s FWGR is a surface gold retreatment operation that treats old slime dams in the West Rand goldfields and is located near Carletonville in South Africa’s Gauteng province. Mineral Resources consist of sand dumps, slimes dams and silted areas and dams.</t>
  </si>
  <si>
    <t>MUR</t>
  </si>
  <si>
    <t>626717102</t>
  </si>
  <si>
    <t>Murphy Oil Corp</t>
  </si>
  <si>
    <t>Murphy Oil Corporation is an independent oil and gas exploration and production company. The Company is engaged in both onshore and offshore operations and properties. The Company’s geographic segments include the United States, Canada, and all other countries. It produces crude oil, natural gas and natural gas liquids primarily in the United States and Canada and explores for crude oil, natural gas and natural gas liquids in targeted areas worldwide. In the United States, it produces crude oil, natural gas liquids and natural gas primarily from fields in the Gulf of Mexico and in the Eagle Ford Shale area of South Texas. It holds rights to approximately 133 thousand gross acres in South Texas in the Eagle Ford Shale unconventional oil and natural gas play. In Canada, it holds working interests in Tupper Montney (100% owned), Kaybob Duvernay (operated) and two non-operated offshore assets: the Hibernia and Terra Nova fields, located offshore Newfoundland in the Jeanne d’Arc Basin.</t>
  </si>
  <si>
    <t>CLB</t>
  </si>
  <si>
    <t>Core Laboratories Inc</t>
  </si>
  <si>
    <t>CGNX.O</t>
  </si>
  <si>
    <t>Cognex Corp</t>
  </si>
  <si>
    <t>Cognex Corporation invents and commercializes technologies that address various critical manufacturing and distribution challenges. The Company is a global provider of machine vision products and solutions that improve efficiency and quality in businesses across industrial end markets. It operates through the machine vision technology segment. Its solutions blend physical products and software to capture and analyze visual information, allowing for the automation of manufacturing and distribution tasks for customers worldwide. Machine vision products are used to automate the manufacturing or distribution and tracking of discrete items, such as mobile phones, electric vehicle batteries and e-commerce packages, by locating, identifying, inspecting, and measuring them. Machine vision is important for applications in which human vision is inadequate to meet requirements for size, accuracy, or speed, or in instances where substantial cost savings or quality improvements are maintained.</t>
  </si>
  <si>
    <t>WST</t>
  </si>
  <si>
    <t>West Pharmaceutical Services Inc</t>
  </si>
  <si>
    <t>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t>
  </si>
  <si>
    <t>MSA</t>
  </si>
  <si>
    <t>553498106</t>
  </si>
  <si>
    <t>MSA Safety Inc</t>
  </si>
  <si>
    <t>PAYMENTUS HOLDINGS CL A ORD</t>
  </si>
  <si>
    <t>DELL TECHNOLOGIES CL C ORD</t>
  </si>
  <si>
    <t>SCIENCE APPLICATIONS INTERNATIAL ORD</t>
  </si>
  <si>
    <t>ELASTIC ORD</t>
  </si>
  <si>
    <t>ORION GROUP ORD</t>
  </si>
  <si>
    <t>DRDGOLD ADR REP 10 ORD</t>
  </si>
  <si>
    <t>MURPHY OIL ORD</t>
  </si>
  <si>
    <t>COGNEX ORD</t>
  </si>
  <si>
    <t>CORE LABORATORIES ORD</t>
  </si>
  <si>
    <t>WEST PHARM SVC ORD</t>
  </si>
  <si>
    <t>MSA SAFETY ORD</t>
  </si>
  <si>
    <t>US47215P1066</t>
  </si>
  <si>
    <t>LU0584671464</t>
  </si>
  <si>
    <t>US45857P8068</t>
  </si>
  <si>
    <t>US4586653044</t>
  </si>
  <si>
    <t>US04206A1016</t>
  </si>
  <si>
    <t>US2183521028</t>
  </si>
  <si>
    <t>US56585A1025</t>
  </si>
  <si>
    <t>US13462K1097</t>
  </si>
  <si>
    <t>US8684591089</t>
  </si>
  <si>
    <t>US44925C1036</t>
  </si>
  <si>
    <t>US63001N1063</t>
  </si>
  <si>
    <t>US2674751019</t>
  </si>
  <si>
    <t>US9292361071</t>
  </si>
  <si>
    <t>US05463X1063</t>
  </si>
  <si>
    <t>US55380K1097</t>
  </si>
  <si>
    <t>US5738741041</t>
  </si>
  <si>
    <t>US2044291043</t>
  </si>
  <si>
    <t>US49926D1090</t>
  </si>
  <si>
    <t>KYG1117K1141</t>
  </si>
  <si>
    <t>IL0011751653</t>
  </si>
  <si>
    <t>US30233G2093</t>
  </si>
  <si>
    <t>US43785V1026</t>
  </si>
  <si>
    <t>US8935291075</t>
  </si>
  <si>
    <t>US3886891015</t>
  </si>
  <si>
    <t>US34379V1035</t>
  </si>
  <si>
    <t>US05965X1090</t>
  </si>
  <si>
    <t>US68622P1093</t>
  </si>
  <si>
    <t>US6757466064</t>
  </si>
  <si>
    <t>US2942681071</t>
  </si>
  <si>
    <t>CA60255C8850</t>
  </si>
  <si>
    <t>US6687711084</t>
  </si>
  <si>
    <t>US8318652091</t>
  </si>
  <si>
    <t>US2220702037</t>
  </si>
  <si>
    <t>US6267551025</t>
  </si>
  <si>
    <t>US65342K1051</t>
  </si>
  <si>
    <t>US6102361010</t>
  </si>
  <si>
    <t>US4158581094</t>
  </si>
  <si>
    <t>US14070B3096</t>
  </si>
  <si>
    <t>US68235P1084</t>
  </si>
  <si>
    <t>US0905722072</t>
  </si>
  <si>
    <t>US44891N2080</t>
  </si>
  <si>
    <t>US1696561059</t>
  </si>
  <si>
    <t>BMG3223R1088</t>
  </si>
  <si>
    <t>VGG1890L1076</t>
  </si>
  <si>
    <t>US93627C1018</t>
  </si>
  <si>
    <t>US4485791028</t>
  </si>
  <si>
    <t>US23918K1088</t>
  </si>
  <si>
    <t>Kinder Morgan, Inc. is an energy infrastructure company. The Company owns an interest in or operates approximately 79,000 miles of pipelines and 139 terminals. Its Natural Gas Pipelines segment includes ownership and operation of interstate and intrastate natural gas pipeline and storage systems and natural gas gathering systems and natural gas processing and treating facilities. Its Products Pipelines segment includes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Its Terminals segment includes ownership and/or operation of liquid and bulk terminal facilities and Jones Act-qualified tankers. Its CO2 segment is engaged in the production, transportation and marketing of CO2 to oil fields.</t>
  </si>
  <si>
    <t>Acadia Realty Trust is an equity real estate investment trust (REIT). The Company is focused on the ownership, acquisition, development, and management of retail properties located primarily in high-barrier-to-entry, supply-constrained, densely populated metropolitan areas in the United States. The Company operates through three segments: Core Portfolio, Investment Management, and Structured Financing. The Company's Core Portfolio segment consists primarily of retail properties located primarily in high-barrier-to-entry, densely populated metropolitan areas with a long-term investment horizon. The Company's Investment Management segment holds primarily retail real estate in which the Company co-invests with high-institutional investors. The Company's Structured Financing segment consists of earnings and expenses related to notes and mortgages receivable. The Company has ownership interests in approximately 210 properties within its core portfolio and investment management.</t>
  </si>
  <si>
    <t>JD.O</t>
  </si>
  <si>
    <t>47215P106</t>
  </si>
  <si>
    <t>JD.Com Inc</t>
  </si>
  <si>
    <t>JD.Com Inc is a company principally engaged in the e-commerce business, including online retail and online marketplace mainly through its retail mobile apps and www.jd.com website (collectively, JD Platform). The Company operates its businesses through four segments. JD Retail segment, including JD Health, JD Industrials, and other components, mainly engage in online retail, online marketplace and marketing services in China. JD Logistics segment includes both internal and external logistics businesses. Dada segment is a local on-demand delivery and retail platform in China. New Businesses segment mainly include JD Property, Jingxi and overseas businesses. The Company mainly conducts its businesses in the domestic market and overseas markets.</t>
  </si>
  <si>
    <t>AGRO.K</t>
  </si>
  <si>
    <t>L00849106</t>
  </si>
  <si>
    <t>Adecoagro SA</t>
  </si>
  <si>
    <t>Adecoagro S.A. is a holding company. The Company is involved in a range of businesses, including farming crops and other agricultural products, dairy operations, sugar, ethanol and energy production and land transformation. The Company is organized into three main lines of business: farming; land transformation, and sugar, ethanol and energy. Its agricultural activities consist of harvesting certain agricultural products, including crops, rough rice and sugarcane, for sale to third parties and for internal use as inputs in its various manufacturing processes, and producing raw milk. Its manufacturing activities consist of selling manufactured products, including processed rice, sugar, ethanol and energy, among others, and providing services, such as grain warehousing and conditioning and handling and drying services, among others. The Company's land transformation activities consist of the acquisition of farmlands or businesses with underdeveloped or underutilized agricultural land.</t>
  </si>
  <si>
    <t>IHG</t>
  </si>
  <si>
    <t>45857P806</t>
  </si>
  <si>
    <t>InterContinental Hotels Group PLC</t>
  </si>
  <si>
    <t>InterContinental Hotels Group PLC is a United Kingdom-based global hospitality company. The Company has a diverse portfolio of differentiated brands. With 20 hotel brands and IHG One Rewards, which is a hotel loyalty program, the Company has approximately 6,600 open hotels in more than 100 countries, and a development pipeline of over 2,200 properties. The Company’s brands include Six Senses Hotels Resorts Spas, Regent Hotels &amp; Resorts, InterContinental Hotels &amp; Resorts, Vignette Collection, Kimpton Hotels &amp; Restaurants, Hotel Indigo, voco hotels, HUALUXE Hotels &amp; Resorts, Crowne Plaza Hotels &amp; Resorts, EVEN Hotels, Holiday Inn Express, Holiday Inn Hotels &amp; Resorts, Garner hotels, avid hotels, Atwell Suites, Staybridge Suites, Holiday Inn Club Vacations, Candlewood Suites, Iberostar Beachfront Resorts, and Ruby. Ruby brand operates approximately 20 hotels (3,483 rooms) in cities across Europe and has another 10 pipeline hotels (2,235 rooms).</t>
  </si>
  <si>
    <t>TILE.O</t>
  </si>
  <si>
    <t>458665304</t>
  </si>
  <si>
    <t>Interface Inc</t>
  </si>
  <si>
    <t>Interface, Inc. is a global flooring company. The Company is specializing in carbon neutral carpet tile and resilient flooring, including luxury vinyl tile (LVT), vinyl sheets, and nora rubber flooring. Its segments include Americas (AMS) and Europe, Africa, Asia and Australia (EAAA). The AMS segment includes the United States, Canada and Latin America geographic areas. It markets modular carpet under the brand names Interface and FLOR. It produces carpet tiles in a range of colors, patterns, textures, pile heights and densities. These varieties are designed to meet both the practical and aesthetic needs of commercial interiors. The Company offers a category of products, namely modular resilient flooring, and its product include LVT. It offers rubber flooring products under the noraplan and norament brands, which include in its resilient flooring portfolio. The Company also produces and sells a specially adapted version of carpet tile for the healthcare facilities market.</t>
  </si>
  <si>
    <t>ARLO.K</t>
  </si>
  <si>
    <t>04206A101</t>
  </si>
  <si>
    <t>Arlo Technologies Inc</t>
  </si>
  <si>
    <t>Arlo Technologies, Inc. offers advanced home, business, and personal security services that combine a globally scaled cloud platform, advanced monitoring and analytics capabilities, and app-controlled devices to create a personalized security ecosystem. Its expertise in cloud services, cutting-edge artificial intelligence (AI) and computer vision analytics, wireless connectivity and intuitive user experience design delivers seamless, smart home security for its users. Its cloud-based platform provides users with visibility, insight and a powerful means to help protect and connect in real-time with the people and things that matter, from any location with a wireless fidelity or a cellular connection. Its products include Arlo Essential Cameras and Doorbells; Arlo Home Security System; Arlo Pro 5S; Arlo Go 2; Arlo Ultra 2; Arlo Floodlight Camera, and others. Its services, such as Arlo Secure, Arlo Total Security, Arlo Safe, and other services.</t>
  </si>
  <si>
    <t>CORT.O</t>
  </si>
  <si>
    <t>Corcept Therapeutics Inc</t>
  </si>
  <si>
    <t>Corcept Therapeutics Incorporated is a commercial-stage company, which is engaged in the discovery and development of medications to treat severe endocrine, oncologic, metabolic and neurological disorders by modulating the effects of the hormone cortisol. The Company operates through the discovery, development and commercialization of the pharmaceutical products segment. The Company has marketed Korlym (mifepristone) in the United States for the treatment of patients suffering from Cushings syndrome. The Company’s portfolio of selective cortisol modulators consists of four series totaling approximately 1,000 compounds. Its portfolio of selective cortisol modulators consists of relacorilant, exicorilant, dazucorilant and miricorilant. Korlyms active ingredient, mifepristone, reduces the binding of excess cortisol to the GR, it can modulate the effects of abnormal levels and release patterns of cortisol without compromising cortisols healthy functions and rhythms.</t>
  </si>
  <si>
    <t>MPC</t>
  </si>
  <si>
    <t>56585A102</t>
  </si>
  <si>
    <t>Marathon Petroleum Corp</t>
  </si>
  <si>
    <t>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t>
  </si>
  <si>
    <t>CWH</t>
  </si>
  <si>
    <t>13462K109</t>
  </si>
  <si>
    <t>Camping World Holdings Inc</t>
  </si>
  <si>
    <t>Camping World Holdings, Inc. is a retailer of recreational vehicles (RVs) and related products and services. The Company operates through two segments: Good Sam Services and Plans and RV and Outdoor Retail. The Good Sam Services and Plans segment consists of programs, plans, and services that are geared towards protecting, insuring and promoting the RV lifestyle and include services, such as extended vehicle service contracts, vehicle roadside assistance, property and casualty insurance, travel protection, travel planning and directories, and publications. The RV and Outdoor Retail segment consists of all aspects of its RV dealership operations, which includes selling new and used RVs, assisting with the financing of new and used RVs, selling protection and insurance related services and plans for RVs, servicing and repairing new and used RVs, installing RV parts and accessories, and selling RV and outdoor related products, parts and accessories.</t>
  </si>
  <si>
    <t>SUPN.O</t>
  </si>
  <si>
    <t>Supernus Pharmaceuticals Inc</t>
  </si>
  <si>
    <t>Supernus Pharmaceuticals, Inc. is a biopharmaceutical company. The Company is focused on developing and commercializing products for the treatment of central nervous system (CNS) diseases. Its diverse neuroscience portfolio includes approved treatments for epilepsy, migraine, attention-deficit hyperactivity disorder (ADHD), hypomobility in Parkinson’s Disease (PD), cervical dystonia, chronic sialorrhea, dyskinesia in PD patients receiving levodopa-based therapy, and drug-induced extrapyramidal reactions in adult patients. The Company is also developing a range of novel CNS product candidates, including new potential treatments for hypomobility in PD, epilepsy, depression, and other CNS disorders. Its commercial products, including Qelbree (viloxazine), GOCOVRI (amantadine), Oxtellar XR (oxcarbazepine), Trokendi XR (topiramate), APOKYN (apomorphine hydrochloride injection) and others. Qelbree (viloxazine) is a novel non-stimulant product indicated for the treatment of ADHD.</t>
  </si>
  <si>
    <t>ICFI.O</t>
  </si>
  <si>
    <t>44925C103</t>
  </si>
  <si>
    <t>ICF International Inc</t>
  </si>
  <si>
    <t>ICF International, Inc. is a global consulting and technology services company. The Company provides professional services and technology-based solutions to government and commercial clients, including management, technology, and policy consulting and implementation services. Its services include advisory services, program implementation services, analytics services, digital services, and engagement services. Its advisory services include research critical policy, industry, and stakeholder issues, trends, and behavior. The program implementation services identify, defines, and implements policies, plans, programs, and business tools. The analytics services conduct survey research and collect and analyze varieties and large volumes of data to understand critical issues and options for its clients and provide actionable business intelligence. Its digital services design, develop, and implement technology systems and business tools and cybersecurity solutions.</t>
  </si>
  <si>
    <t>NATL.K</t>
  </si>
  <si>
    <t>NCR Atleos Corp</t>
  </si>
  <si>
    <t>NCR Atleos Corporation is a financial technology company providing self-directed banking solutions to a global customer base, including financial institutions, merchants, manufacturers, retailers and consumers. The Company's solutions enable the acceleration of self-directed banking through ATM and interactive teller machine (ITM) technology, including software, services, hardware and its Allpoint network. The Company manages its operations in three segments: Self-Service Banking, Payments &amp; Network, and Telecommunications and Technology (T&amp;T). Self-Service Banking offers solutions that include a comprehensive line of ATM hardware and software, and related installation, maintenance, and managed and professional services. Payments &amp; Network offers access to its Allpoint retail-based ATM network. T&amp;T offers managed network and infrastructure services to enterprise clients across all industries via direct relationships with communications service providers and technology manufacturers.</t>
  </si>
  <si>
    <t>DY</t>
  </si>
  <si>
    <t>Dycom Industries Inc</t>
  </si>
  <si>
    <t>Dycom Industries, Inc. is a provider of specialty contracting services. The Company supplies telecommunications providers with a portfolio of services, such as program management, planning, engineering and design, aerial, wireless construction, maintenance, and fulfillment services. It provides underground facility locating services for utilities, including telecommunications providers, and other construction and maintenance services for electric and gas utilities. It also supplies the expertise, labor, equipment, and tools necessary to provide services to its customers. It provides engineering services to telecommunications providers, such as planning and design of aerial, underground, and buried fiber optic, copper, and coaxial cable systems that extend from the telephone company hub location, or cable operator headend, to a consumers' home or businesses. It provides construction and installation services, including the placement and splicing of fiber, copper, and coaxial cables.</t>
  </si>
  <si>
    <t>WDFC.O</t>
  </si>
  <si>
    <t>WD-40 Co</t>
  </si>
  <si>
    <t>WD-40 Company is a global marketing company. The Company develops and sells products that solve problems in workshops, factories and homes around the world. It owns a range of brands that include maintenance products and homecare and cleaning products: WD-40 Multi-Use Product, WD-40 Specialist, 3-IN-ONE, GT85, 2000 Flushes, no vac, 1001, Spot Shot, Lava, Solvol, X-14, and Carpet Fresh. The WD-40 Multi-Use Product is a maintenance product, which acts as a lubricant, rust preventative, penetrant and moisture displacer. The Company markets and sells its products primarily through hardware stores, automotive parts outlets, industrial distributors and suppliers, mass retail and home center stores, farm supply, and others. Its maintenance products are sold worldwide in markets throughout North, Central and South America, Asia, Australia, Europe, India, the Middle East and Africa. Its homecare and cleaning products are sold primarily in North America, the United Kingdom and Australia.</t>
  </si>
  <si>
    <t>AXGN.O</t>
  </si>
  <si>
    <t>05463X106</t>
  </si>
  <si>
    <t>AxoGen Inc</t>
  </si>
  <si>
    <t>Axogen, Inc. is focused on the science, development, and commercialization of technologies for peripheral nerve regeneration and repair. It offers repair solutions for surgeons and healthcare providers. Its products include Avance nerve graft, Axoguard Nerve Connector, Axoguard Nerve Protector, Axoguard Nerve Cap, Axotouch Two-Point Discriminator and Axoguard HA+ Nerve Protector. Avance nerve graft is a biologically active processed human nerve allograft for bridging severed peripheral nerves without the comorbidities associated with a second surgical site. Axoguard Nerve Connector is a porcine submucosa extracellular matrix coaptation aid for tensionless repair of severed peripheral nerves. Axoguard Nerve Protector is a porcine submucosa ECM product used to wrap and protect damaged peripheral nerves and reinforce nerve reconstruction while preventing soft tissue attachment. Axotouch Two-Point Discriminator is used to measure the innervation density of any surface area of the skin.</t>
  </si>
  <si>
    <t>MPTI.K</t>
  </si>
  <si>
    <t>55380K109</t>
  </si>
  <si>
    <t>M-Tron Industries Inc</t>
  </si>
  <si>
    <t>M-tron Industries, Inc. designs, manufactures and markets frequency and spectrum control products. The Company provides solutions for communication and control, satcom, radar and electronic warfare, guided munitions, test and measurement, computers, servers and networks and energy management applications. Its portfolio is divided into three product groupings, Frequency Control, Spectrum Control and Integrated Microwave Assemblies. The Frequency Control product group includes a portfolio of quartz crystal resonators, clock oscillators, VCXO, TCXO OCXO and TCVCXO devices which meet some of the tightest specifications, including IEEE 1588 standards. Spectrum Control product group includes a wide array of radio frequency (RF), microwave and millimeter wave filters and diplexers covering a frequency range from one megahertz (MHz) to 30 GHz, and solid-state power amplifiers covering a frequency range from 300 MHz to 26 GHz, with power output from 10 Watts to 10 kilowatts (kW).</t>
  </si>
  <si>
    <t>MRVL.O</t>
  </si>
  <si>
    <t>Marvell Technology Inc</t>
  </si>
  <si>
    <t>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t>
  </si>
  <si>
    <t>CCU</t>
  </si>
  <si>
    <t>204429104</t>
  </si>
  <si>
    <t>Compania Cervecerias Unidas SA</t>
  </si>
  <si>
    <t>KN</t>
  </si>
  <si>
    <t>Knowles Corp</t>
  </si>
  <si>
    <t>BIOX.O</t>
  </si>
  <si>
    <t>G1117K114</t>
  </si>
  <si>
    <t>Bioceres Crop Solutions Corp</t>
  </si>
  <si>
    <t>Bioceres Crop Solutions Corp. is a provider of crop productivity technologies designed to enable the transition of agriculture towards carbon neutrality. Its segments include Seed and integrated products, Crop protection and Crop nutrition. Seed and integrated products segment focuses on the development and commercialization of seed technologies and products, including provision of seed technologies integrated with crop protection and crop nutrition products designed to control weeds, insects or diseases, to increase their quality characteristics. Crop protection segment includes the development, production and marketing of adjuvants and a range of pest control molecules and biocontrol products. Crop nutrition segment focuses on the development, production and commercialization of inoculants that allow the biological fixation of nitrogen in the crops, and of fertilizers, including biofertilizers and micro-granulated fertilizers that optimize the productivity and yield of the crops.</t>
  </si>
  <si>
    <t>SMWB.K</t>
  </si>
  <si>
    <t>M84137104</t>
  </si>
  <si>
    <t>Similarweb Ltd</t>
  </si>
  <si>
    <t>Similarweb Ltd is an Israel-based company, engaged primarily in the software sector. The Company is a global software development and data aggregation company that specializes in Web analytics, Web traffic, and digital world. The Company provides an online platform for digital intelligence, delivering a trusted, comprehensive and detailed view of the digital traffic. The platform collect, analyze and share the information with their clients to enable customers to be competitive in their markets. It presents estimated statistics of websites and mobile applications. The Company analyzes over 100 million websites and 8 million apps, offering a comprehensive view of digital traffic and market trends.</t>
  </si>
  <si>
    <t>EYPT.O</t>
  </si>
  <si>
    <t>EyePoint Pharmaceuticals Inc</t>
  </si>
  <si>
    <t>EyePoint Pharmaceuticals, Inc. is a clinical-stage biopharmaceutical company. The Company is focused on the business of developing and commercializing ophthalmic products for the treatment of eye diseases. The Company's pipeline leverages its Durasert technology (Durasert) for sustained intraocular drug delivery, including delivery of EYP-1901, is an investigational sustained delivery treatment for anti-vascular endothelial growth factor (anti-VEGF) mediated retinal diseases. Its additional pipeline programs include EYP-2301, a promising TIE-2 agonist, razuprotafib, formulated in Durasert E to potentially improve outcomes in serious retinal diseases. EYP-1901 is presently in Phase 2 clinical trials as a sustained delivery treatment for wet age-related macular degeneration (wet AMD), no proliferative diabetic retinopathy (NPDR), and diabetic macular edema (DME). The Company’s other products include YUTIQ, and DEXYCU.</t>
  </si>
  <si>
    <t>HMST.O</t>
  </si>
  <si>
    <t>43785V102</t>
  </si>
  <si>
    <t>HomeStreet Inc</t>
  </si>
  <si>
    <t>HomeStreet, Inc. is a diversified financial services company. The Company is principally engaged in commercial banking, mortgage banking and consumer/retail banking activities serving customers primarily in the Western United States. It operates through its subsidiaries, which include HomeStreet Bank (the Bank), HomeStreet Statutory Trusts and HomeStreet Capital Corporation. The Bank provides commercial banking products and services to small and medium sized businesses, real estate investors and professional firms and consumer banking products and services to individuals. The Bank offers consumer and commercial banking, mortgage lending and loans for residential construction, commercial real estate financing, and insurance products and services on the West Coast and Hawaii. The Company’s commercial loan portfolio is comprised of the non-owner occupied commercial real estate (CRE), multifamily, construction and land development, owner occupied CRE and commercial business loan classes.</t>
  </si>
  <si>
    <t>TRNS.O</t>
  </si>
  <si>
    <t>Transcat Inc</t>
  </si>
  <si>
    <t>Transcat, Inc. is a provider of accredited calibration, reliability, maintenance optimization, quality and compliance, validation, computerized maintenance management system (CMMS), and pipette services. It is focused on providing services and products to regulated industries, particularly the life science industry, which includes pharmaceutical, biotechnology, medical device, and other FDA-regulated businesses, as well as aerospace and defense, and energy and utilities. Its segments include Service and Distribution. Its Service segment offers calibration, repair, inspection, analytical qualifications, preventative maintenance, consulting and other related services. Its Distribution segment sells and rents national and proprietary brand instruments to customers globally. It provides periodic on-site services, mobile calibration services, pickup and delivery, in-house services at its 26 calibration service centers located across the United States, Puerto Rico, Canada, and Ireland.</t>
  </si>
  <si>
    <t>GPK</t>
  </si>
  <si>
    <t>388689101</t>
  </si>
  <si>
    <t>Graphic Packaging Holding Co</t>
  </si>
  <si>
    <t>FLNC.O</t>
  </si>
  <si>
    <t>34379V103</t>
  </si>
  <si>
    <t>Fluence Energy Inc</t>
  </si>
  <si>
    <t>Fluence Energy, Inc. is a global provider of energy storage products and services, and optimization software for renewables and storage. With a presence in 47 markets globally, the Company provides an ecosystem of offerings to drive the clean energy transition, including modular, scalable energy storage products, comprehensive service offerings, and artificial intelligence (AI)-enabled optimization software for managing and optimizing renewables and storage from any provider. Its offerings include energy storage products and solutions, delivery services, recurring O&amp;M services, and digital applications and solutions for energy storage and other power assets. Its energy storage solutions include Gridstack Pro, Gridstack, Sunstack, Edgestack, and Ultrastack. In addition, each of its energy storage solutions comes with its proprietary energy management system, Fluence OS. The Company’s cloud-based software products include Fluence Mosaic and Fluence Nispera.</t>
  </si>
  <si>
    <t>BSAC.K</t>
  </si>
  <si>
    <t>05965X109</t>
  </si>
  <si>
    <t>Banco Santander-Chile</t>
  </si>
  <si>
    <t>Banco Santander-Chile (the Bank), formerly Banco Santander Chile, is a Chilean bank. The Bank's segments include Retail banking, Middle-market, Global Corporate Banking and Corporate Activities (Other). The Retail Banking segment consists of individuals and small to middle-sized entities (SMEs). The Middle-market segment serves companies and large corporations. The Global Corporate Banking segment consists of foreign and domestic multinational companies. The Corporate Activities segment includes its Financial Management Division, which develops global management functions. It provides a range of commercial and retail banking services to its customers, including Chilean peso and foreign currency denominated loans to finance a range of commercial transactions, trade, foreign currency forward contracts and credit lines and a range of retail banking services, including mortgage financing. In addition to its traditional banking operations, the Bank offers a range of financial services.</t>
  </si>
  <si>
    <t>ORIC.O</t>
  </si>
  <si>
    <t>68622P109</t>
  </si>
  <si>
    <t>Oric Pharmaceuticals Inc</t>
  </si>
  <si>
    <t>ORIC Pharmaceuticals, Inc. is a clinical-stage biopharmaceutical company engaged in improving patients' lives by overcoming resistance in cancer. It is developing a pipeline of clinical and discovery stage therapies designed to counter resistance mechanisms in cancer by leveraging its expertise within three specific areas: hormone-dependent cancers, precision oncology and key tumor dependencies. Its clinical-stage product candidates include ORIC-114, a brain penetrant inhibitor designed to selectively target EGFR and HER2 with high potency against exon 20 insertion mutations, being developed across multiple genetically defined cancers, ORIC-944, an allosteric inhibitor of the polycomb repressive complex 2 (PRC2) via the EED subunit, being developed for prostate cancer, and ORIC-533, an orally bioavailable small molecule inhibitor of CD73, a key node in the adenosine pathway believed to play a central role in resistance to chemotherapy- and immunotherapy-based treatment regimens.</t>
  </si>
  <si>
    <t>ONIT.K</t>
  </si>
  <si>
    <t>675746606</t>
  </si>
  <si>
    <t>Onity Group Inc</t>
  </si>
  <si>
    <t>Onity Group Inc. is a non-bank mortgage servicer and originator. The Company provides solutions through its primary brands, PHH Mortgage Corporation and Liberty Reverse Mortgage. PHH Mortgage provides services in the country, focused on delivering a variety of servicing and lending programs. Liberty is a reverse mortgage lender dedicated to education and providing loans that help customers meet their personal and financial needs. Its PHH Mortgage Corporation offers additional services, including accidental death insurance, first protector insurance, flood insurance, home and auto, home security, homeowners insurance, and identity fraud protection. PHH Mortgage Corporation manages performing and non-performing loans to maximize the value of its clients real estate investments with a nationwide property mix of industrial, retail, multifamily, mixed use, single family rental, fix-n-flip and bridge loan assets. Liberty Reverse Mortgage offers refinancing services.</t>
  </si>
  <si>
    <t>PLUS.O</t>
  </si>
  <si>
    <t>ePlus inc</t>
  </si>
  <si>
    <t>ePlus inc. is a provider of technology solutions across the spectrum spanning security, cloud, data center, networking, collaboration, artificial intelligence, and emerging solutions. The Company’s segments include Product, Professional Services, Managed Services, and Financing. The Product segment includes sales of information technology (IT) products, third-party software, and third-party maintenance, software assurance, and other third-party services. The Professional services segment includes its advanced professional services, staff augmentation, project management services, cloud consulting services and security services. The Managed services segment includes its advanced managed services, service desk, storage-as-a-service, cloud hosted services, cloud managed services and managed security services. The Financing segment consists of the financing of IT equipment, software, and related services to commercial enterprises, state and local governments, and government contractors.</t>
  </si>
  <si>
    <t>MNMD.O</t>
  </si>
  <si>
    <t>Mind Medicine (MindMed) Inc</t>
  </si>
  <si>
    <t>Mind Medicine (MindMed) Inc. is a clinical-stage biopharmaceutical company, which is engaged in developing products to treat brain health disorders. It is developing a pipeline of product candidates, with and without acute perceptual effects, targeting neurotransmitter pathways. This specifically includes pharmaceutically optimized product candidates derived from the psychedelic and empathogen drug classes, including MM-120 and MM-402, the Company's product candidates. MM120, is a proprietary, pharmaceutically optimized form of lysergide D-tartrate that it is developing for the treatment of generalized anxiety disorder (GAD). MM-120 is also being studied in a subperceptual repeat administration dosing regimen for the treatment of attention deficit hyperactivity disorder (ADHD). MM-402, also referred to as R(-)-MDMA, is the Company's form of the R-enantiomer of 3,4-methylenedioxymethampheta (MDMA), which the Company is developing for the treatment of autism spectrum disorder (ASD).</t>
  </si>
  <si>
    <t>GEN.O</t>
  </si>
  <si>
    <t>Gen Digital Inc</t>
  </si>
  <si>
    <t>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t>
  </si>
  <si>
    <t>AOS</t>
  </si>
  <si>
    <t>A O Smith Corp</t>
  </si>
  <si>
    <t>COTY.K</t>
  </si>
  <si>
    <t>Coty Inc</t>
  </si>
  <si>
    <t>Coty Inc. is a beauty company with a portfolio of brands across fragrance, color cosmetics, and skin and body care. The Company has a diverse portfolio of brands, which includes both owned and licensed. Its brand portfolio is classified into two segments: Consumer beauty and Prestige. The consumer beauty brands include Adidas, Beckham, Bozzano, Bourjois, Bruno Banani, CoverGirl, Jovan, Mexx, LeGer by Lena Gercke, Monange, Nautica, Paixao, Rimmel, Risque, Sally Hansen, and Vera Wang. Its prestige brands include Burberry, Calvin Klein, Chloe, Davidoff, Escada, Gucci, Hugo Boss, Jil Sander, Kylie Cosmetics by Kylie Jenner, Lancaster, Marc Jacobs, Miu Miu, Orveda, SKKN BY KIM, and Tiffany &amp; Co. Its mass beauty brands are primarily sold through hypermarkets, supermarkets, drug stores and pharmacies, mid-tier department stores, traditional food and drug retailers, and dedicated e-commerce retailers. It markets, sells and distributes its products in over 121 countries and territories.</t>
  </si>
  <si>
    <t>MUSA.K</t>
  </si>
  <si>
    <t>626755102</t>
  </si>
  <si>
    <t>Murphy USA Inc</t>
  </si>
  <si>
    <t>Murphy USA Inc. is a retailer of gasoline and convenience merchandise with more than 1,700 stores located primarily in the Southwest, Southeast, Midwest and Northeast United States. The Company has one operating segment, which is Marketing. The Marketing segment includes its retail marketing stores and product supply and wholesale assets. The majority of its existing and new-to-industry (NTI) retail gasoline stores operate under the brand names of Murphy USA and Murphy Express. The majority of Murphy USA's stores are located in close proximity to Walmart Supercenters. The Company also markets gasoline and other products at standalone stores under the Murphy Express and QuickChek brands. The Company has a network of retail gasoline and convenience stores in approximately 27 states. In addition, it markets fuel to unbranded wholesale customers through a mixture of Company owned and third-party product distribution terminals and pipeline positions.</t>
  </si>
  <si>
    <t>NEXT.O</t>
  </si>
  <si>
    <t>65342K105</t>
  </si>
  <si>
    <t>NextDecade Corp</t>
  </si>
  <si>
    <t>NextDecade Corporation is an energy company. The Company is engaged in construction and development activities related to the liquefaction and sale of liquefied natural gas (LNG) and the capture and storage of carbon dioxide (CO2) emissions. The Company is constructing and developing a natural gas liquefaction and export facility located in the Rio Grande Valley in Brownsville, Texas (the Rio Grande LNG Facility), which has three liquefaction trains and related infrastructure under construction. Through its subsidiary, Rio Grande LNG, LLC (Rio Grande), the Company is constructing the Rio Grande LNG Facility on the north shore of the Brownsville Ship Channel. The site is located on 984 acres of land which has been leased long-term and includes 15 thousand feet of frontage on the Brownsville Ship Channel. It is also developing a planned carbon capture and storage (CCS) project at the Rio Grande LNG Facility and other potential CCS projects.</t>
  </si>
  <si>
    <t>MNRO.O</t>
  </si>
  <si>
    <t>610236101</t>
  </si>
  <si>
    <t>Monro Inc</t>
  </si>
  <si>
    <t>Monro, Inc. is an operator of retail tire and automotive repair stores in the United States. The Company offers replacement tires and tire related services, automotive undercar repair services, and a range of routine maintenance services, primarily on passenger cars, light trucks, and vans. The Company also provides other products and services for brakes; mufflers and exhaust systems, and steering, drive train, suspension, and wheel alignment. The Company’s retail tire and automotive repair stores operate primarily under the brands Monro Auto Service and Tire Centers, Tire Choice Auto Service Centers, Mr. Tire Auto Service Centers, Car-X Tire &amp; Auto, Tire Warehouse Tires for Less, Ken Towery’s Tire &amp; Auto Care, Mountain View Tire &amp; Auto Service, and Tire Barn Warehouse. It has approximately 1,288 Company-operated retail stores located in 32 states and 50 Car-X franchised locations. Its subsidiaries include Monro Service Corporation; Car-X, LLC, and MNRO Holdings, LLC.</t>
  </si>
  <si>
    <t>HROW.O</t>
  </si>
  <si>
    <t>Harrow Inc</t>
  </si>
  <si>
    <t>Harrow, Inc. is an eyecare pharmaceutical company. The Company is engaged in the discovery, development, and commercialization of ophthalmic pharmaceutical products for the United States market. It provides a comprehensive portfolio of prescription and non-prescription pharmaceutical products. It owns commercial rights to portfolios of branded ophthalmic pharmaceutical products in North America, all of which are marketed under the Harrow name. It owns and operates ImprimisRx, an ophthalmology-focused pharmaceutical-compounding business. It owns United States commercial rights to various products: IHEEZO, VEVYE, TRIESENCE, VIGAMOX, ILEVRO, FLAREX, NATACYN, ZERVIATE and others. VIGAMOX (moxifloxacin hydrochloride ophthalmic solution) 0.5%, a fluoroquinolone antibiotic eye drops for the treatment of bacterial conjunctivitis caused by susceptible strains of organisms. IHEEZO (chloroprocaine hydrochloride ophthalmic gel) 3% is a low-viscosity gel indicated for ocular surface anesthesia.</t>
  </si>
  <si>
    <t>CAPR.O</t>
  </si>
  <si>
    <t>14070B309</t>
  </si>
  <si>
    <t>Capricor Therapeutics Inc</t>
  </si>
  <si>
    <t>Capricor Therapeutics, Inc. is a biotechnology company developing transformative cell and exosome-based therapeutics for the treatment and prevention of rare diseases. The Company's program is focused on the development and commercialization of a cell therapy technology comprised of cardiosphere-derived cells (CDCs) for the treatment of Duchenne muscular dystrophy (DMD). Its lead product candidate, CAP-1002, is an allogeneic cardiac-derived cell therapy. CAP-1002 is advancing through Phase 3 clinical development for the treatment of Duchenne muscular dystrophy (DMD). CAP-1002 demonstrates immunomodulatory, antifibrotic, and regenerative actions specifically tailored for dystrophinopathies and heart disease. The Company leverages its exosome technology, using its StealthX platform in preclinical development focused on the areas of vaccinology, targeted delivery of oligonucleotides, proteins and small molecule therapeutics to potentially treat and prevent a diverse array of diseases.</t>
  </si>
  <si>
    <t>OGS</t>
  </si>
  <si>
    <t>68235P108</t>
  </si>
  <si>
    <t>ONE Gas Inc</t>
  </si>
  <si>
    <t>ONE Gas, Inc. is a regulated natural gas distribution utility in the United States. The Company operates through a single segment, regulated public utilities, which delivers natural gas to residential, commercial and transportation customers. The Company provides natural gas distribution services to approximately 2.3 million customers. The Company has three divisions: Oklahoma Natural Gas, Kansas Gas Service and Texas Gas Service. It primarily serves residential, commercial and transportation customers in all three states. The Company’s natural gas distribution markets in terms of customers are Oklahoma City and Tulsa, Oklahoma; Kansas City, Wichita and Topeka, Kansas; and Austin and El Paso, Texas. It distributes natural gas to approximately 89%, 71% and 13% of the natural gas distribution customers in Oklahoma, Kansas and Texas, respectively.</t>
  </si>
  <si>
    <t>BIO</t>
  </si>
  <si>
    <t>Bio Rad Laboratories Inc</t>
  </si>
  <si>
    <t>IAC.O</t>
  </si>
  <si>
    <t>44891N208</t>
  </si>
  <si>
    <t>IAC Inc</t>
  </si>
  <si>
    <t>IAC Inc. is engaged in building companies. The Company's segments include Dotdash Meredith, Angi Inc., Search, and Emerging &amp; Other. Its Dotdash Meredith segment consists of its digital and print businesses. Through these digital businesses, it provides original and engaging digital content in a variety of formats, including articles, illustrations, videos, and images. Its print business publishes approximately 17 magazines, as well as more than 400 special interest publications. Its Angi Inc. segment includes three segments: Ads and Leads, Services, and International (Europe and Canada). Its Search segment consists of Ask Media Group, a collection of websites providing general search services and information, and a Desktop business, which includes direct-to-consumer downloadable desktop applications and business-to-business partnership operations. Its Emerging &amp; Other segment includes Care.com, Mosaic Group, Vivian Health, The Daily Beast, IAC Films, and Bluecrew.</t>
  </si>
  <si>
    <t>CMG</t>
  </si>
  <si>
    <t>Chipotle Mexican Grill Inc</t>
  </si>
  <si>
    <t>Chipotle Mexican Grill, Inc. is a restaurant company. The Company, through its subsidiaries, owns and operates Chipotle Mexican Grill restaurants, which feature a relevant menu of burritos, burrito bowls (a burrito without the tortilla), quesadillas, tacos, and salads. The Company operates over 3,700 restaurants in the United States, Canada, the United Kingdom, France, Germany, Kuwait, and the United Arab Emirates.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Chipotle Mexican Grill of Berwyn Heights, LLC, Chipotle Mexican Grill Germany GMBH, and Chipotle Mexican Grill U.S. Finance Co., LLC, among others.</t>
  </si>
  <si>
    <t>EG</t>
  </si>
  <si>
    <t>Everest Group Ltd</t>
  </si>
  <si>
    <t>Everest Group, Ltd. is a Bermuda-based underwriter. The Company provides property, casualty, and specialty reinsurance and insurance solutions. It operates through two operating segments: Reinsurance and Insurance. The Reinsurance operation writes property and casualty reinsurance and specialty lines of business, on both a treaty and facultative basis, through reinsurance brokers, as well as directly with ceding companies. Business is written in the United States (US), Bermuda, and Ireland offices, as well as through branches in Canada, Singapore, the United Kingdom (UK), and Switzerland. The Insurance operation writes property and casualty insurance directly and through brokers, including for surplus lines, and general agents within the US, Bermuda, Canada, Europe, Singapore, and South America through its offices in the US, Australia, Canada, Chile, Colombia, Mexico, Singapore, the UK, Ireland, and branches located in the UK, the Netherlands, France, Germany, and Spain.</t>
  </si>
  <si>
    <t>CPRI.K</t>
  </si>
  <si>
    <t>G1890L107</t>
  </si>
  <si>
    <t>Capri Holdings Ltd</t>
  </si>
  <si>
    <t>Capri Holdings Limited is a holding company, which owns brands that are designers, marketers, distributors and retailers of women’s and men’s accessories, footwear and ready-to-wear bearing the Versace, Jimmy Choo and Michael Kors tradenames and related trademarks and logos. The Company operates in three segments: Versace, Jimmy Choo and Michael Kors. Versace segment include sale of Versace luxury ready-to-wear, accessories and footwear through directly operated Versace boutiques throughout the Americas, certain parts of Europe, Middle East and Africa (EMEA) and certain parts of Asia, as well as through Versace outlet stores and e-commerce sites. Jimmy Choo segment includes Jimmy Choo luxury footwear, handbags and small leather goods and accessories. Michael Kors segment includes the sale of Michael Kors products through four Michael Kors retail store formats: Collection stores, Lifestyle stores (including concessions), outlet stores and e-commerce sites.</t>
  </si>
  <si>
    <t>HCC</t>
  </si>
  <si>
    <t>93627C101</t>
  </si>
  <si>
    <t>Warrior Met Coal Inc</t>
  </si>
  <si>
    <t>Warrior Met Coal, Inc. is a producer and exporter of steelmaking coal, also known as hard coking coal (HCC), operating longwall operations in its underground mines based in Alabama. The Company’s two operating mines, Mine No. 4 and Mine No. 7, and Blue Creek are located approximately 300 miles from its export terminal at the Port of Mobile in Alabama. The Company sells its coal to a diversified customer base of blast furnace steel producers, primarily located in Europe, South America and Asia. The Company’s HCC, mined from the Southern Appalachian region of the United States, is characterized by low-to-high volatile matter (VM) and high coke strength after reaction (CSR). Mine No.7 operates two longwalls, while Mine No.4 runs a single longwall. Mine No. 4 and Mine No. 7 are located approximately 20 miles east of Tuscaloosa, Alabama and 30 miles southwest of Birmingham, Alabama.</t>
  </si>
  <si>
    <t>H</t>
  </si>
  <si>
    <t>448579102</t>
  </si>
  <si>
    <t>Hyatt Hotels Corp</t>
  </si>
  <si>
    <t>Hyatt Hotels Corporation is a global hospitality company. Its portfolio of properties consists of full-service hotels and resorts, select service hotels, all-inclusive resorts, and other properties, including timeshare, fractional, and other forms of residential and vacation units. The Company's offering includes brands in the Luxury Portfolio, including Park Hyatt, Miraval, Impression by Secrets, and The Unbound Collection by Hyatt; the Lifestyle Portfolio, including Andaz, Thompson Hotels, The Standard, Dream Hotels, Breathless Resorts &amp; Spas, Bunkhouse Hotels, and Me and All Hotels; the Inclusive Collection, including Zoetry Wellness &amp; Spa Resorts, Hyatt Ziva, Dreams Resorts &amp; Spas, Hyatt Vivid Hotels &amp; Resorts, Sunscape Resorts &amp; Spas, and Alua Hotels &amp; Resorts; the Classics Portfolio, including Grand Hyatt, Hyatt Regency, Destination by Hyatt, Hyatt Centric, and Hyatt; and the Essentials Portfolio, including Caption by Hyatt, Hyatt Place, Hyatt House, Hyatt Studios, and UrCove.</t>
  </si>
  <si>
    <t>DVA</t>
  </si>
  <si>
    <t>DaVita Inc</t>
  </si>
  <si>
    <t>PHATHOM PHARMACEUTICALS ORD</t>
  </si>
  <si>
    <t>JD.COM ADR REP 2 CL A ORD</t>
  </si>
  <si>
    <t>ADECOAGRO ORD</t>
  </si>
  <si>
    <t>INTERCONTINENTAL HOTEL ADR REP 1 ORD</t>
  </si>
  <si>
    <t>INTERFACE ORD</t>
  </si>
  <si>
    <t>ARLO TECHNOLOGIES ORD</t>
  </si>
  <si>
    <t>CORCEPT THERAPEUTICS ORD</t>
  </si>
  <si>
    <t>MARATHON PETROLEUM ORD</t>
  </si>
  <si>
    <t>CAMPING WORLD CL A ORD</t>
  </si>
  <si>
    <t>SUPERNUS PHARMACEUTICALS ORD</t>
  </si>
  <si>
    <t>ICF INTERNATIONAL ORD</t>
  </si>
  <si>
    <t>NCR ATLEOS ORD</t>
  </si>
  <si>
    <t>DYCOM INDUSTRIES ORD</t>
  </si>
  <si>
    <t>WD-40 ORD</t>
  </si>
  <si>
    <t>M TRON INDUSTRIES ORD</t>
  </si>
  <si>
    <t>AXOGEN ORD</t>
  </si>
  <si>
    <t>MARVELL TECHNOLOGY ORD</t>
  </si>
  <si>
    <t>COMPANIA CERVECERIAS ADR REP 2 ORD</t>
  </si>
  <si>
    <t>BIOCERES CROP SOLUTIONS ORD</t>
  </si>
  <si>
    <t>SIMILARWEB ORD</t>
  </si>
  <si>
    <t>KNOWLES ORD</t>
  </si>
  <si>
    <t>EYEPOINT PHARMACEUTICALS ORD</t>
  </si>
  <si>
    <t>HOMESTREET ORD</t>
  </si>
  <si>
    <t>TRANSCAT ORD</t>
  </si>
  <si>
    <t>FLUENCE ENERGY CL A ORD</t>
  </si>
  <si>
    <t>GRAPHIC PACKAGING HOLDING ORD</t>
  </si>
  <si>
    <t>BANCO SANTANDER ADS REP 400 ORD</t>
  </si>
  <si>
    <t>ORIC PHARMACEUTICALS ORD</t>
  </si>
  <si>
    <t>ONITY GROUP ORD</t>
  </si>
  <si>
    <t>EPLUS ORD</t>
  </si>
  <si>
    <t>MIND MEDICINE ORD</t>
  </si>
  <si>
    <t>GEN DIGITAL ORD</t>
  </si>
  <si>
    <t>A O SMITH ORD</t>
  </si>
  <si>
    <t>COTY CL A ORD</t>
  </si>
  <si>
    <t>MURPHY USA ORD</t>
  </si>
  <si>
    <t>NEXTDECADE ORD</t>
  </si>
  <si>
    <t>MONRO ORD</t>
  </si>
  <si>
    <t>HARROW ORD</t>
  </si>
  <si>
    <t>CAPRICOR THERAPEUTICS ORD</t>
  </si>
  <si>
    <t>IAC ORD</t>
  </si>
  <si>
    <t>CHIPOTLE MEXICAN GRILL ORD</t>
  </si>
  <si>
    <t>BIO RAD LABORATORIES CL A ORD</t>
  </si>
  <si>
    <t>EVEREST GROUP ORD</t>
  </si>
  <si>
    <t>WARRIOR MET COAL</t>
  </si>
  <si>
    <t>CAPRI HOLDINGS ORD</t>
  </si>
  <si>
    <t>HYATT HOTELS CL A ORD</t>
  </si>
  <si>
    <t>DAVITA ORD</t>
  </si>
  <si>
    <t>CH0114405324</t>
  </si>
  <si>
    <t>US4824971042</t>
  </si>
  <si>
    <t>US0684631080</t>
  </si>
  <si>
    <t>US9170471026</t>
  </si>
  <si>
    <t>US9258151029</t>
  </si>
  <si>
    <t>US1439051079</t>
  </si>
  <si>
    <t>US74276L1052</t>
  </si>
  <si>
    <t>GB00BNK03D49</t>
  </si>
  <si>
    <t>US98955N2071</t>
  </si>
  <si>
    <t>US05637B1052</t>
  </si>
  <si>
    <t>BMG9108L1735</t>
  </si>
  <si>
    <t>US03062T1051</t>
  </si>
  <si>
    <t>US25787G1004</t>
  </si>
  <si>
    <t>Knowles Corporation is a manufacturer of specialty electronic components. The Company is engaged in manufacturing high-performance capacitors, radio frequency (RF) and microwave filters, advanced medtech microphones, balanced armature speakers, and miniaturization products. The Company’s segments include Precision Devices (PD) and MedTech &amp; Specialty Audio (MSA). Its PD segment is specialized in the design and delivery of high-performance capacitor products and RF solutions primarily serving the defense, medtech, electrification, and industrial markets. Its MSA segment designs and manufactures balanced armature speakers and microphones used in applications that serve the hearing health and premium audio markets. The Company sells its products directly to original equipment manufacturers (OEMs) and to their contract manufacturers and suppliers and through distributors worldwide.</t>
  </si>
  <si>
    <t>Graphic Packaging Holding Company is a consumer packaging provider. Its segments include Americas Paperboard Packaging, Europe Paperboard Packaging and Paperboard Manufacturing. The Americas Paperboard Packaging segment includes paperboard packaging sold primarily to consumer-packaged goods (CPG) companies serving the food, beverage, and consumer product markets and cups, lids and food containers sold primarily to foodservice companies and quick-service restaurants in the Americas. The Europe Paperboard Packaging segment includes paperboard packaging sold to CPG companies serving the food, beverage and consumer product markets, including healthcare and beauty, primarily in Europe. The Paperboard Manufacturing segment includes the six North American paperboard manufacturing facilities that produce recycled, unbleached and bleached paperboard, which is primarily consumed internally to produce paperboard consumer packaging for the Americas and Europe Paperboard Packaging segments.</t>
  </si>
  <si>
    <t>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It operates through two segments: Life Science and Clinical Diagnostics. The Life Science segment develops, manufactures, and markets instruments, systems, reagents, and consumables used for biological research, biopharmaceutical production processes, food testing regimes, and science education. Its Clinical Diagnostics segment designs, manufactures, markets and supports test systems, informatics systems, test kits and specialized quality controls that serve clinical laboratories in the global diagnostics market. These products are sold to hospital laboratories, diagnostic reference laboratories, transfusion laboratories, and physician office laboratories.</t>
  </si>
  <si>
    <t>MSA Safety Incorporated provides advanced safety products, technologies and solutions. The Company's product line is used to protect workers and facility infrastructures. Its product categories are fire service, detection and industrial personal protective equipment (PPE). Its products for fire service include self-contained breathing apparatus (SCBA), protective apparel and helmets; products for detection include fixed gas and flame detection systems and portable gas detection instruments; and products for industrial PPE include industrial head protection and fall protection devices. Its segments include Americas, International and Corporate. The Company serves its markets across the Americas with manufacturing facilities in the United States, Mexico and Brazil. The International segment includes companies in Europe, the Middle East and Africa, and the Asia Pacific region. It offers a complete line of industrial head protection and accessories that includes the V-Gard helmet brand.</t>
  </si>
  <si>
    <t>GRMN.K</t>
  </si>
  <si>
    <t>H2906T109</t>
  </si>
  <si>
    <t>Garmin Ltd</t>
  </si>
  <si>
    <t>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t>
  </si>
  <si>
    <t>BEKE.K</t>
  </si>
  <si>
    <t>482497104</t>
  </si>
  <si>
    <t>Ke Holdings Inc</t>
  </si>
  <si>
    <t>KE Holdings Inc is a holding company mainly engaged in housing transactions and related services. The Company operates in four segments. The Existing Home Transaction Services segment mainly provides agency services to sales or leases of existing homes, and platform and franchise services to brokerage firms on Beike platform, as well as other transaction services. The New Home Transaction Services segment mainly provides new home transaction and agency services to real estate developers. The Home Renovation and Furnishing segment provides a one-stop solution to give housing customers access to a comprehensive range of home renovation and furnishing, ranging from interior design, renovation, re-modeling, furnishing, supplies, to after-sales maintenance and repair. The Emerging and Other Services segment is engaged in rental property management service business, financial service business and others.</t>
  </si>
  <si>
    <t>088606108</t>
  </si>
  <si>
    <t>BHP Group Ltd</t>
  </si>
  <si>
    <t>BBSI.O</t>
  </si>
  <si>
    <t>068463108</t>
  </si>
  <si>
    <t>Barrett Business Services Inc</t>
  </si>
  <si>
    <t>Barrett Business Services, Inc. is a provider of business management solutions for small and mid-sized companies. It has developed a management platform that integrates a knowledge-based approach from the management consulting industry with tools from the human resource outsourcing industry. It operates a decentralized delivery model using operationally focused business teams, typically located approximately 50 miles from its client companies. It offers two services: professional employer services (PEO) and staffing. Under PEO, it establishes to a client services agreement to establish a co-employment relationship with each client company, assuming responsibility for payroll, payroll taxes, workers compensation and benefits coverage (if elected) and certain other administrative functions for the clients existing workforce. The staffing services include on-demand or short-term staffing assignments, contract staffing, direct placement, and long-term or indefinite-term on-site management.</t>
  </si>
  <si>
    <t>URBN.O</t>
  </si>
  <si>
    <t>917047102</t>
  </si>
  <si>
    <t>Urban Outfitters Inc</t>
  </si>
  <si>
    <t>Urban Outfitters, Inc. is a lifestyle products and services company. The Company through three segments: Retail, Wholesale and Nuuly. The Retail segment includes its store and digital channels and includes its Anthropologie, Free People, FP Movement and Urban Outfitters brands. In addition to retail stores, it offers its products and services directly to its customers through its Websites, mobile applications, social media and third-party digital platforms, catalogs and customer contact centers. The Wholesale segment primarily designs, develops, and markets apparel, intimates, activewear and shoes. The Wholesale segment sells through department and specialty stores worldwide, digital businesses and its Retail segment. The Company operates a Wholesale segment under the Free People, FP Movement and Urban Outfitters brands. The Nuuly segment consists of the Nuuly brand, which includes Nuuly Rent and Nuuly Thrift. Nuuly Rent is a monthly women’s apparel subscription rental service.</t>
  </si>
  <si>
    <t>VICR.O</t>
  </si>
  <si>
    <t>Vicor Corp</t>
  </si>
  <si>
    <t>Vicor Corporation designs, develops, manufactures, and markets modular power components and power systems for converting electrical power for use in electrically powered devices. It offers a range of alternating current (AC) and direct current (DC) power conversion products. It also provides products addressing other DC voltage standards. It categorizes its offerings as Advanced products and Brick products. Its Advanced products category consists of products which are used to implement its proprietary Factorized Power Architecture (FPA), an advanced power distribution architecture enabling flexible, rapid power system design using individual components optimized to perform a specific conversion function. The Brick-format converters provide the integrated transformation, rectification, isolation, regulation, filtering, and/or input protection necessary to power and protect loads, across a range of conventional power architectures. It offers a range of brick-format DC-DC converters.</t>
  </si>
  <si>
    <t>CSV</t>
  </si>
  <si>
    <t>143905107</t>
  </si>
  <si>
    <t>Carriage Services Inc</t>
  </si>
  <si>
    <t>Carriage Services, Inc. is a provider of funeral and cemetery services and merchandise in the United States. Its Funeral home and cemetery businesses provide products and services to families in three areas: ceremony and tribute, generally in the form of a funeral or memorial service; disposition of remains, either through burial or cremation, and memorialization, generally through monuments, markers or inscriptions. Its funeral homes offer a complete range of services to meet a family's funeral needs, consultation, the removal and preparation of remains, the sale of caskets and related funeral merchandise, the use of funeral home facilities for visitation and memorial services and transportation services. Its Cemeteries provides interment rights (primarily grave sites, lawn crypts, mausoleum spaces and niches), related cemetery merchandise (such as memorial markers, outer burial containers and monuments) and services (interments, inurnments and installation of cemetery merchandise).</t>
  </si>
  <si>
    <t>PRCT.O</t>
  </si>
  <si>
    <t>PROCEPT BioRobotics Corporation is a commercial-stage surgical robotics company. The Company is focused on advancing patient care by developing transformative solutions in urology. It develops, manufactures, and sells the AQUABEAM Robotic System, an advanced, image-guided, surgical robotic system for use in minimally invasive urologic surgery with an initial focus on treating benign prostatic hyperplasia (BPH). The Company's proprietary AQUABEAM Robotic System delivers Aquablation therapy, which combines real-time, multidimensional imaging, personalized treatment planning, automated robotics and heat-free waterjet ablation for targeted and rapid removal of prostate tissue. Aquablation therapy delivers effective, safe and durable outcomes for males suffering from lower urinary tract symptoms (LUTS), due to BPH, which are independent of prostate size and shape or surgeon experience.</t>
  </si>
  <si>
    <t>LXFR.K</t>
  </si>
  <si>
    <t>G5698W116</t>
  </si>
  <si>
    <t>Luxfer Holdings PLC</t>
  </si>
  <si>
    <t>Luxfer Holdings PLC is a global industrial company, which is focused on niche applications in materials engineering. The Company focus primarily on product lines related to magnesium alloys, zirconium chemicals and carbon composites. The Company operates in three segments: Elektron, Gas Cylinders and Graphic Arts. The Elektron segment focuses on specialty materials based primarily on magnesium and zirconium. The Gas Cylinders segment manufactures and markets specialized, highly engineered cylinders using carbon composites and aluminum alloys. Its product lines include carbon fiber composite cylinders for self-contained breathing apparatus. The Graphic Arts segment provides magnesium photo-engraving plates, engraving metals and etching chemicals. Its key product lines include magnesium, copper, and zinc photo-engraving plates for graphic arts and luxury packaging, developer solutions to aid the engraving process, and solid wrought magnesium slab and sheet.</t>
  </si>
  <si>
    <t>ZH</t>
  </si>
  <si>
    <t>98955N207</t>
  </si>
  <si>
    <t>Zhihu Inc</t>
  </si>
  <si>
    <t>Zhihu Inc is a China-based holding company principally engaged in the operation of online question-and-answer (Q&amp;A) communities. The Company is principally engaged in the provision of advertising services, paid membership services, content monetization solutions and other services. The Company's online community provides a platform for users to find solutions, make decisions, find inspiration and have fun. The Company's online community is an online content community based on user-generated content (UGC). In addition, the Company's platform offers a range of contents such as daily life choices, esoteric knowledge content or unique experiences, and important life choices.</t>
  </si>
  <si>
    <t>BLZE.O</t>
  </si>
  <si>
    <t>Backblaze, Inc. provides a specialized storage cloud platform. The Company offers two cloud services on its storage cloud: Backblaze B2 Cloud Storage and Backblaze Computer Backup. The Backblaze B2 Cloud Storage enables customers to store data, developers to build applications, and partners to expand their use cases. The amount of data stored in this cloud service can scale up and down as needed on a pay-as-you-go basis, or can be paid for on a capacity basis for greater predictability, which it refers to as its B2 Reserve offering. This Infrastructure-as-a-Service enables use cases including backups, ransomware protection, and storage for artificial intelligence and machine learning workflows. The Backblaze Computer Backup automatically backs up data from laptops and desktops for businesses and individuals. This service is offered as a subscription-based Software-as-a-Service. With over two billion gigabytes of data storage under management, it works with customers in 175 countries.</t>
  </si>
  <si>
    <t>TEN</t>
  </si>
  <si>
    <t>G9108L173</t>
  </si>
  <si>
    <t>Tsakos Energy Navigation Ltd</t>
  </si>
  <si>
    <t>Tsakos Energy Navigation Ltd is a Greece-based provider of international seaborne crude oil and petroleum product transportation services. The Company operates through the maritime transportation of liquid energy-related products segment. The Company's fleet consists of 70 vessels, constituting a mix of crude tankers, product tankers, and liquefied natural gas (LNG) carriers, totaling more than 7 million dwt. It includes VLCC, Aframax, Panamax, handysize, handymax tankers, LNG carrier, and DP2 shuttle tankers, which allows the Company to serve its customers' international petroleum product and crude oil transportation needs.</t>
  </si>
  <si>
    <t>CRMT.O</t>
  </si>
  <si>
    <t>03062T105</t>
  </si>
  <si>
    <t>America's CAR-MART Inc</t>
  </si>
  <si>
    <t>America’s Car-Mart, Inc. is an automotive retailer in the United States focused on the Integrated Auto Sales and Finance segment of the used car market. The Company's operations are principally conducted through its two operating subsidiaries, America’s Car Mart, Inc., an Arkansas corporation (Car-Mart of Arkansas), and Colonial Auto Finance, Inc., an Arkansas corporation (Colonial). The Company primarily sells older model used vehicles and provides financing for substantially all of its customers. The Company’s dealerships operate on a decentralized basis. It operates approximately 154 dealerships in 12 states, located primarily in small cities throughout the South-Central United States. It is an option for those who may not qualify for traditional used car financing because of bad credit, no credit, repossession or past bankruptcy. Its products include peace of mind, service contract plus, pay your way, financing options, flexible trade-in, hand selected vehicles and sell-a-friend.</t>
  </si>
  <si>
    <t>DFIN.K</t>
  </si>
  <si>
    <t>25787G100</t>
  </si>
  <si>
    <t>Donnelley Financial Solutions Inc</t>
  </si>
  <si>
    <t>Donnelley Financial Solutions, Inc. is a provider of software and technology-enabled financial regulatory and compliance solutions. The Company provides regulatory filing and deal solutions through its software, technology-enabled services and print and distribution solutions. Its segments include Capital Markets-Software Solutions (CM-SS), Capital Markets-Compliance and Communications Management (CM-CCM), Investment Companies-Software Solutions (IC-SS) and Investment Companies-Compliance and Communications Management (IC-CCM). CM-SS segment provides software solutions to public and private companies. CM-CCM segment provides technology-enabled services and print and distribution solutions to public and private companies. The IC-SS segment provides software solutions that enable clients to store and manage compliance and regulatory information. IC-CCM segment provides clients with tech-enabled solutions for creating, filing and distributing regulatory communications.</t>
  </si>
  <si>
    <t>GARMIN ORD</t>
  </si>
  <si>
    <t>KE HOLDINGS ADR REP 3 CL A ORD</t>
  </si>
  <si>
    <t>BHP GROUP ADR</t>
  </si>
  <si>
    <t>BARRETT BUSINESS SERVICES ORD</t>
  </si>
  <si>
    <t>URBAN OUTFITTERS ORD</t>
  </si>
  <si>
    <t>VICOR ORD</t>
  </si>
  <si>
    <t>CARRIAGE SERVICES ORD</t>
  </si>
  <si>
    <t>PROCEPT BIOROBOTICS ORD</t>
  </si>
  <si>
    <t>ZHIHU 3 ADR REP CL A ORD</t>
  </si>
  <si>
    <t>BACKBLAZE CL A ORD</t>
  </si>
  <si>
    <t>LUXFER HOLDINGS ORD</t>
  </si>
  <si>
    <t>TSAKOS ENERGY NAVIGATION ORD</t>
  </si>
  <si>
    <t>AMERICA'S CAR MART ORD</t>
  </si>
  <si>
    <t>DONNELLEY FINANCIAL SOLTN ORD</t>
  </si>
  <si>
    <t>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others.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Water-Right, Master Water, Atlantic Filter, Impact, and Water Tec brands.</t>
  </si>
  <si>
    <t>Core Laboratories Inc. is a provider of proprietary and patented reservoir description and production enhancement services and products for the oil and gas industry. The Company helps to evaluate and improve reservoir performance and increase oil and gas recovery from new and existing fields. It makes measurements of reservoir rocks, reservoir fluids (crude oil, natural gas and water) and their derived products. It assists clients in evaluating subsurface targets associated with carbon capture and sequestration projects or initiatives. Its segments include Reservoir Description, which provides laboratory-based analytical and field services to characterize the properties of crude oil and crude oil-derived products for the oil and gas industry, and Production Enhancement segment, which provides integrated diagnostic services to evaluate and monitor the effectiveness of well completions and to develop solutions aimed at increasing the effectiveness of enhanced oil recovery projects.</t>
  </si>
  <si>
    <t>Impinj, Inc. (Impinj) is a RAIN radio frequency identification (RFID) and Internet of things provider. The Company helps businesses and people analyze, optimize, and innovate by wirelessly connecting billions of everyday things, such as apparel, automobile parts, luggage, and shipments to the Internet. The Impinj platform uses RAIN RFID to deliver timely data about these everyday things to business and consumer applications, enabling a boundless Internet of Things. It designs, sells or licenses, including silicon RAIN radios; manufacturing, test, encoding and reading systems, and software and cloud services that encapsulate its solutions know-how. The Company sells two types of silicon integrated circuit (IC), radios. The first are endpoint ICs that store a serialized number to wirelessly identify an item. The second are reader ICs that its partners use in finished readers to wirelessly discover, inventory and engage the endpoint ICs.</t>
  </si>
  <si>
    <t>Insight Enterprises, Inc. is a global solutions integrator. The Company designs, builds, and manages digital solutions to make running a business easier. The Company serves its clients in North America; Europe, the Middle East and Africa (EMEA); and Asia-Pacific (APAC). Its offerings in North America and certain countries in EMEA and APAC include IT hardware, software and services, including cloud solutions. Its offerings in the remainder of its EMEA and APAC segments consist primarily of software and certain software-related services and cloud solutions. Its solutions include hybrid multi cloud, cybersecurity, data &amp; artificial intelligence (AI), digital workplace and intelligent applications. Its hybrid multi cloud solutions are about adopting and building modern platforms from edge to data center to cloud (multi cloud and hybrid). Its cybersecurity solutions focus on automating and securely connecting modern platforms, including networks, security systems, and automation tools.</t>
  </si>
  <si>
    <t>US0044981019</t>
  </si>
  <si>
    <t>US02913V1035</t>
  </si>
  <si>
    <t>US58470H1014</t>
  </si>
  <si>
    <t>US23954D1090</t>
  </si>
  <si>
    <t>US8068821060</t>
  </si>
  <si>
    <t>US85209W1099</t>
  </si>
  <si>
    <t>US2358252052</t>
  </si>
  <si>
    <t>IL0011974909</t>
  </si>
  <si>
    <t>US5663301068</t>
  </si>
  <si>
    <t>US90364P1057</t>
  </si>
  <si>
    <t>US2575541055</t>
  </si>
  <si>
    <t>US42226K1051</t>
  </si>
  <si>
    <t>US3765361080</t>
  </si>
  <si>
    <t>US9892071054</t>
  </si>
  <si>
    <t>US37253A1034</t>
  </si>
  <si>
    <t>US0298991011</t>
  </si>
  <si>
    <t>US70202L1026</t>
  </si>
  <si>
    <t>US17243V1026</t>
  </si>
  <si>
    <t>ACIW.O</t>
  </si>
  <si>
    <t>ACI Worldwide Inc</t>
  </si>
  <si>
    <t>ACI Worldwide, Inc. develops, markets, installs, and supports a line of software products and solutions primarily focused on facilitating real-time digital payments. The Company’s segments include Banks, Merchants, and Billers. It provides payment solutions to large and mid-size banks globally for retail banking, real time, digital, and other payment services. It support merchants globally, including Tier 1 and Tier 2 merchants, online-only merchants and payment service providers, independent selling organizations, value-added resellers, and acquirers who service them. Within the Billers segment, the Company provides electronic bill presentment and payment (EBPP) services to companies operating in the consumer finance, insurance, healthcare, higher education, utility, government, and mortgage categories. Its solutions include ACI acquiring, ACI issuing, ACI enterprise payments platform, ACI low value real-time payments, ACI high value real-time payments, and others.</t>
  </si>
  <si>
    <t>APEI.O</t>
  </si>
  <si>
    <t>02913V103</t>
  </si>
  <si>
    <t>American Public Education Inc</t>
  </si>
  <si>
    <t>American Public Education, Inc., through its institutions, American Public University System (APUS), Rasmussen University (RU), Hondros College of Nursing (HCN), and Graduate School USA (GSUSA), provides online and campus-based postsecondary education and career learning. Its segments include APUS, RU and HCN. APUS segment provides online postsecondary education directed primarily at the needs of the military, military-affiliated, public service and service-minded communities through American Military University (AMU), and American Public University (APU). APUS serves about 90,000 adult learners worldwide via accessible and affordable higher education. RU segment provides nursing and health sciences-focused postsecondary education to over 13,500 students at its 22 campuses in six states and online. HCN segment offers pre-licensure nursing programs that are designed to prepare individuals for productive careers at its eight campuses (six in Ohio, one in Indiana, and one in Michigan).</t>
  </si>
  <si>
    <t>MED</t>
  </si>
  <si>
    <t>58470H101</t>
  </si>
  <si>
    <t>Medifast Inc</t>
  </si>
  <si>
    <t>Medifast, Inc. is a health and wellness company. The Company provides a habit-based and coach-guided lifestyle solution OPTAVIA, which provides people with a comprehensive approach to help them achieve lasting optimal health and wellbeing. OPTAVIA's lifestyle plans deliver clinically proven health benefits as well as evidence-based tools, including scientifically developed products and a framework for habit creation reinforced by independent coaches and community support. Through a collaboration with the virtual primary care provider LifeMD, Inc (LifeMD), OPTAVIA customers have access to board-certified affiliated clinicians and medications, such as GLP-1s, that support treatment plans for obesity and other health conditions. OPTAVIA Coaches introduce customers to a set of healthy habits, and offer OPTAVIA-branded products, including Fuelings as well as OPTAVIA ACTIVE, a line of essential amino acid supplements and protein powders. Its operations are conducted through its subsidiaries.</t>
  </si>
  <si>
    <t>DAWN.O</t>
  </si>
  <si>
    <t>Day One Biopharmaceuticals, Inc. is a clinical-stage biopharmaceutical company focused on developing and commercializing targeted therapies for people of all ages with life-threatening diseases. The Company partners with clinical oncologists, families, and scientists to identify, acquire, and develop cancer treatments. Its product candidates include tovorafenib, pimasertib and the VRK1 program. The Company’s lead product candidate, tovorafenib, is an investigational, oral, brain-penetrant, highly selective type II RAF kinase inhibitor. The Company’s pipeline also includes pimasertib, an investigational, oral, highly selective small molecule inhibitor of mitogen-activated protein kinases 1 and 2 (MEK-1/-2). It has initiated an open-label, multicenter, phase Ib/IIa umbrella master trial, or FIRELIGHT-1, of tovorafenib as a monotherapy or in combination, which consists of two substudies. Substudy 1 is a phase IIa trial of tovorafenib as a monotherapy in patients 12 years and older.</t>
  </si>
  <si>
    <t>RDUS.O</t>
  </si>
  <si>
    <t>806882106</t>
  </si>
  <si>
    <t>Radius Recycling Inc</t>
  </si>
  <si>
    <t>Radius Recycling, Inc. is a manufacturer and exporter of recycled metal products in North America with operating facilities located in 25 states, Puerto Rico, and Western Canada. It has seven deep water export facilities located on both the East and West Coasts and in Hawaii and Puerto Rico. Its integrated operating platform also includes 50 stores which sell serviceable used auto parts from salvaged vehicles. Its steel manufacturing operations produce finished steel products, including rebar, wire rod, and other specialty products. Its nonferrous products include mixed metal joint products recovered from the shredding process, as well as aluminum, copper, stainless steel, nickel, brass, titanium, lead, and high temperature alloys. It also sells catalytic converters to specialty processors that extract the nonferrous precious metals, including platinum, palladium, and rhodium. Its subsidiaries include Auto Parts Group Southwest, LLC, Cascade Steel Rolling Mills, Inc. and others.</t>
  </si>
  <si>
    <t>SPT.O</t>
  </si>
  <si>
    <t>85209W109</t>
  </si>
  <si>
    <t>Sprout Social Inc</t>
  </si>
  <si>
    <t>Sprout Social, Inc. is engaged in designing, developing, and operating a Web-based social media management tool enabling companies to manage and measure their online presence. The Company provides organizations with a centralized platform to manage their social media efforts across stakeholders and business functions. Its cloud software brings together social messaging, data, and workflows in a unified system of record, intelligence, and action. The Company operates across major networks, including X (formerly known as Twitter), Facebook, Instagram, TikTok, Pinterest, LinkedIn, Google, Reddit, Glassdoor and YouTube, and commerce platforms Facebook Shops, Shopify, and WooCommerce. Its cloud platform allows organizations of all sizes to create stronger relationships through social media, create and publish effective content, measure, and improve performance, and better understand their markets and customers. It also offers a 30-day free trial model to its prospective customers.</t>
  </si>
  <si>
    <t>DAN</t>
  </si>
  <si>
    <t>235825205</t>
  </si>
  <si>
    <t>Dana Inc</t>
  </si>
  <si>
    <t>Dana Incorporated is engaged in providing power-conveyance and energy-management solutions for vehicles and machinery. The Company's portfolio improves the efficiency, performance, and sustainability of light vehicles, commercial vehicles, and off-highway equipment. It offers axles, driveshafts, transmissions, sealing and thermal products to electrifications products including motors, inverters, controllers, e-sealing, e-thermal and digital solutions. The Company operates through four segments: Light Vehicle Drive Systems, Commercial Vehicle Drive and Motion Systems, Off-Highway Drive and Motion Systems, and Power Technologies. The Company owns and have licensed trademarks, such as Spicer Electrified, Victor Reinz, Long, Graziano and Dana TM4. The Company operates in North America, Europe, South America and Asia Pacific regions. Its North America includes Canada, Mexico and United States of America. Its Europe regions include Belgium, Netherlands, Germany and Hungary.</t>
  </si>
  <si>
    <t>ODD.O</t>
  </si>
  <si>
    <t>M7518J104</t>
  </si>
  <si>
    <t>Oddity Tech Ltd</t>
  </si>
  <si>
    <t>Oddity Tech Ltd is an Israel-based company engaged in the beauty and wellness sector on the molecular level. The Company is operating a tech platform under its own brand on the Internet, whose purpose is to support a portfolio of brands and services connected to the beauty and wellness market and to develop products customized to the wishes of the Company's clients. The Company is using algorithms and machine learning models to match a corresponding physical product. Advanced biological models and machine learning-based tools are used to find new molecules for beauty and wellness purposes. The Company is active in research and development in areas such as data science, machine learning, and computer vision to enhance its products.</t>
  </si>
  <si>
    <t>MCS</t>
  </si>
  <si>
    <t>566330106</t>
  </si>
  <si>
    <t>Marcus Corp</t>
  </si>
  <si>
    <t>The Marcus Corporation is engaged in the lodging and entertainment industries, with significant the Company-owned real estate assets. The Company’s theatre division, Marcus Theatres, is a theater circuit in the United States. Marcus Theatres owns or operates 993 screens at 79 locations in 17 states under the Marcus Theatres, Movie Tavern by Marcus and BistroPlex brands. The Company’s lodging division, Marcus Hotels &amp; Resorts, owns and/or manages 15 hotels, 22 restaurants, 17 bars and lounges, two golf courses, two spas, and one sky hill in eight states. Marcus Hotels &amp; Resorts has various brands, including Hilton, Marriott, Hyatt and IHG. Marcus Hotels &amp; Resorts includes AC Hotel by Marriott Chicago Downtown, Grand Geneva Resort &amp; Spa, Hilton Minneapolis/Bloomington, The Lofton Hotel, and others.</t>
  </si>
  <si>
    <t>PATH.K</t>
  </si>
  <si>
    <t>UiPath Inc</t>
  </si>
  <si>
    <t>UiPath, Inc. is an enterprise automation and artificial intelligence (AI) software company. The Company is principally focused on building and managing automations and developing computer vision technology. The Company provides its customers with a set of capabilities that allow them to discover opportunities for automation, automate using a digital workforce that seamlessly collaborates with humans, and operate a mission-critical automation program at scale. It enables employees to build automations for both existing and new processes and to automate a range of actions including logging into applications, extracting information from documents, moving folders, filling in forms, reading emails, and updating information fields and databases. Its platform allows users to design and combine UI automations, API integrations, and AI-based document understanding in a single workflow. It offers a managed, multi-tenant software as a service (SaaS) version and automation cloud.</t>
  </si>
  <si>
    <t>DOMO.O</t>
  </si>
  <si>
    <t>257554105</t>
  </si>
  <si>
    <t>Domo Inc</t>
  </si>
  <si>
    <t>Domo, Inc. provides a cloud-based platform that digitally connects everyone from the CEO to the frontline employee with all the data, systems and people in an organization, giving them access to real-time data and insights and allowing them to put data to work for everyone, so they can multiply their impact on the business. Its platform enables every type of employee to connect to, analyze, and leverage data from their smartphone. Its platform provides real-time access to quantitative and qualitative data. Through the Domo platform, data from across the business is collected, stored, prepared, organized, analyzed, visualized, and shared. Artificial intelligence algorithms and machine learning can be applied to the data. Its platform provides real-time access to data through a flexible set of connection options, including an application programming interface and standards-based connectors that are available in the Domo Appstore, and a library of flexible universal connectors.</t>
  </si>
  <si>
    <t>HR</t>
  </si>
  <si>
    <t>Healthcare Realty Trust Incorporated is a self-managed and self-administered real estate investment trust (REIT) that owns and operates medical outpatient buildings primarily located around hospital campuses. The Company selectively grows its portfolio through property acquisition and development. Its portfolio includes nearly 700 properties totaling over 40 million square feet concentrated in 15 growth markets. The Company engages in a broad spectrum of integrated services, including leasing, management, acquisition, financing, development, and redevelopment of such properties. It focuses on facilities primarily located on or near the campuses of acute care hospitals associated with health systems. The Company’s properties in high-growth markets with a broad tenant mix that includes over 30 physician specialties, as well as surgery, imaging, cancer, and diagnostic centers. The Company’s real estate portfolio is leased to a diverse tenant base.</t>
  </si>
  <si>
    <t>GOOD.O</t>
  </si>
  <si>
    <t>Gladstone Commercial Corp</t>
  </si>
  <si>
    <t>Gladstone Commercial Corporation is a real estate investment trust (REIT). The Company is focused on acquiring, owning and operating net leased industrial and office properties across the United States. It conducts its operations through a subsidiary, Gladstone Commercial Limited Partnership (Operating Partnership). It owns about 135 properties totaling 16.8 million square feet of rentable space, located in 27 states. Its properties are geographically diversified, and its tenants cover a broad cross-section of business sectors and range in size from small to large private and public companies. Its properties are located in various states of the United States, such as Texas, Florida, Pennsylvania, Ohio, Georgia, North Carolina, Alabama, New Jersey, Michigan and South Carolina. The Company's properties have tenants from various industries, such as telecommunications, diversified/conglomerate services, healthcare, automotive, banking, diversified/conglomerate manufacturing, and others.</t>
  </si>
  <si>
    <t>ZBRA.O</t>
  </si>
  <si>
    <t>989207105</t>
  </si>
  <si>
    <t>Zebra Technologies Corp</t>
  </si>
  <si>
    <t>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t>
  </si>
  <si>
    <t>THRM.O</t>
  </si>
  <si>
    <t>37253A103</t>
  </si>
  <si>
    <t>Gentherm Inc</t>
  </si>
  <si>
    <t>Gentherm Incorporated is a provider of thermal management and pneumatic comfort technologies for the automotive industry and medical industries. The Company operates through two segments: Automotive and Medical. The Automotive segment represents the design, development, manufacturing and sales of automotive climate comfort systems, automotive cable systems, battery performance solutions, and automotive electronic and software systems. Its automotive electronic and software systems include electronic control units for climate comfort systems, electronic control units. Its climate comfort systems include seat heaters, blowers, and thermoelectric devices. The Medical segment is comprised of the results from the patient temperature management business in the medical industry. The Patient temperature management includes temperature management systems across multiple product categories addressing the needs of hyper-hypothermia therapy in intensive care, normothermia in surgical procedures.</t>
  </si>
  <si>
    <t>AWR</t>
  </si>
  <si>
    <t>American States Water Co</t>
  </si>
  <si>
    <t>American States Water Company is a holding company. The Company’s segments include water, electric and contracted services. Within the segments, The Company has three principal business units: water and electric service utility operations conducted through its regulated utilities, Golden State Water Company (GSWC) and Bear Valley Electric Service, Inc. (BVES), respectively, and contracted services conducted through American States Utility Services, Inc. (ASUS) and its subsidiaries. GSWC is a public water utility engaged in the purchase, production, distribution and sale of water in 10 counties in the state of California. BVES is a public electric utility that distributes electricity in several San Bernardino County Mountain communities in California. It operates, maintains and performs construction activities, including renewal and replacement capital work on water and/or wastewater systems at various United States military bases pursuant.</t>
  </si>
  <si>
    <t>PSN</t>
  </si>
  <si>
    <t>Parsons Corp</t>
  </si>
  <si>
    <t>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t>
  </si>
  <si>
    <t>CNK</t>
  </si>
  <si>
    <t>Cinemark Holdings Inc</t>
  </si>
  <si>
    <t>Cinemark Holdings, Inc., is engaged in the motion picture exhibition business. The Company operates through two segments: United States markets and international markets. It operates 501 theatres and 5,719 screens in the United States, and Latin America. The Company’s United States circuit operated 309 theatres and 4,324 screens and its Latin America circuit operated 192 theatres and 1,395 screens across 13 countries. It also plays mainstream films from many different genres, such as animated films, family films, dramas, comedies, horror, and action films. The Company offers various alternative entertainment content for its guests, which includes concert, sporting, and gaming events, as well as art, independent, faith-based, and multicultural foreign language films. In addition, it provides the functionality and technological infrastructure to live-stream events via satellite network across its portfolio of theatres in the United States and Latin America.</t>
  </si>
  <si>
    <t>ACI WORLDWIDE ORD</t>
  </si>
  <si>
    <t>AMERICAN PUBLIC EDUCATION ORD</t>
  </si>
  <si>
    <t>MEDIFAST ORD</t>
  </si>
  <si>
    <t>DAY ONE BIOPHARMACEUTICALS ORD</t>
  </si>
  <si>
    <t>RADIUS RECYCLING CL A ORD</t>
  </si>
  <si>
    <t>SPROUT SOCIAL CL A ORD</t>
  </si>
  <si>
    <t>DANA INCORPORATED ORD</t>
  </si>
  <si>
    <t>ODDITY TECH CL A ORD</t>
  </si>
  <si>
    <t>MARCUS ORD</t>
  </si>
  <si>
    <t>UIPATH CL A ORD</t>
  </si>
  <si>
    <t>DOMO CL B ORD</t>
  </si>
  <si>
    <t>HEALTHCARE REALTY TRUST CL A ORD</t>
  </si>
  <si>
    <t>GLADSTONE COMMERCIAL REIT ORD</t>
  </si>
  <si>
    <t>ZEBRA TECHNOLOGIES CL A ORD</t>
  </si>
  <si>
    <t>GENTHERM ORD</t>
  </si>
  <si>
    <t>AMERICAN STATES WATER ORD</t>
  </si>
  <si>
    <t>PARSONS ORD</t>
  </si>
  <si>
    <t>CINEMARK HOLDINGS ORD</t>
  </si>
  <si>
    <t>US68571X3017</t>
  </si>
  <si>
    <t>US3138551086</t>
  </si>
  <si>
    <t>US92511U1025</t>
  </si>
  <si>
    <t>US4404521001</t>
  </si>
  <si>
    <t>US5355551061</t>
  </si>
  <si>
    <t>BMG0585R1060</t>
  </si>
  <si>
    <t>US63845R1077</t>
  </si>
  <si>
    <t>GG00BMG42V42</t>
  </si>
  <si>
    <t>US68287N1000</t>
  </si>
  <si>
    <t>US0708301041</t>
  </si>
  <si>
    <t>US69553P1003</t>
  </si>
  <si>
    <t>US8334451098</t>
  </si>
  <si>
    <t>US5653941030</t>
  </si>
  <si>
    <t>US0507342014</t>
  </si>
  <si>
    <t>US8581552036</t>
  </si>
  <si>
    <t>US4234031049</t>
  </si>
  <si>
    <t>US57667T1007</t>
  </si>
  <si>
    <t>US72016P1057</t>
  </si>
  <si>
    <t>US26484T1060</t>
  </si>
  <si>
    <t>US8038663006</t>
  </si>
  <si>
    <t>US2256551092</t>
  </si>
  <si>
    <t>US1921085049</t>
  </si>
  <si>
    <t>Eversource Energy is a utility holding company, which is engaged in the energy delivery business through its utility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Company. The Electric Transmission segment owns and maintains transmission facilities that are part of an interstate power transmission grid over which electricity is transmitted throughout New England. The Natural Gas Distribution distributes natural gas to his customers in central and eastern Massachusetts. The Water Distribution segment provides water services to over 248,000 residential, commercial, industrial, municipal and fire protection and other customers, in 73 towns and cities in Connecticut, Massachusetts and New Hampshire.</t>
  </si>
  <si>
    <t>DaVita Inc. is a healthcare provider focused on transforming care delivery to improve the quality of life for patients globally. The Company is a provider of kidney care services in the United States. Its United States dialysis (U.S. dialysis) and related lab services business treats patients with chronic kidney failure and end-stage kidney disease (ESKD). The Company’s robust platform delivers kidney care services and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t>
  </si>
  <si>
    <t>Harmonic Inc. is a provider of virtualized broadband and video delivery solutions, enables media companies and service providers to deliver video streaming and broadcast services to consumers globally. It provides broadcast and streaming video services to consumer devices, including televisions, personal computers, laptops, tablets and smartphones. The Company operates through two segments: Video and Broadband. Its Broadband segment provides broadband access solutions and related services, including its cOS software-based broadband access solution, to broadband operators globally. Its Video segment provides video processing, production and playout solutions and services worldwide to broadband operators and satellite and telco Pay-TV service providers, and to broadcast and media companies, including streaming media companies. Its video business infrastructure solutions are delivered either through shipment of its products, software licenses or as software-as-a-service subscriptions.</t>
  </si>
  <si>
    <t>ALLETE, Inc. is a clean-energy transformation company that owns, operates and develops wind energy generation to reduce its carbon footprint. The Company’s segments include Regulated Operations and ALLETE Clean Energy. Regulated Operations include regulated utilities, Minnesota Power, and SWL&amp;P, as well as investment in ATC, a Wisconsin-based regulated utility that owns and maintains electric transmission assets in portions of Wisconsin, Michigan, Minnesota, and Illinois. Minnesota Power provides regulated utility electric service in northeastern Minnesota to approximately 150,000 retail customers. The ALLETE Clean Energy segment is focused on developing, acquiring, and operating clean and renewable energy projects. The segment owns and operates 1,600 megawatts of wind energy generation in five energy markets and eight states across the United States. The Company is also engaged in the development of wind energy facilities to operate under long-term Power Sales Agreement (PSAs).</t>
  </si>
  <si>
    <t>227483104</t>
  </si>
  <si>
    <t>Cross Country Healthcare Inc</t>
  </si>
  <si>
    <t>ORC</t>
  </si>
  <si>
    <t>68571X301</t>
  </si>
  <si>
    <t>Orchid Island Capital Inc</t>
  </si>
  <si>
    <t>Orchid Island Capital, Inc. is a specialty finance company that invests in residential mortgage-backed securities RMBS. The Company's investment portfolio consists of two categories of Agency RMBS: traditional pass-through Agency RMBS, such as mortgage pass through certificates and collateralized mortgage obligations (CMOs) issued by the government-sponsored enterprise (GSEs), and structured Agency RMBS, such as interest only securities (IOs), inverse interest only securities and principal only securities (POs), among other types of structured Agency RMBS. The Company's business objective is to provide attractive risk-adjusted total returns to its investors over the long term through a combination of capital appreciation and the payment of regular monthly distributions. The Company intends to achieve this objective by investing in and strategically allocating capital between pass-through Agency RMBS and structured Agency RMBS. The Company is externally managed by Bimini Advisors, LLC.</t>
  </si>
  <si>
    <t>FSS</t>
  </si>
  <si>
    <t>313855108</t>
  </si>
  <si>
    <t>Federal Signal Corp</t>
  </si>
  <si>
    <t>Federal Signal Corporation designs, manufactures and supplies a suite of products and integrated solutions for municipal, governmental, industrial and commercial customers. The Company’s segments include Environmental Solutions Group and Safety and Security Systems. The Environmental Solutions Group is a manufacturer and supplier of a full range of street sweepers, sewer cleaners, industrial vacuum loaders, safe-digging trucks, water blasting equipment, road-marking and line-removal equipment, dump truck bodies, trailers, metal extraction support equipment and multi-purpose tractors. It manufactures vehicles and equipment in the United States and Canada that are sold under the Elgin, Vactor, Guzzler, TRUVAC, Westech, and Jetstream. The Safety and Security Systems Group is manufactures and supplier of comprehensive systems and products that law enforcement, fire rescue, emergency medical services, campuses, military facilities, and industrial sites use to protect people and property.</t>
  </si>
  <si>
    <t>VRRM.O</t>
  </si>
  <si>
    <t>Verra Mobility Corp</t>
  </si>
  <si>
    <t>Verra Mobility Corporation provides smart mobility technology solutions across the United States, Australia, Europe, and Canada. The Company has three segments. Commercial Services segment is a provider of automated toll and violations management, and title and registration solutions to rental car companies (RACs) and fleet management companies (FMCs) and other large fleet owners in North America. In Europe, the segment provides violations processing through Euro Parking Collection plc and consumer tolling services through Pagatelia S.L.U. Government Solutions segment is a provider of automated safety solutions in the United States, Canada, and Australia to state and local governments. In the United States, the segment provides government agencies with road safety cameras to detect and process traffic violations for red-light, speed, school bus, and city bus lanes. Parking Solutions segment provides an end-to-end commercial parking management solution in the markets of North America.</t>
  </si>
  <si>
    <t>HRL</t>
  </si>
  <si>
    <t>440452100</t>
  </si>
  <si>
    <t>Hormel Foods Corp</t>
  </si>
  <si>
    <t>Hormel Foods Corporation is a global-branded food company. The Company develops, processes, and distributes a range of food products in a variety of markets. Its segments include Retail, Foodservice, and International. The Retail segment is primarily engaged in the processing, marketing, and sale of food products sold predominantly in the retail market. This segment also includes the Company’s MegaMex Foods, LLC joint venture. The Foodservice segment consists primarily of the processing, marketing, and sale of food products to foodservice, convenience store, and commercial customers located in the United States. The International segment processes, markets, and sells its products internationally. This segment also includes the results from the Company’s international joint ventures, international equity method investments, and international royalty arrangements. It has a global presence within several major international markets, including Australia, Brazil, Canada, China, and England.</t>
  </si>
  <si>
    <t>LNN</t>
  </si>
  <si>
    <t>535555106</t>
  </si>
  <si>
    <t>Lindsay Corp</t>
  </si>
  <si>
    <t>Lindsay Corporation is a global manufacturer and distributor of irrigation and infrastructure equipment and technology. The Company operates through two segments: Irrigation and Infrastructure. The Company’s Irrigation segment includes the manufacture and marketing of center pivot, lateral move, and hose reel irrigation systems which are used principally in the agricultural industry to increase or stabilize crop production while conserving water, energy and labor. Its family of irrigation brands includes Zimmatic center pivot and lateral move agricultural irrigation systems, FieldNET and FieldWise remote irrigation management technology, FieldNET Advisor irrigation scheduling technology, and industrial IoT solutions. The Company’s Infrastructure segment includes the manufacture and marketing of moveable barriers, specialty barriers and crash cushions, road marking and road safety equipment, and railroad signals and structures.</t>
  </si>
  <si>
    <t>AGO</t>
  </si>
  <si>
    <t>Assured Guaranty Ltd</t>
  </si>
  <si>
    <t>Assured Guaranty Ltd. is a Bermuda-based holding company. Through its subsidiaries, the Company provides credit enhancement products to the United States and non-United States public finance, infrastructure and structured finance markets. The Company also participates in the asset management business through its ownership interest in Sound Point Capital Management, LP and certain of its investment management affiliates. Its segments include Insurance and Asset Management. Through its insurance subsidiaries, the Company applies its credit underwriting judgment, risk management skills and capital markets experience primarily to offer financial guaranty insurance that protects holders of debt instruments and other monetary obligations from defaults in scheduled payments. Asset management segment serves as an investment advisor to primarily collateralized loan obligations and opportunity funds, through Assured Investment Management LLC and its investment management affiliates.</t>
  </si>
  <si>
    <t>EYE.O</t>
  </si>
  <si>
    <t>National Vision Holdings Inc</t>
  </si>
  <si>
    <t>National Vision Holdings, Inc. is an optical retail company in the United States with over 1,100 stores in 38 states and Puerto Rico. The Company operates four retail brands: America's Best Contacts &amp; Eyeglasses, Eyeglass World, and Vista Opticals inside select Fred Meyer stores and on select military bases, and e-commerce websites, offering a variety of products and services for customers eye care needs. The Company's segment includes Owned &amp; Host. The Company, through its subsidiary, FirstSight Vision Services, Inc., is licensed as a single-service health plan under California law and issues individual vision plans in connection with its America's Best operations in California. The Company's e-commerce platform, which is managed by its subsidiary, AC Lens, serves its e-commerce websites and the e-commerce websites of third parties. AC Lens handles site management, customer relationship management (CRM) and order fulfillment and also sells a variety of contact lenses and eyeglasses.</t>
  </si>
  <si>
    <t>SGHC.K</t>
  </si>
  <si>
    <t>G8588X103</t>
  </si>
  <si>
    <t>SGHC Ltd</t>
  </si>
  <si>
    <t>SGHC Limited is a holding company engaged in online sports betting and gaming. The Company operates through two business segments: Betway and Spin. Betway is the premier online sportsbook operating under a single brand, offering sports betting and casino entertainment. The Betway has a global footprint, holding licenses throughout Europe, the Americas and Africa, with approximately 60 brand partnerships with teams and leagues worldwide. The Spin is a multi-brand online casino offering, with market leadership in high-growth markets. It has a diverse portfolio of approximately 16 casino brands, which offer a range of casino products. Its subsidiaries include Pindus Holdings Limited, Fengari Holdings Limited, and SG Media Limited.</t>
  </si>
  <si>
    <t>OSPN.O</t>
  </si>
  <si>
    <t>68287N100</t>
  </si>
  <si>
    <t>OneSpan Inc</t>
  </si>
  <si>
    <t>OneSpan Inc. provides security, identity, electronic signature (e-signature) and digital workflow solutions that protect and facilitate digital transactions and agreements. The Company’s segments include Digital Agreements and Security Solutions. Digital Agreements consists of solutions that enable its clients to secure and automate business processes associated with their digital agreement and customer transaction lifecycles that require consent, non-repudiation, and compliance. These solutions include OneSpan Sign e-signature, OneSpan Notary and OneSpan Trust Vault. Security Solutions consists of its portfolio of software products, software development kits (SDKs) and Digipass authenticator devices that are used to build applications designed to defend against attacks on digital transactions across online environments, devices, and applications. The software products and SDKs included in the Security Solutions segment are on-premises software products.</t>
  </si>
  <si>
    <t>BBWI.K</t>
  </si>
  <si>
    <t>Bath &amp; Body Works Inc</t>
  </si>
  <si>
    <t>Bath &amp; Body Works, Inc. is an omnichannel retailer focused on personal care and home fragrance. The Company sells merchandise through its retail stores in the United States (U.S.) and Canada, and through its websites and other channels, under the Bath &amp; Body Works, White Barn and other brand names. Its international business is conducted through franchise, license and wholesale partners. It offers a range of care and home fragrance, including collections of fine fragrance mist, body lotion and body cream, 3-wick candles, home fragrance diffusers and liquid hand soap. Its products are differentiated through a combination of fragrance, packaging and quality at accessible prices. It also sells products under its sub brands, including White Barn. Its merchandise is sold through about 1,850 Company-operated stores and e-commerce sites in U.S. and Canada, and in 485 stores and 28 e-commerce sites in more than 40 other countries operating under franchise, license and wholesale arrangements.</t>
  </si>
  <si>
    <t>PD</t>
  </si>
  <si>
    <t>69553P100</t>
  </si>
  <si>
    <t>PagerDuty Inc</t>
  </si>
  <si>
    <t>PagerDuty, Inc. is engaged in digital operations management platform that manages urgent and mission-critical work for digital business. The Company collects data and digital signals from virtually any software-enabled system or device and leverages enables machine learning to correlate, process, and predict opportunities and issues. It uses incident response, event management, and automation, the Company brings together the right people with the right information so they can resolve issues and act on opportunities in minutes or seconds from wherever they are. The PagerDuty Operations Cloud consists of PagerDuty Incident Management, AIOps, Process Automation and Customer Service Operations. PagerDuty Incident Management provides a real-time view across the status of a digital service while incorporating intelligent noise reduction to remove false positives. PagerDuty Process Automation provides a centralized design time and run time environment for orchestrating automated workflows.</t>
  </si>
  <si>
    <t>SNOW.K</t>
  </si>
  <si>
    <t>Snowflake Inc</t>
  </si>
  <si>
    <t>Snowflake Inc. is a data cloud and artificial intelligence company. Its platform is the technology that powers the AI Data Cloud, enabling customers to consolidate data into a single source of truth to drive meaningful insights, apply artificial intelligence (AI) to solve business problems, build data applications, and share data and data products. It provides its platform through a customer-centric, and consumption-based business model.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 Its ClearQuery platform allows users to rapidly search, explore, and analyze their data using natural language queries.</t>
  </si>
  <si>
    <t>CART.O</t>
  </si>
  <si>
    <t>Maplebear Inc</t>
  </si>
  <si>
    <t>Maplebear Inc., doing business as Instacart, is a grocery technology company in North America, works with grocers and retailers to transform how people shop. The Company partners with more than 1,500 national, regional, and local retail banners to facilitate online shopping, delivery and pickup services from more than 85,000 stores across North America on the Instacart Marketplace. The Instacart Platform offers retailers a suite of enterprise-grade technology products and services to power their e-commerce experiences, fulfill orders, digitize brick-and-mortar stores, provide advertising services, and glean insights. With Instacart Ads, thousands of consumer-packaged goods (CPG) brands - from category leaders to emerging brands - partner with the Company to connect directly with consumers online, right at the point of purchase. The Company, through its Instacart Health, provides tools to increase nutrition security and make healthy choices easier for consumers.</t>
  </si>
  <si>
    <t>AEYE.O</t>
  </si>
  <si>
    <t>050734201</t>
  </si>
  <si>
    <t>AudioEye Inc</t>
  </si>
  <si>
    <t>AudioEye, Inc. is a digital accessibility platform company that delivers Website accessibility compliance at all price points to businesses of all sizes. The Company operates in one segment as a provider of Internet content publication and distribution software and related services and enables the conversion of digital content into accessible formats and allows for real-time distribution to end users on any Internet-connected device. Its solutions are backed by machine-learning/artificial intelligence-driven technology that finds and fixes common accessibility errors. Its technology addresses a range of disabilities, including dyslexia, color blindness, epilepsy, and more. Its offerings include an always-on testing, remediation, and monitoring solution. The Company offers additional solutions, such as periodic auditing, human assisted technological remediations and legal support services. It also offers remediation services and Native Mobile App and Audit reports to help its customers.</t>
  </si>
  <si>
    <t>SCS</t>
  </si>
  <si>
    <t>858155203</t>
  </si>
  <si>
    <t>Steelcase Inc</t>
  </si>
  <si>
    <t>Steelcase Inc. is engaged in furnishing the work experience in office environments. The Company, through its brands Steelcase, AMQ, Coalesse, Designtex, HALCON, Orangebox, Smith System and Viccarbe, offers a comprehensive portfolio of furniture and architectural products and services designed to help customers create workplaces. Its furniture portfolio includes furniture systems, seating, storage, fixed and height-adjustable desks, benches and tables and complementary products such as work accessories, lighting, mobile power and screens. Its seating products include task chairs that are ergonomic, seating that can be used in collaborative environments and casual settings, and specialty seating for specific vertical markets such as education and healthcare. Its interior architectural products include full and partial height walls and free-standing architectural pods. Its services include workplace strategy consulting, lease origination services and furniture and asset management.</t>
  </si>
  <si>
    <t>MOMO.O</t>
  </si>
  <si>
    <t>423403104</t>
  </si>
  <si>
    <t>Hello Group Inc</t>
  </si>
  <si>
    <t>Hello Group Inc, formerly Momo Inc, is a China-based online social and entertainment company. The Company operates in three segments. Momo segment and Tantan segment mainly provide live video service, value-added services including membership subscription and virtual gift service, and mobile marketing services including advertising and marketing solutions. QOOL segment provides music service revenues, film distribution service and film promotion service. The Company also operates other applications to serve different social and entertainment demands from its users.</t>
  </si>
  <si>
    <t>MTLS.O</t>
  </si>
  <si>
    <t>57667T100</t>
  </si>
  <si>
    <t>Materialise NV</t>
  </si>
  <si>
    <t>Materialise NV is a Belgium-based company that is engaged in the software industry. The Company is a provider of software and three-dimensional (3D) printing services that incorporates 3D printing experience into a wide range of software solutions and 3D printing services. It transforms businesses with three elements of align: quality, reliability, and repeatability through which it forms the backbone of the 3D printing industry. The solutions are built 3D printing applications in several industries, including healthcare, automotive, aerospace, art and design, and consumer goods. It also operates in the domestic market and worldwide, including Colombia, Brazil, Australia, Malaysia, China, Japan, Austria, Poland, Germany, and France, among others.</t>
  </si>
  <si>
    <t>PLL.O</t>
  </si>
  <si>
    <t>72016P105</t>
  </si>
  <si>
    <t>Piedmont Lithium Inc</t>
  </si>
  <si>
    <t>Piedmont Lithium, Inc. is engaged in developing a multi-asset, integrated lithium business. It supplies lithium hydroxide to electric vehicles and battery manufacturing supply chains in North America. Its projects include its Carolina Lithium and Tennessee Lithium projects in the United States. Tennessee Lithium is a proposed merchant lithium hydroxide manufacturing plant in McMinn County, Tennessee. Carolina Lithium is a proposed, fully integrated spodumene concentrate-to-lithium hydroxide project in Gaston County, North Carolina. The Company's project portfolio includes strategic investments in lithium assets in Quebec, Canada and Ghana, West Africa with Atlantic Lithium, including Ewoyaa; and in Newfoundland, Canada with Vinland Lithium. Carolina Lithium is located within a resource in the Carolina Tin-Spodumene Belt. The Ewoyaa Lithium Project is well located along a national highway in the Cape Coast region of Ghana, Africa.</t>
  </si>
  <si>
    <t>DNB</t>
  </si>
  <si>
    <t>Dun &amp; Bradstreet Holdings Inc</t>
  </si>
  <si>
    <t>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mission critical business operations by providing and curated data and analytics to help drive informed decisions and improved outcomes. The Company operates through two segments: North America and International. Its finance and risk solutions are used in the critical decisioning processes of finance, risk, compliance and procurement departments worldwide. Its sales and marketing solutions combine firmographic, personal contact, intent and non-traditional data to assist clients in optimizing their sales and marketing strategy by cleansing customer relationship management (CRM) data and narrowing their focus and efforts on the probability prospects.</t>
  </si>
  <si>
    <t>SSL</t>
  </si>
  <si>
    <t>803866300</t>
  </si>
  <si>
    <t>Sasol Ltd</t>
  </si>
  <si>
    <t>Sasol Limited is a South Africa-based company, which is a global chemical and energy company. The Company operates in two divisions: Chemical and Energy. Its Energy business operates in three segments Mining, Fuel and Gas. The Mining segment is responsible for securing coal feedstock for the Southern African value chain, mainly for gasification, but also to generate electricity and steam. The Gas segment reflects the upstream feedstock, transport of gas through the Republic of Mozambique Pipeline Investments Company (ROMPCO) pipeline, and external natural and methane rich gas sales. The Fuels segment comprises the sales and marketing of liquid fuels produced in South Africa. The Chemical products are grouped into Advanced Materials, Base Chemicals, Essential Care Chemicals and Performance Solutions.</t>
  </si>
  <si>
    <t>CCAP.O</t>
  </si>
  <si>
    <t>Crescent Capital BDC, Inc. is a specialty finance company focused on lending to middle-market companies. The Company’s investment objective is to maximize the total return to its stockholders in the form of current income and capital appreciation through debt and related equity investments. It invests primarily in secured debt, including first lien, unitranche first lien and second-lien debt, and unsecured debt, including mezzanine and subordinated debt, as well as related equity securities of private United States middle-market companies. It is focused on purchasing interests in loans or make debt investments, either directly from its target companies as primary market or private credit investments (private credit transactions), or primary or secondary market bank loan or high yield transactions in the syndicated market (syndicated loans and bonds). Although its focus is to invest in less liquid private credit transactions. The Company is managed by Crescent Cap Advisors, LLC.</t>
  </si>
  <si>
    <t>CDE</t>
  </si>
  <si>
    <t>192108504</t>
  </si>
  <si>
    <t>Coeur Mining Inc</t>
  </si>
  <si>
    <t>Coeur Mining, Inc. is a diversified precious metals producer. The Company has five wholly owned operations: the Las Chispas silver-gold mine in Sonora, Mexico, the Palmarejo gold-silver complex in Chihuahua, Mexico, the Rochester silver-gold mine in Nevada, the Kensington gold mine in Alaska and the Wharf gold mine in South Dakota. In addition, the Company wholly owns the Silvertip polymetallic critical minerals exploration project in British Columbia. The Las Chispas Operation is located approximately 180 kilometers (km) northeast of Hermosillo, Sonora, Mexico. The Palmarejo complex consists of the Palmarejo processing facility, three underground mines, exploration targets and a campsite. The Rochester mine is an open pit, heap leach silver-gold operation, located in Pershing County, Nevada. The Kensington mine is an underground gold operation located in southeast Alaska. Wharf is an open pit, heap leach gold operation located in the northern Black Hills of western South Dakota.</t>
  </si>
  <si>
    <t>CROSS COUNTRY HEALTHCARE ORD</t>
  </si>
  <si>
    <t>ORCHID ISLAND CAPITAL ORD</t>
  </si>
  <si>
    <t>FEDERAL SIGNAL ORD</t>
  </si>
  <si>
    <t>VERRA MOBILITY CL A ORD</t>
  </si>
  <si>
    <t>HORMEL FOODS ORD</t>
  </si>
  <si>
    <t>ASSURED GUARANTY ORD</t>
  </si>
  <si>
    <t>LINDSAY ORD</t>
  </si>
  <si>
    <t>NATIONAL VISION HOLDINGS ORD</t>
  </si>
  <si>
    <t>SUPER GROUP ORD</t>
  </si>
  <si>
    <t>ONESPAN ORD</t>
  </si>
  <si>
    <t>BATH AND BODY WORKS ORD</t>
  </si>
  <si>
    <t>PAGERDUTY ORD</t>
  </si>
  <si>
    <t>SNOWFLAKE CL A ORD</t>
  </si>
  <si>
    <t>MAPLEBEAR ORD</t>
  </si>
  <si>
    <t>AUDIOEYE ORD</t>
  </si>
  <si>
    <t>STEELCASE CL A ORD</t>
  </si>
  <si>
    <t>HELLO GROUP ADR</t>
  </si>
  <si>
    <t>MATERIALISE ADR REP 1 ORD</t>
  </si>
  <si>
    <t>PIEDMONT LITHIUM ORD</t>
  </si>
  <si>
    <t>DUN BRADST HLDG ORD</t>
  </si>
  <si>
    <t>SASOL ADR REP 1 ORD</t>
  </si>
  <si>
    <t>CRESCENT CAPITAL BDC ORD</t>
  </si>
  <si>
    <t>COEUR MINING ORD</t>
  </si>
  <si>
    <t>US92276F1003</t>
  </si>
  <si>
    <t>US6819361006</t>
  </si>
  <si>
    <t>US37045V1008</t>
  </si>
  <si>
    <t>US45774W1080</t>
  </si>
  <si>
    <t>US32054K1034</t>
  </si>
  <si>
    <t>US30212W1009</t>
  </si>
  <si>
    <t>US91913Y1001</t>
  </si>
  <si>
    <t>US46005L1017</t>
  </si>
  <si>
    <t>US2582781009</t>
  </si>
  <si>
    <t>US83207R1077</t>
  </si>
  <si>
    <t>US46591M1099</t>
  </si>
  <si>
    <t>US87256C1018</t>
  </si>
  <si>
    <t>US71654V1017</t>
  </si>
  <si>
    <t>US00289Y2063</t>
  </si>
  <si>
    <t>US00971T1016</t>
  </si>
  <si>
    <t>US39818P7996</t>
  </si>
  <si>
    <t>US3773221029</t>
  </si>
  <si>
    <t>FR0013467479</t>
  </si>
  <si>
    <t>NewMarket Corporation is a holding company operating through its subsidiaries, Afton Chemical Corporation (Afton), Ethyl Corporation (Ethyl), and American Pacific Corporation (AMPAC). The Afton and Ethyl companies develop, manufacture, blend, and deliver chemical additives that enhance the performance of petroleum products. AMPAC is a manufacturer of specialty chemicals used in solid rocket motors for the aerospace and defense industries. The Company’s segments are petroleum additives and specialty materials. The petroleum additives segment includes lubricant and fuel additives, which are necessary for the efficient and reliable operation of vehicles and machinery. The specialty materials segment includes critical materials used in solid rocket motors for space launch and military defense applications. Ethyl provides contracted manufacturing and related services to Afton and to third parties and is a marketer of antiknock compounds in North America.</t>
  </si>
  <si>
    <t>69366J200</t>
  </si>
  <si>
    <t>199908104</t>
  </si>
  <si>
    <t>859241101</t>
  </si>
  <si>
    <t>558868105</t>
  </si>
  <si>
    <t>VTR</t>
  </si>
  <si>
    <t>92276F100</t>
  </si>
  <si>
    <t>Ventas Inc</t>
  </si>
  <si>
    <t>Ventas, Inc. is a real estate investment trust (REIT). The Company holds a portfolio that includes senior housing communities, outpatient medical buildings, research centers, hospitals and healthcare facilities located in North America and the United Kingdom. It owns or has investments in approximately 1,387 properties. It operates in three segments: senior housing operating portfolio (SHOP), outpatient medical and research portfolio (OM&amp;R), and triple-net leased properties (NNN). In its SHOP segment, it owns and invests in senior housing communities. It engages third-party managers to operate the communities on its behalf. In its OM&amp;R segment, it primarily acquires, owns, develops, leases and manages outpatient medical buildings and research centers. In its NNN segment, it invests in and owns senior housing communities, skilled nursing facilities (SNFs), long-term acute care facilities (LTACs), freestanding inpatient rehabilitation facilities (IRFs) and other healthcare facilities.</t>
  </si>
  <si>
    <t>45867G101</t>
  </si>
  <si>
    <t>902673102</t>
  </si>
  <si>
    <t>29084Q100</t>
  </si>
  <si>
    <t>931427108</t>
  </si>
  <si>
    <t>218352102</t>
  </si>
  <si>
    <t>632307104</t>
  </si>
  <si>
    <t>803607100</t>
  </si>
  <si>
    <t>30041R108</t>
  </si>
  <si>
    <t>36118L106</t>
  </si>
  <si>
    <t>71722W107</t>
  </si>
  <si>
    <t>N14506104</t>
  </si>
  <si>
    <t>929236107</t>
  </si>
  <si>
    <t>16411R208</t>
  </si>
  <si>
    <t>05464C101</t>
  </si>
  <si>
    <t>G38644103</t>
  </si>
  <si>
    <t>004498101</t>
  </si>
  <si>
    <t>808625107</t>
  </si>
  <si>
    <t>868459108</t>
  </si>
  <si>
    <t>267475101</t>
  </si>
  <si>
    <t>98423F109</t>
  </si>
  <si>
    <t>63001N106</t>
  </si>
  <si>
    <t>90364P105</t>
  </si>
  <si>
    <t>24703L202</t>
  </si>
  <si>
    <t>573874104</t>
  </si>
  <si>
    <t>002896207</t>
  </si>
  <si>
    <t>G0585R106</t>
  </si>
  <si>
    <t>63845R107</t>
  </si>
  <si>
    <t>OHI</t>
  </si>
  <si>
    <t>681936100</t>
  </si>
  <si>
    <t>Omega Healthcare Investors Inc</t>
  </si>
  <si>
    <t>Omega Healthcare Investors, Inc. is a real estate investment trust (REIT). The Company operates through a single segment, which invests in healthcare-related real estate properties located in the United States and the United Kingdom. Its core business is to provide financing and capital to the long-term healthcare industry with a particular focus on skilled nursing facilities (SNFs), assisted living facilities (ALFs), and to a lesser extent, independent living facilities (ILFs), rehabilitation and acute care facilities (specialty facilities) and medical office buildings (MOBs). Its core portfolio consists of its long-term leases and real estate loans with healthcare operating companies and affiliates. In addition, the Company makes loans to operators and/or their principals. The Company's portfolio of real estate investments includes over 1,026 healthcare facilities, located in 42 states and the United Kingdom that are operated by 87 third-party operators.</t>
  </si>
  <si>
    <t>92511U102</t>
  </si>
  <si>
    <t>070830104</t>
  </si>
  <si>
    <t>GM</t>
  </si>
  <si>
    <t>37045V100</t>
  </si>
  <si>
    <t>General Motors Co</t>
  </si>
  <si>
    <t>General Motors Company designs, builds and sells trucks, crossovers, cars and automobile parts and provides software-enabled services and subscriptions worldwide. The Company's segments include GMNA, GMI, Cruise and GM Financial. Its GM North America (GMNA) and GM International (GMI) develop, manufacture and/or markets vehicles under the Buick, Cadillac, Chevrolet and GMC brands. The Company provides automotive financing services through its General Motors Financial Company, Inc. (GM Financial) segment. Its Cruise segment is engaged in the development and commercialization of autonomous vehicle technology. Its software-enabled services and subscriptions, including OnStar, its advanced driver-assistance systems (ADAS), including Super Cruise driver assistance technology, and its end-to-end software platform. The Company is also focused on investing in electric vehicles (EVs) and AVs, software-enabled services and subscriptions and new business opportunities.</t>
  </si>
  <si>
    <t>IIIN.K</t>
  </si>
  <si>
    <t>45774W108</t>
  </si>
  <si>
    <t>Insteel Industries Inc</t>
  </si>
  <si>
    <t>Insteel Industries, Inc. is a manufacturer of steel wire reinforcing products for concrete construction applications. The Company manufactures and markets prestressed concrete strand (PC strand) and welded wire reinforcement (WWR), including engineered structural mesh, concrete pipe reinforcement and standard welded wire reinforcement. The Company’s PC strand is a seven-wire strand that is used to impart compression forces into precast concrete elements and structures, providing reinforcement for bridges, parking decks, buildings, and other concrete structures. Its WWR is produced as either a standard or a specially engineered reinforcing product for use in nonresidential and residential construction. Its products are sold to manufacturers of concrete products that are used in nonresidential construction. The Company sells its products nationwide across the United States, Canada, Mexico, and Central and South America.</t>
  </si>
  <si>
    <t>833445109</t>
  </si>
  <si>
    <t>925815102</t>
  </si>
  <si>
    <t>FR</t>
  </si>
  <si>
    <t>32054K103</t>
  </si>
  <si>
    <t>First Industrial Realty Trust Inc</t>
  </si>
  <si>
    <t>First Industrial Realty Trust, Inc. is a provider of industrial real estate. The Company owns, operates, develops and acquires logistics properties. The Company, through its fully integrated operating and investing platform, provides facilities and customer service to multinational corporations and regional firms that are essential for their supply chains. Its portfolio and new investments are concentrated in 15 target MSAs with an emphasis on supply-constrained, coastally oriented markets. The Company owns and has under development approximately 69.5 million square feet of industrial space. Its tenants are engaged in a variety of businesses, including e-commerce, third-party logistics and transportation, consumer and other manufactured products, retail and consumer services, food and beverage, lumber and building materials, wholesale goods, health services, governmental and other. Through a wholly owned TRS of the Operating Partnership, it owns an equity interest in a joint venture.</t>
  </si>
  <si>
    <t>565394103</t>
  </si>
  <si>
    <t>EXPI.O</t>
  </si>
  <si>
    <t>30212W100</t>
  </si>
  <si>
    <t>eXp World Holdings Inc</t>
  </si>
  <si>
    <t>eXp World Holdings, Inc. is the holding company for eXp Realty, FrameVR.io and SUCCESS Enterprises. The Company owns and operates a diversified portfolio of service-based businesses utilizing its enabling technology platform. It operates through three segments: North American Realty, International Realty and Other Affiliated Services. Its North American Realty segment includes real estate brokerage operations in the United States and Canada, as well as lead-generation and other real estate support services provided in North America. Its International Realty segment includes real estate brokerage operations in all other international locations. Its Other Affiliated Services segment includes its SUCCESS Magazine and other smaller ventures. eXp Realty is an independent real estate company, which operates in the United States, Canada, the United Kingdom, Australia, France, India, Mexico, Portugal, South Africa, Puerto Rico, Brazil, Italy, Hong Kong, Colombia, Spain, Israel, and others.</t>
  </si>
  <si>
    <t>VLO</t>
  </si>
  <si>
    <t>91913Y100</t>
  </si>
  <si>
    <t>Valero Energy Corp</t>
  </si>
  <si>
    <t>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t>
  </si>
  <si>
    <t>IMXI.O</t>
  </si>
  <si>
    <t>46005L101</t>
  </si>
  <si>
    <t>International Money Express Inc</t>
  </si>
  <si>
    <t>International Money Express, Inc. is an omnichannel money remittance services company. The Company provides the digital movement of money through a network of agent retailers in the United States, Canada, Spain, Italy and Germany; through Company-operated stores; its mobile application; and the Company’s Websites. Its remittance services include a suite of ancillary financial processing solutions and payment services available in all 50 states in the United States, Washington D.C., Puerto Rico and 13 provinces in Canada. It offers money remittance services to LAC countries, mainly Mexico and Guatemala, and others. These services involve the movement of funds on behalf of an originating consumer for receipt by a designated beneficiary at a designated receiving location. The money remittance services enable consumers to send funds through its network of locations in the United States and Canada that are primarily operated by third-party businesses.</t>
  </si>
  <si>
    <t>DORM.O</t>
  </si>
  <si>
    <t>258278100</t>
  </si>
  <si>
    <t>Dorman Products Inc</t>
  </si>
  <si>
    <t>Dorman Products, Inc. is a supplier of replacement and upgrade parts in the motor vehicle aftermarket industry, serving passenger cars, light, medium, and heavy-duty trucks, as well as specialty vehicles, including utility terrain vehicles (UTVs) and all-terrain vehicles (ATVs). The Company is an aftermarket supplier of parts that are traditionally available to professional installers and consumers only from original equipment manufacturers or salvage yards. These parts include leaf springs, intake manifolds, exhaust manifolds, window regulators, radiator fan assemblies, tire pressure monitor sensors, exhaust gas recirculation (EGR) coolers, UTV windshields, and complex electronics modules. Its product classes include powertrain, chassis, motor vehicle body, and hardware. Its products are sold primarily through aftermarket retailers, including through their online platforms; dealers; national, regional and local warehouse distributors and specialty markets; and salvage yards.</t>
  </si>
  <si>
    <t>SDHC.K</t>
  </si>
  <si>
    <t>83207R107</t>
  </si>
  <si>
    <t>Smith Douglas Homes Corp</t>
  </si>
  <si>
    <t>Smith Douglas Homes Corp. is a holding company. The Company is a private home builder engaged in the design, construction, and sale of single-family homes in communities in certain markets in the southeastern United States. The Company operates through six segments: Alabama, Atlanta, Charlotte, Houston, Nashville, and Raleigh. The Company operates a land-light business model whereby the Company typically purchases finished lots via lot-option contracts from various third-party land developers or land bankers. It designs, sells, and builds a range of single-family homes in each of its markets, with a core focus on the entry-level and empty-nest homebuyer segments. It also offers a variety of floor plans ranging from 1,100 square feet to over 3,000 square feet. It also offers title insurance services. Its plan library includes open-concept homes with single-level living, modern villas, and townhomes, and functional two and three-story homes, with extra space for conveniences.</t>
  </si>
  <si>
    <t>YY.O</t>
  </si>
  <si>
    <t>46591M109</t>
  </si>
  <si>
    <t>JOYY Inc</t>
  </si>
  <si>
    <t>JOYY Inc. is a global technology company. The Company operates several social products, including Bigo Live for live streaming, Likee for short-form videos, Hago for multiplayer social networking, an instant messaging product, and others. The Company operates through two segments: BIGO and All other. The BIGO segment primarily consists of several social entertainment platforms, including Bigo Live, Likee, imo, and others. The All other segment primarily consist of Hago, Shopline, and certain audio live streaming platforms. Bigo Live enables its users to share their life moments, showcase their talents, socialize, and connect with other users. Likee enables users to easily discover, create and share short-form videos, with all-in-one video creation tools, such as filters and special effects, and AI-backed personalized feed. Hago provides casual games, integrating social features, such as audio and video multiuser chatrooms and 3D virtual interactive party games.</t>
  </si>
  <si>
    <t>TKO</t>
  </si>
  <si>
    <t>87256C101</t>
  </si>
  <si>
    <t>TKO Group Holdings Inc</t>
  </si>
  <si>
    <t>TKO Group Holdings, Inc. is a sports and entertainment company, which operates combat sports and sports entertainment brands. The Company monetizes its media and content properties through four principal activities: Media rights and content, Live events, Sponsorship and Consumer products licensing. The Company operates through two segments: Ultimate Fighting Championship (UFC) and World Wrestling Entertainment, Inc. (WWE). The WWE segment is an integrated media organization and sports entertainment. The UFC segment principally consists of media rights fees associated with the distribution of its programming content; ticket sales and site fees associated with the business’s global live events; sponsorships; and consumer product licensing agreements for UFC-branded products. Its organizations reach more than one billion households in approximately 210 countries and territories, and it organizes more than 300 live events year-round, attracting more than two million fans.</t>
  </si>
  <si>
    <t>PBRa</t>
  </si>
  <si>
    <t>71654V101</t>
  </si>
  <si>
    <t>Petroleo Brasileiro SA Petrobras</t>
  </si>
  <si>
    <t>Petroleo Brasileiro SA Petrobras is a Brazil-based company. The Company specializes in the oil, natural gas and energy industry. The Company is engaged in prospecting, drilling, refining, processing, trading and transporting crude oil from producing onshore and offshore oil fields and from shale or other rocks. Its segments include Exploration and Production (exploration, development, and production of crude oil, natural gas liquids, and natural gas); Refining, Transportation, and Marketing (refining, logistics, transport, trading of oil products, ethanol export, shale processing); Gas and Power (transportation and trading of natural and imported gas); Biofuels (production of biodiesel and ethanol); Distribution (fuel distribution); and Corporate (administrative and support functions).</t>
  </si>
  <si>
    <t>ABEO.O</t>
  </si>
  <si>
    <t>00289Y206</t>
  </si>
  <si>
    <t>Abeona Therapeutics Inc</t>
  </si>
  <si>
    <t>Abeona Therapeutics Inc. is a clinical-stage biopharmaceutical company. The Company is engaged in developing cell and gene therapies for life-threatening diseases. The Company’s lead clinical program is for prademagene zamikeracel (pz-cel), its investigational autologous, COL7A1 gene-corrected epidermal sheets currently in development for recessive dystrophic epidermolysis bullosa (RDEB). The Company’s fully integrated cell and gene therapy Good Manufacturing Practice (cGMP) manufacturing facility served as the manufacturing site for pz-cel used in its Phase III VIITAL trial and is capable of supporting commercial production of pz-cel upon FDA approval. The Company’s development portfolio also features adeno-associated virus (AAV)-based gene therapies for ophthalmic diseases with high unmet medical need. The Company’s novel, next-generation AAV capsids are being evaluated to improve tropism profiles for a variety of devastating diseases.</t>
  </si>
  <si>
    <t>AKAM.O</t>
  </si>
  <si>
    <t>00971T101</t>
  </si>
  <si>
    <t>Akamai Technologies Inc</t>
  </si>
  <si>
    <t>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t>
  </si>
  <si>
    <t>49926D109</t>
  </si>
  <si>
    <t>30233G209</t>
  </si>
  <si>
    <t>199333105</t>
  </si>
  <si>
    <t>771049103</t>
  </si>
  <si>
    <t>50012A108</t>
  </si>
  <si>
    <t>294268107</t>
  </si>
  <si>
    <t>893529107</t>
  </si>
  <si>
    <t>33830T103</t>
  </si>
  <si>
    <t>668771108</t>
  </si>
  <si>
    <t>376536108</t>
  </si>
  <si>
    <t>192422103</t>
  </si>
  <si>
    <t>60255C885</t>
  </si>
  <si>
    <t>831865209</t>
  </si>
  <si>
    <t>PKST.K</t>
  </si>
  <si>
    <t>39818P799</t>
  </si>
  <si>
    <t>Peakstone Realty Trust</t>
  </si>
  <si>
    <t>Peakstone Realty Trust is an internally managed real estate investment trust (REIT) focused on owning and operating industrial assets. The Company owns and operates a portfolio of predominantly single-tenant industrial and office properties. These assets are generally leased to creditworthy tenants under long-term net lease agreements with contractual rent escalations. The Company operates through three segments: Industrial, Office and Other. Industrial: The Industrial segment comprises 70 industrial properties. The Office segment comprises 33 office properties. The Other segment comprises 10 properties. The Company’s long-term objective is to maximize shareholder value through the ownership and operation of industrial and select office assets located in strategic growth markets. It seeks to generate internal and external growth by increasing the cash flow from its properties and expanding its portfolio by making industrial-focused investments. The Company has about 113 properties.</t>
  </si>
  <si>
    <t>101121101</t>
  </si>
  <si>
    <t>26484T106</t>
  </si>
  <si>
    <t>222070203</t>
  </si>
  <si>
    <t>GKOS.K</t>
  </si>
  <si>
    <t>377322102</t>
  </si>
  <si>
    <t>Glaukos Corp</t>
  </si>
  <si>
    <t>Glaukos Corporation is an ophthalmic pharmaceutical and medical technology company. It develops novel, dropless therapies and commercializing associated products for the treatment of glaucoma, corneal disorders and retinal disease. Its product candidates include Micro-Invasive Glaucoma Surgery products that involve the insertion of a micro-scale device designed to reduce intraocular pressure (IOP) by restoring the natural aqueous humor outflow pathways for patients suffering from glaucoma and procedural pharmaceuticals based on an intracameral drug delivery technology designed to reduce IOP by delivering therapeutic levels of glaucoma medication from inside the eye over an extended period of time. Its products include transdermal pharmaceuticals that are applied to the eyelid and designed to treat glaucoma, dry eye, presbyopia and other ocular surface diseases and disorders and micro-invasive, bio-erodible sustained release drug delivery implants to improve the vision of patients.</t>
  </si>
  <si>
    <t>758075402</t>
  </si>
  <si>
    <t>G7496G103</t>
  </si>
  <si>
    <t>CSTM.K</t>
  </si>
  <si>
    <t>F21107101</t>
  </si>
  <si>
    <t>Constellium SE</t>
  </si>
  <si>
    <t>Constellium SE is a France-based company which provides development and manufacturing of aluminum products and solutions. The Company designs and manufactures advanced alloys and engineered solutions for applications, such as cars, beverage cans, airplanes and more. It designs, develops, and engineers products and solutions in partnership with customers for an array of markets which includes Automotive, Aerospace, Packaging, Defense, Transportation, and Industry. The Company operates its business through approximately 28 manufacturing sites in Europe, North America, and China with 12,000 employees around the world.</t>
  </si>
  <si>
    <t>682680103</t>
  </si>
  <si>
    <t>92338C103</t>
  </si>
  <si>
    <t>415858109</t>
  </si>
  <si>
    <t>30040W108</t>
  </si>
  <si>
    <t>70202L102</t>
  </si>
  <si>
    <t>169656105</t>
  </si>
  <si>
    <t>G3223R108</t>
  </si>
  <si>
    <t>750491102</t>
  </si>
  <si>
    <t>438516106</t>
  </si>
  <si>
    <t>029899101</t>
  </si>
  <si>
    <t>45866F104</t>
  </si>
  <si>
    <t>090572207</t>
  </si>
  <si>
    <t>46578C108</t>
  </si>
  <si>
    <t>H1467J104</t>
  </si>
  <si>
    <t>44980X109</t>
  </si>
  <si>
    <t>714046109</t>
  </si>
  <si>
    <t>49456B101</t>
  </si>
  <si>
    <t>98956P102</t>
  </si>
  <si>
    <t>565788106</t>
  </si>
  <si>
    <t>651587107</t>
  </si>
  <si>
    <t>17243V102</t>
  </si>
  <si>
    <t>594972408</t>
  </si>
  <si>
    <t>21867A105</t>
  </si>
  <si>
    <t>45765U103</t>
  </si>
  <si>
    <t>45167R104</t>
  </si>
  <si>
    <t>86800U302</t>
  </si>
  <si>
    <t>23918K108</t>
  </si>
  <si>
    <t>413160102</t>
  </si>
  <si>
    <t>31847R102</t>
  </si>
  <si>
    <t>955306105</t>
  </si>
  <si>
    <t>816851109</t>
  </si>
  <si>
    <t>46131B704</t>
  </si>
  <si>
    <t>03783C100</t>
  </si>
  <si>
    <t>64031N108</t>
  </si>
  <si>
    <t>VENTAS REIT ORD</t>
  </si>
  <si>
    <t>OMEGA HEALTHCARE REIT ORD</t>
  </si>
  <si>
    <t>GENERAL MOTORS ORD</t>
  </si>
  <si>
    <t>INSTEEL INDUSTRIES ORD</t>
  </si>
  <si>
    <t>FIRST INDUSTRIAL REALTY TRUST ORD</t>
  </si>
  <si>
    <t>EXP WORLD HOLDINGS ORD</t>
  </si>
  <si>
    <t>VALERO ENERGY ORD</t>
  </si>
  <si>
    <t>INTERNATIONAL MONEY EXPRESS ORD</t>
  </si>
  <si>
    <t>DORMAN PRODUCTS ORD</t>
  </si>
  <si>
    <t>SMITH DOUGLAS HOMES CL A ORD</t>
  </si>
  <si>
    <t>JOYY ADR</t>
  </si>
  <si>
    <t>TKO GROUP HOLDINGS CL A ORD</t>
  </si>
  <si>
    <t>PETROLEO BRASILEIRO ADR REPSTG 2 PRF</t>
  </si>
  <si>
    <t>ABEONA THERAPEUTICS ORD</t>
  </si>
  <si>
    <t>AKAMAI TECHNOLOGIES ORD</t>
  </si>
  <si>
    <t>PEAKSTONE REALTY CL E ORD</t>
  </si>
  <si>
    <t>GLAUKOS ORD</t>
  </si>
  <si>
    <t>CONSTELLIUM SE CL A ORD</t>
  </si>
  <si>
    <t>US4657411066</t>
  </si>
  <si>
    <t>US98980F1049</t>
  </si>
  <si>
    <t>US4474621020</t>
  </si>
  <si>
    <t>US1912411089</t>
  </si>
  <si>
    <t>US12662P1084</t>
  </si>
  <si>
    <t>US5898891040</t>
  </si>
  <si>
    <t>US03071H1005</t>
  </si>
  <si>
    <t>US22207T1016</t>
  </si>
  <si>
    <t>US52567D1072</t>
  </si>
  <si>
    <t>US98980B1035</t>
  </si>
  <si>
    <t>US00653Q1022</t>
  </si>
  <si>
    <t>US2333774071</t>
  </si>
  <si>
    <t>US83175M2052</t>
  </si>
  <si>
    <t>US7818463082</t>
  </si>
  <si>
    <t>US16934W1062</t>
  </si>
  <si>
    <t>US4834971032</t>
  </si>
  <si>
    <t>US86887Q1094</t>
  </si>
  <si>
    <t>US40609P1057</t>
  </si>
  <si>
    <t>US15643U1043</t>
  </si>
  <si>
    <t>US4198701009</t>
  </si>
  <si>
    <t>US35909D1090</t>
  </si>
  <si>
    <t>Grupo Aeroportuario del Centro Norte SAB de CV is a holding company. The Company, through its subsidiaries, holds concessions to operate, maintain and develop over 10 airports in Mexico. The Company's segments include Metropolitan, Tourist, Regional, Border, Hotel and Other. The Company also engages in various commercial and diversification activities conducted at its airports, such as the leasing of space to restaurants and retailers, the operation of parking facilities, and the operation of the NH Terminal 2 Hotel and the Hilton Garden Inn Hotel at the Monterrey airport. The Company's airports serve the Monterrey metropolitan area; approximately three tourist destinations, such as Acapulco, Mazatlan and Zihuatanejo; over seven regional centers, such as Chihuahua, Culiacan, Durango, San Luis Potosi, Tampico, Torreon and Zacatecas, and approximately two border cities, such as Ciudad Juarez and Reynosa.</t>
  </si>
  <si>
    <t>Compania Cervecerias Unidas SA is a diversified beverage company operating principally in Chile, Argentina, Bolivia, Colombia, Paraguay and Uruguay. The Company operates as a brewer, soft drinks producer, water and nectar producer, wine producer and pisco distributor. The Company's segments include Chile, International Business and Wine. The Company carries a portfolio of products, which includes a range of brands of alcoholic and non-alcoholic beer, with Cristal as its primary brand in Chile. In addition, it produces and distributes Heineken beer; distributes Sol beer and Budweiser beer, and distributes and produces Kunstmann and Austral beer in Chile. The International Business segment includes operations in Argentina, Paraguay and Uruguay. The Company, through Vina San Pedro Tarapaca S.A. (VSPT), produces and markets a range of wine products for the domestic and mainly the export market.</t>
  </si>
  <si>
    <t>Atlas Energy Solutions Inc. is a solutions provider to the energy industry. The Company's portfolio of offerings includes oilfield logistics, distributed power systems, and the proppant supply network in the Permian Basin. The Company's hundred percent of Atlas LLC’s sand reserves are located in Texas within the Permian Basin and operations consist of proppant production and processing facilities, including four facilities near Kermit, Texas (together, the Kermit facilities), a fifth facility near Monahans, Texas, and the OnCore distributed mining network. It also operates a logistics platform, which includes its fleet of fit-for-purpose trucks and trailers and the Dune Express, an overland conveyor infrastructure solution (under construction). The Company sells products and services primarily to oil and natural gas exploration and production companies and oilfield services companies primarily under supply agreements and also through spot sales on the open market.</t>
  </si>
  <si>
    <t>ITRI.O</t>
  </si>
  <si>
    <t>465741106</t>
  </si>
  <si>
    <t>Itron Inc</t>
  </si>
  <si>
    <t>Itron, Inc. provides energy, water, smart city, Industrial Internet of Things (IIoT) and intelligent infrastructure services. The Company operates in three segments. The Device Solutions segment primarily includes hardware products used for measurement, control, or sensing. Its Networked Solutions segment primarily includes a combination of communicating devices, network infrastructure, and associated head-end management and application software designed and sold as a complete solution for acquiring and transporting application-specific data. Its Outcomes segment includes its value-added, enhanced software and services, artificial intelligence, and machine learning in which it enable grid edge intelligence and manage, organize, analyze, and interpret raw, anonymized data to improve decision making. It is also engaged in embedding real-time, high-resolution grid edge data into the grid planning, operations and engineering process. Its solutions include technology, software and services.</t>
  </si>
  <si>
    <t>ZI.O</t>
  </si>
  <si>
    <t>98980F104</t>
  </si>
  <si>
    <t>Zoominfo Technologies Inc</t>
  </si>
  <si>
    <t>ZoomInfo Technologies Inc., through its subsidiaries, provides a go-to-market intelligence and engagement platform for sales and marketing teams. The Company’s cloud-based platform provides workflow tools with integrated, accurate, and comprehensive information on organizations and professionals to help users identify target customers and decision makers. Its cloud-based operating system for revenue professionals delivers comprehensive and intelligence and analytics to provide sales, marketing, operations, and recruiting professional’s accurate information and insights on the organizations and professionals they target. It delivers intelligence at scale by leveraging an artificial intelligence (AI) and machine learning (ML)-powered engine that gathers data from millions of sources and standardizes, matches to entities, verifies, cleans, and applies the processed data to companies and people at scale. The Company aggregates and extracts distinct types of data.</t>
  </si>
  <si>
    <t>HURN.O</t>
  </si>
  <si>
    <t>447462102</t>
  </si>
  <si>
    <t>Huron Consulting Group Inc</t>
  </si>
  <si>
    <t>Huron Consulting Group Inc. is a professional services company. The Company operates in three segments: Healthcare, Education, and Commercial. The Healthcare segment serves acute care providers, including national and regional health systems; academic health systems; community health systems; and public, children’s and critical access hospitals, and non-acute care providers, including physician practices and medical groups; payors; and long-term care or post-acute providers. The Education segment serves public and private colleges and universities, research institutes and other education-related organizations. The Commercial segment is focused on serving industries and organizations facing disruption and regulatory change by helping them adapt to rapidly changing environments and accelerate business transformation. It also engaged in offering advisory services and strategic support for philanthropy strategies and campaigns, serving the educational, healthcare, and nonprofit landscape.</t>
  </si>
  <si>
    <t>KOF</t>
  </si>
  <si>
    <t>191241108</t>
  </si>
  <si>
    <t>Coca-Cola Femsa SAB de CV</t>
  </si>
  <si>
    <t>Coca-Cola FEMSA, S.A.B. de C.V. is a franchise bottler of Coca-Cola trademark beverages across the world. The Company and its subsidiaries are engaged in the production, distribution and marketing of certain Coca-Cola beverages. It is also engaged in acquiring, holding and transferring all types of bonds, shares and marketable securities. The Company's segments include Mexico and Central America division, which comprises Mexico (including corporate operations), Guatemala, Nicaragua, Costa Rica and Panama; the South America division, which consists of Brazil, Argentina and Colombia; Venezuela, which operates in an economy with exchange control and hyper-inflation, and the Asian division, which consists of the Company's equity method investment in Coca-Cola FEMSA Philippines, Inc. The Coca-Cola trademark beverages include sparkling beverages (colas and flavored sparkling beverages), waters and still beverages (including juice drinks, coffee, teas, milk, dairy and isotonic drinks).</t>
  </si>
  <si>
    <t>156431108</t>
  </si>
  <si>
    <t>Century Aluminum Co</t>
  </si>
  <si>
    <t>CVI</t>
  </si>
  <si>
    <t>12662P108</t>
  </si>
  <si>
    <t>CVR Energy Inc</t>
  </si>
  <si>
    <t>CVR Energy, Inc. is a diversified holding company primarily engaged in the renewable fuels and petroleum refining and marketing businesses, as well as in the nitrogen fertilizer manufacturing business through its interest in its subsidiary, CVR Partners, LP (CVR Partners). The Company operates through two segments: Petroleum and Nitrogen Fertilizer. Petroleum Segment refines and markets high-value transportation fuels primarily in the form of gasoline and diesel fuels. Petroleum Segment is composed of the assets and operations of two refineries located in Coffeyville, Kansas and Wynnewood, Oklahoma and supporting logistics assets in the region. Nitrogen Fertilizer segment produces and markets nitrogen fertilizers in the form of urea and ammonium nitrate (UAN) and ammonia. The Company's Nitrogen Fertilizer Segment is composed of the assets and operations of CVR Partners, including two nitrogen fertilizer manufacturing facilities located in Coffeyville, Kansas and East Dubuque, Illinois.</t>
  </si>
  <si>
    <t>MMSI.O</t>
  </si>
  <si>
    <t>589889104</t>
  </si>
  <si>
    <t>Merit Medical Systems Inc</t>
  </si>
  <si>
    <t>Merit Medical Systems, Inc. is engaged in the development, manufacture, and distribution of proprietary medical devices used in interventional, diagnostic, and therapeutic procedures, particularly in cardiology, radiology, oncology, critical care, and endoscopy. Its segments include cardiovascular and endoscopy. Its cardiovascular segment consists of four product categories: peripheral intervention, cardiac intervention, custom procedural solutions, and original equipment manufacturer (OEM). Its endoscopy segment consists of gastroenterology and pulmonology devices which assist in the palliative treatment of expanding esophageal, tracheobronchial and biliary strictures. Its product portfolio of medical devices and accessories used in lead management procedures for patients who need a pacemaker, or an implantable cardioverter-defibrillator lead removed or replaced. Its electrophysiology and cardiac rhythm management portfolio includes steerable and other specialty technologies.</t>
  </si>
  <si>
    <t>AMSF.O</t>
  </si>
  <si>
    <t>03071H100</t>
  </si>
  <si>
    <t>Amerisafe Inc</t>
  </si>
  <si>
    <t>AMERISAFE, Inc. is an insurance holding company that provides workers compensation insurance. The Company is focused on the small to mid-sized employers engaged in hazardous industries, construction, trucking, logging and lumber, agriculture and manufacturing. Construction includes highway and bridge construction, building and maintenance of pipeline and powerline networks, excavation, commercial construction, roofing, iron and steel erection, tower erection and other specialized construction operations. Trucking includes contract haulers, regional and local freight carriers, special equipment transporters and other trucking companies. The Logging and Lumber includes tree harvesting, tree trimming, sawmills, and other operations associated with lumber and wood products. The Company’s workers compensation insurance policies provide benefits to injured employees for, among other things, temporary or permanent disability, death, and medical and hospital expenses.</t>
  </si>
  <si>
    <t>BASE.O</t>
  </si>
  <si>
    <t>22207T101</t>
  </si>
  <si>
    <t>Couchbase Inc</t>
  </si>
  <si>
    <t>Couchbase, Inc. provides a cloud database platform for modern applications. The Company provides a modern database for enterprise applications. Its database is engineered for high performance at scale to serve the needs of mission-critical applications that enterprises run their businesses on. Its products include Couchbase Capella, Couchbase Server and Couchbase Mobile. Its Couchbase Capella is a fully managed, automated, and secure database-as-a-service that simplifies database management by deploying, managing, and operating Couchbase Server across cloud environments. Its Couchbase Server is a full-featured, multi-service NoSQL database. It provides a comprehensive SQL-compatible query language, SQL++, that allows for a range of data manipulation functions. Its Couchbase Server can be deployed on-premises or on any cloud. Its Couchbase Mobile is a full-featured embedded NoSQL database for mobile and edge devices that enables an always-on experience with high data availability.</t>
  </si>
  <si>
    <t>LMND.K</t>
  </si>
  <si>
    <t>52567D107</t>
  </si>
  <si>
    <t>Lemonade Inc</t>
  </si>
  <si>
    <t>Lemonade, Inc. offers renters, homeowners, car, pet, and life insurance. The Company's full stack insurance carriers, powered by artificial intelligence, in the United States and the European Union replace brokers and bureaucracy with bots and machine learning. The Company's digital substrate enables it to integrate marketing and onboarding with underwriting and claims processing, collecting and deploying data. Its technology includes Data Advantage, AI Maya, AI Jim, CX.AI, Forensic Graph, Blender and Cooper. AI Maya, its onboarding and customer experience bot, uses natural language to guide customers in joining the Company. AI Jim, its claims bot, takes the first notice of loss from its customer making a claim, paying the claimant or declining the claim without human intervention. It offers pet insurance that covers diagnostics, procedures, medication, accidents or illness. Even its basic pet insurance offering covers blood tests, urinalysis, lab work, and computed tomography scans.</t>
  </si>
  <si>
    <t>ZIP</t>
  </si>
  <si>
    <t>98980B103</t>
  </si>
  <si>
    <t>Ziprecruiter Inc</t>
  </si>
  <si>
    <t>ZipRecruiter, Inc. provides a two-sided marketplace for work that simplifies the job market for both job seekers and employers. The Company enables work by connecting job seekers and employers in its marketplace. The Company’s technology delivers matches to its employers immediately after a job goes live and provides tools to streamline the candidate selection process. It provides job seekers with access to various jobs from all over the Internet. Job seekers can filter this array of opportunities by using numerous criteria to find the handful of potential matches on its Website or in its mobile app. On ZipRecruiter, job seekers create a profile and can then apply for certain opportunities with a single click. Its one-click application technology works across both its marketplace and certain Job Distribution Partners to remove barriers between a job seeker and their next opportunity. Jobs posted are distributed to well over 1,000 sites managed by its Job Distribution Partners.</t>
  </si>
  <si>
    <t>AHCO.O</t>
  </si>
  <si>
    <t>00653Q102</t>
  </si>
  <si>
    <t>Adapthealth Corp</t>
  </si>
  <si>
    <t>Adapthealth Corp. provides patient-centered, healthcare-at-home solutions, including home medical equipment (HME), medical supplies and related services. The Company is primarily focused on providing sleep therapy equipment, supplies and related services, including CPAP and bi PAP services to individuals suffering from obstructive sleep apnea (OSA); medical devices and supplies to patients for the treatment of diabetes, including continuous glucose monitors (CGM) and insulin pumps; home medical equipment to patients discharged from acute care and other facilities; oxygen and related chronic therapy services in the home; and other HME devices and supplies on behalf of chronically ill patients with wound care, urological, incontinence, ostomy and nutritional supply needs. The Company services beneficiaries of Medicare, Medicaid, and commercial insurance payors. It serves patients annually in all 50 states through its network of approximately 680 locations in 47 states.</t>
  </si>
  <si>
    <t>DXPE.O</t>
  </si>
  <si>
    <t>233377407</t>
  </si>
  <si>
    <t>DXP Enterprises Inc</t>
  </si>
  <si>
    <t>DXP Enterprises, Inc. is a products and service distributor that offers solutions to industrial customers throughout the United States, Canada, Mexico and Dubai. It provides pumping solutions, supply chain services and maintenance, repair, operating and production (MROP) services. Its segments include Service Centers (SC), Innovative Pumping Solutions (IPS), and Supply Chain Services (SCS). SC segment is engaged in providing MRO products, equipment and integrated services, including logistics capabilities, to business-to-business customers. IPS segment fabricates and assembles custom-made pump packages, re-manufactures pumps, manufactures branded private label pumps, and provides products and process lines for the water and wastewater treatment industries. SCS segment provides a range of MRO products and manages all or part of a customer's supply chain, including warehouse and inventory management. It also provides vacuum pump sales, repair and maintenance.</t>
  </si>
  <si>
    <t>SNN</t>
  </si>
  <si>
    <t>83175M205</t>
  </si>
  <si>
    <t>Smith &amp; Nephew PLC</t>
  </si>
  <si>
    <t>Smith &amp; Nephew plc is a portfolio medical technology company. The Company is engaged in developing, manufacturing, marketing, and selling medical devices and services. It is focused on the repair, regeneration, and replacement of soft and hard tissue. Its segments include Orthopaedics, Sports Medicine &amp; ENT and Advanced Wound Management. Its Orthopaedics segment includes a range of hip and knee Implants used to replace diseased, damaged or worn joints, robotics-assisted and digital enabling technologies and services that help surgeons, and trauma products used to stabilize severe fractures and correct hard tissue deformities. Its Sports Medicine &amp; Ear, Nose and Throat (ENT) businesses offer advanced products and instruments used to repair or remove soft tissue. Its Advanced Wound Management portfolio provides a comprehensive set of products to meet broad and complex clinical needs, and to help healthcare professionals reduce the human and economic consequences of wounds.</t>
  </si>
  <si>
    <t>RUSHB.O</t>
  </si>
  <si>
    <t>781846308</t>
  </si>
  <si>
    <t>Rush Enterprises Inc</t>
  </si>
  <si>
    <t>Rush Enterprises, Inc. is an integrated retailer of commercial vehicles and related services. The Company operates through the Truck Segment, which includes its operation of a network of commercial vehicle dealerships under the name Rush Truck Centers. Rush Truck Centers primarily sell commercial vehicles manufactured by Peterbilt, International, Hino, Ford, Isuzu, IC Bus, Blue Bird and Dennis Eagle. Through its network of Rush Truck Centers, the Company provides one-stop service for the needs of its commercial vehicle customers, including retail sales of new and used commercial vehicles, aftermarket parts sales, service and repair facilities, financing, leasing and rental, and insurance products. It operates over 125 franchised Rush Truck Centers in 23 states. It also owns and operates over 14 international dealership locations in Ontario. It provides aftermarket parts, service and body shop operations plus financing, insurance, leasing and rental, and chrome accessories and tires.</t>
  </si>
  <si>
    <t>CMRX.O</t>
  </si>
  <si>
    <t>16934W106</t>
  </si>
  <si>
    <t>Chimerix Inc</t>
  </si>
  <si>
    <t>Chimerix, Inc. is a biotechnology company. The Company is focused on developing medicines that address unmet medical needs. The Company's product Imipridones is a cancer therapy that provides ONC201, which is in clinical-stage development for H3 K27M-mutant glioma as its lead indication. In addition, imipridone ONC206 is in dose-escalating clinical trials. Imipridones target specific G protein-coupled receptors (GPCRs) and mitochondrial caseinolytic protease P (ClpP), resulting in cancer cell death. The Company's product Imipridone chemical scaffold provides an opportunity to target GPCRs and ClpP with differential specificity and function. Its ONC212 is an imipridone, an investigational agonist of the orphan GPCR tumor suppressor GPR132, as well as ClpP. Its CMX521 is a nucleoside analog antiviral drug candidate for the treatment of SARS-CoV-2. The Chimerix Chemical Library contains over 10,000 heterocyclic ring systems and nucleosides, also includes approximately 3,500 nucleosides.</t>
  </si>
  <si>
    <t>KALV.O</t>
  </si>
  <si>
    <t>483497103</t>
  </si>
  <si>
    <t>Kalvista Pharmaceuticals Inc</t>
  </si>
  <si>
    <t>KalVista Pharmaceuticals, Inc. is a clinical-stage pharmaceutical company. The Company is focused on the discovery, development and commercialization of drug therapies for diseases with significant unmet need. Its product candidate is sebetralstat, an inhibitor of plasma kallikrein being developed for hereditary angioedema (HAE). Sebetralstat is designed to offer people living with HAE a medication that can be taken as a discreet oral dose to readily treat HAE attacks on-demand, including at the earliest signs before the attack fully develops. Sebetralstat works by targeting the kallikrein-kinin system (KKS) cascade, selectively inhibiting plasma kallikrein and its uncontrolled activity that drives HAE attacks. The Company is also designing an oral Factor XIIa inhibitor for HAE prophylaxis, positioning KalVista to address the full spectrum of HAE disease management. Factor XIIa inhibitor program is developed to address other therapeutic areas, including inflammation and thrombosis.</t>
  </si>
  <si>
    <t>SSSS.O</t>
  </si>
  <si>
    <t>86887Q109</t>
  </si>
  <si>
    <t>SuRo Capital Corp</t>
  </si>
  <si>
    <t>SuRo Capital Corp. is an internally managed, non-diversified closed-end management investment company. The Company's investment objective is to maximize its portfolio's total return, principally by seeking capital gains on its equity and equity-related investments, and to a lesser extent, income from debt investments. The Company invests principally in the equity securities of what it believes to be rapidly growing venture-capital-backed emerging companies. The Company may invest in these portfolio companies through offerings of the prospective portfolio companies, transactions on secondary marketplaces for private companies, or negotiations with selling stockholders. It may invest in private credit and in founders equity, founders warrants, forward purchase agreements, and private investment in public equity transactions of special purpose acquisition companies. It invests in various industries, such as online education, pharmaceutical technology and home improvement finance.</t>
  </si>
  <si>
    <t>HNRG.O</t>
  </si>
  <si>
    <t>40609P105</t>
  </si>
  <si>
    <t>Hallador Energy Co</t>
  </si>
  <si>
    <t>Hallador Energy Company is an energy company operating in the state of Indiana. The Company's segments include Coal Operations (operated by Sunrise Coal, LLC) and Electric Operations (operated by Hallador Power Company, LLC). The Coal Operations segment includes the operating mining complexes Oaktown 1 and 2 underground mines, Prosperity surface mine, Freelandville surface mine, and Carlisle wash plant. The Electric Operations segment includes the electric power generation facilities of the Merom Power Plant. The Oaktown Mining Complex is a coal mining and processing operation located in Knox and Sullivan counties, Indiana, and Crawford and Lawrence counties, Illinois. The Oaktown Mining Complex operations consist of two active underground mines, Oaktown Fuels No. 1 Mine and Oaktown Fuels No. 2 Mine, and related infrastructure. The Company holds other recoverable coal reserves in the Illinois Basin (ILB). Its subsidiaries include Sunrise Energy, LLC, Sycamore Coal, Inc., and others.</t>
  </si>
  <si>
    <t>LEU</t>
  </si>
  <si>
    <t>15643U104</t>
  </si>
  <si>
    <t>Centrus Energy Corp</t>
  </si>
  <si>
    <t>Centrus Energy Corp. is a supplier of nuclear fuel components for the nuclear power industry. Its segments include Low-Enriched Uranium (LEU) and Technical Solutions. Its LEU segment supplies various components of nuclear fuel to commercial customers from its global network of suppliers. The LEU segment consists of two components: SWU and natural uranium hexafluoride. It supplies LEU and its components to both domestic and international utilities for use in nuclear reactors worldwide. It provides LEU from multiple sources, including its inventory, medium- and long-term supply contracts, and spot purchases. It also sells natural uranium hexafluoride and occasionally sells uranium concentrates. The Technical Solutions segment provides advanced engineering, design, and manufacturing services to government and private sector customers. It is deploying uranium enrichment and other capabilities necessary to produce advanced nuclear fuel to power existing reactors around the world.</t>
  </si>
  <si>
    <t>HE</t>
  </si>
  <si>
    <t>419870100</t>
  </si>
  <si>
    <t>Hawaiian Electric Industries Inc</t>
  </si>
  <si>
    <t>Hawaiian Electric Industries, Inc. is a holding company, which provides the energy services. The Company’s electric utility, Hawaiian Electric Company, Inc. (Hawaiian Electric) supplies power to approximately 95% of Hawaii’s population. Hawaiian Electric products and services include electric vehicles, business account services, smart renewable energy programs, and customer incentive programs. Hawaiian Electric develops online tool to facilitate the siting of electric vehicle charging stations. Hawaiian Electric offers new renewable energy programs, such as Smart Renewable Energy Export, Smart Renewable Energy Non-Export, and Bring Own Device. Smart Renewable Energy Export provides export bill credits available to all renewable technologies with no project size limits. Smart Renewable Energy Non-Export allows all technologies and project sizes but does not allow for export. The Company, through Pacific Current, LLC, focuses on energy and renewables.</t>
  </si>
  <si>
    <t>FYBR.O</t>
  </si>
  <si>
    <t>35909D109</t>
  </si>
  <si>
    <t>Frontier Communications Parent Inc</t>
  </si>
  <si>
    <t>Frontier Communications Parent, Inc. is a communications and technology provider. The Company provides both regulated and unregulated voice, data and video services to consumer and business customers and is typically the incumbent voice services provider in its service areas. offers a portfolio of communications and technology services for consumer and business customers. These services are offered on either a standalone basis or in a bundled package, per individual customer needs. It offers a comprehensive range of broadband and networking services. The Company provides voice services, including data-based voice over Internet protocol (VoIP) and unified communications as a service (UCaaS), long-distance and voice messaging services, to consumer and business customers in all its markets. It provides video services under the Frontier TV brand. It also offers satellite television video service to its customers under various agency relationships with satellite providers.</t>
  </si>
  <si>
    <t>=IFERROR(VLOOKUP(AL3,'[Enfusion_Export_CGS_MS_2025-02-26.xlsx]Sheet 1'!B$2:I$1600,8,FALSE),0)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</si>
</sst>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64" formatCode="0.0%"/>
    <numFmt numFmtId="165" formatCode="&quot;$&quot;#,##0"/>
    <numFmt numFmtId="166" formatCode="&quot;$&quot;#,##0.0"/>
    <numFmt numFmtId="167" formatCode="0.00\ \x"/>
    <numFmt numFmtId="168" formatCode="0\ \x"/>
    <numFmt numFmtId="169" formatCode="0.00000%"/>
  </numFmts>
  <fonts count="27" x14ac:knownFonts="1">
    <font>
      <sz val="11"/>
      <color theme="1"/>
      <name val="Avenir Next Condensed"/>
      <family val="2"/>
    </font>
    <font>
      <sz val="11"/>
      <color theme="1"/>
      <name val="Avenir Next Condensed"/>
      <family val="2"/>
    </font>
    <font>
      <sz val="18"/>
      <color theme="3"/>
      <name val="Calibri Light"/>
      <family val="2"/>
      <scheme val="major"/>
    </font>
    <font>
      <b/>
      <sz val="15"/>
      <color theme="3"/>
      <name val="Avenir Next Condensed"/>
      <family val="2"/>
    </font>
    <font>
      <b/>
      <sz val="13"/>
      <color theme="3"/>
      <name val="Avenir Next Condensed"/>
      <family val="2"/>
    </font>
    <font>
      <b/>
      <sz val="11"/>
      <color theme="3"/>
      <name val="Avenir Next Condensed"/>
      <family val="2"/>
    </font>
    <font>
      <sz val="11"/>
      <color rgb="FF006100"/>
      <name val="Avenir Next Condensed"/>
      <family val="2"/>
    </font>
    <font>
      <sz val="11"/>
      <color rgb="FF9C0006"/>
      <name val="Avenir Next Condensed"/>
      <family val="2"/>
    </font>
    <font>
      <sz val="11"/>
      <color rgb="FF9C5700"/>
      <name val="Avenir Next Condensed"/>
      <family val="2"/>
    </font>
    <font>
      <sz val="11"/>
      <color rgb="FF3F3F76"/>
      <name val="Avenir Next Condensed"/>
      <family val="2"/>
    </font>
    <font>
      <b/>
      <sz val="11"/>
      <color rgb="FF3F3F3F"/>
      <name val="Avenir Next Condensed"/>
      <family val="2"/>
    </font>
    <font>
      <b/>
      <sz val="11"/>
      <color rgb="FFFA7D00"/>
      <name val="Avenir Next Condensed"/>
      <family val="2"/>
    </font>
    <font>
      <sz val="11"/>
      <color rgb="FFFA7D00"/>
      <name val="Avenir Next Condensed"/>
      <family val="2"/>
    </font>
    <font>
      <b/>
      <sz val="11"/>
      <color theme="0"/>
      <name val="Avenir Next Condensed"/>
      <family val="2"/>
    </font>
    <font>
      <sz val="11"/>
      <color rgb="FFFF0000"/>
      <name val="Avenir Next Condensed"/>
      <family val="2"/>
    </font>
    <font>
      <i/>
      <sz val="11"/>
      <color rgb="FF7F7F7F"/>
      <name val="Avenir Next Condensed"/>
      <family val="2"/>
    </font>
    <font>
      <b/>
      <sz val="11"/>
      <color theme="1"/>
      <name val="Avenir Next Condensed"/>
      <family val="2"/>
    </font>
    <font>
      <sz val="11"/>
      <color theme="0"/>
      <name val="Avenir Next Condensed"/>
      <family val="2"/>
    </font>
    <font>
      <b/>
      <sz val="12"/>
      <color theme="0"/>
      <name val="Avenir Next Condensed"/>
      <family val="2"/>
    </font>
    <font>
      <sz val="11"/>
      <color rgb="FF002060"/>
      <name val="Avenir Next Condensed"/>
      <family val="2"/>
    </font>
    <font>
      <sz val="16"/>
      <color theme="0"/>
      <name val="Avenir Next Condensed"/>
      <family val="2"/>
    </font>
    <font>
      <sz val="8"/>
      <color theme="1"/>
      <name val="Avenir Next Condensed"/>
      <family val="2"/>
    </font>
    <font>
      <sz val="9"/>
      <name val="Avenir Next Condensed"/>
      <family val="2"/>
    </font>
    <font>
      <sz val="20"/>
      <color theme="0"/>
      <name val="Avenir Next Condensed"/>
      <family val="2"/>
    </font>
    <font>
      <sz val="10"/>
      <color theme="1"/>
      <name val="Avenir Next Condensed"/>
      <family val="2"/>
    </font>
    <font>
      <sz val="11"/>
      <color rgb="FF00B0F0"/>
      <name val="Avenir Next Condensed"/>
      <family val="2"/>
    </font>
    <font>
      <sz val="11"/>
      <color theme="8"/>
      <name val="Avenir Next Condensed"/>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8" tint="0.5999938962981048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9">
    <xf numFmtId="0" fontId="0" fillId="0" borderId="0" xfId="0"/>
    <xf numFmtId="10" fontId="0" fillId="0" borderId="0" xfId="0" applyNumberFormat="1"/>
    <xf numFmtId="0" fontId="17" fillId="33" borderId="0" xfId="0" applyFont="1" applyFill="1" applyAlignment="1">
      <alignment horizontal="left" vertical="center"/>
    </xf>
    <xf numFmtId="0" fontId="0" fillId="35" borderId="0" xfId="0" applyFill="1" applyAlignment="1">
      <alignment horizontal="left" vertical="center"/>
    </xf>
    <xf numFmtId="164" fontId="0" fillId="35" borderId="0" xfId="1" applyNumberFormat="1" applyFont="1" applyFill="1" applyAlignment="1">
      <alignment horizontal="left" vertical="center"/>
    </xf>
    <xf numFmtId="164" fontId="0" fillId="34" borderId="0" xfId="1" applyNumberFormat="1" applyFont="1" applyFill="1" applyAlignment="1">
      <alignment horizontal="left" vertical="center"/>
    </xf>
    <xf numFmtId="10" fontId="0" fillId="35" borderId="0" xfId="1" applyNumberFormat="1" applyFont="1" applyFill="1" applyAlignment="1">
      <alignment horizontal="left" vertical="center"/>
    </xf>
    <xf numFmtId="10" fontId="0" fillId="34" borderId="0" xfId="1" applyNumberFormat="1" applyFont="1" applyFill="1" applyAlignment="1">
      <alignment horizontal="left" vertical="center"/>
    </xf>
    <xf numFmtId="6" fontId="0" fillId="0" borderId="0" xfId="0" applyNumberFormat="1"/>
    <xf numFmtId="165" fontId="0" fillId="34" borderId="0" xfId="1" applyNumberFormat="1" applyFont="1" applyFill="1" applyAlignment="1">
      <alignment horizontal="left" vertical="center"/>
    </xf>
    <xf numFmtId="165" fontId="0" fillId="35" borderId="0" xfId="1" applyNumberFormat="1" applyFont="1" applyFill="1" applyAlignment="1">
      <alignment horizontal="left" vertical="center"/>
    </xf>
    <xf numFmtId="0" fontId="0" fillId="0" borderId="0" xfId="0" quotePrefix="1"/>
    <xf numFmtId="10" fontId="0" fillId="0" borderId="0" xfId="0" applyNumberFormat="1" applyAlignment="1">
      <alignment horizontal="left" vertical="center"/>
    </xf>
    <xf numFmtId="0" fontId="0" fillId="0" borderId="0" xfId="0" quotePrefix="1" applyAlignment="1">
      <alignment horizontal="left" vertical="center"/>
    </xf>
    <xf numFmtId="9" fontId="0" fillId="35" borderId="0" xfId="1" applyFont="1" applyFill="1" applyAlignment="1">
      <alignment horizontal="left" vertical="center"/>
    </xf>
    <xf numFmtId="1" fontId="0" fillId="0" borderId="0" xfId="0" applyNumberFormat="1" applyAlignment="1">
      <alignment horizontal="center" vertical="center"/>
    </xf>
    <xf numFmtId="165" fontId="0" fillId="35" borderId="10" xfId="1" applyNumberFormat="1" applyFont="1" applyFill="1" applyBorder="1" applyAlignment="1">
      <alignment horizontal="left" vertical="center"/>
    </xf>
    <xf numFmtId="10" fontId="0" fillId="0" borderId="0" xfId="1" applyNumberFormat="1" applyFont="1"/>
    <xf numFmtId="0" fontId="19" fillId="0" borderId="0" xfId="0" applyFont="1" applyAlignment="1">
      <alignment horizontal="left" vertical="center"/>
    </xf>
    <xf numFmtId="165" fontId="19" fillId="0" borderId="0" xfId="0" applyNumberFormat="1" applyFont="1" applyAlignment="1">
      <alignment horizontal="left" vertical="center"/>
    </xf>
    <xf numFmtId="166" fontId="19" fillId="0" borderId="0" xfId="0" applyNumberFormat="1" applyFont="1" applyAlignment="1">
      <alignment horizontal="left" vertical="center"/>
    </xf>
    <xf numFmtId="0" fontId="0" fillId="0" borderId="0" xfId="0" applyAlignment="1">
      <alignment horizontal="center" vertical="center"/>
    </xf>
    <xf numFmtId="0" fontId="17" fillId="33" borderId="0" xfId="0" applyFont="1" applyFill="1" applyAlignment="1">
      <alignment horizontal="left" vertical="center" wrapText="1"/>
    </xf>
    <xf numFmtId="1" fontId="20" fillId="38" borderId="0" xfId="0" applyNumberFormat="1" applyFont="1" applyFill="1" applyAlignment="1">
      <alignment horizontal="center" vertical="center"/>
    </xf>
    <xf numFmtId="1" fontId="20" fillId="36" borderId="0" xfId="0" applyNumberFormat="1" applyFont="1" applyFill="1" applyAlignment="1">
      <alignment horizontal="center" vertical="center"/>
    </xf>
    <xf numFmtId="1" fontId="20" fillId="39" borderId="0" xfId="0" applyNumberFormat="1" applyFont="1" applyFill="1" applyAlignment="1">
      <alignment horizontal="center" vertical="center"/>
    </xf>
    <xf numFmtId="164" fontId="0" fillId="0" borderId="0" xfId="1" applyNumberFormat="1" applyFont="1" applyAlignment="1">
      <alignment horizontal="center" vertical="center"/>
    </xf>
    <xf numFmtId="0" fontId="0" fillId="0" borderId="0" xfId="0" applyAlignment="1">
      <alignment horizontal="center" vertical="center" wrapText="1"/>
    </xf>
    <xf numFmtId="10" fontId="0" fillId="0" borderId="0" xfId="1" quotePrefix="1" applyNumberFormat="1" applyFont="1"/>
    <xf numFmtId="1" fontId="0" fillId="0" borderId="0" xfId="1" applyNumberFormat="1" applyFont="1" applyAlignment="1">
      <alignment horizontal="center" vertical="center"/>
    </xf>
    <xf numFmtId="6" fontId="0" fillId="0" borderId="0" xfId="0" applyNumberFormat="1" applyAlignment="1">
      <alignment horizontal="right" vertical="center"/>
    </xf>
    <xf numFmtId="0" fontId="19" fillId="0" borderId="0" xfId="0" applyFont="1"/>
    <xf numFmtId="10" fontId="19" fillId="0" borderId="0" xfId="1" applyNumberFormat="1" applyFont="1"/>
    <xf numFmtId="165" fontId="0" fillId="0" borderId="0" xfId="0" applyNumberFormat="1" applyAlignment="1">
      <alignment horizontal="center" vertical="center"/>
    </xf>
    <xf numFmtId="164" fontId="0" fillId="0" borderId="0" xfId="0" applyNumberFormat="1" applyAlignment="1">
      <alignment horizontal="center" vertical="center"/>
    </xf>
    <xf numFmtId="14" fontId="19" fillId="0" borderId="0" xfId="0" applyNumberFormat="1" applyFont="1" applyAlignment="1">
      <alignment horizontal="left" vertical="center"/>
    </xf>
    <xf numFmtId="0" fontId="16" fillId="0" borderId="0" xfId="0" applyFont="1" applyAlignment="1">
      <alignment horizontal="center" vertical="center"/>
    </xf>
    <xf numFmtId="165" fontId="0" fillId="34" borderId="0" xfId="0" applyNumberFormat="1" applyFill="1" applyAlignment="1">
      <alignment horizontal="left" vertical="center"/>
    </xf>
    <xf numFmtId="0" fontId="0" fillId="35" borderId="0" xfId="0" applyFill="1" applyAlignment="1">
      <alignment horizontal="left" vertical="center" indent="1"/>
    </xf>
    <xf numFmtId="0" fontId="0" fillId="34" borderId="0" xfId="0" applyFill="1" applyAlignment="1">
      <alignment horizontal="left" vertical="center" indent="1"/>
    </xf>
    <xf numFmtId="0" fontId="0" fillId="35" borderId="10" xfId="0" applyFill="1" applyBorder="1" applyAlignment="1">
      <alignment horizontal="left" vertical="center" indent="1"/>
    </xf>
    <xf numFmtId="0" fontId="17" fillId="33" borderId="0" xfId="0" quotePrefix="1" applyFont="1" applyFill="1" applyAlignment="1">
      <alignment horizontal="left" vertical="center"/>
    </xf>
    <xf numFmtId="0" fontId="21" fillId="38" borderId="0" xfId="0" quotePrefix="1" applyFont="1" applyFill="1" applyAlignment="1">
      <alignment horizontal="left" vertical="top" wrapText="1"/>
    </xf>
    <xf numFmtId="0" fontId="16" fillId="0" borderId="0" xfId="0" applyFont="1" applyAlignment="1">
      <alignment horizontal="right" vertical="center"/>
    </xf>
    <xf numFmtId="0" fontId="22" fillId="0" borderId="0" xfId="0" quotePrefix="1" applyFont="1" applyAlignment="1">
      <alignment horizontal="left" vertical="center"/>
    </xf>
    <xf numFmtId="1" fontId="0" fillId="0" borderId="0" xfId="0" quotePrefix="1" applyNumberFormat="1" applyAlignment="1">
      <alignment horizontal="right" vertical="center"/>
    </xf>
    <xf numFmtId="0" fontId="0" fillId="0" borderId="0" xfId="0" applyAlignment="1">
      <alignment horizontal="left" vertical="center"/>
    </xf>
    <xf numFmtId="0" fontId="0" fillId="38" borderId="0" xfId="0" applyFill="1"/>
    <xf numFmtId="0" fontId="0" fillId="38" borderId="0" xfId="0" applyFill="1" applyAlignment="1">
      <alignment horizontal="center" vertical="center"/>
    </xf>
    <xf numFmtId="0" fontId="18" fillId="37" borderId="0" xfId="0" applyFont="1" applyFill="1" applyAlignment="1">
      <alignment horizontal="center" vertical="center"/>
    </xf>
    <xf numFmtId="9" fontId="0" fillId="0" borderId="0" xfId="1" applyFont="1"/>
    <xf numFmtId="0" fontId="0" fillId="0" borderId="0" xfId="0" applyAlignment="1">
      <alignment horizontal="center"/>
    </xf>
    <xf numFmtId="165" fontId="0" fillId="0" borderId="0" xfId="0" applyNumberFormat="1" applyAlignment="1">
      <alignment horizontal="center"/>
    </xf>
    <xf numFmtId="0" fontId="0" fillId="0" borderId="0" xfId="0" applyAlignment="1">
      <alignment vertical="center"/>
    </xf>
    <xf numFmtId="0" fontId="17" fillId="33" borderId="0" xfId="0" applyFont="1" applyFill="1" applyAlignment="1">
      <alignment horizontal="center" vertical="center"/>
    </xf>
    <xf numFmtId="3" fontId="0" fillId="0" borderId="0" xfId="0" applyNumberFormat="1" applyAlignment="1">
      <alignment horizontal="center" vertical="center"/>
    </xf>
    <xf numFmtId="9" fontId="0" fillId="0" borderId="0" xfId="1" applyFont="1" applyAlignment="1">
      <alignment horizontal="center"/>
    </xf>
    <xf numFmtId="167" fontId="0" fillId="0" borderId="0" xfId="1" applyNumberFormat="1" applyFont="1" applyAlignment="1">
      <alignment horizontal="center" vertical="center"/>
    </xf>
    <xf numFmtId="168" fontId="0" fillId="0" borderId="0" xfId="0" applyNumberFormat="1" applyAlignment="1">
      <alignment horizontal="center"/>
    </xf>
    <xf numFmtId="10" fontId="0" fillId="0" borderId="0" xfId="1" applyNumberFormat="1" applyFont="1" applyAlignment="1">
      <alignment horizontal="center"/>
    </xf>
    <xf numFmtId="164" fontId="0" fillId="0" borderId="0" xfId="1" applyNumberFormat="1" applyFont="1" applyAlignment="1">
      <alignment horizontal="left" vertical="center"/>
    </xf>
    <xf numFmtId="1" fontId="0" fillId="0" borderId="0" xfId="0" applyNumberFormat="1" applyAlignment="1">
      <alignment horizontal="center" vertical="center" wrapText="1"/>
    </xf>
    <xf numFmtId="10" fontId="0" fillId="0" borderId="0" xfId="1" applyNumberFormat="1" applyFont="1" applyAlignment="1">
      <alignment horizontal="center" vertical="center"/>
    </xf>
    <xf numFmtId="165" fontId="17" fillId="33" borderId="0" xfId="0" applyNumberFormat="1" applyFont="1" applyFill="1" applyAlignment="1">
      <alignment horizontal="center" vertical="center"/>
    </xf>
    <xf numFmtId="10" fontId="17" fillId="33" borderId="0" xfId="1" applyNumberFormat="1" applyFont="1" applyFill="1" applyAlignment="1">
      <alignment horizontal="left" vertical="center"/>
    </xf>
    <xf numFmtId="165" fontId="0" fillId="0" borderId="0" xfId="0" quotePrefix="1" applyNumberFormat="1" applyAlignment="1">
      <alignment horizontal="center" vertical="center"/>
    </xf>
    <xf numFmtId="165" fontId="0" fillId="0" borderId="0" xfId="0" applyNumberFormat="1" applyAlignment="1">
      <alignment horizontal="center" vertical="center" wrapText="1"/>
    </xf>
    <xf numFmtId="165" fontId="0" fillId="0" borderId="0" xfId="0" applyNumberFormat="1"/>
    <xf numFmtId="3" fontId="24" fillId="0" borderId="0" xfId="0" quotePrefix="1" applyNumberFormat="1" applyFont="1" applyAlignment="1">
      <alignment horizontal="center" vertical="center" wrapText="1"/>
    </xf>
    <xf numFmtId="165" fontId="25" fillId="0" borderId="0" xfId="0" applyNumberFormat="1" applyFont="1"/>
    <xf numFmtId="0" fontId="17" fillId="40" borderId="0" xfId="0" applyFont="1" applyFill="1" applyAlignment="1">
      <alignment horizontal="left" vertical="center"/>
    </xf>
    <xf numFmtId="0" fontId="17" fillId="40" borderId="0" xfId="0" applyFont="1" applyFill="1" applyAlignment="1">
      <alignment horizontal="left" vertical="center" wrapText="1"/>
    </xf>
    <xf numFmtId="169" fontId="0" fillId="0" borderId="0" xfId="1" applyNumberFormat="1" applyFont="1"/>
    <xf numFmtId="6" fontId="0" fillId="0" borderId="0" xfId="0" quotePrefix="1" applyNumberFormat="1"/>
    <xf numFmtId="9" fontId="0" fillId="0" borderId="0" xfId="0" applyNumberFormat="1"/>
    <xf numFmtId="9" fontId="0" fillId="0" borderId="0" xfId="1" applyFont="1" applyAlignment="1">
      <alignment horizontal="center" vertical="center"/>
    </xf>
    <xf numFmtId="9" fontId="0" fillId="0" borderId="0" xfId="0" applyNumberFormat="1" applyAlignment="1">
      <alignment horizontal="center" vertical="center"/>
    </xf>
    <xf numFmtId="0" fontId="26" fillId="0" borderId="0" xfId="0" applyFont="1" applyAlignment="1">
      <alignment horizontal="left" vertical="center"/>
    </xf>
    <xf numFmtId="1" fontId="0" fillId="0" borderId="0" xfId="0" quotePrefix="1" applyNumberFormat="1" applyAlignment="1">
      <alignment horizontal="center" vertical="center"/>
    </xf>
    <xf numFmtId="6" fontId="0" fillId="0" borderId="0" xfId="0" quotePrefix="1" applyNumberFormat="1" applyAlignment="1">
      <alignment horizontal="right" vertical="center"/>
    </xf>
    <xf numFmtId="0" fontId="17" fillId="33" borderId="0" xfId="0" applyFont="1" applyFill="1" applyAlignment="1">
      <alignment horizontal="center" vertical="center" wrapText="1"/>
    </xf>
    <xf numFmtId="164" fontId="23" fillId="36" borderId="0" xfId="0" applyNumberFormat="1" applyFont="1" applyFill="1" applyAlignment="1">
      <alignment horizontal="center" vertical="center"/>
    </xf>
    <xf numFmtId="0" fontId="18" fillId="37" borderId="0" xfId="0" applyFont="1" applyFill="1" applyAlignment="1">
      <alignment horizontal="center" vertical="center"/>
    </xf>
    <xf numFmtId="0" fontId="13" fillId="33" borderId="0" xfId="0" applyFont="1" applyFill="1" applyAlignment="1">
      <alignment horizontal="left" vertical="center" indent="1"/>
    </xf>
    <xf numFmtId="0" fontId="13" fillId="33" borderId="10" xfId="0" applyFont="1" applyFill="1" applyBorder="1" applyAlignment="1">
      <alignment horizontal="left" vertical="center" indent="1"/>
    </xf>
    <xf numFmtId="0" fontId="13" fillId="33" borderId="0" xfId="0" applyFont="1" applyFill="1" applyAlignment="1">
      <alignment horizontal="left" vertical="center"/>
    </xf>
    <xf numFmtId="0" fontId="13" fillId="33" borderId="10" xfId="0" applyFont="1" applyFill="1" applyBorder="1" applyAlignment="1">
      <alignment horizontal="left" vertical="center"/>
    </xf>
    <xf numFmtId="0" fontId="0" fillId="0" borderId="0" xfId="0" applyAlignment="1">
      <alignment horizontal="center" vertical="center"/>
    </xf>
    <xf numFmtId="0" fontId="0" fillId="38" borderId="0" xfId="0" applyFill="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efinitivshim.rtdserver.rdp.data">
      <tp t="s">
        <v>Updated at 18:26:44</v>
        <stp/>
        <stp>1</stp>
        <stp>170958765</stp>
        <tr r="AL1" s="5"/>
      </tp>
      <tp t="s">
        <v>Updated at 18:26:23</v>
        <stp/>
        <stp>2</stp>
        <stp>170958765</stp>
        <tr r="AO1" s="5"/>
      </tp>
    </main>
  </volType>
</volTypes>
</file>

<file path=xl/_rels/workbook.xml.rels><?xml version="1.0" encoding="UTF-8" standalone="yes"?>
<Relationships xmlns="http://schemas.openxmlformats.org/package/2006/relationships"><Relationship Id="rId8" Type="http://schemas.openxmlformats.org/officeDocument/2006/relationships/volatileDependencies" Target="volatileDependencies.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Vinesh_Portfolio!$AI$3:$AI$312</c:f>
              <c:strCache>
                <c:ptCount val="299"/>
                <c:pt idx="0">
                  <c:v>US69888T2078</c:v>
                </c:pt>
                <c:pt idx="1">
                  <c:v>US69366J2006</c:v>
                </c:pt>
                <c:pt idx="2">
                  <c:v>US68571X3017</c:v>
                </c:pt>
                <c:pt idx="3">
                  <c:v>US1252691001</c:v>
                </c:pt>
                <c:pt idx="4">
                  <c:v>US2264061068</c:v>
                </c:pt>
                <c:pt idx="5">
                  <c:v>US7665597024</c:v>
                </c:pt>
                <c:pt idx="6">
                  <c:v>US6677461013</c:v>
                </c:pt>
                <c:pt idx="7">
                  <c:v>LU0584671464</c:v>
                </c:pt>
                <c:pt idx="8">
                  <c:v>US9170471026</c:v>
                </c:pt>
                <c:pt idx="9">
                  <c:v>US44925C1036</c:v>
                </c:pt>
                <c:pt idx="10">
                  <c:v>US1999081045</c:v>
                </c:pt>
                <c:pt idx="11">
                  <c:v>VGG0457F1071</c:v>
                </c:pt>
                <c:pt idx="12">
                  <c:v>US8592411016</c:v>
                </c:pt>
                <c:pt idx="13">
                  <c:v>US3927091013</c:v>
                </c:pt>
                <c:pt idx="14">
                  <c:v>US47215P1066</c:v>
                </c:pt>
                <c:pt idx="15">
                  <c:v>US0684631080</c:v>
                </c:pt>
                <c:pt idx="16">
                  <c:v>US5588681057</c:v>
                </c:pt>
                <c:pt idx="17">
                  <c:v>US45857P8068</c:v>
                </c:pt>
                <c:pt idx="18">
                  <c:v>US0009571003</c:v>
                </c:pt>
                <c:pt idx="19">
                  <c:v>US74164F1030</c:v>
                </c:pt>
                <c:pt idx="20">
                  <c:v>US0886061086</c:v>
                </c:pt>
                <c:pt idx="21">
                  <c:v>US56585A1025</c:v>
                </c:pt>
                <c:pt idx="22">
                  <c:v>GB00BNK03D49</c:v>
                </c:pt>
                <c:pt idx="23">
                  <c:v>US92276F1003</c:v>
                </c:pt>
                <c:pt idx="24">
                  <c:v>US4657411066</c:v>
                </c:pt>
                <c:pt idx="25">
                  <c:v>CH0114405324</c:v>
                </c:pt>
                <c:pt idx="26">
                  <c:v>US45867G1013</c:v>
                </c:pt>
                <c:pt idx="27">
                  <c:v>US9111631035</c:v>
                </c:pt>
                <c:pt idx="28">
                  <c:v>US9026731029</c:v>
                </c:pt>
                <c:pt idx="29">
                  <c:v>US29084Q1004</c:v>
                </c:pt>
                <c:pt idx="30">
                  <c:v>US9314271084</c:v>
                </c:pt>
                <c:pt idx="31">
                  <c:v>US2183521028</c:v>
                </c:pt>
                <c:pt idx="32">
                  <c:v>US4586653044</c:v>
                </c:pt>
                <c:pt idx="33">
                  <c:v>US1280302027</c:v>
                </c:pt>
                <c:pt idx="34">
                  <c:v>US2274831047</c:v>
                </c:pt>
                <c:pt idx="35">
                  <c:v>US6323071042</c:v>
                </c:pt>
                <c:pt idx="36">
                  <c:v>US8036071004</c:v>
                </c:pt>
                <c:pt idx="37">
                  <c:v>US8851601018</c:v>
                </c:pt>
                <c:pt idx="38">
                  <c:v>US24665A1034</c:v>
                </c:pt>
                <c:pt idx="39">
                  <c:v>US13462K1097</c:v>
                </c:pt>
                <c:pt idx="40">
                  <c:v>GB00BDSFG982</c:v>
                </c:pt>
                <c:pt idx="41">
                  <c:v>US04016X1019</c:v>
                </c:pt>
                <c:pt idx="42">
                  <c:v>US00436Q1067</c:v>
                </c:pt>
                <c:pt idx="43">
                  <c:v>US31810T1016</c:v>
                </c:pt>
                <c:pt idx="44">
                  <c:v>US5288771034</c:v>
                </c:pt>
                <c:pt idx="45">
                  <c:v>US30041R1086</c:v>
                </c:pt>
                <c:pt idx="46">
                  <c:v>US04206A1016</c:v>
                </c:pt>
                <c:pt idx="47">
                  <c:v>US0207641061</c:v>
                </c:pt>
                <c:pt idx="48">
                  <c:v>US36118L1061</c:v>
                </c:pt>
                <c:pt idx="49">
                  <c:v>US76156B1070</c:v>
                </c:pt>
                <c:pt idx="50">
                  <c:v>US1567271093</c:v>
                </c:pt>
                <c:pt idx="51">
                  <c:v>US7820111000</c:v>
                </c:pt>
                <c:pt idx="52">
                  <c:v>US98980F1049</c:v>
                </c:pt>
                <c:pt idx="53">
                  <c:v>US4824971042</c:v>
                </c:pt>
                <c:pt idx="54">
                  <c:v>US68386H1032</c:v>
                </c:pt>
                <c:pt idx="55">
                  <c:v>US6412881053</c:v>
                </c:pt>
                <c:pt idx="56">
                  <c:v>US70439P1084</c:v>
                </c:pt>
                <c:pt idx="57">
                  <c:v>US87652V1098</c:v>
                </c:pt>
                <c:pt idx="58">
                  <c:v>US5653941030</c:v>
                </c:pt>
                <c:pt idx="59">
                  <c:v>NL0013056914</c:v>
                </c:pt>
                <c:pt idx="60">
                  <c:v>US82835W1080</c:v>
                </c:pt>
                <c:pt idx="61">
                  <c:v>US9292361071</c:v>
                </c:pt>
                <c:pt idx="62">
                  <c:v>US4474621020</c:v>
                </c:pt>
                <c:pt idx="63">
                  <c:v>US51509P1030</c:v>
                </c:pt>
                <c:pt idx="64">
                  <c:v>US78435P1057</c:v>
                </c:pt>
                <c:pt idx="65">
                  <c:v>KYG386441037</c:v>
                </c:pt>
                <c:pt idx="66">
                  <c:v>US71722W1071</c:v>
                </c:pt>
                <c:pt idx="67">
                  <c:v>US2358252052</c:v>
                </c:pt>
                <c:pt idx="68">
                  <c:v>US1104481072</c:v>
                </c:pt>
                <c:pt idx="69">
                  <c:v>US83089J1088</c:v>
                </c:pt>
                <c:pt idx="70">
                  <c:v>US05464C1018</c:v>
                </c:pt>
                <c:pt idx="71">
                  <c:v>US0044981019</c:v>
                </c:pt>
                <c:pt idx="72">
                  <c:v>US02913V1035</c:v>
                </c:pt>
                <c:pt idx="73">
                  <c:v>US7672041008</c:v>
                </c:pt>
                <c:pt idx="74">
                  <c:v>US0396531008</c:v>
                </c:pt>
                <c:pt idx="75">
                  <c:v>US1912411089</c:v>
                </c:pt>
                <c:pt idx="76">
                  <c:v>US16411R2085</c:v>
                </c:pt>
                <c:pt idx="77">
                  <c:v>US8086251076</c:v>
                </c:pt>
                <c:pt idx="78">
                  <c:v>US8684591089</c:v>
                </c:pt>
                <c:pt idx="79">
                  <c:v>US4500473032</c:v>
                </c:pt>
                <c:pt idx="80">
                  <c:v>US92242T1016</c:v>
                </c:pt>
                <c:pt idx="81">
                  <c:v>US85209W1099</c:v>
                </c:pt>
                <c:pt idx="82">
                  <c:v>US63001N1063</c:v>
                </c:pt>
                <c:pt idx="83">
                  <c:v>US14843C1053</c:v>
                </c:pt>
                <c:pt idx="84">
                  <c:v>US2674751019</c:v>
                </c:pt>
                <c:pt idx="85">
                  <c:v>US98423F1093</c:v>
                </c:pt>
                <c:pt idx="86">
                  <c:v>US92847W1036</c:v>
                </c:pt>
                <c:pt idx="87">
                  <c:v>US90364P1057</c:v>
                </c:pt>
                <c:pt idx="88">
                  <c:v>US3138551086</c:v>
                </c:pt>
                <c:pt idx="89">
                  <c:v>US24703L2025</c:v>
                </c:pt>
                <c:pt idx="90">
                  <c:v>US8068821060</c:v>
                </c:pt>
                <c:pt idx="91">
                  <c:v>BMG0585R1060</c:v>
                </c:pt>
                <c:pt idx="92">
                  <c:v>US1564311082</c:v>
                </c:pt>
                <c:pt idx="93">
                  <c:v>US12662P1084</c:v>
                </c:pt>
                <c:pt idx="94">
                  <c:v>US2044291043</c:v>
                </c:pt>
                <c:pt idx="95">
                  <c:v>US7495271071</c:v>
                </c:pt>
                <c:pt idx="96">
                  <c:v>US5738741041</c:v>
                </c:pt>
                <c:pt idx="97">
                  <c:v>US5898891040</c:v>
                </c:pt>
                <c:pt idx="98">
                  <c:v>US1439051079</c:v>
                </c:pt>
                <c:pt idx="99">
                  <c:v>KYG4412G1010</c:v>
                </c:pt>
                <c:pt idx="100">
                  <c:v>IL0011974909</c:v>
                </c:pt>
                <c:pt idx="101">
                  <c:v>US0028962076</c:v>
                </c:pt>
                <c:pt idx="102">
                  <c:v>US6047491013</c:v>
                </c:pt>
                <c:pt idx="103">
                  <c:v>US58470H1014</c:v>
                </c:pt>
                <c:pt idx="104">
                  <c:v>US63845R1077</c:v>
                </c:pt>
                <c:pt idx="105">
                  <c:v>US26152H3012</c:v>
                </c:pt>
                <c:pt idx="106">
                  <c:v>US6819361006</c:v>
                </c:pt>
                <c:pt idx="107">
                  <c:v>US45774W1080</c:v>
                </c:pt>
                <c:pt idx="108">
                  <c:v>US22410J1060</c:v>
                </c:pt>
                <c:pt idx="109">
                  <c:v>US92511U1025</c:v>
                </c:pt>
                <c:pt idx="110">
                  <c:v>US0708301041</c:v>
                </c:pt>
                <c:pt idx="111">
                  <c:v>US2575541055</c:v>
                </c:pt>
                <c:pt idx="112">
                  <c:v>US37045V1008</c:v>
                </c:pt>
                <c:pt idx="113">
                  <c:v>JE00BL970N11</c:v>
                </c:pt>
                <c:pt idx="114">
                  <c:v>US8581552036</c:v>
                </c:pt>
                <c:pt idx="115">
                  <c:v>US8334451098</c:v>
                </c:pt>
                <c:pt idx="116">
                  <c:v>US9258151029</c:v>
                </c:pt>
                <c:pt idx="117">
                  <c:v>US4404521001</c:v>
                </c:pt>
                <c:pt idx="118">
                  <c:v>US03071H1005</c:v>
                </c:pt>
                <c:pt idx="119">
                  <c:v>US32054K1034</c:v>
                </c:pt>
                <c:pt idx="120">
                  <c:v>US5355551061</c:v>
                </c:pt>
                <c:pt idx="121">
                  <c:v>US22207T1016</c:v>
                </c:pt>
                <c:pt idx="122">
                  <c:v>US4005011022</c:v>
                </c:pt>
                <c:pt idx="123">
                  <c:v>US30212W1009</c:v>
                </c:pt>
                <c:pt idx="124">
                  <c:v>US05463X1063</c:v>
                </c:pt>
                <c:pt idx="125">
                  <c:v>US68287N1000</c:v>
                </c:pt>
                <c:pt idx="126">
                  <c:v>US55380K1097</c:v>
                </c:pt>
                <c:pt idx="127">
                  <c:v>US52567D1072</c:v>
                </c:pt>
                <c:pt idx="128">
                  <c:v>US4234031049</c:v>
                </c:pt>
                <c:pt idx="129">
                  <c:v>US3647601083</c:v>
                </c:pt>
                <c:pt idx="130">
                  <c:v>US98980B1035</c:v>
                </c:pt>
                <c:pt idx="131">
                  <c:v>GG00BMG42V42</c:v>
                </c:pt>
                <c:pt idx="132">
                  <c:v>US69553P1003</c:v>
                </c:pt>
                <c:pt idx="133">
                  <c:v>US46005L1017</c:v>
                </c:pt>
                <c:pt idx="134">
                  <c:v>US5663301068</c:v>
                </c:pt>
                <c:pt idx="135">
                  <c:v>US46591M1099</c:v>
                </c:pt>
                <c:pt idx="136">
                  <c:v>US68628V3087</c:v>
                </c:pt>
                <c:pt idx="137">
                  <c:v>US0507342014</c:v>
                </c:pt>
                <c:pt idx="138">
                  <c:v>US91913Y1001</c:v>
                </c:pt>
                <c:pt idx="139">
                  <c:v>US50060P1066</c:v>
                </c:pt>
                <c:pt idx="140">
                  <c:v>US2582781009</c:v>
                </c:pt>
                <c:pt idx="141">
                  <c:v>US00653Q1022</c:v>
                </c:pt>
                <c:pt idx="142">
                  <c:v>US98955N2071</c:v>
                </c:pt>
                <c:pt idx="143">
                  <c:v>US83207R1077</c:v>
                </c:pt>
                <c:pt idx="144">
                  <c:v>US2333774071</c:v>
                </c:pt>
                <c:pt idx="145">
                  <c:v>US87256C1018</c:v>
                </c:pt>
                <c:pt idx="146">
                  <c:v>US71654V1017</c:v>
                </c:pt>
                <c:pt idx="147">
                  <c:v>US83175M2052</c:v>
                </c:pt>
                <c:pt idx="148">
                  <c:v>US7818463082</c:v>
                </c:pt>
                <c:pt idx="149">
                  <c:v>US57667T1007</c:v>
                </c:pt>
                <c:pt idx="150">
                  <c:v>IL0011751653</c:v>
                </c:pt>
                <c:pt idx="151">
                  <c:v>US16934W1062</c:v>
                </c:pt>
                <c:pt idx="152">
                  <c:v>US4834971032</c:v>
                </c:pt>
                <c:pt idx="153">
                  <c:v>KYG1117K1141</c:v>
                </c:pt>
                <c:pt idx="154">
                  <c:v>US00971T1016</c:v>
                </c:pt>
                <c:pt idx="155">
                  <c:v>US86887Q1094</c:v>
                </c:pt>
                <c:pt idx="156">
                  <c:v>US00289Y2063</c:v>
                </c:pt>
                <c:pt idx="157">
                  <c:v>US49926D1090</c:v>
                </c:pt>
                <c:pt idx="158">
                  <c:v>US68622P1093</c:v>
                </c:pt>
                <c:pt idx="159">
                  <c:v>US05965X1090</c:v>
                </c:pt>
                <c:pt idx="160">
                  <c:v>US69349H1077</c:v>
                </c:pt>
                <c:pt idx="161">
                  <c:v>US3886891015</c:v>
                </c:pt>
                <c:pt idx="162">
                  <c:v>US40609P1057</c:v>
                </c:pt>
                <c:pt idx="163">
                  <c:v>US43785V1026</c:v>
                </c:pt>
                <c:pt idx="164">
                  <c:v>US30233G2093</c:v>
                </c:pt>
                <c:pt idx="165">
                  <c:v>US7710491033</c:v>
                </c:pt>
                <c:pt idx="166">
                  <c:v>US50012A1088</c:v>
                </c:pt>
                <c:pt idx="167">
                  <c:v>US2942681071</c:v>
                </c:pt>
                <c:pt idx="168">
                  <c:v>US03062T1051</c:v>
                </c:pt>
                <c:pt idx="169">
                  <c:v>US1993331057</c:v>
                </c:pt>
                <c:pt idx="170">
                  <c:v>US33830T1034</c:v>
                </c:pt>
                <c:pt idx="171">
                  <c:v>US6687711084</c:v>
                </c:pt>
                <c:pt idx="172">
                  <c:v>US15643U1043</c:v>
                </c:pt>
                <c:pt idx="173">
                  <c:v>US3765361080</c:v>
                </c:pt>
                <c:pt idx="174">
                  <c:v>US1924221039</c:v>
                </c:pt>
                <c:pt idx="175">
                  <c:v>CA60255C8850</c:v>
                </c:pt>
                <c:pt idx="176">
                  <c:v>US8318652091</c:v>
                </c:pt>
                <c:pt idx="177">
                  <c:v>US34379V1035</c:v>
                </c:pt>
                <c:pt idx="178">
                  <c:v>US3175854047</c:v>
                </c:pt>
                <c:pt idx="179">
                  <c:v>US9026811052</c:v>
                </c:pt>
                <c:pt idx="180">
                  <c:v>US4198701009</c:v>
                </c:pt>
                <c:pt idx="181">
                  <c:v>US1011211018</c:v>
                </c:pt>
                <c:pt idx="182">
                  <c:v>US8935291075</c:v>
                </c:pt>
                <c:pt idx="183">
                  <c:v>US90291C2017</c:v>
                </c:pt>
                <c:pt idx="184">
                  <c:v>US09263B2079</c:v>
                </c:pt>
                <c:pt idx="185">
                  <c:v>US9892071054</c:v>
                </c:pt>
                <c:pt idx="186">
                  <c:v>US26484T1060</c:v>
                </c:pt>
                <c:pt idx="187">
                  <c:v>US6757466064</c:v>
                </c:pt>
                <c:pt idx="188">
                  <c:v>US7141572039</c:v>
                </c:pt>
                <c:pt idx="189">
                  <c:v>US2220702037</c:v>
                </c:pt>
                <c:pt idx="190">
                  <c:v>US6267551025</c:v>
                </c:pt>
                <c:pt idx="191">
                  <c:v>US88830M1027</c:v>
                </c:pt>
                <c:pt idx="192">
                  <c:v>US65342K1051</c:v>
                </c:pt>
                <c:pt idx="193">
                  <c:v>US72016P1057</c:v>
                </c:pt>
                <c:pt idx="194">
                  <c:v>US92338C1036</c:v>
                </c:pt>
                <c:pt idx="195">
                  <c:v>US24869P1049</c:v>
                </c:pt>
                <c:pt idx="196">
                  <c:v>US3773221029</c:v>
                </c:pt>
                <c:pt idx="197">
                  <c:v>US7580754023</c:v>
                </c:pt>
                <c:pt idx="198">
                  <c:v>US89677Y1001</c:v>
                </c:pt>
                <c:pt idx="199">
                  <c:v>US39818P7996</c:v>
                </c:pt>
                <c:pt idx="200">
                  <c:v>BMG7496G1033</c:v>
                </c:pt>
                <c:pt idx="201">
                  <c:v>US6826801036</c:v>
                </c:pt>
                <c:pt idx="202">
                  <c:v>US14070B3096</c:v>
                </c:pt>
                <c:pt idx="203">
                  <c:v>US2536512021</c:v>
                </c:pt>
                <c:pt idx="204">
                  <c:v>BMG9108L1735</c:v>
                </c:pt>
                <c:pt idx="205">
                  <c:v>US37892E1029</c:v>
                </c:pt>
                <c:pt idx="206">
                  <c:v>US35909D1090</c:v>
                </c:pt>
                <c:pt idx="207">
                  <c:v>CH0044328745</c:v>
                </c:pt>
                <c:pt idx="208">
                  <c:v>BMG8726X1065</c:v>
                </c:pt>
                <c:pt idx="209">
                  <c:v>US45769N1054</c:v>
                </c:pt>
                <c:pt idx="210">
                  <c:v>US6102361010</c:v>
                </c:pt>
                <c:pt idx="211">
                  <c:v>US68235P1084</c:v>
                </c:pt>
                <c:pt idx="212">
                  <c:v>US30040W1080</c:v>
                </c:pt>
                <c:pt idx="213">
                  <c:v>US70202L1026</c:v>
                </c:pt>
                <c:pt idx="214">
                  <c:v>US4158581094</c:v>
                </c:pt>
                <c:pt idx="215">
                  <c:v>US1717572069</c:v>
                </c:pt>
                <c:pt idx="216">
                  <c:v>US37253A1034</c:v>
                </c:pt>
                <c:pt idx="217">
                  <c:v>FR0013467479</c:v>
                </c:pt>
                <c:pt idx="218">
                  <c:v>US8038663006</c:v>
                </c:pt>
                <c:pt idx="219">
                  <c:v>US1696561059</c:v>
                </c:pt>
                <c:pt idx="220">
                  <c:v>BMG3223R1088</c:v>
                </c:pt>
                <c:pt idx="221">
                  <c:v>US7504911022</c:v>
                </c:pt>
                <c:pt idx="222">
                  <c:v>US44891N2080</c:v>
                </c:pt>
                <c:pt idx="223">
                  <c:v>US55277P1049</c:v>
                </c:pt>
                <c:pt idx="224">
                  <c:v>US29667J1016</c:v>
                </c:pt>
                <c:pt idx="225">
                  <c:v>US0905722072</c:v>
                </c:pt>
                <c:pt idx="226">
                  <c:v>US46578C1080</c:v>
                </c:pt>
                <c:pt idx="227">
                  <c:v>US45866F1049</c:v>
                </c:pt>
                <c:pt idx="228">
                  <c:v>US25787G1004</c:v>
                </c:pt>
                <c:pt idx="229">
                  <c:v>US98389B1008</c:v>
                </c:pt>
                <c:pt idx="230">
                  <c:v>US7140461093</c:v>
                </c:pt>
                <c:pt idx="231">
                  <c:v>US2210151005</c:v>
                </c:pt>
                <c:pt idx="232">
                  <c:v>US49456B1017</c:v>
                </c:pt>
                <c:pt idx="233">
                  <c:v>US0298991011</c:v>
                </c:pt>
                <c:pt idx="234">
                  <c:v>US98956P1021</c:v>
                </c:pt>
                <c:pt idx="235">
                  <c:v>US44980X1090</c:v>
                </c:pt>
                <c:pt idx="236">
                  <c:v>US5657881067</c:v>
                </c:pt>
                <c:pt idx="237">
                  <c:v>VGG1890L1076</c:v>
                </c:pt>
                <c:pt idx="238">
                  <c:v>US6515871076</c:v>
                </c:pt>
                <c:pt idx="239">
                  <c:v>US4385161066</c:v>
                </c:pt>
                <c:pt idx="240">
                  <c:v>US4485791028</c:v>
                </c:pt>
                <c:pt idx="241">
                  <c:v>US4967191051</c:v>
                </c:pt>
                <c:pt idx="242">
                  <c:v>US17243V1026</c:v>
                </c:pt>
                <c:pt idx="243">
                  <c:v>CA98420N1050</c:v>
                </c:pt>
                <c:pt idx="244">
                  <c:v>US00191U1025</c:v>
                </c:pt>
                <c:pt idx="245">
                  <c:v>US6267171022</c:v>
                </c:pt>
                <c:pt idx="246">
                  <c:v>US48241A1051</c:v>
                </c:pt>
                <c:pt idx="247">
                  <c:v>US87484T1088</c:v>
                </c:pt>
                <c:pt idx="248">
                  <c:v>US32026V1044</c:v>
                </c:pt>
                <c:pt idx="249">
                  <c:v>US5949724083</c:v>
                </c:pt>
                <c:pt idx="250">
                  <c:v>US21867A1051</c:v>
                </c:pt>
                <c:pt idx="251">
                  <c:v>US43940T1097</c:v>
                </c:pt>
                <c:pt idx="252">
                  <c:v>US5534981064</c:v>
                </c:pt>
                <c:pt idx="253">
                  <c:v>US45765U1034</c:v>
                </c:pt>
                <c:pt idx="254">
                  <c:v>US70932M1071</c:v>
                </c:pt>
                <c:pt idx="255">
                  <c:v>US9706461053</c:v>
                </c:pt>
                <c:pt idx="256">
                  <c:v>US7110401053</c:v>
                </c:pt>
                <c:pt idx="257">
                  <c:v>US45167R1041</c:v>
                </c:pt>
                <c:pt idx="258">
                  <c:v>US86800U3023</c:v>
                </c:pt>
                <c:pt idx="259">
                  <c:v>US6873801053</c:v>
                </c:pt>
                <c:pt idx="260">
                  <c:v>US2774614067</c:v>
                </c:pt>
                <c:pt idx="261">
                  <c:v>US23918K1088</c:v>
                </c:pt>
                <c:pt idx="262">
                  <c:v>US8245961003</c:v>
                </c:pt>
                <c:pt idx="263">
                  <c:v>US4131601027</c:v>
                </c:pt>
                <c:pt idx="264">
                  <c:v>US31847R1023</c:v>
                </c:pt>
                <c:pt idx="265">
                  <c:v>US9553061055</c:v>
                </c:pt>
                <c:pt idx="266">
                  <c:v>US0495601058</c:v>
                </c:pt>
                <c:pt idx="267">
                  <c:v>US0185223007</c:v>
                </c:pt>
                <c:pt idx="268">
                  <c:v>US86614G1013</c:v>
                </c:pt>
                <c:pt idx="269">
                  <c:v>US6903701018</c:v>
                </c:pt>
                <c:pt idx="270">
                  <c:v>US8168511090</c:v>
                </c:pt>
                <c:pt idx="271">
                  <c:v>US91829F1049</c:v>
                </c:pt>
                <c:pt idx="272">
                  <c:v>US1921085049</c:v>
                </c:pt>
                <c:pt idx="273">
                  <c:v>US46131B7047</c:v>
                </c:pt>
                <c:pt idx="274">
                  <c:v>US03783C1009</c:v>
                </c:pt>
                <c:pt idx="275">
                  <c:v>US64031N1081</c:v>
                </c:pt>
                <c:pt idx="276">
                  <c:v>US28852N1090</c:v>
                </c:pt>
                <c:pt idx="277">
                  <c:v>US69318J1007</c:v>
                </c:pt>
                <c:pt idx="278">
                  <c:v>US90187B8046</c:v>
                </c:pt>
                <c:pt idx="279">
                  <c:v>US4532041096</c:v>
                </c:pt>
                <c:pt idx="280">
                  <c:v>US93627C1018</c:v>
                </c:pt>
                <c:pt idx="281">
                  <c:v>US53115L1044</c:v>
                </c:pt>
                <c:pt idx="282">
                  <c:v>US8789721086</c:v>
                </c:pt>
                <c:pt idx="283">
                  <c:v>US46571Y1073</c:v>
                </c:pt>
                <c:pt idx="284">
                  <c:v>US22663K1079</c:v>
                </c:pt>
                <c:pt idx="285">
                  <c:v>US45166A1025</c:v>
                </c:pt>
                <c:pt idx="286">
                  <c:v>US00217D1000</c:v>
                </c:pt>
                <c:pt idx="287">
                  <c:v>US76155X1000</c:v>
                </c:pt>
                <c:pt idx="288">
                  <c:v>US29415C1018</c:v>
                </c:pt>
                <c:pt idx="289">
                  <c:v>US82686Q1013</c:v>
                </c:pt>
                <c:pt idx="290">
                  <c:v>US65345N1063</c:v>
                </c:pt>
                <c:pt idx="291">
                  <c:v>US78574H1041</c:v>
                </c:pt>
                <c:pt idx="292">
                  <c:v>US75644T1007</c:v>
                </c:pt>
                <c:pt idx="293">
                  <c:v>US1523091007</c:v>
                </c:pt>
                <c:pt idx="294">
                  <c:v>KYG114481008</c:v>
                </c:pt>
                <c:pt idx="295">
                  <c:v>US74319N1000</c:v>
                </c:pt>
                <c:pt idx="296">
                  <c:v>US0381692070</c:v>
                </c:pt>
                <c:pt idx="297">
                  <c:v>US35953C1062</c:v>
                </c:pt>
                <c:pt idx="298">
                  <c:v>US6420451089</c:v>
                </c:pt>
              </c:strCache>
            </c:strRef>
          </c:cat>
          <c:val>
            <c:numRef>
              <c:f>Vinesh_Portfolio!$AJ$3:$AJ$312</c:f>
              <c:numCache>
                <c:formatCode>0.00%</c:formatCode>
                <c:ptCount val="310"/>
                <c:pt idx="0">
                  <c:v>0.01</c:v>
                </c:pt>
                <c:pt idx="1">
                  <c:v>0.01</c:v>
                </c:pt>
                <c:pt idx="2">
                  <c:v>0.01</c:v>
                </c:pt>
                <c:pt idx="3">
                  <c:v>0.01</c:v>
                </c:pt>
                <c:pt idx="4">
                  <c:v>0.01</c:v>
                </c:pt>
                <c:pt idx="5">
                  <c:v>0.01</c:v>
                </c:pt>
                <c:pt idx="6">
                  <c:v>0.01</c:v>
                </c:pt>
                <c:pt idx="7">
                  <c:v>0.01</c:v>
                </c:pt>
                <c:pt idx="8">
                  <c:v>0.01</c:v>
                </c:pt>
                <c:pt idx="9">
                  <c:v>0.01</c:v>
                </c:pt>
                <c:pt idx="10">
                  <c:v>0.01</c:v>
                </c:pt>
                <c:pt idx="11">
                  <c:v>0.01</c:v>
                </c:pt>
                <c:pt idx="12">
                  <c:v>0.01</c:v>
                </c:pt>
                <c:pt idx="13">
                  <c:v>0.01</c:v>
                </c:pt>
                <c:pt idx="14">
                  <c:v>0.01</c:v>
                </c:pt>
                <c:pt idx="15">
                  <c:v>0.01</c:v>
                </c:pt>
                <c:pt idx="16">
                  <c:v>0.01</c:v>
                </c:pt>
                <c:pt idx="17">
                  <c:v>0.01</c:v>
                </c:pt>
                <c:pt idx="18">
                  <c:v>0.01</c:v>
                </c:pt>
                <c:pt idx="19">
                  <c:v>0.01</c:v>
                </c:pt>
                <c:pt idx="20">
                  <c:v>0.01</c:v>
                </c:pt>
                <c:pt idx="21">
                  <c:v>0.01</c:v>
                </c:pt>
                <c:pt idx="22">
                  <c:v>0.01</c:v>
                </c:pt>
                <c:pt idx="23">
                  <c:v>0.01</c:v>
                </c:pt>
                <c:pt idx="24">
                  <c:v>0.01</c:v>
                </c:pt>
                <c:pt idx="25">
                  <c:v>0.01</c:v>
                </c:pt>
                <c:pt idx="26">
                  <c:v>0.01</c:v>
                </c:pt>
                <c:pt idx="27">
                  <c:v>0.01</c:v>
                </c:pt>
                <c:pt idx="28">
                  <c:v>0.01</c:v>
                </c:pt>
                <c:pt idx="29">
                  <c:v>0.01</c:v>
                </c:pt>
                <c:pt idx="30">
                  <c:v>0.01</c:v>
                </c:pt>
                <c:pt idx="31">
                  <c:v>0.01</c:v>
                </c:pt>
                <c:pt idx="32">
                  <c:v>0.01</c:v>
                </c:pt>
                <c:pt idx="33">
                  <c:v>0.01</c:v>
                </c:pt>
                <c:pt idx="34">
                  <c:v>0.01</c:v>
                </c:pt>
                <c:pt idx="35">
                  <c:v>0.01</c:v>
                </c:pt>
                <c:pt idx="36">
                  <c:v>0.01</c:v>
                </c:pt>
                <c:pt idx="37">
                  <c:v>0.01</c:v>
                </c:pt>
                <c:pt idx="38">
                  <c:v>0.01</c:v>
                </c:pt>
                <c:pt idx="39">
                  <c:v>0.01</c:v>
                </c:pt>
                <c:pt idx="40">
                  <c:v>0.01</c:v>
                </c:pt>
                <c:pt idx="41">
                  <c:v>0.01</c:v>
                </c:pt>
                <c:pt idx="42">
                  <c:v>0.01</c:v>
                </c:pt>
                <c:pt idx="43">
                  <c:v>0.01</c:v>
                </c:pt>
                <c:pt idx="44">
                  <c:v>0.01</c:v>
                </c:pt>
                <c:pt idx="45">
                  <c:v>0.01</c:v>
                </c:pt>
                <c:pt idx="46">
                  <c:v>0.01</c:v>
                </c:pt>
                <c:pt idx="47">
                  <c:v>0.01</c:v>
                </c:pt>
                <c:pt idx="48">
                  <c:v>0.01</c:v>
                </c:pt>
                <c:pt idx="49">
                  <c:v>0.01</c:v>
                </c:pt>
                <c:pt idx="50">
                  <c:v>0.01</c:v>
                </c:pt>
                <c:pt idx="51">
                  <c:v>0.01</c:v>
                </c:pt>
                <c:pt idx="52">
                  <c:v>0.01</c:v>
                </c:pt>
                <c:pt idx="53">
                  <c:v>0.01</c:v>
                </c:pt>
                <c:pt idx="54">
                  <c:v>0.01</c:v>
                </c:pt>
                <c:pt idx="55">
                  <c:v>0.01</c:v>
                </c:pt>
                <c:pt idx="56">
                  <c:v>0.01</c:v>
                </c:pt>
                <c:pt idx="57">
                  <c:v>0.01</c:v>
                </c:pt>
                <c:pt idx="58">
                  <c:v>0.01</c:v>
                </c:pt>
                <c:pt idx="59">
                  <c:v>9.9000000000000008E-3</c:v>
                </c:pt>
                <c:pt idx="60">
                  <c:v>9.5999999999999992E-3</c:v>
                </c:pt>
                <c:pt idx="61">
                  <c:v>9.2999999999999992E-3</c:v>
                </c:pt>
                <c:pt idx="62">
                  <c:v>9.2999999999999992E-3</c:v>
                </c:pt>
                <c:pt idx="63">
                  <c:v>9.1999999999999998E-3</c:v>
                </c:pt>
                <c:pt idx="64">
                  <c:v>9.1999999999999998E-3</c:v>
                </c:pt>
                <c:pt idx="65">
                  <c:v>9.1000000000000004E-3</c:v>
                </c:pt>
                <c:pt idx="66">
                  <c:v>8.9999999999999993E-3</c:v>
                </c:pt>
                <c:pt idx="67">
                  <c:v>8.8999999999999999E-3</c:v>
                </c:pt>
                <c:pt idx="68">
                  <c:v>8.8000000000000005E-3</c:v>
                </c:pt>
                <c:pt idx="69">
                  <c:v>8.6E-3</c:v>
                </c:pt>
                <c:pt idx="70">
                  <c:v>8.5000000000000006E-3</c:v>
                </c:pt>
                <c:pt idx="71">
                  <c:v>8.3999999999999995E-3</c:v>
                </c:pt>
                <c:pt idx="72">
                  <c:v>8.3999999999999995E-3</c:v>
                </c:pt>
                <c:pt idx="73">
                  <c:v>7.9000000000000008E-3</c:v>
                </c:pt>
                <c:pt idx="74">
                  <c:v>7.7000000000000002E-3</c:v>
                </c:pt>
                <c:pt idx="75">
                  <c:v>7.4999999999999997E-3</c:v>
                </c:pt>
                <c:pt idx="76">
                  <c:v>7.4999999999999997E-3</c:v>
                </c:pt>
                <c:pt idx="77">
                  <c:v>7.4000000000000003E-3</c:v>
                </c:pt>
                <c:pt idx="78">
                  <c:v>7.3000000000000001E-3</c:v>
                </c:pt>
                <c:pt idx="79">
                  <c:v>7.1999999999999998E-3</c:v>
                </c:pt>
                <c:pt idx="80">
                  <c:v>7.1999999999999998E-3</c:v>
                </c:pt>
                <c:pt idx="81">
                  <c:v>7.1999999999999998E-3</c:v>
                </c:pt>
                <c:pt idx="82">
                  <c:v>7.1000000000000004E-3</c:v>
                </c:pt>
                <c:pt idx="83">
                  <c:v>7.0000000000000001E-3</c:v>
                </c:pt>
                <c:pt idx="84">
                  <c:v>6.8999999999999999E-3</c:v>
                </c:pt>
                <c:pt idx="85">
                  <c:v>6.7999999999999996E-3</c:v>
                </c:pt>
                <c:pt idx="86">
                  <c:v>6.4999999999999997E-3</c:v>
                </c:pt>
                <c:pt idx="87">
                  <c:v>6.3E-3</c:v>
                </c:pt>
                <c:pt idx="88">
                  <c:v>6.1999999999999998E-3</c:v>
                </c:pt>
                <c:pt idx="89">
                  <c:v>6.1000000000000004E-3</c:v>
                </c:pt>
                <c:pt idx="90">
                  <c:v>6.0000000000000001E-3</c:v>
                </c:pt>
                <c:pt idx="91">
                  <c:v>5.8999999999999999E-3</c:v>
                </c:pt>
                <c:pt idx="92">
                  <c:v>5.4999999999999997E-3</c:v>
                </c:pt>
                <c:pt idx="93">
                  <c:v>5.4999999999999997E-3</c:v>
                </c:pt>
                <c:pt idx="94">
                  <c:v>5.4999999999999997E-3</c:v>
                </c:pt>
                <c:pt idx="95">
                  <c:v>5.4000000000000003E-3</c:v>
                </c:pt>
                <c:pt idx="96">
                  <c:v>5.3E-3</c:v>
                </c:pt>
                <c:pt idx="97">
                  <c:v>5.0000000000000001E-3</c:v>
                </c:pt>
                <c:pt idx="98">
                  <c:v>5.0000000000000001E-3</c:v>
                </c:pt>
                <c:pt idx="99">
                  <c:v>4.7000000000000002E-3</c:v>
                </c:pt>
                <c:pt idx="100">
                  <c:v>4.7000000000000002E-3</c:v>
                </c:pt>
                <c:pt idx="101">
                  <c:v>4.5999999999999999E-3</c:v>
                </c:pt>
                <c:pt idx="102">
                  <c:v>4.5999999999999999E-3</c:v>
                </c:pt>
                <c:pt idx="103">
                  <c:v>4.0000000000000001E-3</c:v>
                </c:pt>
                <c:pt idx="104">
                  <c:v>4.0000000000000001E-3</c:v>
                </c:pt>
                <c:pt idx="105">
                  <c:v>3.8999999999999998E-3</c:v>
                </c:pt>
                <c:pt idx="106">
                  <c:v>3.8999999999999998E-3</c:v>
                </c:pt>
                <c:pt idx="107">
                  <c:v>3.8E-3</c:v>
                </c:pt>
                <c:pt idx="108">
                  <c:v>3.8E-3</c:v>
                </c:pt>
                <c:pt idx="109">
                  <c:v>3.8E-3</c:v>
                </c:pt>
                <c:pt idx="110">
                  <c:v>3.5999999999999999E-3</c:v>
                </c:pt>
                <c:pt idx="111">
                  <c:v>3.5999999999999999E-3</c:v>
                </c:pt>
                <c:pt idx="112">
                  <c:v>3.5000000000000001E-3</c:v>
                </c:pt>
                <c:pt idx="113">
                  <c:v>3.2000000000000002E-3</c:v>
                </c:pt>
                <c:pt idx="114">
                  <c:v>3.0999999999999999E-3</c:v>
                </c:pt>
                <c:pt idx="115">
                  <c:v>3.0000000000000001E-3</c:v>
                </c:pt>
                <c:pt idx="116">
                  <c:v>2.8999999999999998E-3</c:v>
                </c:pt>
                <c:pt idx="117">
                  <c:v>2.5999999999999999E-3</c:v>
                </c:pt>
                <c:pt idx="118">
                  <c:v>2.5000000000000001E-3</c:v>
                </c:pt>
                <c:pt idx="119">
                  <c:v>2.5000000000000001E-3</c:v>
                </c:pt>
                <c:pt idx="120">
                  <c:v>2.3E-3</c:v>
                </c:pt>
                <c:pt idx="121">
                  <c:v>2.3E-3</c:v>
                </c:pt>
                <c:pt idx="122">
                  <c:v>2.2000000000000001E-3</c:v>
                </c:pt>
                <c:pt idx="123">
                  <c:v>2.2000000000000001E-3</c:v>
                </c:pt>
                <c:pt idx="124">
                  <c:v>2.0999999999999999E-3</c:v>
                </c:pt>
                <c:pt idx="125">
                  <c:v>2.0999999999999999E-3</c:v>
                </c:pt>
                <c:pt idx="126">
                  <c:v>2.0999999999999999E-3</c:v>
                </c:pt>
                <c:pt idx="127">
                  <c:v>2E-3</c:v>
                </c:pt>
                <c:pt idx="128">
                  <c:v>1.8E-3</c:v>
                </c:pt>
                <c:pt idx="129">
                  <c:v>1.8E-3</c:v>
                </c:pt>
                <c:pt idx="130">
                  <c:v>1.6999999999999999E-3</c:v>
                </c:pt>
                <c:pt idx="131">
                  <c:v>1.6000000000000001E-3</c:v>
                </c:pt>
                <c:pt idx="132">
                  <c:v>1.5E-3</c:v>
                </c:pt>
                <c:pt idx="133">
                  <c:v>1.4E-3</c:v>
                </c:pt>
                <c:pt idx="134">
                  <c:v>1.2999999999999999E-3</c:v>
                </c:pt>
                <c:pt idx="135">
                  <c:v>1.2999999999999999E-3</c:v>
                </c:pt>
                <c:pt idx="136">
                  <c:v>1.2999999999999999E-3</c:v>
                </c:pt>
                <c:pt idx="137">
                  <c:v>1.2999999999999999E-3</c:v>
                </c:pt>
                <c:pt idx="138">
                  <c:v>1.1999999999999999E-3</c:v>
                </c:pt>
                <c:pt idx="139">
                  <c:v>8.9999999999999998E-4</c:v>
                </c:pt>
                <c:pt idx="140">
                  <c:v>6.9999999999999999E-4</c:v>
                </c:pt>
                <c:pt idx="141">
                  <c:v>6.9999999999999999E-4</c:v>
                </c:pt>
                <c:pt idx="142">
                  <c:v>5.9999999999999995E-4</c:v>
                </c:pt>
                <c:pt idx="143">
                  <c:v>5.9999999999999995E-4</c:v>
                </c:pt>
                <c:pt idx="144">
                  <c:v>2.9999999999999997E-4</c:v>
                </c:pt>
                <c:pt idx="145">
                  <c:v>2.9999999999999997E-4</c:v>
                </c:pt>
                <c:pt idx="146">
                  <c:v>2.0000000000000001E-4</c:v>
                </c:pt>
                <c:pt idx="147">
                  <c:v>2.0000000000000001E-4</c:v>
                </c:pt>
                <c:pt idx="148">
                  <c:v>2.0000000000000001E-4</c:v>
                </c:pt>
                <c:pt idx="149">
                  <c:v>-1E-4</c:v>
                </c:pt>
                <c:pt idx="150">
                  <c:v>-1E-4</c:v>
                </c:pt>
                <c:pt idx="151">
                  <c:v>-2.0000000000000001E-4</c:v>
                </c:pt>
                <c:pt idx="152">
                  <c:v>-2.9999999999999997E-4</c:v>
                </c:pt>
                <c:pt idx="153">
                  <c:v>-2.9999999999999997E-4</c:v>
                </c:pt>
                <c:pt idx="154">
                  <c:v>-6.9999999999999999E-4</c:v>
                </c:pt>
                <c:pt idx="155">
                  <c:v>-6.9999999999999999E-4</c:v>
                </c:pt>
                <c:pt idx="156">
                  <c:v>-8.9999999999999998E-4</c:v>
                </c:pt>
                <c:pt idx="157">
                  <c:v>-8.9999999999999998E-4</c:v>
                </c:pt>
                <c:pt idx="158">
                  <c:v>-8.9999999999999998E-4</c:v>
                </c:pt>
                <c:pt idx="159">
                  <c:v>-1.1000000000000001E-3</c:v>
                </c:pt>
                <c:pt idx="160">
                  <c:v>-1.2999999999999999E-3</c:v>
                </c:pt>
                <c:pt idx="161">
                  <c:v>-1.5E-3</c:v>
                </c:pt>
                <c:pt idx="162">
                  <c:v>-1.6000000000000001E-3</c:v>
                </c:pt>
                <c:pt idx="163">
                  <c:v>-1.6000000000000001E-3</c:v>
                </c:pt>
                <c:pt idx="164">
                  <c:v>-1.6999999999999999E-3</c:v>
                </c:pt>
                <c:pt idx="165">
                  <c:v>-1.8E-3</c:v>
                </c:pt>
                <c:pt idx="166">
                  <c:v>-1.8E-3</c:v>
                </c:pt>
                <c:pt idx="167">
                  <c:v>-1.9E-3</c:v>
                </c:pt>
                <c:pt idx="168">
                  <c:v>-1.9E-3</c:v>
                </c:pt>
                <c:pt idx="169">
                  <c:v>-2E-3</c:v>
                </c:pt>
                <c:pt idx="170">
                  <c:v>-2E-3</c:v>
                </c:pt>
                <c:pt idx="171">
                  <c:v>-2.0999999999999999E-3</c:v>
                </c:pt>
                <c:pt idx="172">
                  <c:v>-2.0999999999999999E-3</c:v>
                </c:pt>
                <c:pt idx="173">
                  <c:v>-2.0999999999999999E-3</c:v>
                </c:pt>
                <c:pt idx="174">
                  <c:v>-2.0999999999999999E-3</c:v>
                </c:pt>
                <c:pt idx="175">
                  <c:v>-2.0999999999999999E-3</c:v>
                </c:pt>
                <c:pt idx="176">
                  <c:v>-2.3E-3</c:v>
                </c:pt>
                <c:pt idx="177">
                  <c:v>-2.3E-3</c:v>
                </c:pt>
                <c:pt idx="178">
                  <c:v>-2.5000000000000001E-3</c:v>
                </c:pt>
                <c:pt idx="179">
                  <c:v>-2.5000000000000001E-3</c:v>
                </c:pt>
                <c:pt idx="180">
                  <c:v>-2.5000000000000001E-3</c:v>
                </c:pt>
                <c:pt idx="181">
                  <c:v>-2.7000000000000001E-3</c:v>
                </c:pt>
                <c:pt idx="182">
                  <c:v>-2.8999999999999998E-3</c:v>
                </c:pt>
                <c:pt idx="183">
                  <c:v>-3.0000000000000001E-3</c:v>
                </c:pt>
                <c:pt idx="184">
                  <c:v>-3.0999999999999999E-3</c:v>
                </c:pt>
                <c:pt idx="185">
                  <c:v>-3.3999999999999998E-3</c:v>
                </c:pt>
                <c:pt idx="186">
                  <c:v>-3.3999999999999998E-3</c:v>
                </c:pt>
                <c:pt idx="187">
                  <c:v>-3.5999999999999999E-3</c:v>
                </c:pt>
                <c:pt idx="188">
                  <c:v>-3.5999999999999999E-3</c:v>
                </c:pt>
                <c:pt idx="189">
                  <c:v>-3.5999999999999999E-3</c:v>
                </c:pt>
                <c:pt idx="190">
                  <c:v>-3.8E-3</c:v>
                </c:pt>
                <c:pt idx="191">
                  <c:v>-4.0000000000000001E-3</c:v>
                </c:pt>
                <c:pt idx="192">
                  <c:v>-4.0000000000000001E-3</c:v>
                </c:pt>
                <c:pt idx="193">
                  <c:v>-4.0000000000000001E-3</c:v>
                </c:pt>
                <c:pt idx="194">
                  <c:v>-4.1000000000000003E-3</c:v>
                </c:pt>
                <c:pt idx="195">
                  <c:v>-4.1999999999999997E-3</c:v>
                </c:pt>
                <c:pt idx="196">
                  <c:v>-4.4000000000000003E-3</c:v>
                </c:pt>
                <c:pt idx="197">
                  <c:v>-4.4000000000000003E-3</c:v>
                </c:pt>
                <c:pt idx="198">
                  <c:v>-4.4000000000000003E-3</c:v>
                </c:pt>
                <c:pt idx="199">
                  <c:v>-4.4999999999999997E-3</c:v>
                </c:pt>
                <c:pt idx="200">
                  <c:v>-4.5999999999999999E-3</c:v>
                </c:pt>
                <c:pt idx="201">
                  <c:v>-4.7000000000000002E-3</c:v>
                </c:pt>
                <c:pt idx="202">
                  <c:v>-5.1000000000000004E-3</c:v>
                </c:pt>
                <c:pt idx="203">
                  <c:v>-5.1000000000000004E-3</c:v>
                </c:pt>
                <c:pt idx="204">
                  <c:v>-5.4000000000000003E-3</c:v>
                </c:pt>
                <c:pt idx="205">
                  <c:v>-5.4000000000000003E-3</c:v>
                </c:pt>
                <c:pt idx="206">
                  <c:v>-5.4000000000000003E-3</c:v>
                </c:pt>
                <c:pt idx="207">
                  <c:v>-5.4999999999999997E-3</c:v>
                </c:pt>
                <c:pt idx="208">
                  <c:v>-5.5999999999999999E-3</c:v>
                </c:pt>
                <c:pt idx="209">
                  <c:v>-5.8999999999999999E-3</c:v>
                </c:pt>
                <c:pt idx="210">
                  <c:v>-6.0000000000000001E-3</c:v>
                </c:pt>
                <c:pt idx="211">
                  <c:v>-6.3E-3</c:v>
                </c:pt>
                <c:pt idx="212">
                  <c:v>-6.4000000000000003E-3</c:v>
                </c:pt>
                <c:pt idx="213">
                  <c:v>-6.6E-3</c:v>
                </c:pt>
                <c:pt idx="214">
                  <c:v>-6.7000000000000002E-3</c:v>
                </c:pt>
                <c:pt idx="215">
                  <c:v>-6.7999999999999996E-3</c:v>
                </c:pt>
                <c:pt idx="216">
                  <c:v>-7.0000000000000001E-3</c:v>
                </c:pt>
                <c:pt idx="217">
                  <c:v>-7.1999999999999998E-3</c:v>
                </c:pt>
                <c:pt idx="218">
                  <c:v>-7.4999999999999997E-3</c:v>
                </c:pt>
                <c:pt idx="219">
                  <c:v>-7.4999999999999997E-3</c:v>
                </c:pt>
                <c:pt idx="220">
                  <c:v>-7.4999999999999997E-3</c:v>
                </c:pt>
                <c:pt idx="221">
                  <c:v>-7.6E-3</c:v>
                </c:pt>
                <c:pt idx="222">
                  <c:v>-7.6E-3</c:v>
                </c:pt>
                <c:pt idx="223">
                  <c:v>-7.9000000000000008E-3</c:v>
                </c:pt>
                <c:pt idx="224">
                  <c:v>-8.0000000000000002E-3</c:v>
                </c:pt>
                <c:pt idx="225">
                  <c:v>-8.2000000000000007E-3</c:v>
                </c:pt>
                <c:pt idx="226">
                  <c:v>-8.2000000000000007E-3</c:v>
                </c:pt>
                <c:pt idx="227">
                  <c:v>-8.3000000000000001E-3</c:v>
                </c:pt>
                <c:pt idx="228">
                  <c:v>-8.5000000000000006E-3</c:v>
                </c:pt>
                <c:pt idx="229">
                  <c:v>-8.6E-3</c:v>
                </c:pt>
                <c:pt idx="230">
                  <c:v>-8.8000000000000005E-3</c:v>
                </c:pt>
                <c:pt idx="231">
                  <c:v>-8.8000000000000005E-3</c:v>
                </c:pt>
                <c:pt idx="232">
                  <c:v>-8.9999999999999993E-3</c:v>
                </c:pt>
                <c:pt idx="233">
                  <c:v>-8.9999999999999993E-3</c:v>
                </c:pt>
                <c:pt idx="234">
                  <c:v>-8.9999999999999993E-3</c:v>
                </c:pt>
                <c:pt idx="235">
                  <c:v>-9.1999999999999998E-3</c:v>
                </c:pt>
                <c:pt idx="236">
                  <c:v>-9.2999999999999992E-3</c:v>
                </c:pt>
                <c:pt idx="237">
                  <c:v>-9.4000000000000004E-3</c:v>
                </c:pt>
                <c:pt idx="238">
                  <c:v>-9.4000000000000004E-3</c:v>
                </c:pt>
                <c:pt idx="239">
                  <c:v>-9.4000000000000004E-3</c:v>
                </c:pt>
                <c:pt idx="240">
                  <c:v>-9.4000000000000004E-3</c:v>
                </c:pt>
                <c:pt idx="241">
                  <c:v>-9.5999999999999992E-3</c:v>
                </c:pt>
                <c:pt idx="242">
                  <c:v>-9.7000000000000003E-3</c:v>
                </c:pt>
                <c:pt idx="243">
                  <c:v>-9.7999999999999997E-3</c:v>
                </c:pt>
                <c:pt idx="244">
                  <c:v>-9.9000000000000008E-3</c:v>
                </c:pt>
                <c:pt idx="245">
                  <c:v>-9.9000000000000008E-3</c:v>
                </c:pt>
                <c:pt idx="246">
                  <c:v>-0.01</c:v>
                </c:pt>
                <c:pt idx="247">
                  <c:v>-0.01</c:v>
                </c:pt>
                <c:pt idx="248">
                  <c:v>-0.01</c:v>
                </c:pt>
                <c:pt idx="249">
                  <c:v>-0.01</c:v>
                </c:pt>
                <c:pt idx="250">
                  <c:v>-0.01</c:v>
                </c:pt>
                <c:pt idx="251">
                  <c:v>-0.01</c:v>
                </c:pt>
                <c:pt idx="252">
                  <c:v>-0.01</c:v>
                </c:pt>
                <c:pt idx="253">
                  <c:v>-0.01</c:v>
                </c:pt>
                <c:pt idx="254">
                  <c:v>-0.01</c:v>
                </c:pt>
                <c:pt idx="255">
                  <c:v>-0.01</c:v>
                </c:pt>
                <c:pt idx="256">
                  <c:v>-0.01</c:v>
                </c:pt>
                <c:pt idx="257">
                  <c:v>-0.01</c:v>
                </c:pt>
                <c:pt idx="258">
                  <c:v>-0.01</c:v>
                </c:pt>
                <c:pt idx="259">
                  <c:v>-0.01</c:v>
                </c:pt>
                <c:pt idx="260">
                  <c:v>-0.01</c:v>
                </c:pt>
                <c:pt idx="261">
                  <c:v>-0.01</c:v>
                </c:pt>
                <c:pt idx="262">
                  <c:v>-0.01</c:v>
                </c:pt>
                <c:pt idx="263">
                  <c:v>-0.01</c:v>
                </c:pt>
                <c:pt idx="264">
                  <c:v>-0.01</c:v>
                </c:pt>
                <c:pt idx="265">
                  <c:v>-0.01</c:v>
                </c:pt>
                <c:pt idx="266">
                  <c:v>-0.01</c:v>
                </c:pt>
                <c:pt idx="267">
                  <c:v>-0.01</c:v>
                </c:pt>
                <c:pt idx="268">
                  <c:v>-0.01</c:v>
                </c:pt>
                <c:pt idx="269">
                  <c:v>-0.01</c:v>
                </c:pt>
                <c:pt idx="270">
                  <c:v>-0.01</c:v>
                </c:pt>
                <c:pt idx="271">
                  <c:v>-0.01</c:v>
                </c:pt>
                <c:pt idx="272">
                  <c:v>-0.01</c:v>
                </c:pt>
                <c:pt idx="273">
                  <c:v>-0.01</c:v>
                </c:pt>
                <c:pt idx="274">
                  <c:v>-0.01</c:v>
                </c:pt>
                <c:pt idx="275">
                  <c:v>-0.01</c:v>
                </c:pt>
                <c:pt idx="276">
                  <c:v>-0.01</c:v>
                </c:pt>
                <c:pt idx="277">
                  <c:v>-0.01</c:v>
                </c:pt>
                <c:pt idx="278">
                  <c:v>-0.01</c:v>
                </c:pt>
                <c:pt idx="279">
                  <c:v>-0.01</c:v>
                </c:pt>
                <c:pt idx="280">
                  <c:v>-0.01</c:v>
                </c:pt>
                <c:pt idx="281">
                  <c:v>-0.01</c:v>
                </c:pt>
                <c:pt idx="282">
                  <c:v>-0.01</c:v>
                </c:pt>
                <c:pt idx="283">
                  <c:v>-0.01</c:v>
                </c:pt>
                <c:pt idx="284">
                  <c:v>-0.01</c:v>
                </c:pt>
                <c:pt idx="285">
                  <c:v>-0.01</c:v>
                </c:pt>
                <c:pt idx="286">
                  <c:v>-0.01</c:v>
                </c:pt>
                <c:pt idx="287">
                  <c:v>-0.01</c:v>
                </c:pt>
                <c:pt idx="288">
                  <c:v>-0.01</c:v>
                </c:pt>
                <c:pt idx="289">
                  <c:v>-0.01</c:v>
                </c:pt>
                <c:pt idx="290">
                  <c:v>-0.01</c:v>
                </c:pt>
                <c:pt idx="291">
                  <c:v>-0.01</c:v>
                </c:pt>
                <c:pt idx="292">
                  <c:v>-0.01</c:v>
                </c:pt>
                <c:pt idx="293">
                  <c:v>-0.01</c:v>
                </c:pt>
                <c:pt idx="294">
                  <c:v>-0.01</c:v>
                </c:pt>
                <c:pt idx="295">
                  <c:v>-0.01</c:v>
                </c:pt>
                <c:pt idx="296">
                  <c:v>-0.01</c:v>
                </c:pt>
                <c:pt idx="297">
                  <c:v>-0.01</c:v>
                </c:pt>
                <c:pt idx="298">
                  <c:v>-0.01</c:v>
                </c:pt>
              </c:numCache>
            </c:numRef>
          </c:val>
          <c:extLst>
            <c:ext xmlns:c16="http://schemas.microsoft.com/office/drawing/2014/chart" uri="{C3380CC4-5D6E-409C-BE32-E72D297353CC}">
              <c16:uniqueId val="{00000000-1A05-451A-8E2D-E6DF85C08523}"/>
            </c:ext>
          </c:extLst>
        </c:ser>
        <c:dLbls>
          <c:showLegendKey val="0"/>
          <c:showVal val="0"/>
          <c:showCatName val="0"/>
          <c:showSerName val="0"/>
          <c:showPercent val="0"/>
          <c:showBubbleSize val="0"/>
        </c:dLbls>
        <c:gapWidth val="219"/>
        <c:overlap val="-27"/>
        <c:axId val="1024409855"/>
        <c:axId val="1024406015"/>
      </c:barChart>
      <c:catAx>
        <c:axId val="1024409855"/>
        <c:scaling>
          <c:orientation val="minMax"/>
        </c:scaling>
        <c:delete val="1"/>
        <c:axPos val="b"/>
        <c:numFmt formatCode="General" sourceLinked="1"/>
        <c:majorTickMark val="none"/>
        <c:minorTickMark val="none"/>
        <c:tickLblPos val="nextTo"/>
        <c:crossAx val="1024406015"/>
        <c:crosses val="autoZero"/>
        <c:auto val="1"/>
        <c:lblAlgn val="ctr"/>
        <c:lblOffset val="100"/>
        <c:noMultiLvlLbl val="0"/>
      </c:catAx>
      <c:valAx>
        <c:axId val="1024406015"/>
        <c:scaling>
          <c:orientation val="minMax"/>
          <c:max val="1.0000000000000002E-2"/>
          <c:min val="-1.0000000000000002E-2"/>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40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189865</xdr:colOff>
      <xdr:row>65</xdr:row>
      <xdr:rowOff>118110</xdr:rowOff>
    </xdr:from>
    <xdr:to>
      <xdr:col>31</xdr:col>
      <xdr:colOff>655331</xdr:colOff>
      <xdr:row>79</xdr:row>
      <xdr:rowOff>59920</xdr:rowOff>
    </xdr:to>
    <xdr:graphicFrame macro="">
      <xdr:nvGraphicFramePr>
        <xdr:cNvPr id="3" name="Chart 2">
          <a:extLst>
            <a:ext uri="{FF2B5EF4-FFF2-40B4-BE49-F238E27FC236}">
              <a16:creationId xmlns:a16="http://schemas.microsoft.com/office/drawing/2014/main" id="{98E92893-6F54-4218-8B86-AD251CA4CF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D310F-97E8-4B66-9644-E04F32907432}">
  <dimension ref="E3:AU301"/>
  <sheetViews>
    <sheetView workbookViewId="0"/>
  </sheetViews>
  <sheetFormatPr defaultRowHeight="15.75" x14ac:dyDescent="0.3"/>
  <sheetData>
    <row r="3" spans="5:47" x14ac:dyDescent="0.3">
      <c r="E3" t="s">
        <v>107</v>
      </c>
      <c r="AL3" t="s">
        <v>746</v>
      </c>
      <c r="AM3" t="s">
        <v>747</v>
      </c>
      <c r="AN3" t="s">
        <v>748</v>
      </c>
      <c r="AO3" t="s">
        <v>749</v>
      </c>
      <c r="AP3" t="s">
        <v>107</v>
      </c>
      <c r="AQ3" t="s">
        <v>750</v>
      </c>
      <c r="AR3" t="s">
        <v>751</v>
      </c>
      <c r="AS3" t="s">
        <v>752</v>
      </c>
      <c r="AT3" t="s">
        <v>753</v>
      </c>
      <c r="AU3" t="s">
        <v>747</v>
      </c>
    </row>
    <row r="4" spans="5:47" x14ac:dyDescent="0.3">
      <c r="E4" t="s">
        <v>107</v>
      </c>
      <c r="AL4" t="s">
        <v>746</v>
      </c>
      <c r="AM4" t="s">
        <v>747</v>
      </c>
      <c r="AN4" t="s">
        <v>748</v>
      </c>
      <c r="AO4" t="s">
        <v>749</v>
      </c>
      <c r="AP4" t="s">
        <v>107</v>
      </c>
      <c r="AQ4" t="s">
        <v>750</v>
      </c>
      <c r="AR4" t="s">
        <v>751</v>
      </c>
      <c r="AS4" t="s">
        <v>752</v>
      </c>
      <c r="AT4" t="s">
        <v>753</v>
      </c>
      <c r="AU4" t="s">
        <v>747</v>
      </c>
    </row>
    <row r="5" spans="5:47" x14ac:dyDescent="0.3">
      <c r="E5" t="s">
        <v>107</v>
      </c>
      <c r="AL5" t="s">
        <v>746</v>
      </c>
      <c r="AM5" t="s">
        <v>747</v>
      </c>
      <c r="AN5" t="s">
        <v>748</v>
      </c>
      <c r="AO5" t="s">
        <v>749</v>
      </c>
      <c r="AP5" t="s">
        <v>107</v>
      </c>
      <c r="AQ5" t="s">
        <v>750</v>
      </c>
      <c r="AR5" t="s">
        <v>751</v>
      </c>
      <c r="AS5" t="s">
        <v>752</v>
      </c>
      <c r="AT5" t="s">
        <v>753</v>
      </c>
      <c r="AU5" t="s">
        <v>747</v>
      </c>
    </row>
    <row r="6" spans="5:47" x14ac:dyDescent="0.3">
      <c r="E6" t="s">
        <v>107</v>
      </c>
      <c r="AL6" t="s">
        <v>746</v>
      </c>
      <c r="AM6" t="s">
        <v>747</v>
      </c>
      <c r="AN6" t="s">
        <v>748</v>
      </c>
      <c r="AO6" t="s">
        <v>749</v>
      </c>
      <c r="AP6" t="s">
        <v>107</v>
      </c>
      <c r="AQ6" t="s">
        <v>750</v>
      </c>
      <c r="AR6" t="s">
        <v>751</v>
      </c>
      <c r="AS6" t="s">
        <v>752</v>
      </c>
      <c r="AT6" t="s">
        <v>753</v>
      </c>
      <c r="AU6" t="s">
        <v>747</v>
      </c>
    </row>
    <row r="7" spans="5:47" x14ac:dyDescent="0.3">
      <c r="E7" t="s">
        <v>107</v>
      </c>
      <c r="AL7" t="s">
        <v>746</v>
      </c>
      <c r="AM7" t="s">
        <v>747</v>
      </c>
      <c r="AN7" t="s">
        <v>748</v>
      </c>
      <c r="AO7" t="s">
        <v>749</v>
      </c>
      <c r="AP7" t="s">
        <v>107</v>
      </c>
      <c r="AQ7" t="s">
        <v>750</v>
      </c>
      <c r="AR7" t="s">
        <v>751</v>
      </c>
      <c r="AS7" t="s">
        <v>752</v>
      </c>
      <c r="AT7" t="s">
        <v>753</v>
      </c>
      <c r="AU7" t="s">
        <v>747</v>
      </c>
    </row>
    <row r="8" spans="5:47" x14ac:dyDescent="0.3">
      <c r="E8" t="s">
        <v>107</v>
      </c>
      <c r="AL8" t="s">
        <v>746</v>
      </c>
      <c r="AM8" t="s">
        <v>747</v>
      </c>
      <c r="AN8" t="s">
        <v>748</v>
      </c>
      <c r="AO8" t="s">
        <v>749</v>
      </c>
      <c r="AP8" t="s">
        <v>107</v>
      </c>
      <c r="AQ8" t="s">
        <v>750</v>
      </c>
      <c r="AR8" t="s">
        <v>751</v>
      </c>
      <c r="AS8" t="s">
        <v>752</v>
      </c>
      <c r="AT8" t="s">
        <v>753</v>
      </c>
      <c r="AU8" t="s">
        <v>747</v>
      </c>
    </row>
    <row r="9" spans="5:47" x14ac:dyDescent="0.3">
      <c r="E9" t="s">
        <v>107</v>
      </c>
      <c r="AL9" t="s">
        <v>746</v>
      </c>
      <c r="AM9" t="s">
        <v>747</v>
      </c>
      <c r="AN9" t="s">
        <v>748</v>
      </c>
      <c r="AO9" t="s">
        <v>749</v>
      </c>
      <c r="AP9" t="s">
        <v>107</v>
      </c>
      <c r="AQ9" t="s">
        <v>750</v>
      </c>
      <c r="AR9" t="s">
        <v>751</v>
      </c>
      <c r="AS9" t="s">
        <v>752</v>
      </c>
      <c r="AT9" t="s">
        <v>753</v>
      </c>
      <c r="AU9" t="s">
        <v>747</v>
      </c>
    </row>
    <row r="10" spans="5:47" x14ac:dyDescent="0.3">
      <c r="E10" t="s">
        <v>107</v>
      </c>
      <c r="AL10" t="s">
        <v>746</v>
      </c>
      <c r="AM10" t="s">
        <v>747</v>
      </c>
      <c r="AN10" t="s">
        <v>748</v>
      </c>
      <c r="AO10" t="s">
        <v>749</v>
      </c>
      <c r="AP10" t="s">
        <v>107</v>
      </c>
      <c r="AQ10" t="s">
        <v>750</v>
      </c>
      <c r="AR10" t="s">
        <v>751</v>
      </c>
      <c r="AS10" t="s">
        <v>752</v>
      </c>
      <c r="AT10" t="s">
        <v>753</v>
      </c>
      <c r="AU10" t="s">
        <v>747</v>
      </c>
    </row>
    <row r="11" spans="5:47" x14ac:dyDescent="0.3">
      <c r="E11" t="s">
        <v>107</v>
      </c>
      <c r="AL11" t="s">
        <v>746</v>
      </c>
      <c r="AM11" t="s">
        <v>747</v>
      </c>
      <c r="AN11" t="s">
        <v>748</v>
      </c>
      <c r="AO11" t="s">
        <v>749</v>
      </c>
      <c r="AP11" t="s">
        <v>107</v>
      </c>
      <c r="AQ11" t="s">
        <v>750</v>
      </c>
      <c r="AR11" t="s">
        <v>751</v>
      </c>
      <c r="AS11" t="s">
        <v>752</v>
      </c>
      <c r="AT11" t="s">
        <v>753</v>
      </c>
      <c r="AU11" t="s">
        <v>747</v>
      </c>
    </row>
    <row r="12" spans="5:47" x14ac:dyDescent="0.3">
      <c r="E12" t="s">
        <v>107</v>
      </c>
      <c r="AL12" t="s">
        <v>746</v>
      </c>
      <c r="AM12" t="s">
        <v>747</v>
      </c>
      <c r="AN12" t="s">
        <v>748</v>
      </c>
      <c r="AO12" t="s">
        <v>749</v>
      </c>
      <c r="AP12" t="s">
        <v>107</v>
      </c>
      <c r="AQ12" t="s">
        <v>750</v>
      </c>
      <c r="AR12" t="s">
        <v>751</v>
      </c>
      <c r="AS12" t="s">
        <v>752</v>
      </c>
      <c r="AT12" t="s">
        <v>753</v>
      </c>
      <c r="AU12" t="s">
        <v>747</v>
      </c>
    </row>
    <row r="13" spans="5:47" x14ac:dyDescent="0.3">
      <c r="E13" t="s">
        <v>107</v>
      </c>
      <c r="AL13" t="s">
        <v>746</v>
      </c>
      <c r="AM13" t="s">
        <v>747</v>
      </c>
      <c r="AN13" t="s">
        <v>748</v>
      </c>
      <c r="AO13" t="s">
        <v>749</v>
      </c>
      <c r="AP13" t="s">
        <v>107</v>
      </c>
      <c r="AQ13" t="s">
        <v>750</v>
      </c>
      <c r="AR13" t="s">
        <v>751</v>
      </c>
      <c r="AS13" t="s">
        <v>752</v>
      </c>
      <c r="AT13" t="s">
        <v>753</v>
      </c>
      <c r="AU13" t="s">
        <v>747</v>
      </c>
    </row>
    <row r="14" spans="5:47" x14ac:dyDescent="0.3">
      <c r="E14" t="s">
        <v>107</v>
      </c>
      <c r="AL14" t="s">
        <v>746</v>
      </c>
      <c r="AM14" t="s">
        <v>747</v>
      </c>
      <c r="AN14" t="s">
        <v>748</v>
      </c>
      <c r="AO14" t="s">
        <v>749</v>
      </c>
      <c r="AP14" t="s">
        <v>107</v>
      </c>
      <c r="AQ14" t="s">
        <v>750</v>
      </c>
      <c r="AR14" t="s">
        <v>751</v>
      </c>
      <c r="AS14" t="s">
        <v>752</v>
      </c>
      <c r="AT14" t="s">
        <v>753</v>
      </c>
      <c r="AU14" t="s">
        <v>747</v>
      </c>
    </row>
    <row r="15" spans="5:47" x14ac:dyDescent="0.3">
      <c r="E15" t="s">
        <v>107</v>
      </c>
      <c r="AL15" t="s">
        <v>746</v>
      </c>
      <c r="AM15" t="s">
        <v>747</v>
      </c>
      <c r="AN15" t="s">
        <v>748</v>
      </c>
      <c r="AO15" t="s">
        <v>749</v>
      </c>
      <c r="AP15" t="s">
        <v>107</v>
      </c>
      <c r="AQ15" t="s">
        <v>750</v>
      </c>
      <c r="AR15" t="s">
        <v>751</v>
      </c>
      <c r="AS15" t="s">
        <v>752</v>
      </c>
      <c r="AT15" t="s">
        <v>753</v>
      </c>
      <c r="AU15" t="s">
        <v>747</v>
      </c>
    </row>
    <row r="16" spans="5:47" x14ac:dyDescent="0.3">
      <c r="E16" t="s">
        <v>107</v>
      </c>
      <c r="AL16" t="s">
        <v>746</v>
      </c>
      <c r="AM16" t="s">
        <v>747</v>
      </c>
      <c r="AN16" t="s">
        <v>748</v>
      </c>
      <c r="AO16" t="s">
        <v>749</v>
      </c>
      <c r="AP16" t="s">
        <v>107</v>
      </c>
      <c r="AQ16" t="s">
        <v>750</v>
      </c>
      <c r="AR16" t="s">
        <v>751</v>
      </c>
      <c r="AS16" t="s">
        <v>752</v>
      </c>
      <c r="AT16" t="s">
        <v>753</v>
      </c>
      <c r="AU16" t="s">
        <v>747</v>
      </c>
    </row>
    <row r="17" spans="5:47" x14ac:dyDescent="0.3">
      <c r="E17" t="s">
        <v>107</v>
      </c>
      <c r="AL17" t="s">
        <v>746</v>
      </c>
      <c r="AM17" t="s">
        <v>747</v>
      </c>
      <c r="AN17" t="s">
        <v>748</v>
      </c>
      <c r="AO17" t="s">
        <v>749</v>
      </c>
      <c r="AP17" t="s">
        <v>107</v>
      </c>
      <c r="AQ17" t="s">
        <v>750</v>
      </c>
      <c r="AR17" t="s">
        <v>751</v>
      </c>
      <c r="AS17" t="s">
        <v>752</v>
      </c>
      <c r="AT17" t="s">
        <v>753</v>
      </c>
      <c r="AU17" t="s">
        <v>747</v>
      </c>
    </row>
    <row r="18" spans="5:47" x14ac:dyDescent="0.3">
      <c r="E18" t="s">
        <v>107</v>
      </c>
      <c r="AL18" t="s">
        <v>746</v>
      </c>
      <c r="AM18" t="s">
        <v>747</v>
      </c>
      <c r="AN18" t="s">
        <v>748</v>
      </c>
      <c r="AO18" t="s">
        <v>749</v>
      </c>
      <c r="AP18" t="s">
        <v>107</v>
      </c>
      <c r="AQ18" t="s">
        <v>750</v>
      </c>
      <c r="AR18" t="s">
        <v>751</v>
      </c>
      <c r="AS18" t="s">
        <v>752</v>
      </c>
      <c r="AT18" t="s">
        <v>753</v>
      </c>
      <c r="AU18" t="s">
        <v>747</v>
      </c>
    </row>
    <row r="19" spans="5:47" x14ac:dyDescent="0.3">
      <c r="E19" t="s">
        <v>107</v>
      </c>
      <c r="AL19" t="s">
        <v>746</v>
      </c>
      <c r="AM19" t="s">
        <v>747</v>
      </c>
      <c r="AN19" t="s">
        <v>748</v>
      </c>
      <c r="AO19" t="s">
        <v>749</v>
      </c>
      <c r="AP19" t="s">
        <v>107</v>
      </c>
      <c r="AQ19" t="s">
        <v>750</v>
      </c>
      <c r="AR19" t="s">
        <v>751</v>
      </c>
      <c r="AS19" t="s">
        <v>752</v>
      </c>
      <c r="AT19" t="s">
        <v>753</v>
      </c>
      <c r="AU19" t="s">
        <v>747</v>
      </c>
    </row>
    <row r="20" spans="5:47" x14ac:dyDescent="0.3">
      <c r="E20" t="s">
        <v>107</v>
      </c>
      <c r="AL20" t="s">
        <v>746</v>
      </c>
      <c r="AM20" t="s">
        <v>747</v>
      </c>
      <c r="AN20" t="s">
        <v>748</v>
      </c>
      <c r="AO20" t="s">
        <v>749</v>
      </c>
      <c r="AP20" t="s">
        <v>107</v>
      </c>
      <c r="AQ20" t="s">
        <v>750</v>
      </c>
      <c r="AR20" t="s">
        <v>751</v>
      </c>
      <c r="AS20" t="s">
        <v>752</v>
      </c>
      <c r="AT20" t="s">
        <v>753</v>
      </c>
      <c r="AU20" t="s">
        <v>747</v>
      </c>
    </row>
    <row r="21" spans="5:47" x14ac:dyDescent="0.3">
      <c r="E21" t="s">
        <v>107</v>
      </c>
      <c r="AL21" t="s">
        <v>746</v>
      </c>
      <c r="AM21" t="s">
        <v>747</v>
      </c>
      <c r="AN21" t="s">
        <v>748</v>
      </c>
      <c r="AO21" t="s">
        <v>749</v>
      </c>
      <c r="AP21" t="s">
        <v>107</v>
      </c>
      <c r="AQ21" t="s">
        <v>750</v>
      </c>
      <c r="AR21" t="s">
        <v>751</v>
      </c>
      <c r="AS21" t="s">
        <v>752</v>
      </c>
      <c r="AT21" t="s">
        <v>753</v>
      </c>
      <c r="AU21" t="s">
        <v>747</v>
      </c>
    </row>
    <row r="22" spans="5:47" x14ac:dyDescent="0.3">
      <c r="E22" t="s">
        <v>107</v>
      </c>
      <c r="AL22" t="s">
        <v>746</v>
      </c>
      <c r="AM22" t="s">
        <v>747</v>
      </c>
      <c r="AN22" t="s">
        <v>748</v>
      </c>
      <c r="AO22" t="s">
        <v>749</v>
      </c>
      <c r="AP22" t="s">
        <v>107</v>
      </c>
      <c r="AQ22" t="s">
        <v>750</v>
      </c>
      <c r="AR22" t="s">
        <v>751</v>
      </c>
      <c r="AS22" t="s">
        <v>752</v>
      </c>
      <c r="AT22" t="s">
        <v>753</v>
      </c>
      <c r="AU22" t="s">
        <v>747</v>
      </c>
    </row>
    <row r="23" spans="5:47" x14ac:dyDescent="0.3">
      <c r="E23" t="s">
        <v>107</v>
      </c>
      <c r="AL23" t="s">
        <v>746</v>
      </c>
      <c r="AM23" t="s">
        <v>747</v>
      </c>
      <c r="AN23" t="s">
        <v>748</v>
      </c>
      <c r="AO23" t="s">
        <v>749</v>
      </c>
      <c r="AP23" t="s">
        <v>107</v>
      </c>
      <c r="AQ23" t="s">
        <v>750</v>
      </c>
      <c r="AR23" t="s">
        <v>751</v>
      </c>
      <c r="AS23" t="s">
        <v>752</v>
      </c>
      <c r="AT23" t="s">
        <v>753</v>
      </c>
      <c r="AU23" t="s">
        <v>747</v>
      </c>
    </row>
    <row r="24" spans="5:47" x14ac:dyDescent="0.3">
      <c r="E24" t="s">
        <v>107</v>
      </c>
      <c r="AL24" t="s">
        <v>746</v>
      </c>
      <c r="AM24" t="s">
        <v>747</v>
      </c>
      <c r="AN24" t="s">
        <v>748</v>
      </c>
      <c r="AO24" t="s">
        <v>749</v>
      </c>
      <c r="AP24" t="s">
        <v>107</v>
      </c>
      <c r="AQ24" t="s">
        <v>750</v>
      </c>
      <c r="AR24" t="s">
        <v>751</v>
      </c>
      <c r="AS24" t="s">
        <v>752</v>
      </c>
      <c r="AT24" t="s">
        <v>753</v>
      </c>
      <c r="AU24" t="s">
        <v>747</v>
      </c>
    </row>
    <row r="25" spans="5:47" x14ac:dyDescent="0.3">
      <c r="E25" t="s">
        <v>107</v>
      </c>
      <c r="AL25" t="s">
        <v>746</v>
      </c>
      <c r="AM25" t="s">
        <v>747</v>
      </c>
      <c r="AN25" t="s">
        <v>748</v>
      </c>
      <c r="AO25" t="s">
        <v>749</v>
      </c>
      <c r="AP25" t="s">
        <v>107</v>
      </c>
      <c r="AQ25" t="s">
        <v>750</v>
      </c>
      <c r="AR25" t="s">
        <v>751</v>
      </c>
      <c r="AS25" t="s">
        <v>752</v>
      </c>
      <c r="AT25" t="s">
        <v>753</v>
      </c>
      <c r="AU25" t="s">
        <v>747</v>
      </c>
    </row>
    <row r="26" spans="5:47" x14ac:dyDescent="0.3">
      <c r="E26" t="s">
        <v>107</v>
      </c>
      <c r="AL26" t="s">
        <v>746</v>
      </c>
      <c r="AM26" t="s">
        <v>747</v>
      </c>
      <c r="AN26" t="s">
        <v>748</v>
      </c>
      <c r="AO26" t="s">
        <v>749</v>
      </c>
      <c r="AP26" t="s">
        <v>107</v>
      </c>
      <c r="AQ26" t="s">
        <v>750</v>
      </c>
      <c r="AR26" t="s">
        <v>751</v>
      </c>
      <c r="AS26" t="s">
        <v>752</v>
      </c>
      <c r="AT26" t="s">
        <v>753</v>
      </c>
      <c r="AU26" t="s">
        <v>747</v>
      </c>
    </row>
    <row r="27" spans="5:47" x14ac:dyDescent="0.3">
      <c r="E27" t="s">
        <v>107</v>
      </c>
      <c r="AL27" t="s">
        <v>746</v>
      </c>
      <c r="AM27" t="s">
        <v>747</v>
      </c>
      <c r="AN27" t="s">
        <v>748</v>
      </c>
      <c r="AO27" t="s">
        <v>749</v>
      </c>
      <c r="AP27" t="s">
        <v>107</v>
      </c>
      <c r="AQ27" t="s">
        <v>750</v>
      </c>
      <c r="AR27" t="s">
        <v>751</v>
      </c>
      <c r="AS27" t="s">
        <v>752</v>
      </c>
      <c r="AT27" t="s">
        <v>753</v>
      </c>
      <c r="AU27" t="s">
        <v>747</v>
      </c>
    </row>
    <row r="28" spans="5:47" x14ac:dyDescent="0.3">
      <c r="E28" t="s">
        <v>107</v>
      </c>
      <c r="AL28" t="s">
        <v>746</v>
      </c>
      <c r="AM28" t="s">
        <v>747</v>
      </c>
      <c r="AN28" t="s">
        <v>748</v>
      </c>
      <c r="AO28" t="s">
        <v>749</v>
      </c>
      <c r="AP28" t="s">
        <v>107</v>
      </c>
      <c r="AQ28" t="s">
        <v>750</v>
      </c>
      <c r="AR28" t="s">
        <v>751</v>
      </c>
      <c r="AS28" t="s">
        <v>752</v>
      </c>
      <c r="AT28" t="s">
        <v>753</v>
      </c>
      <c r="AU28" t="s">
        <v>747</v>
      </c>
    </row>
    <row r="29" spans="5:47" x14ac:dyDescent="0.3">
      <c r="E29" t="s">
        <v>107</v>
      </c>
      <c r="AL29" t="s">
        <v>746</v>
      </c>
      <c r="AM29" t="s">
        <v>747</v>
      </c>
      <c r="AN29" t="s">
        <v>748</v>
      </c>
      <c r="AO29" t="s">
        <v>749</v>
      </c>
      <c r="AP29" t="s">
        <v>107</v>
      </c>
      <c r="AQ29" t="s">
        <v>750</v>
      </c>
      <c r="AR29" t="s">
        <v>751</v>
      </c>
      <c r="AS29" t="s">
        <v>752</v>
      </c>
      <c r="AT29" t="s">
        <v>753</v>
      </c>
      <c r="AU29" t="s">
        <v>747</v>
      </c>
    </row>
    <row r="30" spans="5:47" x14ac:dyDescent="0.3">
      <c r="E30" t="s">
        <v>107</v>
      </c>
      <c r="AL30" t="s">
        <v>746</v>
      </c>
      <c r="AM30" t="s">
        <v>747</v>
      </c>
      <c r="AN30" t="s">
        <v>748</v>
      </c>
      <c r="AO30" t="s">
        <v>749</v>
      </c>
      <c r="AP30" t="s">
        <v>107</v>
      </c>
      <c r="AQ30" t="s">
        <v>750</v>
      </c>
      <c r="AR30" t="s">
        <v>751</v>
      </c>
      <c r="AS30" t="s">
        <v>752</v>
      </c>
      <c r="AT30" t="s">
        <v>753</v>
      </c>
      <c r="AU30" t="s">
        <v>747</v>
      </c>
    </row>
    <row r="31" spans="5:47" x14ac:dyDescent="0.3">
      <c r="E31" t="s">
        <v>107</v>
      </c>
      <c r="AL31" t="s">
        <v>746</v>
      </c>
      <c r="AM31" t="s">
        <v>747</v>
      </c>
      <c r="AN31" t="s">
        <v>748</v>
      </c>
      <c r="AO31" t="s">
        <v>749</v>
      </c>
      <c r="AP31" t="s">
        <v>107</v>
      </c>
      <c r="AQ31" t="s">
        <v>750</v>
      </c>
      <c r="AR31" t="s">
        <v>751</v>
      </c>
      <c r="AS31" t="s">
        <v>752</v>
      </c>
      <c r="AT31" t="s">
        <v>753</v>
      </c>
      <c r="AU31" t="s">
        <v>747</v>
      </c>
    </row>
    <row r="32" spans="5:47" x14ac:dyDescent="0.3">
      <c r="E32" t="s">
        <v>107</v>
      </c>
      <c r="AL32" t="s">
        <v>746</v>
      </c>
      <c r="AM32" t="s">
        <v>747</v>
      </c>
      <c r="AN32" t="s">
        <v>748</v>
      </c>
      <c r="AO32" t="s">
        <v>749</v>
      </c>
      <c r="AP32" t="s">
        <v>107</v>
      </c>
      <c r="AQ32" t="s">
        <v>750</v>
      </c>
      <c r="AR32" t="s">
        <v>751</v>
      </c>
      <c r="AS32" t="s">
        <v>752</v>
      </c>
      <c r="AT32" t="s">
        <v>753</v>
      </c>
      <c r="AU32" t="s">
        <v>747</v>
      </c>
    </row>
    <row r="33" spans="5:47" x14ac:dyDescent="0.3">
      <c r="E33" t="s">
        <v>107</v>
      </c>
      <c r="AL33" t="s">
        <v>746</v>
      </c>
      <c r="AM33" t="s">
        <v>747</v>
      </c>
      <c r="AN33" t="s">
        <v>748</v>
      </c>
      <c r="AO33" t="s">
        <v>749</v>
      </c>
      <c r="AP33" t="s">
        <v>107</v>
      </c>
      <c r="AQ33" t="s">
        <v>750</v>
      </c>
      <c r="AR33" t="s">
        <v>751</v>
      </c>
      <c r="AS33" t="s">
        <v>752</v>
      </c>
      <c r="AT33" t="s">
        <v>753</v>
      </c>
      <c r="AU33" t="s">
        <v>747</v>
      </c>
    </row>
    <row r="34" spans="5:47" x14ac:dyDescent="0.3">
      <c r="E34" t="s">
        <v>107</v>
      </c>
      <c r="AL34" t="s">
        <v>746</v>
      </c>
      <c r="AM34" t="s">
        <v>747</v>
      </c>
      <c r="AN34" t="s">
        <v>748</v>
      </c>
      <c r="AO34" t="s">
        <v>749</v>
      </c>
      <c r="AP34" t="s">
        <v>107</v>
      </c>
      <c r="AQ34" t="s">
        <v>750</v>
      </c>
      <c r="AR34" t="s">
        <v>751</v>
      </c>
      <c r="AS34" t="s">
        <v>752</v>
      </c>
      <c r="AT34" t="s">
        <v>753</v>
      </c>
      <c r="AU34" t="s">
        <v>747</v>
      </c>
    </row>
    <row r="35" spans="5:47" x14ac:dyDescent="0.3">
      <c r="E35" t="s">
        <v>107</v>
      </c>
      <c r="AL35" t="s">
        <v>746</v>
      </c>
      <c r="AM35" t="s">
        <v>747</v>
      </c>
      <c r="AN35" t="s">
        <v>748</v>
      </c>
      <c r="AO35" t="s">
        <v>749</v>
      </c>
      <c r="AP35" t="s">
        <v>107</v>
      </c>
      <c r="AQ35" t="s">
        <v>750</v>
      </c>
      <c r="AR35" t="s">
        <v>751</v>
      </c>
      <c r="AS35" t="s">
        <v>752</v>
      </c>
      <c r="AT35" t="s">
        <v>753</v>
      </c>
      <c r="AU35" t="s">
        <v>747</v>
      </c>
    </row>
    <row r="36" spans="5:47" x14ac:dyDescent="0.3">
      <c r="E36" t="s">
        <v>107</v>
      </c>
      <c r="AL36" t="s">
        <v>746</v>
      </c>
      <c r="AM36" t="s">
        <v>747</v>
      </c>
      <c r="AN36" t="s">
        <v>748</v>
      </c>
      <c r="AO36" t="s">
        <v>749</v>
      </c>
      <c r="AP36" t="s">
        <v>107</v>
      </c>
      <c r="AQ36" t="s">
        <v>750</v>
      </c>
      <c r="AR36" t="s">
        <v>751</v>
      </c>
      <c r="AS36" t="s">
        <v>752</v>
      </c>
      <c r="AT36" t="s">
        <v>753</v>
      </c>
      <c r="AU36" t="s">
        <v>747</v>
      </c>
    </row>
    <row r="37" spans="5:47" x14ac:dyDescent="0.3">
      <c r="E37" t="s">
        <v>107</v>
      </c>
      <c r="AL37" t="s">
        <v>746</v>
      </c>
      <c r="AM37" t="s">
        <v>747</v>
      </c>
      <c r="AN37" t="s">
        <v>748</v>
      </c>
      <c r="AO37" t="s">
        <v>749</v>
      </c>
      <c r="AP37" t="s">
        <v>107</v>
      </c>
      <c r="AQ37" t="s">
        <v>750</v>
      </c>
      <c r="AR37" t="s">
        <v>751</v>
      </c>
      <c r="AS37" t="s">
        <v>752</v>
      </c>
      <c r="AT37" t="s">
        <v>753</v>
      </c>
      <c r="AU37" t="s">
        <v>747</v>
      </c>
    </row>
    <row r="38" spans="5:47" x14ac:dyDescent="0.3">
      <c r="E38" t="s">
        <v>107</v>
      </c>
      <c r="AL38" t="s">
        <v>746</v>
      </c>
      <c r="AM38" t="s">
        <v>747</v>
      </c>
      <c r="AN38" t="s">
        <v>748</v>
      </c>
      <c r="AO38" t="s">
        <v>749</v>
      </c>
      <c r="AP38" t="s">
        <v>107</v>
      </c>
      <c r="AQ38" t="s">
        <v>750</v>
      </c>
      <c r="AR38" t="s">
        <v>751</v>
      </c>
      <c r="AS38" t="s">
        <v>752</v>
      </c>
      <c r="AT38" t="s">
        <v>753</v>
      </c>
      <c r="AU38" t="s">
        <v>747</v>
      </c>
    </row>
    <row r="39" spans="5:47" x14ac:dyDescent="0.3">
      <c r="E39" t="s">
        <v>107</v>
      </c>
      <c r="AL39" t="s">
        <v>746</v>
      </c>
      <c r="AM39" t="s">
        <v>747</v>
      </c>
      <c r="AN39" t="s">
        <v>748</v>
      </c>
      <c r="AO39" t="s">
        <v>749</v>
      </c>
      <c r="AP39" t="s">
        <v>107</v>
      </c>
      <c r="AQ39" t="s">
        <v>750</v>
      </c>
      <c r="AR39" t="s">
        <v>751</v>
      </c>
      <c r="AS39" t="s">
        <v>752</v>
      </c>
      <c r="AT39" t="s">
        <v>753</v>
      </c>
      <c r="AU39" t="s">
        <v>747</v>
      </c>
    </row>
    <row r="40" spans="5:47" x14ac:dyDescent="0.3">
      <c r="E40" t="s">
        <v>107</v>
      </c>
      <c r="AL40" t="s">
        <v>746</v>
      </c>
      <c r="AM40" t="s">
        <v>747</v>
      </c>
      <c r="AN40" t="s">
        <v>748</v>
      </c>
      <c r="AO40" t="s">
        <v>749</v>
      </c>
      <c r="AP40" t="s">
        <v>107</v>
      </c>
      <c r="AQ40" t="s">
        <v>750</v>
      </c>
      <c r="AR40" t="s">
        <v>751</v>
      </c>
      <c r="AS40" t="s">
        <v>752</v>
      </c>
      <c r="AT40" t="s">
        <v>753</v>
      </c>
      <c r="AU40" t="s">
        <v>747</v>
      </c>
    </row>
    <row r="41" spans="5:47" x14ac:dyDescent="0.3">
      <c r="E41" t="s">
        <v>107</v>
      </c>
      <c r="AL41" t="s">
        <v>746</v>
      </c>
      <c r="AM41" t="s">
        <v>747</v>
      </c>
      <c r="AN41" t="s">
        <v>748</v>
      </c>
      <c r="AO41" t="s">
        <v>749</v>
      </c>
      <c r="AP41" t="s">
        <v>107</v>
      </c>
      <c r="AQ41" t="s">
        <v>750</v>
      </c>
      <c r="AR41" t="s">
        <v>751</v>
      </c>
      <c r="AS41" t="s">
        <v>752</v>
      </c>
      <c r="AT41" t="s">
        <v>753</v>
      </c>
      <c r="AU41" t="s">
        <v>747</v>
      </c>
    </row>
    <row r="42" spans="5:47" x14ac:dyDescent="0.3">
      <c r="E42" t="s">
        <v>107</v>
      </c>
      <c r="AL42" t="s">
        <v>746</v>
      </c>
      <c r="AM42" t="s">
        <v>747</v>
      </c>
      <c r="AN42" t="s">
        <v>748</v>
      </c>
      <c r="AO42" t="s">
        <v>749</v>
      </c>
      <c r="AP42" t="s">
        <v>107</v>
      </c>
      <c r="AQ42" t="s">
        <v>750</v>
      </c>
      <c r="AR42" t="s">
        <v>751</v>
      </c>
      <c r="AS42" t="s">
        <v>752</v>
      </c>
      <c r="AT42" t="s">
        <v>753</v>
      </c>
      <c r="AU42" t="s">
        <v>747</v>
      </c>
    </row>
    <row r="43" spans="5:47" x14ac:dyDescent="0.3">
      <c r="E43" t="s">
        <v>107</v>
      </c>
      <c r="AL43" t="s">
        <v>746</v>
      </c>
      <c r="AM43" t="s">
        <v>747</v>
      </c>
      <c r="AN43" t="s">
        <v>748</v>
      </c>
      <c r="AO43" t="s">
        <v>749</v>
      </c>
      <c r="AP43" t="s">
        <v>107</v>
      </c>
      <c r="AQ43" t="s">
        <v>750</v>
      </c>
      <c r="AR43" t="s">
        <v>751</v>
      </c>
      <c r="AS43" t="s">
        <v>752</v>
      </c>
      <c r="AT43" t="s">
        <v>753</v>
      </c>
      <c r="AU43" t="s">
        <v>747</v>
      </c>
    </row>
    <row r="44" spans="5:47" x14ac:dyDescent="0.3">
      <c r="E44" t="s">
        <v>107</v>
      </c>
      <c r="AL44" t="s">
        <v>746</v>
      </c>
      <c r="AM44" t="s">
        <v>747</v>
      </c>
      <c r="AN44" t="s">
        <v>748</v>
      </c>
      <c r="AO44" t="s">
        <v>749</v>
      </c>
      <c r="AP44" t="s">
        <v>107</v>
      </c>
      <c r="AQ44" t="s">
        <v>750</v>
      </c>
      <c r="AR44" t="s">
        <v>751</v>
      </c>
      <c r="AS44" t="s">
        <v>752</v>
      </c>
      <c r="AT44" t="s">
        <v>753</v>
      </c>
      <c r="AU44" t="s">
        <v>747</v>
      </c>
    </row>
    <row r="45" spans="5:47" x14ac:dyDescent="0.3">
      <c r="E45" t="s">
        <v>107</v>
      </c>
      <c r="AL45" t="s">
        <v>746</v>
      </c>
      <c r="AM45" t="s">
        <v>747</v>
      </c>
      <c r="AN45" t="s">
        <v>748</v>
      </c>
      <c r="AO45" t="s">
        <v>749</v>
      </c>
      <c r="AP45" t="s">
        <v>107</v>
      </c>
      <c r="AQ45" t="s">
        <v>750</v>
      </c>
      <c r="AR45" t="s">
        <v>751</v>
      </c>
      <c r="AS45" t="s">
        <v>752</v>
      </c>
      <c r="AT45" t="s">
        <v>753</v>
      </c>
      <c r="AU45" t="s">
        <v>747</v>
      </c>
    </row>
    <row r="46" spans="5:47" x14ac:dyDescent="0.3">
      <c r="E46" t="s">
        <v>107</v>
      </c>
      <c r="AL46" t="s">
        <v>746</v>
      </c>
      <c r="AM46" t="s">
        <v>747</v>
      </c>
      <c r="AN46" t="s">
        <v>748</v>
      </c>
      <c r="AO46" t="s">
        <v>749</v>
      </c>
      <c r="AP46" t="s">
        <v>107</v>
      </c>
      <c r="AQ46" t="s">
        <v>750</v>
      </c>
      <c r="AR46" t="s">
        <v>751</v>
      </c>
      <c r="AS46" t="s">
        <v>752</v>
      </c>
      <c r="AT46" t="s">
        <v>753</v>
      </c>
      <c r="AU46" t="s">
        <v>747</v>
      </c>
    </row>
    <row r="47" spans="5:47" x14ac:dyDescent="0.3">
      <c r="E47" t="s">
        <v>107</v>
      </c>
      <c r="AL47" t="s">
        <v>746</v>
      </c>
      <c r="AM47" t="s">
        <v>747</v>
      </c>
      <c r="AN47" t="s">
        <v>748</v>
      </c>
      <c r="AO47" t="s">
        <v>749</v>
      </c>
      <c r="AP47" t="s">
        <v>107</v>
      </c>
      <c r="AQ47" t="s">
        <v>750</v>
      </c>
      <c r="AR47" t="s">
        <v>751</v>
      </c>
      <c r="AS47" t="s">
        <v>752</v>
      </c>
      <c r="AT47" t="s">
        <v>753</v>
      </c>
      <c r="AU47" t="s">
        <v>747</v>
      </c>
    </row>
    <row r="48" spans="5:47" x14ac:dyDescent="0.3">
      <c r="E48" t="s">
        <v>107</v>
      </c>
      <c r="AL48" t="s">
        <v>746</v>
      </c>
      <c r="AM48" t="s">
        <v>747</v>
      </c>
      <c r="AN48" t="s">
        <v>748</v>
      </c>
      <c r="AO48" t="s">
        <v>749</v>
      </c>
      <c r="AP48" t="s">
        <v>107</v>
      </c>
      <c r="AQ48" t="s">
        <v>750</v>
      </c>
      <c r="AR48" t="s">
        <v>751</v>
      </c>
      <c r="AS48" t="s">
        <v>752</v>
      </c>
      <c r="AT48" t="s">
        <v>753</v>
      </c>
      <c r="AU48" t="s">
        <v>747</v>
      </c>
    </row>
    <row r="49" spans="5:47" x14ac:dyDescent="0.3">
      <c r="E49" t="s">
        <v>107</v>
      </c>
      <c r="AL49" t="s">
        <v>746</v>
      </c>
      <c r="AM49" t="s">
        <v>747</v>
      </c>
      <c r="AN49" t="s">
        <v>748</v>
      </c>
      <c r="AO49" t="s">
        <v>749</v>
      </c>
      <c r="AP49" t="s">
        <v>107</v>
      </c>
      <c r="AQ49" t="s">
        <v>750</v>
      </c>
      <c r="AR49" t="s">
        <v>751</v>
      </c>
      <c r="AS49" t="s">
        <v>752</v>
      </c>
      <c r="AT49" t="s">
        <v>753</v>
      </c>
      <c r="AU49" t="s">
        <v>747</v>
      </c>
    </row>
    <row r="50" spans="5:47" x14ac:dyDescent="0.3">
      <c r="E50" t="s">
        <v>107</v>
      </c>
      <c r="AL50" t="s">
        <v>746</v>
      </c>
      <c r="AM50" t="s">
        <v>747</v>
      </c>
      <c r="AN50" t="s">
        <v>748</v>
      </c>
      <c r="AO50" t="s">
        <v>749</v>
      </c>
      <c r="AP50" t="s">
        <v>107</v>
      </c>
      <c r="AQ50" t="s">
        <v>750</v>
      </c>
      <c r="AR50" t="s">
        <v>751</v>
      </c>
      <c r="AS50" t="s">
        <v>752</v>
      </c>
      <c r="AT50" t="s">
        <v>753</v>
      </c>
      <c r="AU50" t="s">
        <v>747</v>
      </c>
    </row>
    <row r="51" spans="5:47" x14ac:dyDescent="0.3">
      <c r="E51" t="s">
        <v>107</v>
      </c>
      <c r="AL51" t="s">
        <v>746</v>
      </c>
      <c r="AM51" t="s">
        <v>747</v>
      </c>
      <c r="AN51" t="s">
        <v>748</v>
      </c>
      <c r="AO51" t="s">
        <v>749</v>
      </c>
      <c r="AP51" t="s">
        <v>107</v>
      </c>
      <c r="AQ51" t="s">
        <v>750</v>
      </c>
      <c r="AR51" t="s">
        <v>751</v>
      </c>
      <c r="AS51" t="s">
        <v>752</v>
      </c>
      <c r="AT51" t="s">
        <v>753</v>
      </c>
      <c r="AU51" t="s">
        <v>747</v>
      </c>
    </row>
    <row r="52" spans="5:47" x14ac:dyDescent="0.3">
      <c r="E52" t="s">
        <v>107</v>
      </c>
      <c r="AL52" t="s">
        <v>746</v>
      </c>
      <c r="AM52" t="s">
        <v>747</v>
      </c>
      <c r="AN52" t="s">
        <v>748</v>
      </c>
      <c r="AO52" t="s">
        <v>749</v>
      </c>
      <c r="AP52" t="s">
        <v>107</v>
      </c>
      <c r="AQ52" t="s">
        <v>750</v>
      </c>
      <c r="AR52" t="s">
        <v>751</v>
      </c>
      <c r="AS52" t="s">
        <v>752</v>
      </c>
      <c r="AT52" t="s">
        <v>753</v>
      </c>
      <c r="AU52" t="s">
        <v>747</v>
      </c>
    </row>
    <row r="53" spans="5:47" x14ac:dyDescent="0.3">
      <c r="E53" t="s">
        <v>107</v>
      </c>
      <c r="AL53" t="s">
        <v>746</v>
      </c>
      <c r="AM53" t="s">
        <v>747</v>
      </c>
      <c r="AN53" t="s">
        <v>748</v>
      </c>
      <c r="AO53" t="s">
        <v>749</v>
      </c>
      <c r="AP53" t="s">
        <v>107</v>
      </c>
      <c r="AQ53" t="s">
        <v>750</v>
      </c>
      <c r="AR53" t="s">
        <v>751</v>
      </c>
      <c r="AS53" t="s">
        <v>752</v>
      </c>
      <c r="AT53" t="s">
        <v>753</v>
      </c>
      <c r="AU53" t="s">
        <v>747</v>
      </c>
    </row>
    <row r="54" spans="5:47" x14ac:dyDescent="0.3">
      <c r="E54" t="s">
        <v>107</v>
      </c>
      <c r="AL54" t="s">
        <v>746</v>
      </c>
      <c r="AM54" t="s">
        <v>747</v>
      </c>
      <c r="AN54" t="s">
        <v>748</v>
      </c>
      <c r="AO54" t="s">
        <v>749</v>
      </c>
      <c r="AP54" t="s">
        <v>107</v>
      </c>
      <c r="AQ54" t="s">
        <v>750</v>
      </c>
      <c r="AR54" t="s">
        <v>751</v>
      </c>
      <c r="AS54" t="s">
        <v>752</v>
      </c>
      <c r="AT54" t="s">
        <v>753</v>
      </c>
      <c r="AU54" t="s">
        <v>747</v>
      </c>
    </row>
    <row r="55" spans="5:47" x14ac:dyDescent="0.3">
      <c r="E55" t="s">
        <v>107</v>
      </c>
      <c r="AL55" t="s">
        <v>746</v>
      </c>
      <c r="AM55" t="s">
        <v>747</v>
      </c>
      <c r="AN55" t="s">
        <v>748</v>
      </c>
      <c r="AO55" t="s">
        <v>749</v>
      </c>
      <c r="AP55" t="s">
        <v>107</v>
      </c>
      <c r="AQ55" t="s">
        <v>750</v>
      </c>
      <c r="AR55" t="s">
        <v>751</v>
      </c>
      <c r="AS55" t="s">
        <v>752</v>
      </c>
      <c r="AT55" t="s">
        <v>753</v>
      </c>
      <c r="AU55" t="s">
        <v>747</v>
      </c>
    </row>
    <row r="56" spans="5:47" x14ac:dyDescent="0.3">
      <c r="E56" t="s">
        <v>107</v>
      </c>
      <c r="AL56" t="s">
        <v>746</v>
      </c>
      <c r="AM56" t="s">
        <v>747</v>
      </c>
      <c r="AN56" t="s">
        <v>748</v>
      </c>
      <c r="AO56" t="s">
        <v>749</v>
      </c>
      <c r="AP56" t="s">
        <v>107</v>
      </c>
      <c r="AQ56" t="s">
        <v>750</v>
      </c>
      <c r="AR56" t="s">
        <v>751</v>
      </c>
      <c r="AS56" t="s">
        <v>752</v>
      </c>
      <c r="AT56" t="s">
        <v>753</v>
      </c>
      <c r="AU56" t="s">
        <v>747</v>
      </c>
    </row>
    <row r="57" spans="5:47" x14ac:dyDescent="0.3">
      <c r="E57" t="s">
        <v>107</v>
      </c>
      <c r="AL57" t="s">
        <v>746</v>
      </c>
      <c r="AM57" t="s">
        <v>747</v>
      </c>
      <c r="AN57" t="s">
        <v>748</v>
      </c>
      <c r="AO57" t="s">
        <v>749</v>
      </c>
      <c r="AP57" t="s">
        <v>107</v>
      </c>
      <c r="AQ57" t="s">
        <v>750</v>
      </c>
      <c r="AR57" t="s">
        <v>751</v>
      </c>
      <c r="AS57" t="s">
        <v>752</v>
      </c>
      <c r="AT57" t="s">
        <v>753</v>
      </c>
      <c r="AU57" t="s">
        <v>747</v>
      </c>
    </row>
    <row r="58" spans="5:47" x14ac:dyDescent="0.3">
      <c r="E58" t="s">
        <v>107</v>
      </c>
      <c r="AL58" t="s">
        <v>746</v>
      </c>
      <c r="AM58" t="s">
        <v>747</v>
      </c>
      <c r="AN58" t="s">
        <v>748</v>
      </c>
      <c r="AO58" t="s">
        <v>749</v>
      </c>
      <c r="AP58" t="s">
        <v>107</v>
      </c>
      <c r="AQ58" t="s">
        <v>750</v>
      </c>
      <c r="AR58" t="s">
        <v>751</v>
      </c>
      <c r="AS58" t="s">
        <v>752</v>
      </c>
      <c r="AT58" t="s">
        <v>753</v>
      </c>
      <c r="AU58" t="s">
        <v>747</v>
      </c>
    </row>
    <row r="59" spans="5:47" x14ac:dyDescent="0.3">
      <c r="E59" t="s">
        <v>107</v>
      </c>
      <c r="AL59" t="s">
        <v>746</v>
      </c>
      <c r="AM59" t="s">
        <v>747</v>
      </c>
      <c r="AN59" t="s">
        <v>748</v>
      </c>
      <c r="AO59" t="s">
        <v>749</v>
      </c>
      <c r="AP59" t="s">
        <v>107</v>
      </c>
      <c r="AQ59" t="s">
        <v>750</v>
      </c>
      <c r="AR59" t="s">
        <v>751</v>
      </c>
      <c r="AS59" t="s">
        <v>752</v>
      </c>
      <c r="AT59" t="s">
        <v>753</v>
      </c>
      <c r="AU59" t="s">
        <v>747</v>
      </c>
    </row>
    <row r="60" spans="5:47" x14ac:dyDescent="0.3">
      <c r="E60" t="s">
        <v>107</v>
      </c>
      <c r="AL60" t="s">
        <v>746</v>
      </c>
      <c r="AM60" t="s">
        <v>747</v>
      </c>
      <c r="AN60" t="s">
        <v>748</v>
      </c>
      <c r="AO60" t="s">
        <v>749</v>
      </c>
      <c r="AP60" t="s">
        <v>107</v>
      </c>
      <c r="AQ60" t="s">
        <v>750</v>
      </c>
      <c r="AR60" t="s">
        <v>751</v>
      </c>
      <c r="AS60" t="s">
        <v>752</v>
      </c>
      <c r="AT60" t="s">
        <v>753</v>
      </c>
      <c r="AU60" t="s">
        <v>747</v>
      </c>
    </row>
    <row r="61" spans="5:47" x14ac:dyDescent="0.3">
      <c r="E61" t="s">
        <v>107</v>
      </c>
      <c r="AL61" t="s">
        <v>746</v>
      </c>
      <c r="AM61" t="s">
        <v>747</v>
      </c>
      <c r="AN61" t="s">
        <v>748</v>
      </c>
      <c r="AO61" t="s">
        <v>749</v>
      </c>
      <c r="AP61" t="s">
        <v>107</v>
      </c>
      <c r="AQ61" t="s">
        <v>750</v>
      </c>
      <c r="AR61" t="s">
        <v>751</v>
      </c>
      <c r="AS61" t="s">
        <v>752</v>
      </c>
      <c r="AT61" t="s">
        <v>753</v>
      </c>
      <c r="AU61" t="s">
        <v>747</v>
      </c>
    </row>
    <row r="62" spans="5:47" x14ac:dyDescent="0.3">
      <c r="E62" t="s">
        <v>107</v>
      </c>
      <c r="AL62" t="s">
        <v>746</v>
      </c>
      <c r="AM62" t="s">
        <v>747</v>
      </c>
      <c r="AN62" t="s">
        <v>748</v>
      </c>
      <c r="AO62" t="s">
        <v>749</v>
      </c>
      <c r="AP62" t="s">
        <v>107</v>
      </c>
      <c r="AQ62" t="s">
        <v>750</v>
      </c>
      <c r="AR62" t="s">
        <v>751</v>
      </c>
      <c r="AS62" t="s">
        <v>752</v>
      </c>
      <c r="AT62" t="s">
        <v>753</v>
      </c>
      <c r="AU62" t="s">
        <v>747</v>
      </c>
    </row>
    <row r="63" spans="5:47" x14ac:dyDescent="0.3">
      <c r="E63" t="s">
        <v>107</v>
      </c>
      <c r="AL63" t="s">
        <v>746</v>
      </c>
      <c r="AM63" t="s">
        <v>747</v>
      </c>
      <c r="AN63" t="s">
        <v>748</v>
      </c>
      <c r="AO63" t="s">
        <v>749</v>
      </c>
      <c r="AP63" t="s">
        <v>107</v>
      </c>
      <c r="AQ63" t="s">
        <v>750</v>
      </c>
      <c r="AR63" t="s">
        <v>751</v>
      </c>
      <c r="AS63" t="s">
        <v>752</v>
      </c>
      <c r="AT63" t="s">
        <v>753</v>
      </c>
      <c r="AU63" t="s">
        <v>747</v>
      </c>
    </row>
    <row r="64" spans="5:47" x14ac:dyDescent="0.3">
      <c r="E64" t="s">
        <v>107</v>
      </c>
      <c r="AL64" t="s">
        <v>746</v>
      </c>
      <c r="AM64" t="s">
        <v>747</v>
      </c>
      <c r="AN64" t="s">
        <v>748</v>
      </c>
      <c r="AO64" t="s">
        <v>749</v>
      </c>
      <c r="AP64" t="s">
        <v>107</v>
      </c>
      <c r="AQ64" t="s">
        <v>750</v>
      </c>
      <c r="AR64" t="s">
        <v>751</v>
      </c>
      <c r="AS64" t="s">
        <v>752</v>
      </c>
      <c r="AT64" t="s">
        <v>753</v>
      </c>
      <c r="AU64" t="s">
        <v>747</v>
      </c>
    </row>
    <row r="65" spans="5:47" x14ac:dyDescent="0.3">
      <c r="E65" t="s">
        <v>107</v>
      </c>
      <c r="AL65" t="s">
        <v>746</v>
      </c>
      <c r="AM65" t="s">
        <v>747</v>
      </c>
      <c r="AN65" t="s">
        <v>748</v>
      </c>
      <c r="AO65" t="s">
        <v>749</v>
      </c>
      <c r="AP65" t="s">
        <v>107</v>
      </c>
      <c r="AQ65" t="s">
        <v>750</v>
      </c>
      <c r="AR65" t="s">
        <v>751</v>
      </c>
      <c r="AS65" t="s">
        <v>752</v>
      </c>
      <c r="AT65" t="s">
        <v>753</v>
      </c>
      <c r="AU65" t="s">
        <v>747</v>
      </c>
    </row>
    <row r="66" spans="5:47" x14ac:dyDescent="0.3">
      <c r="E66" t="s">
        <v>107</v>
      </c>
      <c r="AL66" t="s">
        <v>746</v>
      </c>
      <c r="AM66" t="s">
        <v>747</v>
      </c>
      <c r="AN66" t="s">
        <v>748</v>
      </c>
      <c r="AO66" t="s">
        <v>749</v>
      </c>
      <c r="AP66" t="s">
        <v>107</v>
      </c>
      <c r="AQ66" t="s">
        <v>750</v>
      </c>
      <c r="AR66" t="s">
        <v>751</v>
      </c>
      <c r="AS66" t="s">
        <v>752</v>
      </c>
      <c r="AT66" t="s">
        <v>753</v>
      </c>
      <c r="AU66" t="s">
        <v>747</v>
      </c>
    </row>
    <row r="67" spans="5:47" x14ac:dyDescent="0.3">
      <c r="E67" t="s">
        <v>107</v>
      </c>
      <c r="AL67" t="s">
        <v>746</v>
      </c>
      <c r="AM67" t="s">
        <v>747</v>
      </c>
      <c r="AN67" t="s">
        <v>748</v>
      </c>
      <c r="AO67" t="s">
        <v>749</v>
      </c>
      <c r="AP67" t="s">
        <v>107</v>
      </c>
      <c r="AQ67" t="s">
        <v>750</v>
      </c>
      <c r="AR67" t="s">
        <v>751</v>
      </c>
      <c r="AS67" t="s">
        <v>752</v>
      </c>
      <c r="AT67" t="s">
        <v>753</v>
      </c>
      <c r="AU67" t="s">
        <v>747</v>
      </c>
    </row>
    <row r="68" spans="5:47" x14ac:dyDescent="0.3">
      <c r="E68" t="s">
        <v>107</v>
      </c>
      <c r="AL68" t="s">
        <v>746</v>
      </c>
      <c r="AM68" t="s">
        <v>747</v>
      </c>
      <c r="AN68" t="s">
        <v>748</v>
      </c>
      <c r="AO68" t="s">
        <v>749</v>
      </c>
      <c r="AP68" t="s">
        <v>107</v>
      </c>
      <c r="AQ68" t="s">
        <v>750</v>
      </c>
      <c r="AR68" t="s">
        <v>751</v>
      </c>
      <c r="AS68" t="s">
        <v>752</v>
      </c>
      <c r="AT68" t="s">
        <v>753</v>
      </c>
      <c r="AU68" t="s">
        <v>747</v>
      </c>
    </row>
    <row r="69" spans="5:47" x14ac:dyDescent="0.3">
      <c r="E69" t="s">
        <v>107</v>
      </c>
      <c r="AL69" t="s">
        <v>746</v>
      </c>
      <c r="AM69" t="s">
        <v>747</v>
      </c>
      <c r="AN69" t="s">
        <v>748</v>
      </c>
      <c r="AO69" t="s">
        <v>749</v>
      </c>
      <c r="AP69" t="s">
        <v>107</v>
      </c>
      <c r="AQ69" t="s">
        <v>750</v>
      </c>
      <c r="AR69" t="s">
        <v>751</v>
      </c>
      <c r="AS69" t="s">
        <v>752</v>
      </c>
      <c r="AT69" t="s">
        <v>753</v>
      </c>
      <c r="AU69" t="s">
        <v>747</v>
      </c>
    </row>
    <row r="70" spans="5:47" x14ac:dyDescent="0.3">
      <c r="E70" t="s">
        <v>107</v>
      </c>
      <c r="AL70" t="s">
        <v>746</v>
      </c>
      <c r="AM70" t="s">
        <v>747</v>
      </c>
      <c r="AN70" t="s">
        <v>748</v>
      </c>
      <c r="AO70" t="s">
        <v>749</v>
      </c>
      <c r="AP70" t="s">
        <v>107</v>
      </c>
      <c r="AQ70" t="s">
        <v>750</v>
      </c>
      <c r="AR70" t="s">
        <v>751</v>
      </c>
      <c r="AS70" t="s">
        <v>752</v>
      </c>
      <c r="AT70" t="s">
        <v>753</v>
      </c>
      <c r="AU70" t="s">
        <v>747</v>
      </c>
    </row>
    <row r="71" spans="5:47" x14ac:dyDescent="0.3">
      <c r="E71" t="s">
        <v>107</v>
      </c>
      <c r="AL71" t="s">
        <v>746</v>
      </c>
      <c r="AM71" t="s">
        <v>747</v>
      </c>
      <c r="AN71" t="s">
        <v>748</v>
      </c>
      <c r="AO71" t="s">
        <v>749</v>
      </c>
      <c r="AP71" t="s">
        <v>107</v>
      </c>
      <c r="AQ71" t="s">
        <v>750</v>
      </c>
      <c r="AR71" t="s">
        <v>751</v>
      </c>
      <c r="AS71" t="s">
        <v>752</v>
      </c>
      <c r="AT71" t="s">
        <v>753</v>
      </c>
      <c r="AU71" t="s">
        <v>747</v>
      </c>
    </row>
    <row r="72" spans="5:47" x14ac:dyDescent="0.3">
      <c r="E72" t="s">
        <v>107</v>
      </c>
      <c r="AL72" t="s">
        <v>746</v>
      </c>
      <c r="AM72" t="s">
        <v>747</v>
      </c>
      <c r="AN72" t="s">
        <v>748</v>
      </c>
      <c r="AO72" t="s">
        <v>749</v>
      </c>
      <c r="AP72" t="s">
        <v>107</v>
      </c>
      <c r="AQ72" t="s">
        <v>750</v>
      </c>
      <c r="AR72" t="s">
        <v>751</v>
      </c>
      <c r="AS72" t="s">
        <v>752</v>
      </c>
      <c r="AT72" t="s">
        <v>753</v>
      </c>
      <c r="AU72" t="s">
        <v>747</v>
      </c>
    </row>
    <row r="73" spans="5:47" x14ac:dyDescent="0.3">
      <c r="E73" t="s">
        <v>107</v>
      </c>
      <c r="AL73" t="s">
        <v>746</v>
      </c>
      <c r="AM73" t="s">
        <v>747</v>
      </c>
      <c r="AN73" t="s">
        <v>748</v>
      </c>
      <c r="AO73" t="s">
        <v>749</v>
      </c>
      <c r="AP73" t="s">
        <v>107</v>
      </c>
      <c r="AQ73" t="s">
        <v>750</v>
      </c>
      <c r="AR73" t="s">
        <v>751</v>
      </c>
      <c r="AS73" t="s">
        <v>752</v>
      </c>
      <c r="AT73" t="s">
        <v>753</v>
      </c>
      <c r="AU73" t="s">
        <v>747</v>
      </c>
    </row>
    <row r="74" spans="5:47" x14ac:dyDescent="0.3">
      <c r="E74" t="s">
        <v>107</v>
      </c>
      <c r="AL74" t="s">
        <v>746</v>
      </c>
      <c r="AM74" t="s">
        <v>747</v>
      </c>
      <c r="AN74" t="s">
        <v>748</v>
      </c>
      <c r="AO74" t="s">
        <v>749</v>
      </c>
      <c r="AP74" t="s">
        <v>107</v>
      </c>
      <c r="AQ74" t="s">
        <v>750</v>
      </c>
      <c r="AR74" t="s">
        <v>751</v>
      </c>
      <c r="AS74" t="s">
        <v>752</v>
      </c>
      <c r="AT74" t="s">
        <v>753</v>
      </c>
      <c r="AU74" t="s">
        <v>747</v>
      </c>
    </row>
    <row r="75" spans="5:47" x14ac:dyDescent="0.3">
      <c r="E75" t="s">
        <v>107</v>
      </c>
      <c r="AL75" t="s">
        <v>746</v>
      </c>
      <c r="AM75" t="s">
        <v>747</v>
      </c>
      <c r="AN75" t="s">
        <v>748</v>
      </c>
      <c r="AO75" t="s">
        <v>749</v>
      </c>
      <c r="AP75" t="s">
        <v>107</v>
      </c>
      <c r="AQ75" t="s">
        <v>750</v>
      </c>
      <c r="AR75" t="s">
        <v>751</v>
      </c>
      <c r="AS75" t="s">
        <v>752</v>
      </c>
      <c r="AT75" t="s">
        <v>753</v>
      </c>
      <c r="AU75" t="s">
        <v>747</v>
      </c>
    </row>
    <row r="76" spans="5:47" x14ac:dyDescent="0.3">
      <c r="E76" t="s">
        <v>107</v>
      </c>
      <c r="AL76" t="s">
        <v>746</v>
      </c>
      <c r="AM76" t="s">
        <v>747</v>
      </c>
      <c r="AN76" t="s">
        <v>748</v>
      </c>
      <c r="AO76" t="s">
        <v>749</v>
      </c>
      <c r="AP76" t="s">
        <v>107</v>
      </c>
      <c r="AQ76" t="s">
        <v>750</v>
      </c>
      <c r="AR76" t="s">
        <v>751</v>
      </c>
      <c r="AS76" t="s">
        <v>752</v>
      </c>
      <c r="AT76" t="s">
        <v>753</v>
      </c>
      <c r="AU76" t="s">
        <v>747</v>
      </c>
    </row>
    <row r="77" spans="5:47" x14ac:dyDescent="0.3">
      <c r="E77" t="s">
        <v>107</v>
      </c>
      <c r="AL77" t="s">
        <v>746</v>
      </c>
      <c r="AM77" t="s">
        <v>747</v>
      </c>
      <c r="AN77" t="s">
        <v>748</v>
      </c>
      <c r="AO77" t="s">
        <v>749</v>
      </c>
      <c r="AP77" t="s">
        <v>107</v>
      </c>
      <c r="AQ77" t="s">
        <v>750</v>
      </c>
      <c r="AR77" t="s">
        <v>751</v>
      </c>
      <c r="AS77" t="s">
        <v>752</v>
      </c>
      <c r="AT77" t="s">
        <v>753</v>
      </c>
      <c r="AU77" t="s">
        <v>747</v>
      </c>
    </row>
    <row r="78" spans="5:47" x14ac:dyDescent="0.3">
      <c r="E78" t="s">
        <v>107</v>
      </c>
      <c r="AL78" t="s">
        <v>746</v>
      </c>
      <c r="AM78" t="s">
        <v>747</v>
      </c>
      <c r="AN78" t="s">
        <v>748</v>
      </c>
      <c r="AO78" t="s">
        <v>749</v>
      </c>
      <c r="AP78" t="s">
        <v>107</v>
      </c>
      <c r="AQ78" t="s">
        <v>750</v>
      </c>
      <c r="AR78" t="s">
        <v>751</v>
      </c>
      <c r="AS78" t="s">
        <v>752</v>
      </c>
      <c r="AT78" t="s">
        <v>753</v>
      </c>
      <c r="AU78" t="s">
        <v>747</v>
      </c>
    </row>
    <row r="79" spans="5:47" x14ac:dyDescent="0.3">
      <c r="E79" t="s">
        <v>107</v>
      </c>
      <c r="AL79" t="s">
        <v>746</v>
      </c>
      <c r="AM79" t="s">
        <v>747</v>
      </c>
      <c r="AN79" t="s">
        <v>748</v>
      </c>
      <c r="AO79" t="s">
        <v>749</v>
      </c>
      <c r="AP79" t="s">
        <v>107</v>
      </c>
      <c r="AQ79" t="s">
        <v>750</v>
      </c>
      <c r="AR79" t="s">
        <v>751</v>
      </c>
      <c r="AS79" t="s">
        <v>752</v>
      </c>
      <c r="AT79" t="s">
        <v>753</v>
      </c>
      <c r="AU79" t="s">
        <v>747</v>
      </c>
    </row>
    <row r="80" spans="5:47" x14ac:dyDescent="0.3">
      <c r="E80" t="s">
        <v>107</v>
      </c>
      <c r="AL80" t="s">
        <v>746</v>
      </c>
      <c r="AM80" t="s">
        <v>747</v>
      </c>
      <c r="AN80" t="s">
        <v>748</v>
      </c>
      <c r="AO80" t="s">
        <v>749</v>
      </c>
      <c r="AP80" t="s">
        <v>107</v>
      </c>
      <c r="AQ80" t="s">
        <v>750</v>
      </c>
      <c r="AR80" t="s">
        <v>751</v>
      </c>
      <c r="AS80" t="s">
        <v>752</v>
      </c>
      <c r="AT80" t="s">
        <v>753</v>
      </c>
      <c r="AU80" t="s">
        <v>747</v>
      </c>
    </row>
    <row r="81" spans="5:47" x14ac:dyDescent="0.3">
      <c r="E81" t="s">
        <v>107</v>
      </c>
      <c r="AL81" t="s">
        <v>746</v>
      </c>
      <c r="AM81" t="s">
        <v>747</v>
      </c>
      <c r="AN81" t="s">
        <v>748</v>
      </c>
      <c r="AO81" t="s">
        <v>749</v>
      </c>
      <c r="AP81" t="s">
        <v>107</v>
      </c>
      <c r="AQ81" t="s">
        <v>750</v>
      </c>
      <c r="AR81" t="s">
        <v>751</v>
      </c>
      <c r="AS81" t="s">
        <v>752</v>
      </c>
      <c r="AT81" t="s">
        <v>753</v>
      </c>
      <c r="AU81" t="s">
        <v>747</v>
      </c>
    </row>
    <row r="82" spans="5:47" x14ac:dyDescent="0.3">
      <c r="E82" t="s">
        <v>107</v>
      </c>
      <c r="AL82" t="s">
        <v>746</v>
      </c>
      <c r="AM82" t="s">
        <v>747</v>
      </c>
      <c r="AN82" t="s">
        <v>748</v>
      </c>
      <c r="AO82" t="s">
        <v>749</v>
      </c>
      <c r="AP82" t="s">
        <v>107</v>
      </c>
      <c r="AQ82" t="s">
        <v>750</v>
      </c>
      <c r="AR82" t="s">
        <v>751</v>
      </c>
      <c r="AS82" t="s">
        <v>752</v>
      </c>
      <c r="AT82" t="s">
        <v>753</v>
      </c>
      <c r="AU82" t="s">
        <v>747</v>
      </c>
    </row>
    <row r="83" spans="5:47" x14ac:dyDescent="0.3">
      <c r="E83" t="s">
        <v>107</v>
      </c>
      <c r="AL83" t="s">
        <v>746</v>
      </c>
      <c r="AM83" t="s">
        <v>747</v>
      </c>
      <c r="AN83" t="s">
        <v>748</v>
      </c>
      <c r="AO83" t="s">
        <v>749</v>
      </c>
      <c r="AP83" t="s">
        <v>107</v>
      </c>
      <c r="AQ83" t="s">
        <v>750</v>
      </c>
      <c r="AR83" t="s">
        <v>751</v>
      </c>
      <c r="AS83" t="s">
        <v>752</v>
      </c>
      <c r="AT83" t="s">
        <v>753</v>
      </c>
      <c r="AU83" t="s">
        <v>747</v>
      </c>
    </row>
    <row r="84" spans="5:47" x14ac:dyDescent="0.3">
      <c r="E84" t="s">
        <v>107</v>
      </c>
      <c r="AL84" t="s">
        <v>746</v>
      </c>
      <c r="AM84" t="s">
        <v>747</v>
      </c>
      <c r="AN84" t="s">
        <v>748</v>
      </c>
      <c r="AO84" t="s">
        <v>749</v>
      </c>
      <c r="AP84" t="s">
        <v>107</v>
      </c>
      <c r="AQ84" t="s">
        <v>750</v>
      </c>
      <c r="AR84" t="s">
        <v>751</v>
      </c>
      <c r="AS84" t="s">
        <v>752</v>
      </c>
      <c r="AT84" t="s">
        <v>753</v>
      </c>
      <c r="AU84" t="s">
        <v>747</v>
      </c>
    </row>
    <row r="85" spans="5:47" x14ac:dyDescent="0.3">
      <c r="E85" t="s">
        <v>107</v>
      </c>
      <c r="AL85" t="s">
        <v>746</v>
      </c>
      <c r="AM85" t="s">
        <v>747</v>
      </c>
      <c r="AN85" t="s">
        <v>748</v>
      </c>
      <c r="AO85" t="s">
        <v>749</v>
      </c>
      <c r="AP85" t="s">
        <v>107</v>
      </c>
      <c r="AQ85" t="s">
        <v>750</v>
      </c>
      <c r="AR85" t="s">
        <v>751</v>
      </c>
      <c r="AS85" t="s">
        <v>752</v>
      </c>
      <c r="AT85" t="s">
        <v>753</v>
      </c>
      <c r="AU85" t="s">
        <v>747</v>
      </c>
    </row>
    <row r="86" spans="5:47" x14ac:dyDescent="0.3">
      <c r="E86" t="s">
        <v>107</v>
      </c>
      <c r="AL86" t="s">
        <v>746</v>
      </c>
      <c r="AM86" t="s">
        <v>747</v>
      </c>
      <c r="AN86" t="s">
        <v>748</v>
      </c>
      <c r="AO86" t="s">
        <v>749</v>
      </c>
      <c r="AP86" t="s">
        <v>107</v>
      </c>
      <c r="AQ86" t="s">
        <v>750</v>
      </c>
      <c r="AR86" t="s">
        <v>751</v>
      </c>
      <c r="AS86" t="s">
        <v>752</v>
      </c>
      <c r="AT86" t="s">
        <v>753</v>
      </c>
      <c r="AU86" t="s">
        <v>747</v>
      </c>
    </row>
    <row r="87" spans="5:47" x14ac:dyDescent="0.3">
      <c r="E87" t="s">
        <v>107</v>
      </c>
      <c r="AL87" t="s">
        <v>746</v>
      </c>
      <c r="AM87" t="s">
        <v>747</v>
      </c>
      <c r="AN87" t="s">
        <v>748</v>
      </c>
      <c r="AO87" t="s">
        <v>749</v>
      </c>
      <c r="AP87" t="s">
        <v>107</v>
      </c>
      <c r="AQ87" t="s">
        <v>750</v>
      </c>
      <c r="AR87" t="s">
        <v>751</v>
      </c>
      <c r="AS87" t="s">
        <v>752</v>
      </c>
      <c r="AT87" t="s">
        <v>753</v>
      </c>
      <c r="AU87" t="s">
        <v>747</v>
      </c>
    </row>
    <row r="88" spans="5:47" x14ac:dyDescent="0.3">
      <c r="E88" t="s">
        <v>107</v>
      </c>
      <c r="AL88" t="s">
        <v>746</v>
      </c>
      <c r="AM88" t="s">
        <v>747</v>
      </c>
      <c r="AN88" t="s">
        <v>748</v>
      </c>
      <c r="AO88" t="s">
        <v>749</v>
      </c>
      <c r="AP88" t="s">
        <v>107</v>
      </c>
      <c r="AQ88" t="s">
        <v>750</v>
      </c>
      <c r="AR88" t="s">
        <v>751</v>
      </c>
      <c r="AS88" t="s">
        <v>752</v>
      </c>
      <c r="AT88" t="s">
        <v>753</v>
      </c>
      <c r="AU88" t="s">
        <v>747</v>
      </c>
    </row>
    <row r="89" spans="5:47" x14ac:dyDescent="0.3">
      <c r="E89" t="s">
        <v>107</v>
      </c>
      <c r="AL89" t="s">
        <v>746</v>
      </c>
      <c r="AM89" t="s">
        <v>747</v>
      </c>
      <c r="AN89" t="s">
        <v>748</v>
      </c>
      <c r="AO89" t="s">
        <v>749</v>
      </c>
      <c r="AP89" t="s">
        <v>107</v>
      </c>
      <c r="AQ89" t="s">
        <v>750</v>
      </c>
      <c r="AR89" t="s">
        <v>751</v>
      </c>
      <c r="AS89" t="s">
        <v>752</v>
      </c>
      <c r="AT89" t="s">
        <v>753</v>
      </c>
      <c r="AU89" t="s">
        <v>747</v>
      </c>
    </row>
    <row r="90" spans="5:47" x14ac:dyDescent="0.3">
      <c r="E90" t="s">
        <v>107</v>
      </c>
      <c r="AL90" t="s">
        <v>746</v>
      </c>
      <c r="AM90" t="s">
        <v>747</v>
      </c>
      <c r="AN90" t="s">
        <v>748</v>
      </c>
      <c r="AO90" t="s">
        <v>749</v>
      </c>
      <c r="AP90" t="s">
        <v>107</v>
      </c>
      <c r="AQ90" t="s">
        <v>750</v>
      </c>
      <c r="AR90" t="s">
        <v>751</v>
      </c>
      <c r="AS90" t="s">
        <v>752</v>
      </c>
      <c r="AT90" t="s">
        <v>753</v>
      </c>
      <c r="AU90" t="s">
        <v>747</v>
      </c>
    </row>
    <row r="91" spans="5:47" x14ac:dyDescent="0.3">
      <c r="E91" t="s">
        <v>107</v>
      </c>
      <c r="AL91" t="s">
        <v>746</v>
      </c>
      <c r="AM91" t="s">
        <v>747</v>
      </c>
      <c r="AN91" t="s">
        <v>748</v>
      </c>
      <c r="AO91" t="s">
        <v>749</v>
      </c>
      <c r="AP91" t="s">
        <v>107</v>
      </c>
      <c r="AQ91" t="s">
        <v>750</v>
      </c>
      <c r="AR91" t="s">
        <v>751</v>
      </c>
      <c r="AS91" t="s">
        <v>752</v>
      </c>
      <c r="AT91" t="s">
        <v>753</v>
      </c>
      <c r="AU91" t="s">
        <v>747</v>
      </c>
    </row>
    <row r="92" spans="5:47" x14ac:dyDescent="0.3">
      <c r="E92" t="s">
        <v>107</v>
      </c>
      <c r="AL92" t="s">
        <v>746</v>
      </c>
      <c r="AM92" t="s">
        <v>747</v>
      </c>
      <c r="AN92" t="s">
        <v>748</v>
      </c>
      <c r="AO92" t="s">
        <v>749</v>
      </c>
      <c r="AP92" t="s">
        <v>107</v>
      </c>
      <c r="AQ92" t="s">
        <v>750</v>
      </c>
      <c r="AR92" t="s">
        <v>751</v>
      </c>
      <c r="AS92" t="s">
        <v>752</v>
      </c>
      <c r="AT92" t="s">
        <v>753</v>
      </c>
      <c r="AU92" t="s">
        <v>747</v>
      </c>
    </row>
    <row r="93" spans="5:47" x14ac:dyDescent="0.3">
      <c r="E93" t="s">
        <v>107</v>
      </c>
      <c r="AL93" t="s">
        <v>746</v>
      </c>
      <c r="AM93" t="s">
        <v>747</v>
      </c>
      <c r="AN93" t="s">
        <v>748</v>
      </c>
      <c r="AO93" t="s">
        <v>749</v>
      </c>
      <c r="AP93" t="s">
        <v>107</v>
      </c>
      <c r="AQ93" t="s">
        <v>750</v>
      </c>
      <c r="AR93" t="s">
        <v>751</v>
      </c>
      <c r="AS93" t="s">
        <v>752</v>
      </c>
      <c r="AT93" t="s">
        <v>753</v>
      </c>
      <c r="AU93" t="s">
        <v>747</v>
      </c>
    </row>
    <row r="94" spans="5:47" x14ac:dyDescent="0.3">
      <c r="E94" t="s">
        <v>107</v>
      </c>
      <c r="AL94" t="s">
        <v>746</v>
      </c>
      <c r="AM94" t="s">
        <v>747</v>
      </c>
      <c r="AN94" t="s">
        <v>748</v>
      </c>
      <c r="AO94" t="s">
        <v>749</v>
      </c>
      <c r="AP94" t="s">
        <v>107</v>
      </c>
      <c r="AQ94" t="s">
        <v>750</v>
      </c>
      <c r="AR94" t="s">
        <v>751</v>
      </c>
      <c r="AS94" t="s">
        <v>752</v>
      </c>
      <c r="AT94" t="s">
        <v>753</v>
      </c>
      <c r="AU94" t="s">
        <v>747</v>
      </c>
    </row>
    <row r="95" spans="5:47" x14ac:dyDescent="0.3">
      <c r="E95" t="s">
        <v>107</v>
      </c>
      <c r="AL95" t="s">
        <v>746</v>
      </c>
      <c r="AM95" t="s">
        <v>747</v>
      </c>
      <c r="AN95" t="s">
        <v>748</v>
      </c>
      <c r="AO95" t="s">
        <v>749</v>
      </c>
      <c r="AP95" t="s">
        <v>107</v>
      </c>
      <c r="AQ95" t="s">
        <v>750</v>
      </c>
      <c r="AR95" t="s">
        <v>751</v>
      </c>
      <c r="AS95" t="s">
        <v>752</v>
      </c>
      <c r="AT95" t="s">
        <v>753</v>
      </c>
      <c r="AU95" t="s">
        <v>747</v>
      </c>
    </row>
    <row r="96" spans="5:47" x14ac:dyDescent="0.3">
      <c r="E96" t="s">
        <v>107</v>
      </c>
      <c r="AL96" t="s">
        <v>746</v>
      </c>
      <c r="AM96" t="s">
        <v>747</v>
      </c>
      <c r="AN96" t="s">
        <v>748</v>
      </c>
      <c r="AO96" t="s">
        <v>749</v>
      </c>
      <c r="AP96" t="s">
        <v>107</v>
      </c>
      <c r="AQ96" t="s">
        <v>750</v>
      </c>
      <c r="AR96" t="s">
        <v>751</v>
      </c>
      <c r="AS96" t="s">
        <v>752</v>
      </c>
      <c r="AT96" t="s">
        <v>753</v>
      </c>
      <c r="AU96" t="s">
        <v>747</v>
      </c>
    </row>
    <row r="97" spans="5:47" x14ac:dyDescent="0.3">
      <c r="E97" t="s">
        <v>107</v>
      </c>
      <c r="AL97" t="s">
        <v>746</v>
      </c>
      <c r="AM97" t="s">
        <v>747</v>
      </c>
      <c r="AN97" t="s">
        <v>748</v>
      </c>
      <c r="AO97" t="s">
        <v>749</v>
      </c>
      <c r="AP97" t="s">
        <v>107</v>
      </c>
      <c r="AQ97" t="s">
        <v>750</v>
      </c>
      <c r="AR97" t="s">
        <v>751</v>
      </c>
      <c r="AS97" t="s">
        <v>752</v>
      </c>
      <c r="AT97" t="s">
        <v>753</v>
      </c>
      <c r="AU97" t="s">
        <v>747</v>
      </c>
    </row>
    <row r="98" spans="5:47" x14ac:dyDescent="0.3">
      <c r="E98" t="s">
        <v>107</v>
      </c>
      <c r="AL98" t="s">
        <v>746</v>
      </c>
      <c r="AM98" t="s">
        <v>747</v>
      </c>
      <c r="AN98" t="s">
        <v>748</v>
      </c>
      <c r="AO98" t="s">
        <v>749</v>
      </c>
      <c r="AP98" t="s">
        <v>107</v>
      </c>
      <c r="AQ98" t="s">
        <v>750</v>
      </c>
      <c r="AR98" t="s">
        <v>751</v>
      </c>
      <c r="AS98" t="s">
        <v>752</v>
      </c>
      <c r="AT98" t="s">
        <v>753</v>
      </c>
      <c r="AU98" t="s">
        <v>747</v>
      </c>
    </row>
    <row r="99" spans="5:47" x14ac:dyDescent="0.3">
      <c r="E99" t="s">
        <v>107</v>
      </c>
      <c r="AL99" t="s">
        <v>746</v>
      </c>
      <c r="AM99" t="s">
        <v>747</v>
      </c>
      <c r="AN99" t="s">
        <v>748</v>
      </c>
      <c r="AO99" t="s">
        <v>749</v>
      </c>
      <c r="AP99" t="s">
        <v>107</v>
      </c>
      <c r="AQ99" t="s">
        <v>750</v>
      </c>
      <c r="AR99" t="s">
        <v>751</v>
      </c>
      <c r="AS99" t="s">
        <v>752</v>
      </c>
      <c r="AT99" t="s">
        <v>753</v>
      </c>
      <c r="AU99" t="s">
        <v>747</v>
      </c>
    </row>
    <row r="100" spans="5:47" x14ac:dyDescent="0.3">
      <c r="E100" t="s">
        <v>107</v>
      </c>
      <c r="AL100" t="s">
        <v>746</v>
      </c>
      <c r="AM100" t="s">
        <v>747</v>
      </c>
      <c r="AN100" t="s">
        <v>748</v>
      </c>
      <c r="AO100" t="s">
        <v>749</v>
      </c>
      <c r="AP100" t="s">
        <v>107</v>
      </c>
      <c r="AQ100" t="s">
        <v>750</v>
      </c>
      <c r="AR100" t="s">
        <v>751</v>
      </c>
      <c r="AS100" t="s">
        <v>752</v>
      </c>
      <c r="AT100" t="s">
        <v>753</v>
      </c>
      <c r="AU100" t="s">
        <v>747</v>
      </c>
    </row>
    <row r="101" spans="5:47" x14ac:dyDescent="0.3">
      <c r="E101" t="s">
        <v>107</v>
      </c>
      <c r="AL101" t="s">
        <v>746</v>
      </c>
      <c r="AM101" t="s">
        <v>747</v>
      </c>
      <c r="AN101" t="s">
        <v>748</v>
      </c>
      <c r="AO101" t="s">
        <v>749</v>
      </c>
      <c r="AP101" t="s">
        <v>107</v>
      </c>
      <c r="AQ101" t="s">
        <v>750</v>
      </c>
      <c r="AR101" t="s">
        <v>751</v>
      </c>
      <c r="AS101" t="s">
        <v>752</v>
      </c>
      <c r="AT101" t="s">
        <v>753</v>
      </c>
      <c r="AU101" t="s">
        <v>747</v>
      </c>
    </row>
    <row r="102" spans="5:47" x14ac:dyDescent="0.3">
      <c r="E102" t="s">
        <v>107</v>
      </c>
      <c r="AL102" t="s">
        <v>746</v>
      </c>
      <c r="AM102" t="s">
        <v>747</v>
      </c>
      <c r="AN102" t="s">
        <v>748</v>
      </c>
      <c r="AO102" t="s">
        <v>749</v>
      </c>
      <c r="AP102" t="s">
        <v>107</v>
      </c>
      <c r="AQ102" t="s">
        <v>750</v>
      </c>
      <c r="AR102" t="s">
        <v>751</v>
      </c>
      <c r="AS102" t="s">
        <v>752</v>
      </c>
      <c r="AT102" t="s">
        <v>753</v>
      </c>
      <c r="AU102" t="s">
        <v>747</v>
      </c>
    </row>
    <row r="103" spans="5:47" x14ac:dyDescent="0.3">
      <c r="E103" t="s">
        <v>107</v>
      </c>
      <c r="AL103" t="s">
        <v>746</v>
      </c>
      <c r="AM103" t="s">
        <v>747</v>
      </c>
      <c r="AN103" t="s">
        <v>748</v>
      </c>
      <c r="AO103" t="s">
        <v>749</v>
      </c>
      <c r="AP103" t="s">
        <v>107</v>
      </c>
      <c r="AQ103" t="s">
        <v>750</v>
      </c>
      <c r="AR103" t="s">
        <v>751</v>
      </c>
      <c r="AS103" t="s">
        <v>752</v>
      </c>
      <c r="AT103" t="s">
        <v>753</v>
      </c>
      <c r="AU103" t="s">
        <v>747</v>
      </c>
    </row>
    <row r="104" spans="5:47" x14ac:dyDescent="0.3">
      <c r="E104" t="s">
        <v>107</v>
      </c>
      <c r="AL104" t="s">
        <v>746</v>
      </c>
      <c r="AM104" t="s">
        <v>747</v>
      </c>
      <c r="AN104" t="s">
        <v>748</v>
      </c>
      <c r="AO104" t="s">
        <v>749</v>
      </c>
      <c r="AP104" t="s">
        <v>107</v>
      </c>
      <c r="AQ104" t="s">
        <v>750</v>
      </c>
      <c r="AR104" t="s">
        <v>751</v>
      </c>
      <c r="AS104" t="s">
        <v>752</v>
      </c>
      <c r="AT104" t="s">
        <v>753</v>
      </c>
      <c r="AU104" t="s">
        <v>747</v>
      </c>
    </row>
    <row r="105" spans="5:47" x14ac:dyDescent="0.3">
      <c r="E105" t="s">
        <v>107</v>
      </c>
      <c r="AL105" t="s">
        <v>746</v>
      </c>
      <c r="AM105" t="s">
        <v>747</v>
      </c>
      <c r="AN105" t="s">
        <v>748</v>
      </c>
      <c r="AO105" t="s">
        <v>749</v>
      </c>
      <c r="AP105" t="s">
        <v>107</v>
      </c>
      <c r="AQ105" t="s">
        <v>750</v>
      </c>
      <c r="AR105" t="s">
        <v>751</v>
      </c>
      <c r="AS105" t="s">
        <v>752</v>
      </c>
      <c r="AT105" t="s">
        <v>753</v>
      </c>
      <c r="AU105" t="s">
        <v>747</v>
      </c>
    </row>
    <row r="106" spans="5:47" x14ac:dyDescent="0.3">
      <c r="E106" t="s">
        <v>107</v>
      </c>
      <c r="AL106" t="s">
        <v>746</v>
      </c>
      <c r="AM106" t="s">
        <v>747</v>
      </c>
      <c r="AN106" t="s">
        <v>748</v>
      </c>
      <c r="AO106" t="s">
        <v>749</v>
      </c>
      <c r="AP106" t="s">
        <v>107</v>
      </c>
      <c r="AQ106" t="s">
        <v>750</v>
      </c>
      <c r="AR106" t="s">
        <v>751</v>
      </c>
      <c r="AS106" t="s">
        <v>752</v>
      </c>
      <c r="AT106" t="s">
        <v>753</v>
      </c>
      <c r="AU106" t="s">
        <v>747</v>
      </c>
    </row>
    <row r="107" spans="5:47" x14ac:dyDescent="0.3">
      <c r="E107" t="s">
        <v>107</v>
      </c>
      <c r="AL107" t="s">
        <v>746</v>
      </c>
      <c r="AM107" t="s">
        <v>747</v>
      </c>
      <c r="AN107" t="s">
        <v>748</v>
      </c>
      <c r="AO107" t="s">
        <v>749</v>
      </c>
      <c r="AP107" t="s">
        <v>107</v>
      </c>
      <c r="AQ107" t="s">
        <v>750</v>
      </c>
      <c r="AR107" t="s">
        <v>751</v>
      </c>
      <c r="AS107" t="s">
        <v>752</v>
      </c>
      <c r="AT107" t="s">
        <v>753</v>
      </c>
      <c r="AU107" t="s">
        <v>747</v>
      </c>
    </row>
    <row r="108" spans="5:47" x14ac:dyDescent="0.3">
      <c r="E108" t="s">
        <v>107</v>
      </c>
      <c r="AL108" t="s">
        <v>746</v>
      </c>
      <c r="AM108" t="s">
        <v>747</v>
      </c>
      <c r="AN108" t="s">
        <v>748</v>
      </c>
      <c r="AO108" t="s">
        <v>749</v>
      </c>
      <c r="AP108" t="s">
        <v>107</v>
      </c>
      <c r="AQ108" t="s">
        <v>750</v>
      </c>
      <c r="AR108" t="s">
        <v>751</v>
      </c>
      <c r="AS108" t="s">
        <v>752</v>
      </c>
      <c r="AT108" t="s">
        <v>753</v>
      </c>
      <c r="AU108" t="s">
        <v>747</v>
      </c>
    </row>
    <row r="109" spans="5:47" x14ac:dyDescent="0.3">
      <c r="E109" t="s">
        <v>107</v>
      </c>
      <c r="AL109" t="s">
        <v>746</v>
      </c>
      <c r="AM109" t="s">
        <v>747</v>
      </c>
      <c r="AN109" t="s">
        <v>748</v>
      </c>
      <c r="AO109" t="s">
        <v>749</v>
      </c>
      <c r="AP109" t="s">
        <v>107</v>
      </c>
      <c r="AQ109" t="s">
        <v>750</v>
      </c>
      <c r="AR109" t="s">
        <v>751</v>
      </c>
      <c r="AS109" t="s">
        <v>752</v>
      </c>
      <c r="AT109" t="s">
        <v>753</v>
      </c>
      <c r="AU109" t="s">
        <v>747</v>
      </c>
    </row>
    <row r="110" spans="5:47" x14ac:dyDescent="0.3">
      <c r="E110" t="s">
        <v>107</v>
      </c>
      <c r="AL110" t="s">
        <v>746</v>
      </c>
      <c r="AM110" t="s">
        <v>747</v>
      </c>
      <c r="AN110" t="s">
        <v>748</v>
      </c>
      <c r="AO110" t="s">
        <v>749</v>
      </c>
      <c r="AP110" t="s">
        <v>107</v>
      </c>
      <c r="AQ110" t="s">
        <v>750</v>
      </c>
      <c r="AR110" t="s">
        <v>751</v>
      </c>
      <c r="AS110" t="s">
        <v>752</v>
      </c>
      <c r="AT110" t="s">
        <v>753</v>
      </c>
      <c r="AU110" t="s">
        <v>747</v>
      </c>
    </row>
    <row r="111" spans="5:47" x14ac:dyDescent="0.3">
      <c r="E111" t="s">
        <v>107</v>
      </c>
      <c r="AL111" t="s">
        <v>746</v>
      </c>
      <c r="AM111" t="s">
        <v>747</v>
      </c>
      <c r="AN111" t="s">
        <v>748</v>
      </c>
      <c r="AO111" t="s">
        <v>749</v>
      </c>
      <c r="AP111" t="s">
        <v>107</v>
      </c>
      <c r="AQ111" t="s">
        <v>750</v>
      </c>
      <c r="AR111" t="s">
        <v>751</v>
      </c>
      <c r="AS111" t="s">
        <v>752</v>
      </c>
      <c r="AT111" t="s">
        <v>753</v>
      </c>
      <c r="AU111" t="s">
        <v>747</v>
      </c>
    </row>
    <row r="112" spans="5:47" x14ac:dyDescent="0.3">
      <c r="E112" t="s">
        <v>107</v>
      </c>
      <c r="AL112" t="s">
        <v>746</v>
      </c>
      <c r="AM112" t="s">
        <v>747</v>
      </c>
      <c r="AN112" t="s">
        <v>748</v>
      </c>
      <c r="AO112" t="s">
        <v>749</v>
      </c>
      <c r="AP112" t="s">
        <v>107</v>
      </c>
      <c r="AQ112" t="s">
        <v>750</v>
      </c>
      <c r="AR112" t="s">
        <v>751</v>
      </c>
      <c r="AS112" t="s">
        <v>752</v>
      </c>
      <c r="AT112" t="s">
        <v>753</v>
      </c>
      <c r="AU112" t="s">
        <v>747</v>
      </c>
    </row>
    <row r="113" spans="5:47" x14ac:dyDescent="0.3">
      <c r="E113" t="s">
        <v>107</v>
      </c>
      <c r="AL113" t="s">
        <v>746</v>
      </c>
      <c r="AM113" t="s">
        <v>747</v>
      </c>
      <c r="AN113" t="s">
        <v>748</v>
      </c>
      <c r="AO113" t="s">
        <v>749</v>
      </c>
      <c r="AP113" t="s">
        <v>107</v>
      </c>
      <c r="AQ113" t="s">
        <v>750</v>
      </c>
      <c r="AR113" t="s">
        <v>751</v>
      </c>
      <c r="AS113" t="s">
        <v>752</v>
      </c>
      <c r="AT113" t="s">
        <v>753</v>
      </c>
      <c r="AU113" t="s">
        <v>747</v>
      </c>
    </row>
    <row r="114" spans="5:47" x14ac:dyDescent="0.3">
      <c r="E114" t="s">
        <v>107</v>
      </c>
      <c r="AL114" t="s">
        <v>746</v>
      </c>
      <c r="AM114" t="s">
        <v>747</v>
      </c>
      <c r="AN114" t="s">
        <v>748</v>
      </c>
      <c r="AO114" t="s">
        <v>749</v>
      </c>
      <c r="AP114" t="s">
        <v>107</v>
      </c>
      <c r="AQ114" t="s">
        <v>750</v>
      </c>
      <c r="AR114" t="s">
        <v>751</v>
      </c>
      <c r="AS114" t="s">
        <v>752</v>
      </c>
      <c r="AT114" t="s">
        <v>753</v>
      </c>
      <c r="AU114" t="s">
        <v>747</v>
      </c>
    </row>
    <row r="115" spans="5:47" x14ac:dyDescent="0.3">
      <c r="E115" t="s">
        <v>107</v>
      </c>
      <c r="AL115" t="s">
        <v>746</v>
      </c>
      <c r="AM115" t="s">
        <v>747</v>
      </c>
      <c r="AN115" t="s">
        <v>748</v>
      </c>
      <c r="AO115" t="s">
        <v>749</v>
      </c>
      <c r="AP115" t="s">
        <v>107</v>
      </c>
      <c r="AQ115" t="s">
        <v>750</v>
      </c>
      <c r="AR115" t="s">
        <v>751</v>
      </c>
      <c r="AS115" t="s">
        <v>752</v>
      </c>
      <c r="AT115" t="s">
        <v>753</v>
      </c>
      <c r="AU115" t="s">
        <v>747</v>
      </c>
    </row>
    <row r="116" spans="5:47" x14ac:dyDescent="0.3">
      <c r="E116" t="s">
        <v>107</v>
      </c>
      <c r="AL116" t="s">
        <v>746</v>
      </c>
      <c r="AM116" t="s">
        <v>747</v>
      </c>
      <c r="AN116" t="s">
        <v>748</v>
      </c>
      <c r="AO116" t="s">
        <v>749</v>
      </c>
      <c r="AP116" t="s">
        <v>107</v>
      </c>
      <c r="AQ116" t="s">
        <v>750</v>
      </c>
      <c r="AR116" t="s">
        <v>751</v>
      </c>
      <c r="AS116" t="s">
        <v>752</v>
      </c>
      <c r="AT116" t="s">
        <v>753</v>
      </c>
      <c r="AU116" t="s">
        <v>747</v>
      </c>
    </row>
    <row r="117" spans="5:47" x14ac:dyDescent="0.3">
      <c r="E117" t="s">
        <v>107</v>
      </c>
      <c r="AL117" t="s">
        <v>746</v>
      </c>
      <c r="AM117" t="s">
        <v>747</v>
      </c>
      <c r="AN117" t="s">
        <v>748</v>
      </c>
      <c r="AO117" t="s">
        <v>749</v>
      </c>
      <c r="AP117" t="s">
        <v>107</v>
      </c>
      <c r="AQ117" t="s">
        <v>750</v>
      </c>
      <c r="AR117" t="s">
        <v>751</v>
      </c>
      <c r="AS117" t="s">
        <v>752</v>
      </c>
      <c r="AT117" t="s">
        <v>753</v>
      </c>
      <c r="AU117" t="s">
        <v>747</v>
      </c>
    </row>
    <row r="118" spans="5:47" x14ac:dyDescent="0.3">
      <c r="E118" t="s">
        <v>107</v>
      </c>
      <c r="AL118" t="s">
        <v>746</v>
      </c>
      <c r="AM118" t="s">
        <v>747</v>
      </c>
      <c r="AN118" t="s">
        <v>748</v>
      </c>
      <c r="AO118" t="s">
        <v>749</v>
      </c>
      <c r="AP118" t="s">
        <v>107</v>
      </c>
      <c r="AQ118" t="s">
        <v>750</v>
      </c>
      <c r="AR118" t="s">
        <v>751</v>
      </c>
      <c r="AS118" t="s">
        <v>752</v>
      </c>
      <c r="AT118" t="s">
        <v>753</v>
      </c>
      <c r="AU118" t="s">
        <v>747</v>
      </c>
    </row>
    <row r="119" spans="5:47" x14ac:dyDescent="0.3">
      <c r="E119" t="s">
        <v>107</v>
      </c>
      <c r="AL119" t="s">
        <v>746</v>
      </c>
      <c r="AM119" t="s">
        <v>747</v>
      </c>
      <c r="AN119" t="s">
        <v>748</v>
      </c>
      <c r="AO119" t="s">
        <v>749</v>
      </c>
      <c r="AP119" t="s">
        <v>107</v>
      </c>
      <c r="AQ119" t="s">
        <v>750</v>
      </c>
      <c r="AR119" t="s">
        <v>751</v>
      </c>
      <c r="AS119" t="s">
        <v>752</v>
      </c>
      <c r="AT119" t="s">
        <v>753</v>
      </c>
      <c r="AU119" t="s">
        <v>747</v>
      </c>
    </row>
    <row r="120" spans="5:47" x14ac:dyDescent="0.3">
      <c r="E120" t="s">
        <v>107</v>
      </c>
      <c r="AL120" t="s">
        <v>746</v>
      </c>
      <c r="AM120" t="s">
        <v>747</v>
      </c>
      <c r="AN120" t="s">
        <v>748</v>
      </c>
      <c r="AO120" t="s">
        <v>749</v>
      </c>
      <c r="AP120" t="s">
        <v>107</v>
      </c>
      <c r="AQ120" t="s">
        <v>750</v>
      </c>
      <c r="AR120" t="s">
        <v>751</v>
      </c>
      <c r="AS120" t="s">
        <v>752</v>
      </c>
      <c r="AT120" t="s">
        <v>753</v>
      </c>
      <c r="AU120" t="s">
        <v>747</v>
      </c>
    </row>
    <row r="121" spans="5:47" x14ac:dyDescent="0.3">
      <c r="E121" t="s">
        <v>107</v>
      </c>
      <c r="AL121" t="s">
        <v>746</v>
      </c>
      <c r="AM121" t="s">
        <v>747</v>
      </c>
      <c r="AN121" t="s">
        <v>748</v>
      </c>
      <c r="AO121" t="s">
        <v>749</v>
      </c>
      <c r="AP121" t="s">
        <v>107</v>
      </c>
      <c r="AQ121" t="s">
        <v>750</v>
      </c>
      <c r="AR121" t="s">
        <v>751</v>
      </c>
      <c r="AS121" t="s">
        <v>752</v>
      </c>
      <c r="AT121" t="s">
        <v>753</v>
      </c>
      <c r="AU121" t="s">
        <v>747</v>
      </c>
    </row>
    <row r="122" spans="5:47" x14ac:dyDescent="0.3">
      <c r="E122" t="s">
        <v>107</v>
      </c>
      <c r="AL122" t="s">
        <v>746</v>
      </c>
      <c r="AM122" t="s">
        <v>747</v>
      </c>
      <c r="AN122" t="s">
        <v>748</v>
      </c>
      <c r="AO122" t="s">
        <v>749</v>
      </c>
      <c r="AP122" t="s">
        <v>107</v>
      </c>
      <c r="AQ122" t="s">
        <v>750</v>
      </c>
      <c r="AR122" t="s">
        <v>751</v>
      </c>
      <c r="AS122" t="s">
        <v>752</v>
      </c>
      <c r="AT122" t="s">
        <v>753</v>
      </c>
      <c r="AU122" t="s">
        <v>747</v>
      </c>
    </row>
    <row r="123" spans="5:47" x14ac:dyDescent="0.3">
      <c r="E123" t="s">
        <v>107</v>
      </c>
      <c r="AL123" t="s">
        <v>746</v>
      </c>
      <c r="AM123" t="s">
        <v>747</v>
      </c>
      <c r="AN123" t="s">
        <v>748</v>
      </c>
      <c r="AO123" t="s">
        <v>749</v>
      </c>
      <c r="AP123" t="s">
        <v>107</v>
      </c>
      <c r="AQ123" t="s">
        <v>750</v>
      </c>
      <c r="AR123" t="s">
        <v>751</v>
      </c>
      <c r="AS123" t="s">
        <v>752</v>
      </c>
      <c r="AT123" t="s">
        <v>753</v>
      </c>
      <c r="AU123" t="s">
        <v>747</v>
      </c>
    </row>
    <row r="124" spans="5:47" x14ac:dyDescent="0.3">
      <c r="E124" t="s">
        <v>107</v>
      </c>
      <c r="AL124" t="s">
        <v>746</v>
      </c>
      <c r="AM124" t="s">
        <v>747</v>
      </c>
      <c r="AN124" t="s">
        <v>748</v>
      </c>
      <c r="AO124" t="s">
        <v>749</v>
      </c>
      <c r="AP124" t="s">
        <v>107</v>
      </c>
      <c r="AQ124" t="s">
        <v>750</v>
      </c>
      <c r="AR124" t="s">
        <v>751</v>
      </c>
      <c r="AS124" t="s">
        <v>752</v>
      </c>
      <c r="AT124" t="s">
        <v>753</v>
      </c>
      <c r="AU124" t="s">
        <v>747</v>
      </c>
    </row>
    <row r="125" spans="5:47" x14ac:dyDescent="0.3">
      <c r="E125" t="s">
        <v>107</v>
      </c>
      <c r="AL125" t="s">
        <v>746</v>
      </c>
      <c r="AM125" t="s">
        <v>747</v>
      </c>
      <c r="AN125" t="s">
        <v>748</v>
      </c>
      <c r="AO125" t="s">
        <v>749</v>
      </c>
      <c r="AP125" t="s">
        <v>107</v>
      </c>
      <c r="AQ125" t="s">
        <v>750</v>
      </c>
      <c r="AR125" t="s">
        <v>751</v>
      </c>
      <c r="AS125" t="s">
        <v>752</v>
      </c>
      <c r="AT125" t="s">
        <v>753</v>
      </c>
      <c r="AU125" t="s">
        <v>747</v>
      </c>
    </row>
    <row r="126" spans="5:47" x14ac:dyDescent="0.3">
      <c r="E126" t="s">
        <v>107</v>
      </c>
      <c r="AL126" t="s">
        <v>746</v>
      </c>
      <c r="AM126" t="s">
        <v>747</v>
      </c>
      <c r="AN126" t="s">
        <v>748</v>
      </c>
      <c r="AO126" t="s">
        <v>749</v>
      </c>
      <c r="AP126" t="s">
        <v>107</v>
      </c>
      <c r="AQ126" t="s">
        <v>750</v>
      </c>
      <c r="AR126" t="s">
        <v>751</v>
      </c>
      <c r="AS126" t="s">
        <v>752</v>
      </c>
      <c r="AT126" t="s">
        <v>753</v>
      </c>
      <c r="AU126" t="s">
        <v>747</v>
      </c>
    </row>
    <row r="127" spans="5:47" x14ac:dyDescent="0.3">
      <c r="E127" t="s">
        <v>107</v>
      </c>
      <c r="AL127" t="s">
        <v>746</v>
      </c>
      <c r="AM127" t="s">
        <v>747</v>
      </c>
      <c r="AN127" t="s">
        <v>748</v>
      </c>
      <c r="AO127" t="s">
        <v>749</v>
      </c>
      <c r="AP127" t="s">
        <v>107</v>
      </c>
      <c r="AQ127" t="s">
        <v>750</v>
      </c>
      <c r="AR127" t="s">
        <v>751</v>
      </c>
      <c r="AS127" t="s">
        <v>752</v>
      </c>
      <c r="AT127" t="s">
        <v>753</v>
      </c>
      <c r="AU127" t="s">
        <v>747</v>
      </c>
    </row>
    <row r="128" spans="5:47" x14ac:dyDescent="0.3">
      <c r="E128" t="s">
        <v>107</v>
      </c>
      <c r="AL128" t="s">
        <v>746</v>
      </c>
      <c r="AM128" t="s">
        <v>747</v>
      </c>
      <c r="AN128" t="s">
        <v>748</v>
      </c>
      <c r="AO128" t="s">
        <v>749</v>
      </c>
      <c r="AP128" t="s">
        <v>107</v>
      </c>
      <c r="AQ128" t="s">
        <v>750</v>
      </c>
      <c r="AR128" t="s">
        <v>751</v>
      </c>
      <c r="AS128" t="s">
        <v>752</v>
      </c>
      <c r="AT128" t="s">
        <v>753</v>
      </c>
      <c r="AU128" t="s">
        <v>747</v>
      </c>
    </row>
    <row r="129" spans="5:47" x14ac:dyDescent="0.3">
      <c r="E129" t="s">
        <v>107</v>
      </c>
      <c r="AL129" t="s">
        <v>746</v>
      </c>
      <c r="AM129" t="s">
        <v>747</v>
      </c>
      <c r="AN129" t="s">
        <v>748</v>
      </c>
      <c r="AO129" t="s">
        <v>749</v>
      </c>
      <c r="AP129" t="s">
        <v>107</v>
      </c>
      <c r="AQ129" t="s">
        <v>750</v>
      </c>
      <c r="AR129" t="s">
        <v>751</v>
      </c>
      <c r="AS129" t="s">
        <v>752</v>
      </c>
      <c r="AT129" t="s">
        <v>753</v>
      </c>
      <c r="AU129" t="s">
        <v>747</v>
      </c>
    </row>
    <row r="130" spans="5:47" x14ac:dyDescent="0.3">
      <c r="E130" t="s">
        <v>107</v>
      </c>
      <c r="AL130" t="s">
        <v>746</v>
      </c>
      <c r="AM130" t="s">
        <v>747</v>
      </c>
      <c r="AN130" t="s">
        <v>748</v>
      </c>
      <c r="AO130" t="s">
        <v>749</v>
      </c>
      <c r="AP130" t="s">
        <v>107</v>
      </c>
      <c r="AQ130" t="s">
        <v>750</v>
      </c>
      <c r="AR130" t="s">
        <v>751</v>
      </c>
      <c r="AS130" t="s">
        <v>752</v>
      </c>
      <c r="AT130" t="s">
        <v>753</v>
      </c>
      <c r="AU130" t="s">
        <v>747</v>
      </c>
    </row>
    <row r="131" spans="5:47" x14ac:dyDescent="0.3">
      <c r="E131" t="s">
        <v>107</v>
      </c>
      <c r="AL131" t="s">
        <v>746</v>
      </c>
      <c r="AM131" t="s">
        <v>747</v>
      </c>
      <c r="AN131" t="s">
        <v>748</v>
      </c>
      <c r="AO131" t="s">
        <v>749</v>
      </c>
      <c r="AP131" t="s">
        <v>107</v>
      </c>
      <c r="AQ131" t="s">
        <v>750</v>
      </c>
      <c r="AR131" t="s">
        <v>751</v>
      </c>
      <c r="AS131" t="s">
        <v>752</v>
      </c>
      <c r="AT131" t="s">
        <v>753</v>
      </c>
      <c r="AU131" t="s">
        <v>747</v>
      </c>
    </row>
    <row r="132" spans="5:47" x14ac:dyDescent="0.3">
      <c r="E132" t="s">
        <v>107</v>
      </c>
      <c r="AL132" t="s">
        <v>746</v>
      </c>
      <c r="AM132" t="s">
        <v>747</v>
      </c>
      <c r="AN132" t="s">
        <v>748</v>
      </c>
      <c r="AO132" t="s">
        <v>749</v>
      </c>
      <c r="AP132" t="s">
        <v>107</v>
      </c>
      <c r="AQ132" t="s">
        <v>750</v>
      </c>
      <c r="AR132" t="s">
        <v>751</v>
      </c>
      <c r="AS132" t="s">
        <v>752</v>
      </c>
      <c r="AT132" t="s">
        <v>753</v>
      </c>
      <c r="AU132" t="s">
        <v>747</v>
      </c>
    </row>
    <row r="133" spans="5:47" x14ac:dyDescent="0.3">
      <c r="E133" t="s">
        <v>107</v>
      </c>
      <c r="AL133" t="s">
        <v>746</v>
      </c>
      <c r="AM133" t="s">
        <v>747</v>
      </c>
      <c r="AN133" t="s">
        <v>748</v>
      </c>
      <c r="AO133" t="s">
        <v>749</v>
      </c>
      <c r="AP133" t="s">
        <v>107</v>
      </c>
      <c r="AQ133" t="s">
        <v>750</v>
      </c>
      <c r="AR133" t="s">
        <v>751</v>
      </c>
      <c r="AS133" t="s">
        <v>752</v>
      </c>
      <c r="AT133" t="s">
        <v>753</v>
      </c>
      <c r="AU133" t="s">
        <v>747</v>
      </c>
    </row>
    <row r="134" spans="5:47" x14ac:dyDescent="0.3">
      <c r="E134" t="s">
        <v>107</v>
      </c>
      <c r="AL134" t="s">
        <v>746</v>
      </c>
      <c r="AM134" t="s">
        <v>747</v>
      </c>
      <c r="AN134" t="s">
        <v>748</v>
      </c>
      <c r="AO134" t="s">
        <v>749</v>
      </c>
      <c r="AP134" t="s">
        <v>107</v>
      </c>
      <c r="AQ134" t="s">
        <v>750</v>
      </c>
      <c r="AR134" t="s">
        <v>751</v>
      </c>
      <c r="AS134" t="s">
        <v>752</v>
      </c>
      <c r="AT134" t="s">
        <v>753</v>
      </c>
      <c r="AU134" t="s">
        <v>747</v>
      </c>
    </row>
    <row r="135" spans="5:47" x14ac:dyDescent="0.3">
      <c r="E135" t="s">
        <v>107</v>
      </c>
      <c r="AL135" t="s">
        <v>746</v>
      </c>
      <c r="AM135" t="s">
        <v>747</v>
      </c>
      <c r="AN135" t="s">
        <v>748</v>
      </c>
      <c r="AO135" t="s">
        <v>749</v>
      </c>
      <c r="AP135" t="s">
        <v>107</v>
      </c>
      <c r="AQ135" t="s">
        <v>750</v>
      </c>
      <c r="AR135" t="s">
        <v>751</v>
      </c>
      <c r="AS135" t="s">
        <v>752</v>
      </c>
      <c r="AT135" t="s">
        <v>753</v>
      </c>
      <c r="AU135" t="s">
        <v>747</v>
      </c>
    </row>
    <row r="136" spans="5:47" x14ac:dyDescent="0.3">
      <c r="E136" t="s">
        <v>107</v>
      </c>
      <c r="AL136" t="s">
        <v>746</v>
      </c>
      <c r="AM136" t="s">
        <v>747</v>
      </c>
      <c r="AN136" t="s">
        <v>748</v>
      </c>
      <c r="AO136" t="s">
        <v>749</v>
      </c>
      <c r="AP136" t="s">
        <v>107</v>
      </c>
      <c r="AQ136" t="s">
        <v>750</v>
      </c>
      <c r="AR136" t="s">
        <v>751</v>
      </c>
      <c r="AS136" t="s">
        <v>752</v>
      </c>
      <c r="AT136" t="s">
        <v>753</v>
      </c>
      <c r="AU136" t="s">
        <v>747</v>
      </c>
    </row>
    <row r="137" spans="5:47" x14ac:dyDescent="0.3">
      <c r="E137" t="s">
        <v>107</v>
      </c>
      <c r="AL137" t="s">
        <v>746</v>
      </c>
      <c r="AM137" t="s">
        <v>747</v>
      </c>
      <c r="AN137" t="s">
        <v>748</v>
      </c>
      <c r="AO137" t="s">
        <v>749</v>
      </c>
      <c r="AP137" t="s">
        <v>107</v>
      </c>
      <c r="AQ137" t="s">
        <v>750</v>
      </c>
      <c r="AR137" t="s">
        <v>751</v>
      </c>
      <c r="AS137" t="s">
        <v>752</v>
      </c>
      <c r="AT137" t="s">
        <v>753</v>
      </c>
      <c r="AU137" t="s">
        <v>747</v>
      </c>
    </row>
    <row r="138" spans="5:47" x14ac:dyDescent="0.3">
      <c r="E138" t="s">
        <v>107</v>
      </c>
      <c r="AL138" t="s">
        <v>746</v>
      </c>
      <c r="AM138" t="s">
        <v>747</v>
      </c>
      <c r="AN138" t="s">
        <v>748</v>
      </c>
      <c r="AO138" t="s">
        <v>749</v>
      </c>
      <c r="AP138" t="s">
        <v>107</v>
      </c>
      <c r="AQ138" t="s">
        <v>750</v>
      </c>
      <c r="AR138" t="s">
        <v>751</v>
      </c>
      <c r="AS138" t="s">
        <v>752</v>
      </c>
      <c r="AT138" t="s">
        <v>753</v>
      </c>
      <c r="AU138" t="s">
        <v>747</v>
      </c>
    </row>
    <row r="139" spans="5:47" x14ac:dyDescent="0.3">
      <c r="E139" t="s">
        <v>107</v>
      </c>
      <c r="AL139" t="s">
        <v>746</v>
      </c>
      <c r="AM139" t="s">
        <v>747</v>
      </c>
      <c r="AN139" t="s">
        <v>748</v>
      </c>
      <c r="AO139" t="s">
        <v>749</v>
      </c>
      <c r="AP139" t="s">
        <v>107</v>
      </c>
      <c r="AQ139" t="s">
        <v>750</v>
      </c>
      <c r="AR139" t="s">
        <v>751</v>
      </c>
      <c r="AS139" t="s">
        <v>752</v>
      </c>
      <c r="AT139" t="s">
        <v>753</v>
      </c>
      <c r="AU139" t="s">
        <v>747</v>
      </c>
    </row>
    <row r="140" spans="5:47" x14ac:dyDescent="0.3">
      <c r="E140" t="s">
        <v>107</v>
      </c>
      <c r="AL140" t="s">
        <v>746</v>
      </c>
      <c r="AM140" t="s">
        <v>747</v>
      </c>
      <c r="AN140" t="s">
        <v>748</v>
      </c>
      <c r="AO140" t="s">
        <v>749</v>
      </c>
      <c r="AP140" t="s">
        <v>107</v>
      </c>
      <c r="AQ140" t="s">
        <v>750</v>
      </c>
      <c r="AR140" t="s">
        <v>751</v>
      </c>
      <c r="AS140" t="s">
        <v>752</v>
      </c>
      <c r="AT140" t="s">
        <v>753</v>
      </c>
      <c r="AU140" t="s">
        <v>747</v>
      </c>
    </row>
    <row r="141" spans="5:47" x14ac:dyDescent="0.3">
      <c r="E141" t="s">
        <v>107</v>
      </c>
      <c r="AL141" t="s">
        <v>746</v>
      </c>
      <c r="AM141" t="s">
        <v>747</v>
      </c>
      <c r="AN141" t="s">
        <v>748</v>
      </c>
      <c r="AO141" t="s">
        <v>749</v>
      </c>
      <c r="AP141" t="s">
        <v>107</v>
      </c>
      <c r="AQ141" t="s">
        <v>750</v>
      </c>
      <c r="AR141" t="s">
        <v>751</v>
      </c>
      <c r="AS141" t="s">
        <v>752</v>
      </c>
      <c r="AT141" t="s">
        <v>753</v>
      </c>
      <c r="AU141" t="s">
        <v>747</v>
      </c>
    </row>
    <row r="142" spans="5:47" x14ac:dyDescent="0.3">
      <c r="E142" t="s">
        <v>107</v>
      </c>
      <c r="AL142" t="s">
        <v>746</v>
      </c>
      <c r="AM142" t="s">
        <v>747</v>
      </c>
      <c r="AN142" t="s">
        <v>748</v>
      </c>
      <c r="AO142" t="s">
        <v>749</v>
      </c>
      <c r="AP142" t="s">
        <v>107</v>
      </c>
      <c r="AQ142" t="s">
        <v>750</v>
      </c>
      <c r="AR142" t="s">
        <v>751</v>
      </c>
      <c r="AS142" t="s">
        <v>752</v>
      </c>
      <c r="AT142" t="s">
        <v>753</v>
      </c>
      <c r="AU142" t="s">
        <v>747</v>
      </c>
    </row>
    <row r="143" spans="5:47" x14ac:dyDescent="0.3">
      <c r="E143" t="s">
        <v>107</v>
      </c>
      <c r="AL143" t="s">
        <v>746</v>
      </c>
      <c r="AM143" t="s">
        <v>747</v>
      </c>
      <c r="AN143" t="s">
        <v>748</v>
      </c>
      <c r="AO143" t="s">
        <v>749</v>
      </c>
      <c r="AP143" t="s">
        <v>107</v>
      </c>
      <c r="AQ143" t="s">
        <v>750</v>
      </c>
      <c r="AR143" t="s">
        <v>751</v>
      </c>
      <c r="AS143" t="s">
        <v>752</v>
      </c>
      <c r="AT143" t="s">
        <v>753</v>
      </c>
      <c r="AU143" t="s">
        <v>747</v>
      </c>
    </row>
    <row r="144" spans="5:47" x14ac:dyDescent="0.3">
      <c r="E144" t="s">
        <v>107</v>
      </c>
      <c r="AL144" t="s">
        <v>746</v>
      </c>
      <c r="AM144" t="s">
        <v>747</v>
      </c>
      <c r="AN144" t="s">
        <v>748</v>
      </c>
      <c r="AO144" t="s">
        <v>749</v>
      </c>
      <c r="AP144" t="s">
        <v>107</v>
      </c>
      <c r="AQ144" t="s">
        <v>750</v>
      </c>
      <c r="AR144" t="s">
        <v>751</v>
      </c>
      <c r="AS144" t="s">
        <v>752</v>
      </c>
      <c r="AT144" t="s">
        <v>753</v>
      </c>
      <c r="AU144" t="s">
        <v>747</v>
      </c>
    </row>
    <row r="145" spans="5:47" x14ac:dyDescent="0.3">
      <c r="E145" t="s">
        <v>107</v>
      </c>
      <c r="AL145" t="s">
        <v>746</v>
      </c>
      <c r="AM145" t="s">
        <v>747</v>
      </c>
      <c r="AN145" t="s">
        <v>748</v>
      </c>
      <c r="AO145" t="s">
        <v>749</v>
      </c>
      <c r="AP145" t="s">
        <v>107</v>
      </c>
      <c r="AQ145" t="s">
        <v>750</v>
      </c>
      <c r="AR145" t="s">
        <v>751</v>
      </c>
      <c r="AS145" t="s">
        <v>752</v>
      </c>
      <c r="AT145" t="s">
        <v>753</v>
      </c>
      <c r="AU145" t="s">
        <v>747</v>
      </c>
    </row>
    <row r="146" spans="5:47" x14ac:dyDescent="0.3">
      <c r="E146" t="s">
        <v>107</v>
      </c>
      <c r="AL146" t="s">
        <v>746</v>
      </c>
      <c r="AM146" t="s">
        <v>747</v>
      </c>
      <c r="AN146" t="s">
        <v>748</v>
      </c>
      <c r="AO146" t="s">
        <v>749</v>
      </c>
      <c r="AP146" t="s">
        <v>107</v>
      </c>
      <c r="AQ146" t="s">
        <v>750</v>
      </c>
      <c r="AR146" t="s">
        <v>751</v>
      </c>
      <c r="AS146" t="s">
        <v>752</v>
      </c>
      <c r="AT146" t="s">
        <v>753</v>
      </c>
      <c r="AU146" t="s">
        <v>747</v>
      </c>
    </row>
    <row r="147" spans="5:47" x14ac:dyDescent="0.3">
      <c r="E147" t="s">
        <v>107</v>
      </c>
      <c r="AL147" t="s">
        <v>746</v>
      </c>
      <c r="AM147" t="s">
        <v>747</v>
      </c>
      <c r="AN147" t="s">
        <v>748</v>
      </c>
      <c r="AO147" t="s">
        <v>749</v>
      </c>
      <c r="AP147" t="s">
        <v>107</v>
      </c>
      <c r="AQ147" t="s">
        <v>750</v>
      </c>
      <c r="AR147" t="s">
        <v>751</v>
      </c>
      <c r="AS147" t="s">
        <v>752</v>
      </c>
      <c r="AT147" t="s">
        <v>753</v>
      </c>
      <c r="AU147" t="s">
        <v>747</v>
      </c>
    </row>
    <row r="148" spans="5:47" x14ac:dyDescent="0.3">
      <c r="E148" t="s">
        <v>107</v>
      </c>
      <c r="AL148" t="s">
        <v>746</v>
      </c>
      <c r="AM148" t="s">
        <v>747</v>
      </c>
      <c r="AN148" t="s">
        <v>748</v>
      </c>
      <c r="AO148" t="s">
        <v>749</v>
      </c>
      <c r="AP148" t="s">
        <v>107</v>
      </c>
      <c r="AQ148" t="s">
        <v>750</v>
      </c>
      <c r="AR148" t="s">
        <v>751</v>
      </c>
      <c r="AS148" t="s">
        <v>752</v>
      </c>
      <c r="AT148" t="s">
        <v>753</v>
      </c>
      <c r="AU148" t="s">
        <v>747</v>
      </c>
    </row>
    <row r="149" spans="5:47" x14ac:dyDescent="0.3">
      <c r="E149" t="s">
        <v>107</v>
      </c>
      <c r="AL149" t="s">
        <v>746</v>
      </c>
      <c r="AM149" t="s">
        <v>747</v>
      </c>
      <c r="AN149" t="s">
        <v>748</v>
      </c>
      <c r="AO149" t="s">
        <v>749</v>
      </c>
      <c r="AP149" t="s">
        <v>107</v>
      </c>
      <c r="AQ149" t="s">
        <v>750</v>
      </c>
      <c r="AR149" t="s">
        <v>751</v>
      </c>
      <c r="AS149" t="s">
        <v>752</v>
      </c>
      <c r="AT149" t="s">
        <v>753</v>
      </c>
      <c r="AU149" t="s">
        <v>747</v>
      </c>
    </row>
    <row r="150" spans="5:47" x14ac:dyDescent="0.3">
      <c r="E150" t="s">
        <v>107</v>
      </c>
      <c r="AL150" t="s">
        <v>746</v>
      </c>
      <c r="AM150" t="s">
        <v>747</v>
      </c>
      <c r="AN150" t="s">
        <v>748</v>
      </c>
      <c r="AO150" t="s">
        <v>749</v>
      </c>
      <c r="AP150" t="s">
        <v>107</v>
      </c>
      <c r="AQ150" t="s">
        <v>750</v>
      </c>
      <c r="AR150" t="s">
        <v>751</v>
      </c>
      <c r="AS150" t="s">
        <v>752</v>
      </c>
      <c r="AT150" t="s">
        <v>753</v>
      </c>
      <c r="AU150" t="s">
        <v>747</v>
      </c>
    </row>
    <row r="151" spans="5:47" x14ac:dyDescent="0.3">
      <c r="E151" t="s">
        <v>107</v>
      </c>
      <c r="AL151" t="s">
        <v>746</v>
      </c>
      <c r="AM151" t="s">
        <v>747</v>
      </c>
      <c r="AN151" t="s">
        <v>748</v>
      </c>
      <c r="AO151" t="s">
        <v>749</v>
      </c>
      <c r="AP151" t="s">
        <v>107</v>
      </c>
      <c r="AQ151" t="s">
        <v>750</v>
      </c>
      <c r="AR151" t="s">
        <v>751</v>
      </c>
      <c r="AS151" t="s">
        <v>752</v>
      </c>
      <c r="AT151" t="s">
        <v>753</v>
      </c>
      <c r="AU151" t="s">
        <v>747</v>
      </c>
    </row>
    <row r="152" spans="5:47" x14ac:dyDescent="0.3">
      <c r="E152" t="s">
        <v>107</v>
      </c>
      <c r="AL152" t="s">
        <v>746</v>
      </c>
      <c r="AM152" t="s">
        <v>747</v>
      </c>
      <c r="AN152" t="s">
        <v>748</v>
      </c>
      <c r="AO152" t="s">
        <v>749</v>
      </c>
      <c r="AP152" t="s">
        <v>107</v>
      </c>
      <c r="AQ152" t="s">
        <v>750</v>
      </c>
      <c r="AR152" t="s">
        <v>751</v>
      </c>
      <c r="AS152" t="s">
        <v>752</v>
      </c>
      <c r="AT152" t="s">
        <v>753</v>
      </c>
      <c r="AU152" t="s">
        <v>747</v>
      </c>
    </row>
    <row r="153" spans="5:47" x14ac:dyDescent="0.3">
      <c r="E153" t="s">
        <v>107</v>
      </c>
      <c r="AL153" t="s">
        <v>746</v>
      </c>
      <c r="AM153" t="s">
        <v>747</v>
      </c>
      <c r="AN153" t="s">
        <v>748</v>
      </c>
      <c r="AO153" t="s">
        <v>749</v>
      </c>
      <c r="AP153" t="s">
        <v>107</v>
      </c>
      <c r="AQ153" t="s">
        <v>750</v>
      </c>
      <c r="AR153" t="s">
        <v>751</v>
      </c>
      <c r="AS153" t="s">
        <v>752</v>
      </c>
      <c r="AT153" t="s">
        <v>753</v>
      </c>
      <c r="AU153" t="s">
        <v>747</v>
      </c>
    </row>
    <row r="154" spans="5:47" x14ac:dyDescent="0.3">
      <c r="E154" t="s">
        <v>107</v>
      </c>
      <c r="AL154" t="s">
        <v>746</v>
      </c>
      <c r="AM154" t="s">
        <v>747</v>
      </c>
      <c r="AN154" t="s">
        <v>748</v>
      </c>
      <c r="AO154" t="s">
        <v>749</v>
      </c>
      <c r="AP154" t="s">
        <v>107</v>
      </c>
      <c r="AQ154" t="s">
        <v>750</v>
      </c>
      <c r="AR154" t="s">
        <v>751</v>
      </c>
      <c r="AS154" t="s">
        <v>752</v>
      </c>
      <c r="AT154" t="s">
        <v>753</v>
      </c>
      <c r="AU154" t="s">
        <v>747</v>
      </c>
    </row>
    <row r="155" spans="5:47" x14ac:dyDescent="0.3">
      <c r="E155" t="s">
        <v>107</v>
      </c>
      <c r="AL155" t="s">
        <v>746</v>
      </c>
      <c r="AM155" t="s">
        <v>747</v>
      </c>
      <c r="AN155" t="s">
        <v>748</v>
      </c>
      <c r="AO155" t="s">
        <v>749</v>
      </c>
      <c r="AP155" t="s">
        <v>107</v>
      </c>
      <c r="AQ155" t="s">
        <v>750</v>
      </c>
      <c r="AR155" t="s">
        <v>751</v>
      </c>
      <c r="AS155" t="s">
        <v>752</v>
      </c>
      <c r="AT155" t="s">
        <v>753</v>
      </c>
      <c r="AU155" t="s">
        <v>747</v>
      </c>
    </row>
    <row r="156" spans="5:47" x14ac:dyDescent="0.3">
      <c r="E156" t="s">
        <v>107</v>
      </c>
      <c r="AL156" t="s">
        <v>746</v>
      </c>
      <c r="AM156" t="s">
        <v>747</v>
      </c>
      <c r="AN156" t="s">
        <v>748</v>
      </c>
      <c r="AO156" t="s">
        <v>749</v>
      </c>
      <c r="AP156" t="s">
        <v>107</v>
      </c>
      <c r="AQ156" t="s">
        <v>750</v>
      </c>
      <c r="AR156" t="s">
        <v>751</v>
      </c>
      <c r="AS156" t="s">
        <v>752</v>
      </c>
      <c r="AT156" t="s">
        <v>753</v>
      </c>
      <c r="AU156" t="s">
        <v>747</v>
      </c>
    </row>
    <row r="157" spans="5:47" x14ac:dyDescent="0.3">
      <c r="E157" t="s">
        <v>107</v>
      </c>
      <c r="AL157" t="s">
        <v>746</v>
      </c>
      <c r="AM157" t="s">
        <v>747</v>
      </c>
      <c r="AN157" t="s">
        <v>748</v>
      </c>
      <c r="AO157" t="s">
        <v>749</v>
      </c>
      <c r="AP157" t="s">
        <v>107</v>
      </c>
      <c r="AQ157" t="s">
        <v>750</v>
      </c>
      <c r="AR157" t="s">
        <v>751</v>
      </c>
      <c r="AS157" t="s">
        <v>752</v>
      </c>
      <c r="AT157" t="s">
        <v>753</v>
      </c>
      <c r="AU157" t="s">
        <v>747</v>
      </c>
    </row>
    <row r="158" spans="5:47" x14ac:dyDescent="0.3">
      <c r="E158" t="s">
        <v>107</v>
      </c>
      <c r="AL158" t="s">
        <v>746</v>
      </c>
      <c r="AM158" t="s">
        <v>747</v>
      </c>
      <c r="AN158" t="s">
        <v>748</v>
      </c>
      <c r="AO158" t="s">
        <v>749</v>
      </c>
      <c r="AP158" t="s">
        <v>107</v>
      </c>
      <c r="AQ158" t="s">
        <v>750</v>
      </c>
      <c r="AR158" t="s">
        <v>751</v>
      </c>
      <c r="AS158" t="s">
        <v>752</v>
      </c>
      <c r="AT158" t="s">
        <v>753</v>
      </c>
      <c r="AU158" t="s">
        <v>747</v>
      </c>
    </row>
    <row r="159" spans="5:47" x14ac:dyDescent="0.3">
      <c r="E159" t="s">
        <v>107</v>
      </c>
      <c r="AL159" t="s">
        <v>746</v>
      </c>
      <c r="AM159" t="s">
        <v>747</v>
      </c>
      <c r="AN159" t="s">
        <v>748</v>
      </c>
      <c r="AO159" t="s">
        <v>749</v>
      </c>
      <c r="AP159" t="s">
        <v>107</v>
      </c>
      <c r="AQ159" t="s">
        <v>750</v>
      </c>
      <c r="AR159" t="s">
        <v>751</v>
      </c>
      <c r="AS159" t="s">
        <v>752</v>
      </c>
      <c r="AT159" t="s">
        <v>753</v>
      </c>
      <c r="AU159" t="s">
        <v>747</v>
      </c>
    </row>
    <row r="160" spans="5:47" x14ac:dyDescent="0.3">
      <c r="E160" t="s">
        <v>107</v>
      </c>
      <c r="AL160" t="s">
        <v>746</v>
      </c>
      <c r="AM160" t="s">
        <v>747</v>
      </c>
      <c r="AN160" t="s">
        <v>748</v>
      </c>
      <c r="AO160" t="s">
        <v>749</v>
      </c>
      <c r="AP160" t="s">
        <v>107</v>
      </c>
      <c r="AQ160" t="s">
        <v>750</v>
      </c>
      <c r="AR160" t="s">
        <v>751</v>
      </c>
      <c r="AS160" t="s">
        <v>752</v>
      </c>
      <c r="AT160" t="s">
        <v>753</v>
      </c>
      <c r="AU160" t="s">
        <v>747</v>
      </c>
    </row>
    <row r="161" spans="5:47" x14ac:dyDescent="0.3">
      <c r="E161" t="s">
        <v>107</v>
      </c>
      <c r="AL161" t="s">
        <v>746</v>
      </c>
      <c r="AM161" t="s">
        <v>747</v>
      </c>
      <c r="AN161" t="s">
        <v>748</v>
      </c>
      <c r="AO161" t="s">
        <v>749</v>
      </c>
      <c r="AP161" t="s">
        <v>107</v>
      </c>
      <c r="AQ161" t="s">
        <v>750</v>
      </c>
      <c r="AR161" t="s">
        <v>751</v>
      </c>
      <c r="AS161" t="s">
        <v>752</v>
      </c>
      <c r="AT161" t="s">
        <v>753</v>
      </c>
      <c r="AU161" t="s">
        <v>747</v>
      </c>
    </row>
    <row r="162" spans="5:47" x14ac:dyDescent="0.3">
      <c r="E162" t="s">
        <v>107</v>
      </c>
      <c r="AL162" t="s">
        <v>746</v>
      </c>
      <c r="AM162" t="s">
        <v>747</v>
      </c>
      <c r="AN162" t="s">
        <v>748</v>
      </c>
      <c r="AO162" t="s">
        <v>749</v>
      </c>
      <c r="AP162" t="s">
        <v>107</v>
      </c>
      <c r="AQ162" t="s">
        <v>750</v>
      </c>
      <c r="AR162" t="s">
        <v>751</v>
      </c>
      <c r="AS162" t="s">
        <v>752</v>
      </c>
      <c r="AT162" t="s">
        <v>753</v>
      </c>
      <c r="AU162" t="s">
        <v>747</v>
      </c>
    </row>
    <row r="163" spans="5:47" x14ac:dyDescent="0.3">
      <c r="E163" t="s">
        <v>107</v>
      </c>
      <c r="AL163" t="s">
        <v>746</v>
      </c>
      <c r="AM163" t="s">
        <v>747</v>
      </c>
      <c r="AN163" t="s">
        <v>748</v>
      </c>
      <c r="AO163" t="s">
        <v>749</v>
      </c>
      <c r="AP163" t="s">
        <v>107</v>
      </c>
      <c r="AQ163" t="s">
        <v>750</v>
      </c>
      <c r="AR163" t="s">
        <v>751</v>
      </c>
      <c r="AS163" t="s">
        <v>752</v>
      </c>
      <c r="AT163" t="s">
        <v>753</v>
      </c>
      <c r="AU163" t="s">
        <v>747</v>
      </c>
    </row>
    <row r="164" spans="5:47" x14ac:dyDescent="0.3">
      <c r="E164" t="s">
        <v>107</v>
      </c>
      <c r="AL164" t="s">
        <v>746</v>
      </c>
      <c r="AM164" t="s">
        <v>747</v>
      </c>
      <c r="AN164" t="s">
        <v>748</v>
      </c>
      <c r="AO164" t="s">
        <v>749</v>
      </c>
      <c r="AP164" t="s">
        <v>107</v>
      </c>
      <c r="AQ164" t="s">
        <v>750</v>
      </c>
      <c r="AR164" t="s">
        <v>751</v>
      </c>
      <c r="AS164" t="s">
        <v>752</v>
      </c>
      <c r="AT164" t="s">
        <v>753</v>
      </c>
      <c r="AU164" t="s">
        <v>747</v>
      </c>
    </row>
    <row r="165" spans="5:47" x14ac:dyDescent="0.3">
      <c r="E165" t="s">
        <v>107</v>
      </c>
      <c r="AL165" t="s">
        <v>746</v>
      </c>
      <c r="AM165" t="s">
        <v>747</v>
      </c>
      <c r="AN165" t="s">
        <v>748</v>
      </c>
      <c r="AO165" t="s">
        <v>749</v>
      </c>
      <c r="AP165" t="s">
        <v>107</v>
      </c>
      <c r="AQ165" t="s">
        <v>750</v>
      </c>
      <c r="AR165" t="s">
        <v>751</v>
      </c>
      <c r="AS165" t="s">
        <v>752</v>
      </c>
      <c r="AT165" t="s">
        <v>753</v>
      </c>
      <c r="AU165" t="s">
        <v>747</v>
      </c>
    </row>
    <row r="166" spans="5:47" x14ac:dyDescent="0.3">
      <c r="E166" t="s">
        <v>107</v>
      </c>
      <c r="AL166" t="s">
        <v>746</v>
      </c>
      <c r="AM166" t="s">
        <v>747</v>
      </c>
      <c r="AN166" t="s">
        <v>748</v>
      </c>
      <c r="AO166" t="s">
        <v>749</v>
      </c>
      <c r="AP166" t="s">
        <v>107</v>
      </c>
      <c r="AQ166" t="s">
        <v>750</v>
      </c>
      <c r="AR166" t="s">
        <v>751</v>
      </c>
      <c r="AS166" t="s">
        <v>752</v>
      </c>
      <c r="AT166" t="s">
        <v>753</v>
      </c>
      <c r="AU166" t="s">
        <v>747</v>
      </c>
    </row>
    <row r="167" spans="5:47" x14ac:dyDescent="0.3">
      <c r="E167" t="s">
        <v>107</v>
      </c>
      <c r="AL167" t="s">
        <v>746</v>
      </c>
      <c r="AM167" t="s">
        <v>747</v>
      </c>
      <c r="AN167" t="s">
        <v>748</v>
      </c>
      <c r="AO167" t="s">
        <v>749</v>
      </c>
      <c r="AP167" t="s">
        <v>107</v>
      </c>
      <c r="AQ167" t="s">
        <v>750</v>
      </c>
      <c r="AR167" t="s">
        <v>751</v>
      </c>
      <c r="AS167" t="s">
        <v>752</v>
      </c>
      <c r="AT167" t="s">
        <v>753</v>
      </c>
      <c r="AU167" t="s">
        <v>747</v>
      </c>
    </row>
    <row r="168" spans="5:47" x14ac:dyDescent="0.3">
      <c r="E168" t="s">
        <v>107</v>
      </c>
      <c r="AL168" t="s">
        <v>746</v>
      </c>
      <c r="AM168" t="s">
        <v>747</v>
      </c>
      <c r="AN168" t="s">
        <v>748</v>
      </c>
      <c r="AO168" t="s">
        <v>749</v>
      </c>
      <c r="AP168" t="s">
        <v>107</v>
      </c>
      <c r="AQ168" t="s">
        <v>750</v>
      </c>
      <c r="AR168" t="s">
        <v>751</v>
      </c>
      <c r="AS168" t="s">
        <v>752</v>
      </c>
      <c r="AT168" t="s">
        <v>753</v>
      </c>
      <c r="AU168" t="s">
        <v>747</v>
      </c>
    </row>
    <row r="169" spans="5:47" x14ac:dyDescent="0.3">
      <c r="E169" t="s">
        <v>107</v>
      </c>
      <c r="AL169" t="s">
        <v>746</v>
      </c>
      <c r="AM169" t="s">
        <v>747</v>
      </c>
      <c r="AN169" t="s">
        <v>748</v>
      </c>
      <c r="AO169" t="s">
        <v>749</v>
      </c>
      <c r="AP169" t="s">
        <v>107</v>
      </c>
      <c r="AQ169" t="s">
        <v>750</v>
      </c>
      <c r="AR169" t="s">
        <v>751</v>
      </c>
      <c r="AS169" t="s">
        <v>752</v>
      </c>
      <c r="AT169" t="s">
        <v>753</v>
      </c>
      <c r="AU169" t="s">
        <v>747</v>
      </c>
    </row>
    <row r="170" spans="5:47" x14ac:dyDescent="0.3">
      <c r="E170" t="s">
        <v>107</v>
      </c>
      <c r="AL170" t="s">
        <v>746</v>
      </c>
      <c r="AM170" t="s">
        <v>747</v>
      </c>
      <c r="AN170" t="s">
        <v>748</v>
      </c>
      <c r="AO170" t="s">
        <v>749</v>
      </c>
      <c r="AP170" t="s">
        <v>107</v>
      </c>
      <c r="AQ170" t="s">
        <v>750</v>
      </c>
      <c r="AR170" t="s">
        <v>751</v>
      </c>
      <c r="AS170" t="s">
        <v>752</v>
      </c>
      <c r="AT170" t="s">
        <v>753</v>
      </c>
      <c r="AU170" t="s">
        <v>747</v>
      </c>
    </row>
    <row r="171" spans="5:47" x14ac:dyDescent="0.3">
      <c r="E171" t="s">
        <v>107</v>
      </c>
      <c r="AL171" t="s">
        <v>746</v>
      </c>
      <c r="AM171" t="s">
        <v>747</v>
      </c>
      <c r="AN171" t="s">
        <v>748</v>
      </c>
      <c r="AO171" t="s">
        <v>749</v>
      </c>
      <c r="AP171" t="s">
        <v>107</v>
      </c>
      <c r="AQ171" t="s">
        <v>750</v>
      </c>
      <c r="AR171" t="s">
        <v>751</v>
      </c>
      <c r="AS171" t="s">
        <v>752</v>
      </c>
      <c r="AT171" t="s">
        <v>753</v>
      </c>
      <c r="AU171" t="s">
        <v>747</v>
      </c>
    </row>
    <row r="172" spans="5:47" x14ac:dyDescent="0.3">
      <c r="E172" t="s">
        <v>107</v>
      </c>
      <c r="AL172" t="s">
        <v>746</v>
      </c>
      <c r="AM172" t="s">
        <v>747</v>
      </c>
      <c r="AN172" t="s">
        <v>748</v>
      </c>
      <c r="AO172" t="s">
        <v>749</v>
      </c>
      <c r="AP172" t="s">
        <v>107</v>
      </c>
      <c r="AQ172" t="s">
        <v>750</v>
      </c>
      <c r="AR172" t="s">
        <v>751</v>
      </c>
      <c r="AS172" t="s">
        <v>752</v>
      </c>
      <c r="AT172" t="s">
        <v>753</v>
      </c>
      <c r="AU172" t="s">
        <v>747</v>
      </c>
    </row>
    <row r="173" spans="5:47" x14ac:dyDescent="0.3">
      <c r="E173" t="s">
        <v>107</v>
      </c>
      <c r="AL173" t="s">
        <v>746</v>
      </c>
      <c r="AM173" t="s">
        <v>747</v>
      </c>
      <c r="AN173" t="s">
        <v>748</v>
      </c>
      <c r="AO173" t="s">
        <v>749</v>
      </c>
      <c r="AP173" t="s">
        <v>107</v>
      </c>
      <c r="AQ173" t="s">
        <v>750</v>
      </c>
      <c r="AR173" t="s">
        <v>751</v>
      </c>
      <c r="AS173" t="s">
        <v>752</v>
      </c>
      <c r="AT173" t="s">
        <v>753</v>
      </c>
      <c r="AU173" t="s">
        <v>747</v>
      </c>
    </row>
    <row r="174" spans="5:47" x14ac:dyDescent="0.3">
      <c r="E174" t="s">
        <v>107</v>
      </c>
      <c r="AL174" t="s">
        <v>746</v>
      </c>
      <c r="AM174" t="s">
        <v>747</v>
      </c>
      <c r="AN174" t="s">
        <v>748</v>
      </c>
      <c r="AO174" t="s">
        <v>749</v>
      </c>
      <c r="AP174" t="s">
        <v>107</v>
      </c>
      <c r="AQ174" t="s">
        <v>750</v>
      </c>
      <c r="AR174" t="s">
        <v>751</v>
      </c>
      <c r="AS174" t="s">
        <v>752</v>
      </c>
      <c r="AT174" t="s">
        <v>753</v>
      </c>
      <c r="AU174" t="s">
        <v>747</v>
      </c>
    </row>
    <row r="175" spans="5:47" x14ac:dyDescent="0.3">
      <c r="E175" t="s">
        <v>107</v>
      </c>
      <c r="AL175" t="s">
        <v>746</v>
      </c>
      <c r="AM175" t="s">
        <v>747</v>
      </c>
      <c r="AN175" t="s">
        <v>748</v>
      </c>
      <c r="AO175" t="s">
        <v>749</v>
      </c>
      <c r="AP175" t="s">
        <v>107</v>
      </c>
      <c r="AQ175" t="s">
        <v>750</v>
      </c>
      <c r="AR175" t="s">
        <v>751</v>
      </c>
      <c r="AS175" t="s">
        <v>752</v>
      </c>
      <c r="AT175" t="s">
        <v>753</v>
      </c>
      <c r="AU175" t="s">
        <v>747</v>
      </c>
    </row>
    <row r="176" spans="5:47" x14ac:dyDescent="0.3">
      <c r="E176" t="s">
        <v>107</v>
      </c>
      <c r="AL176" t="s">
        <v>746</v>
      </c>
      <c r="AM176" t="s">
        <v>747</v>
      </c>
      <c r="AN176" t="s">
        <v>748</v>
      </c>
      <c r="AO176" t="s">
        <v>749</v>
      </c>
      <c r="AP176" t="s">
        <v>107</v>
      </c>
      <c r="AQ176" t="s">
        <v>750</v>
      </c>
      <c r="AR176" t="s">
        <v>751</v>
      </c>
      <c r="AS176" t="s">
        <v>752</v>
      </c>
      <c r="AT176" t="s">
        <v>753</v>
      </c>
      <c r="AU176" t="s">
        <v>747</v>
      </c>
    </row>
    <row r="177" spans="5:47" x14ac:dyDescent="0.3">
      <c r="E177" t="s">
        <v>107</v>
      </c>
      <c r="AL177" t="s">
        <v>746</v>
      </c>
      <c r="AM177" t="s">
        <v>747</v>
      </c>
      <c r="AN177" t="s">
        <v>748</v>
      </c>
      <c r="AO177" t="s">
        <v>749</v>
      </c>
      <c r="AP177" t="s">
        <v>107</v>
      </c>
      <c r="AQ177" t="s">
        <v>750</v>
      </c>
      <c r="AR177" t="s">
        <v>751</v>
      </c>
      <c r="AS177" t="s">
        <v>752</v>
      </c>
      <c r="AT177" t="s">
        <v>753</v>
      </c>
      <c r="AU177" t="s">
        <v>747</v>
      </c>
    </row>
    <row r="178" spans="5:47" x14ac:dyDescent="0.3">
      <c r="E178" t="s">
        <v>107</v>
      </c>
      <c r="AL178" t="s">
        <v>746</v>
      </c>
      <c r="AM178" t="s">
        <v>747</v>
      </c>
      <c r="AN178" t="s">
        <v>748</v>
      </c>
      <c r="AO178" t="s">
        <v>749</v>
      </c>
      <c r="AP178" t="s">
        <v>107</v>
      </c>
      <c r="AQ178" t="s">
        <v>750</v>
      </c>
      <c r="AR178" t="s">
        <v>751</v>
      </c>
      <c r="AS178" t="s">
        <v>752</v>
      </c>
      <c r="AT178" t="s">
        <v>753</v>
      </c>
      <c r="AU178" t="s">
        <v>747</v>
      </c>
    </row>
    <row r="179" spans="5:47" x14ac:dyDescent="0.3">
      <c r="E179" t="s">
        <v>107</v>
      </c>
      <c r="AL179" t="s">
        <v>746</v>
      </c>
      <c r="AM179" t="s">
        <v>747</v>
      </c>
      <c r="AN179" t="s">
        <v>748</v>
      </c>
      <c r="AO179" t="s">
        <v>749</v>
      </c>
      <c r="AP179" t="s">
        <v>107</v>
      </c>
      <c r="AQ179" t="s">
        <v>750</v>
      </c>
      <c r="AR179" t="s">
        <v>751</v>
      </c>
      <c r="AS179" t="s">
        <v>752</v>
      </c>
      <c r="AT179" t="s">
        <v>753</v>
      </c>
      <c r="AU179" t="s">
        <v>747</v>
      </c>
    </row>
    <row r="180" spans="5:47" x14ac:dyDescent="0.3">
      <c r="E180" t="s">
        <v>107</v>
      </c>
      <c r="AL180" t="s">
        <v>746</v>
      </c>
      <c r="AM180" t="s">
        <v>747</v>
      </c>
      <c r="AN180" t="s">
        <v>748</v>
      </c>
      <c r="AO180" t="s">
        <v>749</v>
      </c>
      <c r="AP180" t="s">
        <v>107</v>
      </c>
      <c r="AQ180" t="s">
        <v>750</v>
      </c>
      <c r="AR180" t="s">
        <v>751</v>
      </c>
      <c r="AS180" t="s">
        <v>752</v>
      </c>
      <c r="AT180" t="s">
        <v>753</v>
      </c>
      <c r="AU180" t="s">
        <v>747</v>
      </c>
    </row>
    <row r="181" spans="5:47" x14ac:dyDescent="0.3">
      <c r="E181" t="s">
        <v>107</v>
      </c>
      <c r="AL181" t="s">
        <v>746</v>
      </c>
      <c r="AM181" t="s">
        <v>747</v>
      </c>
      <c r="AN181" t="s">
        <v>748</v>
      </c>
      <c r="AO181" t="s">
        <v>749</v>
      </c>
      <c r="AP181" t="s">
        <v>107</v>
      </c>
      <c r="AQ181" t="s">
        <v>750</v>
      </c>
      <c r="AR181" t="s">
        <v>751</v>
      </c>
      <c r="AS181" t="s">
        <v>752</v>
      </c>
      <c r="AT181" t="s">
        <v>753</v>
      </c>
      <c r="AU181" t="s">
        <v>747</v>
      </c>
    </row>
    <row r="182" spans="5:47" x14ac:dyDescent="0.3">
      <c r="E182" t="s">
        <v>107</v>
      </c>
      <c r="AL182" t="s">
        <v>746</v>
      </c>
      <c r="AM182" t="s">
        <v>747</v>
      </c>
      <c r="AN182" t="s">
        <v>748</v>
      </c>
      <c r="AO182" t="s">
        <v>749</v>
      </c>
      <c r="AP182" t="s">
        <v>107</v>
      </c>
      <c r="AQ182" t="s">
        <v>750</v>
      </c>
      <c r="AR182" t="s">
        <v>751</v>
      </c>
      <c r="AS182" t="s">
        <v>752</v>
      </c>
      <c r="AT182" t="s">
        <v>753</v>
      </c>
      <c r="AU182" t="s">
        <v>747</v>
      </c>
    </row>
    <row r="183" spans="5:47" x14ac:dyDescent="0.3">
      <c r="E183" t="s">
        <v>107</v>
      </c>
      <c r="AL183" t="s">
        <v>746</v>
      </c>
      <c r="AM183" t="s">
        <v>747</v>
      </c>
      <c r="AN183" t="s">
        <v>748</v>
      </c>
      <c r="AO183" t="s">
        <v>749</v>
      </c>
      <c r="AP183" t="s">
        <v>107</v>
      </c>
      <c r="AQ183" t="s">
        <v>750</v>
      </c>
      <c r="AR183" t="s">
        <v>751</v>
      </c>
      <c r="AS183" t="s">
        <v>752</v>
      </c>
      <c r="AT183" t="s">
        <v>753</v>
      </c>
      <c r="AU183" t="s">
        <v>747</v>
      </c>
    </row>
    <row r="184" spans="5:47" x14ac:dyDescent="0.3">
      <c r="E184" t="s">
        <v>107</v>
      </c>
      <c r="AL184" t="s">
        <v>746</v>
      </c>
      <c r="AM184" t="s">
        <v>747</v>
      </c>
      <c r="AN184" t="s">
        <v>748</v>
      </c>
      <c r="AO184" t="s">
        <v>749</v>
      </c>
      <c r="AP184" t="s">
        <v>107</v>
      </c>
      <c r="AQ184" t="s">
        <v>750</v>
      </c>
      <c r="AR184" t="s">
        <v>751</v>
      </c>
      <c r="AS184" t="s">
        <v>752</v>
      </c>
      <c r="AT184" t="s">
        <v>753</v>
      </c>
      <c r="AU184" t="s">
        <v>747</v>
      </c>
    </row>
    <row r="185" spans="5:47" x14ac:dyDescent="0.3">
      <c r="E185" t="s">
        <v>107</v>
      </c>
      <c r="AL185" t="s">
        <v>746</v>
      </c>
      <c r="AM185" t="s">
        <v>747</v>
      </c>
      <c r="AN185" t="s">
        <v>748</v>
      </c>
      <c r="AO185" t="s">
        <v>749</v>
      </c>
      <c r="AP185" t="s">
        <v>107</v>
      </c>
      <c r="AQ185" t="s">
        <v>750</v>
      </c>
      <c r="AR185" t="s">
        <v>751</v>
      </c>
      <c r="AS185" t="s">
        <v>752</v>
      </c>
      <c r="AT185" t="s">
        <v>753</v>
      </c>
      <c r="AU185" t="s">
        <v>747</v>
      </c>
    </row>
    <row r="186" spans="5:47" x14ac:dyDescent="0.3">
      <c r="E186" t="s">
        <v>107</v>
      </c>
      <c r="AL186" t="s">
        <v>746</v>
      </c>
      <c r="AM186" t="s">
        <v>747</v>
      </c>
      <c r="AN186" t="s">
        <v>748</v>
      </c>
      <c r="AO186" t="s">
        <v>749</v>
      </c>
      <c r="AP186" t="s">
        <v>107</v>
      </c>
      <c r="AQ186" t="s">
        <v>750</v>
      </c>
      <c r="AR186" t="s">
        <v>751</v>
      </c>
      <c r="AS186" t="s">
        <v>752</v>
      </c>
      <c r="AT186" t="s">
        <v>753</v>
      </c>
      <c r="AU186" t="s">
        <v>747</v>
      </c>
    </row>
    <row r="187" spans="5:47" x14ac:dyDescent="0.3">
      <c r="E187" t="s">
        <v>107</v>
      </c>
      <c r="AL187" t="s">
        <v>746</v>
      </c>
      <c r="AM187" t="s">
        <v>747</v>
      </c>
      <c r="AN187" t="s">
        <v>748</v>
      </c>
      <c r="AO187" t="s">
        <v>749</v>
      </c>
      <c r="AP187" t="s">
        <v>107</v>
      </c>
      <c r="AQ187" t="s">
        <v>750</v>
      </c>
      <c r="AR187" t="s">
        <v>751</v>
      </c>
      <c r="AS187" t="s">
        <v>752</v>
      </c>
      <c r="AT187" t="s">
        <v>753</v>
      </c>
      <c r="AU187" t="s">
        <v>747</v>
      </c>
    </row>
    <row r="188" spans="5:47" x14ac:dyDescent="0.3">
      <c r="E188" t="s">
        <v>107</v>
      </c>
      <c r="AL188" t="s">
        <v>746</v>
      </c>
      <c r="AM188" t="s">
        <v>747</v>
      </c>
      <c r="AN188" t="s">
        <v>748</v>
      </c>
      <c r="AO188" t="s">
        <v>749</v>
      </c>
      <c r="AP188" t="s">
        <v>107</v>
      </c>
      <c r="AQ188" t="s">
        <v>750</v>
      </c>
      <c r="AR188" t="s">
        <v>751</v>
      </c>
      <c r="AS188" t="s">
        <v>752</v>
      </c>
      <c r="AT188" t="s">
        <v>753</v>
      </c>
      <c r="AU188" t="s">
        <v>747</v>
      </c>
    </row>
    <row r="189" spans="5:47" x14ac:dyDescent="0.3">
      <c r="E189" t="s">
        <v>107</v>
      </c>
      <c r="AL189" t="s">
        <v>746</v>
      </c>
      <c r="AM189" t="s">
        <v>747</v>
      </c>
      <c r="AN189" t="s">
        <v>748</v>
      </c>
      <c r="AO189" t="s">
        <v>749</v>
      </c>
      <c r="AP189" t="s">
        <v>107</v>
      </c>
      <c r="AQ189" t="s">
        <v>750</v>
      </c>
      <c r="AR189" t="s">
        <v>751</v>
      </c>
      <c r="AS189" t="s">
        <v>752</v>
      </c>
      <c r="AT189" t="s">
        <v>753</v>
      </c>
      <c r="AU189" t="s">
        <v>747</v>
      </c>
    </row>
    <row r="190" spans="5:47" x14ac:dyDescent="0.3">
      <c r="E190" t="s">
        <v>107</v>
      </c>
      <c r="AL190" t="s">
        <v>746</v>
      </c>
      <c r="AM190" t="s">
        <v>747</v>
      </c>
      <c r="AN190" t="s">
        <v>748</v>
      </c>
      <c r="AO190" t="s">
        <v>749</v>
      </c>
      <c r="AP190" t="s">
        <v>107</v>
      </c>
      <c r="AQ190" t="s">
        <v>750</v>
      </c>
      <c r="AR190" t="s">
        <v>751</v>
      </c>
      <c r="AS190" t="s">
        <v>752</v>
      </c>
      <c r="AT190" t="s">
        <v>753</v>
      </c>
      <c r="AU190" t="s">
        <v>747</v>
      </c>
    </row>
    <row r="191" spans="5:47" x14ac:dyDescent="0.3">
      <c r="E191" t="s">
        <v>107</v>
      </c>
      <c r="AL191" t="s">
        <v>746</v>
      </c>
      <c r="AM191" t="s">
        <v>747</v>
      </c>
      <c r="AN191" t="s">
        <v>748</v>
      </c>
      <c r="AO191" t="s">
        <v>749</v>
      </c>
      <c r="AP191" t="s">
        <v>107</v>
      </c>
      <c r="AQ191" t="s">
        <v>750</v>
      </c>
      <c r="AR191" t="s">
        <v>751</v>
      </c>
      <c r="AS191" t="s">
        <v>752</v>
      </c>
      <c r="AT191" t="s">
        <v>753</v>
      </c>
      <c r="AU191" t="s">
        <v>747</v>
      </c>
    </row>
    <row r="192" spans="5:47" x14ac:dyDescent="0.3">
      <c r="E192" t="s">
        <v>107</v>
      </c>
      <c r="AL192" t="s">
        <v>746</v>
      </c>
      <c r="AM192" t="s">
        <v>747</v>
      </c>
      <c r="AN192" t="s">
        <v>748</v>
      </c>
      <c r="AO192" t="s">
        <v>749</v>
      </c>
      <c r="AP192" t="s">
        <v>107</v>
      </c>
      <c r="AQ192" t="s">
        <v>750</v>
      </c>
      <c r="AR192" t="s">
        <v>751</v>
      </c>
      <c r="AS192" t="s">
        <v>752</v>
      </c>
      <c r="AT192" t="s">
        <v>753</v>
      </c>
      <c r="AU192" t="s">
        <v>747</v>
      </c>
    </row>
    <row r="193" spans="5:47" x14ac:dyDescent="0.3">
      <c r="E193" t="s">
        <v>107</v>
      </c>
      <c r="AL193" t="s">
        <v>746</v>
      </c>
      <c r="AM193" t="s">
        <v>747</v>
      </c>
      <c r="AN193" t="s">
        <v>748</v>
      </c>
      <c r="AO193" t="s">
        <v>749</v>
      </c>
      <c r="AP193" t="s">
        <v>107</v>
      </c>
      <c r="AQ193" t="s">
        <v>750</v>
      </c>
      <c r="AR193" t="s">
        <v>751</v>
      </c>
      <c r="AS193" t="s">
        <v>752</v>
      </c>
      <c r="AT193" t="s">
        <v>753</v>
      </c>
      <c r="AU193" t="s">
        <v>747</v>
      </c>
    </row>
    <row r="194" spans="5:47" x14ac:dyDescent="0.3">
      <c r="E194" t="s">
        <v>107</v>
      </c>
      <c r="AL194" t="s">
        <v>746</v>
      </c>
      <c r="AM194" t="s">
        <v>747</v>
      </c>
      <c r="AN194" t="s">
        <v>748</v>
      </c>
      <c r="AO194" t="s">
        <v>749</v>
      </c>
      <c r="AP194" t="s">
        <v>107</v>
      </c>
      <c r="AQ194" t="s">
        <v>750</v>
      </c>
      <c r="AR194" t="s">
        <v>751</v>
      </c>
      <c r="AS194" t="s">
        <v>752</v>
      </c>
      <c r="AT194" t="s">
        <v>753</v>
      </c>
      <c r="AU194" t="s">
        <v>747</v>
      </c>
    </row>
    <row r="195" spans="5:47" x14ac:dyDescent="0.3">
      <c r="E195" t="s">
        <v>107</v>
      </c>
      <c r="AL195" t="s">
        <v>746</v>
      </c>
      <c r="AM195" t="s">
        <v>747</v>
      </c>
      <c r="AN195" t="s">
        <v>748</v>
      </c>
      <c r="AO195" t="s">
        <v>749</v>
      </c>
      <c r="AP195" t="s">
        <v>107</v>
      </c>
      <c r="AQ195" t="s">
        <v>750</v>
      </c>
      <c r="AR195" t="s">
        <v>751</v>
      </c>
      <c r="AS195" t="s">
        <v>752</v>
      </c>
      <c r="AT195" t="s">
        <v>753</v>
      </c>
      <c r="AU195" t="s">
        <v>747</v>
      </c>
    </row>
    <row r="196" spans="5:47" x14ac:dyDescent="0.3">
      <c r="E196" t="s">
        <v>107</v>
      </c>
      <c r="AL196" t="s">
        <v>746</v>
      </c>
      <c r="AM196" t="s">
        <v>747</v>
      </c>
      <c r="AN196" t="s">
        <v>748</v>
      </c>
      <c r="AO196" t="s">
        <v>749</v>
      </c>
      <c r="AP196" t="s">
        <v>107</v>
      </c>
      <c r="AQ196" t="s">
        <v>750</v>
      </c>
      <c r="AR196" t="s">
        <v>751</v>
      </c>
      <c r="AS196" t="s">
        <v>752</v>
      </c>
      <c r="AT196" t="s">
        <v>753</v>
      </c>
      <c r="AU196" t="s">
        <v>747</v>
      </c>
    </row>
    <row r="197" spans="5:47" x14ac:dyDescent="0.3">
      <c r="E197" t="s">
        <v>107</v>
      </c>
      <c r="AL197" t="s">
        <v>746</v>
      </c>
      <c r="AM197" t="s">
        <v>747</v>
      </c>
      <c r="AN197" t="s">
        <v>748</v>
      </c>
      <c r="AO197" t="s">
        <v>749</v>
      </c>
      <c r="AP197" t="s">
        <v>107</v>
      </c>
      <c r="AQ197" t="s">
        <v>750</v>
      </c>
      <c r="AR197" t="s">
        <v>751</v>
      </c>
      <c r="AS197" t="s">
        <v>752</v>
      </c>
      <c r="AT197" t="s">
        <v>753</v>
      </c>
      <c r="AU197" t="s">
        <v>747</v>
      </c>
    </row>
    <row r="198" spans="5:47" x14ac:dyDescent="0.3">
      <c r="E198" t="s">
        <v>107</v>
      </c>
      <c r="AL198" t="s">
        <v>746</v>
      </c>
      <c r="AM198" t="s">
        <v>747</v>
      </c>
      <c r="AN198" t="s">
        <v>748</v>
      </c>
      <c r="AO198" t="s">
        <v>749</v>
      </c>
      <c r="AP198" t="s">
        <v>107</v>
      </c>
      <c r="AQ198" t="s">
        <v>750</v>
      </c>
      <c r="AR198" t="s">
        <v>751</v>
      </c>
      <c r="AS198" t="s">
        <v>752</v>
      </c>
      <c r="AT198" t="s">
        <v>753</v>
      </c>
      <c r="AU198" t="s">
        <v>747</v>
      </c>
    </row>
    <row r="199" spans="5:47" x14ac:dyDescent="0.3">
      <c r="E199" t="s">
        <v>107</v>
      </c>
      <c r="AL199" t="s">
        <v>746</v>
      </c>
      <c r="AM199" t="s">
        <v>747</v>
      </c>
      <c r="AN199" t="s">
        <v>748</v>
      </c>
      <c r="AO199" t="s">
        <v>749</v>
      </c>
      <c r="AP199" t="s">
        <v>107</v>
      </c>
      <c r="AQ199" t="s">
        <v>750</v>
      </c>
      <c r="AR199" t="s">
        <v>751</v>
      </c>
      <c r="AS199" t="s">
        <v>752</v>
      </c>
      <c r="AT199" t="s">
        <v>753</v>
      </c>
      <c r="AU199" t="s">
        <v>747</v>
      </c>
    </row>
    <row r="200" spans="5:47" x14ac:dyDescent="0.3">
      <c r="E200" t="s">
        <v>107</v>
      </c>
      <c r="AL200" t="s">
        <v>746</v>
      </c>
      <c r="AM200" t="s">
        <v>747</v>
      </c>
      <c r="AN200" t="s">
        <v>748</v>
      </c>
      <c r="AO200" t="s">
        <v>749</v>
      </c>
      <c r="AP200" t="s">
        <v>107</v>
      </c>
      <c r="AQ200" t="s">
        <v>750</v>
      </c>
      <c r="AR200" t="s">
        <v>751</v>
      </c>
      <c r="AS200" t="s">
        <v>752</v>
      </c>
      <c r="AT200" t="s">
        <v>753</v>
      </c>
      <c r="AU200" t="s">
        <v>747</v>
      </c>
    </row>
    <row r="201" spans="5:47" x14ac:dyDescent="0.3">
      <c r="E201" t="s">
        <v>107</v>
      </c>
      <c r="AL201" t="s">
        <v>746</v>
      </c>
      <c r="AM201" t="s">
        <v>747</v>
      </c>
      <c r="AN201" t="s">
        <v>748</v>
      </c>
      <c r="AO201" t="s">
        <v>749</v>
      </c>
      <c r="AP201" t="s">
        <v>107</v>
      </c>
      <c r="AQ201" t="s">
        <v>750</v>
      </c>
      <c r="AR201" t="s">
        <v>751</v>
      </c>
      <c r="AS201" t="s">
        <v>752</v>
      </c>
      <c r="AT201" t="s">
        <v>753</v>
      </c>
      <c r="AU201" t="s">
        <v>747</v>
      </c>
    </row>
    <row r="202" spans="5:47" x14ac:dyDescent="0.3">
      <c r="E202" t="s">
        <v>107</v>
      </c>
      <c r="AL202" t="s">
        <v>746</v>
      </c>
      <c r="AM202" t="s">
        <v>747</v>
      </c>
      <c r="AN202" t="s">
        <v>748</v>
      </c>
      <c r="AO202" t="s">
        <v>749</v>
      </c>
      <c r="AP202" t="s">
        <v>107</v>
      </c>
      <c r="AQ202" t="s">
        <v>750</v>
      </c>
      <c r="AR202" t="s">
        <v>751</v>
      </c>
      <c r="AS202" t="s">
        <v>752</v>
      </c>
      <c r="AT202" t="s">
        <v>753</v>
      </c>
      <c r="AU202" t="s">
        <v>747</v>
      </c>
    </row>
    <row r="203" spans="5:47" x14ac:dyDescent="0.3">
      <c r="E203" t="s">
        <v>107</v>
      </c>
      <c r="AL203" t="s">
        <v>746</v>
      </c>
      <c r="AM203" t="s">
        <v>747</v>
      </c>
      <c r="AN203" t="s">
        <v>748</v>
      </c>
      <c r="AO203" t="s">
        <v>749</v>
      </c>
      <c r="AP203" t="s">
        <v>107</v>
      </c>
      <c r="AQ203" t="s">
        <v>750</v>
      </c>
      <c r="AR203" t="s">
        <v>751</v>
      </c>
      <c r="AS203" t="s">
        <v>752</v>
      </c>
      <c r="AT203" t="s">
        <v>753</v>
      </c>
      <c r="AU203" t="s">
        <v>747</v>
      </c>
    </row>
    <row r="204" spans="5:47" x14ac:dyDescent="0.3">
      <c r="E204" t="s">
        <v>107</v>
      </c>
      <c r="AL204" t="s">
        <v>746</v>
      </c>
      <c r="AM204" t="s">
        <v>747</v>
      </c>
      <c r="AN204" t="s">
        <v>748</v>
      </c>
      <c r="AO204" t="s">
        <v>749</v>
      </c>
      <c r="AP204" t="s">
        <v>107</v>
      </c>
      <c r="AQ204" t="s">
        <v>750</v>
      </c>
      <c r="AR204" t="s">
        <v>751</v>
      </c>
      <c r="AS204" t="s">
        <v>752</v>
      </c>
      <c r="AT204" t="s">
        <v>753</v>
      </c>
      <c r="AU204" t="s">
        <v>747</v>
      </c>
    </row>
    <row r="205" spans="5:47" x14ac:dyDescent="0.3">
      <c r="E205" t="s">
        <v>107</v>
      </c>
      <c r="AL205" t="s">
        <v>746</v>
      </c>
      <c r="AM205" t="s">
        <v>747</v>
      </c>
      <c r="AN205" t="s">
        <v>748</v>
      </c>
      <c r="AO205" t="s">
        <v>749</v>
      </c>
      <c r="AP205" t="s">
        <v>107</v>
      </c>
      <c r="AQ205" t="s">
        <v>750</v>
      </c>
      <c r="AR205" t="s">
        <v>751</v>
      </c>
      <c r="AS205" t="s">
        <v>752</v>
      </c>
      <c r="AT205" t="s">
        <v>753</v>
      </c>
      <c r="AU205" t="s">
        <v>747</v>
      </c>
    </row>
    <row r="206" spans="5:47" x14ac:dyDescent="0.3">
      <c r="E206" t="s">
        <v>107</v>
      </c>
      <c r="AL206" t="s">
        <v>746</v>
      </c>
      <c r="AM206" t="s">
        <v>747</v>
      </c>
      <c r="AN206" t="s">
        <v>748</v>
      </c>
      <c r="AO206" t="s">
        <v>749</v>
      </c>
      <c r="AP206" t="s">
        <v>107</v>
      </c>
      <c r="AQ206" t="s">
        <v>750</v>
      </c>
      <c r="AR206" t="s">
        <v>751</v>
      </c>
      <c r="AS206" t="s">
        <v>752</v>
      </c>
      <c r="AT206" t="s">
        <v>753</v>
      </c>
      <c r="AU206" t="s">
        <v>747</v>
      </c>
    </row>
    <row r="207" spans="5:47" x14ac:dyDescent="0.3">
      <c r="E207" t="s">
        <v>107</v>
      </c>
      <c r="AL207" t="s">
        <v>746</v>
      </c>
      <c r="AM207" t="s">
        <v>747</v>
      </c>
      <c r="AN207" t="s">
        <v>748</v>
      </c>
      <c r="AO207" t="s">
        <v>749</v>
      </c>
      <c r="AP207" t="s">
        <v>107</v>
      </c>
      <c r="AQ207" t="s">
        <v>750</v>
      </c>
      <c r="AR207" t="s">
        <v>751</v>
      </c>
      <c r="AS207" t="s">
        <v>752</v>
      </c>
      <c r="AT207" t="s">
        <v>753</v>
      </c>
      <c r="AU207" t="s">
        <v>747</v>
      </c>
    </row>
    <row r="208" spans="5:47" x14ac:dyDescent="0.3">
      <c r="E208" t="s">
        <v>107</v>
      </c>
      <c r="AL208" t="s">
        <v>746</v>
      </c>
      <c r="AM208" t="s">
        <v>747</v>
      </c>
      <c r="AN208" t="s">
        <v>748</v>
      </c>
      <c r="AO208" t="s">
        <v>749</v>
      </c>
      <c r="AP208" t="s">
        <v>107</v>
      </c>
      <c r="AQ208" t="s">
        <v>750</v>
      </c>
      <c r="AR208" t="s">
        <v>751</v>
      </c>
      <c r="AS208" t="s">
        <v>752</v>
      </c>
      <c r="AT208" t="s">
        <v>753</v>
      </c>
      <c r="AU208" t="s">
        <v>747</v>
      </c>
    </row>
    <row r="209" spans="5:47" x14ac:dyDescent="0.3">
      <c r="E209" t="s">
        <v>107</v>
      </c>
      <c r="AL209" t="s">
        <v>746</v>
      </c>
      <c r="AM209" t="s">
        <v>747</v>
      </c>
      <c r="AN209" t="s">
        <v>748</v>
      </c>
      <c r="AO209" t="s">
        <v>749</v>
      </c>
      <c r="AP209" t="s">
        <v>107</v>
      </c>
      <c r="AQ209" t="s">
        <v>750</v>
      </c>
      <c r="AR209" t="s">
        <v>751</v>
      </c>
      <c r="AS209" t="s">
        <v>752</v>
      </c>
      <c r="AT209" t="s">
        <v>753</v>
      </c>
      <c r="AU209" t="s">
        <v>747</v>
      </c>
    </row>
    <row r="210" spans="5:47" x14ac:dyDescent="0.3">
      <c r="E210" t="s">
        <v>107</v>
      </c>
      <c r="AL210" t="s">
        <v>746</v>
      </c>
      <c r="AM210" t="s">
        <v>747</v>
      </c>
      <c r="AN210" t="s">
        <v>748</v>
      </c>
      <c r="AO210" t="s">
        <v>749</v>
      </c>
      <c r="AP210" t="s">
        <v>107</v>
      </c>
      <c r="AQ210" t="s">
        <v>750</v>
      </c>
      <c r="AR210" t="s">
        <v>751</v>
      </c>
      <c r="AS210" t="s">
        <v>752</v>
      </c>
      <c r="AT210" t="s">
        <v>753</v>
      </c>
      <c r="AU210" t="s">
        <v>747</v>
      </c>
    </row>
    <row r="211" spans="5:47" x14ac:dyDescent="0.3">
      <c r="E211" t="s">
        <v>107</v>
      </c>
      <c r="AL211" t="s">
        <v>746</v>
      </c>
      <c r="AM211" t="s">
        <v>747</v>
      </c>
      <c r="AN211" t="s">
        <v>748</v>
      </c>
      <c r="AO211" t="s">
        <v>749</v>
      </c>
      <c r="AP211" t="s">
        <v>107</v>
      </c>
      <c r="AQ211" t="s">
        <v>750</v>
      </c>
      <c r="AR211" t="s">
        <v>751</v>
      </c>
      <c r="AS211" t="s">
        <v>752</v>
      </c>
      <c r="AT211" t="s">
        <v>753</v>
      </c>
      <c r="AU211" t="s">
        <v>747</v>
      </c>
    </row>
    <row r="212" spans="5:47" x14ac:dyDescent="0.3">
      <c r="E212" t="s">
        <v>107</v>
      </c>
      <c r="AL212" t="s">
        <v>746</v>
      </c>
      <c r="AM212" t="s">
        <v>747</v>
      </c>
      <c r="AN212" t="s">
        <v>748</v>
      </c>
      <c r="AO212" t="s">
        <v>749</v>
      </c>
      <c r="AP212" t="s">
        <v>107</v>
      </c>
      <c r="AQ212" t="s">
        <v>750</v>
      </c>
      <c r="AR212" t="s">
        <v>751</v>
      </c>
      <c r="AS212" t="s">
        <v>752</v>
      </c>
      <c r="AT212" t="s">
        <v>753</v>
      </c>
      <c r="AU212" t="s">
        <v>747</v>
      </c>
    </row>
    <row r="213" spans="5:47" x14ac:dyDescent="0.3">
      <c r="E213" t="s">
        <v>107</v>
      </c>
      <c r="AL213" t="s">
        <v>746</v>
      </c>
      <c r="AM213" t="s">
        <v>747</v>
      </c>
      <c r="AN213" t="s">
        <v>748</v>
      </c>
      <c r="AO213" t="s">
        <v>749</v>
      </c>
      <c r="AP213" t="s">
        <v>107</v>
      </c>
      <c r="AQ213" t="s">
        <v>750</v>
      </c>
      <c r="AR213" t="s">
        <v>751</v>
      </c>
      <c r="AS213" t="s">
        <v>752</v>
      </c>
      <c r="AT213" t="s">
        <v>753</v>
      </c>
      <c r="AU213" t="s">
        <v>747</v>
      </c>
    </row>
    <row r="214" spans="5:47" x14ac:dyDescent="0.3">
      <c r="E214" t="s">
        <v>107</v>
      </c>
      <c r="AL214" t="s">
        <v>746</v>
      </c>
      <c r="AM214" t="s">
        <v>747</v>
      </c>
      <c r="AN214" t="s">
        <v>748</v>
      </c>
      <c r="AO214" t="s">
        <v>749</v>
      </c>
      <c r="AP214" t="s">
        <v>107</v>
      </c>
      <c r="AQ214" t="s">
        <v>750</v>
      </c>
      <c r="AR214" t="s">
        <v>751</v>
      </c>
      <c r="AS214" t="s">
        <v>752</v>
      </c>
      <c r="AT214" t="s">
        <v>753</v>
      </c>
      <c r="AU214" t="s">
        <v>747</v>
      </c>
    </row>
    <row r="215" spans="5:47" x14ac:dyDescent="0.3">
      <c r="E215" t="s">
        <v>107</v>
      </c>
      <c r="AL215" t="s">
        <v>746</v>
      </c>
      <c r="AM215" t="s">
        <v>747</v>
      </c>
      <c r="AN215" t="s">
        <v>748</v>
      </c>
      <c r="AO215" t="s">
        <v>749</v>
      </c>
      <c r="AP215" t="s">
        <v>107</v>
      </c>
      <c r="AQ215" t="s">
        <v>750</v>
      </c>
      <c r="AR215" t="s">
        <v>751</v>
      </c>
      <c r="AS215" t="s">
        <v>752</v>
      </c>
      <c r="AT215" t="s">
        <v>753</v>
      </c>
      <c r="AU215" t="s">
        <v>747</v>
      </c>
    </row>
    <row r="216" spans="5:47" x14ac:dyDescent="0.3">
      <c r="E216" t="s">
        <v>107</v>
      </c>
      <c r="AL216" t="s">
        <v>746</v>
      </c>
      <c r="AM216" t="s">
        <v>747</v>
      </c>
      <c r="AN216" t="s">
        <v>748</v>
      </c>
      <c r="AO216" t="s">
        <v>749</v>
      </c>
      <c r="AP216" t="s">
        <v>107</v>
      </c>
      <c r="AQ216" t="s">
        <v>750</v>
      </c>
      <c r="AR216" t="s">
        <v>751</v>
      </c>
      <c r="AS216" t="s">
        <v>752</v>
      </c>
      <c r="AT216" t="s">
        <v>753</v>
      </c>
      <c r="AU216" t="s">
        <v>747</v>
      </c>
    </row>
    <row r="217" spans="5:47" x14ac:dyDescent="0.3">
      <c r="E217" t="s">
        <v>107</v>
      </c>
      <c r="AL217" t="s">
        <v>746</v>
      </c>
      <c r="AM217" t="s">
        <v>747</v>
      </c>
      <c r="AN217" t="s">
        <v>748</v>
      </c>
      <c r="AO217" t="s">
        <v>749</v>
      </c>
      <c r="AP217" t="s">
        <v>107</v>
      </c>
      <c r="AQ217" t="s">
        <v>750</v>
      </c>
      <c r="AR217" t="s">
        <v>751</v>
      </c>
      <c r="AS217" t="s">
        <v>752</v>
      </c>
      <c r="AT217" t="s">
        <v>753</v>
      </c>
      <c r="AU217" t="s">
        <v>747</v>
      </c>
    </row>
    <row r="218" spans="5:47" x14ac:dyDescent="0.3">
      <c r="E218" t="s">
        <v>107</v>
      </c>
      <c r="AL218" t="s">
        <v>746</v>
      </c>
      <c r="AM218" t="s">
        <v>747</v>
      </c>
      <c r="AN218" t="s">
        <v>748</v>
      </c>
      <c r="AO218" t="s">
        <v>749</v>
      </c>
      <c r="AP218" t="s">
        <v>107</v>
      </c>
      <c r="AQ218" t="s">
        <v>750</v>
      </c>
      <c r="AR218" t="s">
        <v>751</v>
      </c>
      <c r="AS218" t="s">
        <v>752</v>
      </c>
      <c r="AT218" t="s">
        <v>753</v>
      </c>
      <c r="AU218" t="s">
        <v>747</v>
      </c>
    </row>
    <row r="219" spans="5:47" x14ac:dyDescent="0.3">
      <c r="E219" t="s">
        <v>107</v>
      </c>
      <c r="AL219" t="s">
        <v>746</v>
      </c>
      <c r="AM219" t="s">
        <v>747</v>
      </c>
      <c r="AN219" t="s">
        <v>748</v>
      </c>
      <c r="AO219" t="s">
        <v>749</v>
      </c>
      <c r="AP219" t="s">
        <v>107</v>
      </c>
      <c r="AQ219" t="s">
        <v>750</v>
      </c>
      <c r="AR219" t="s">
        <v>751</v>
      </c>
      <c r="AS219" t="s">
        <v>752</v>
      </c>
      <c r="AT219" t="s">
        <v>753</v>
      </c>
      <c r="AU219" t="s">
        <v>747</v>
      </c>
    </row>
    <row r="220" spans="5:47" x14ac:dyDescent="0.3">
      <c r="E220" t="s">
        <v>107</v>
      </c>
      <c r="AL220" t="s">
        <v>746</v>
      </c>
      <c r="AM220" t="s">
        <v>747</v>
      </c>
      <c r="AN220" t="s">
        <v>748</v>
      </c>
      <c r="AO220" t="s">
        <v>749</v>
      </c>
      <c r="AP220" t="s">
        <v>107</v>
      </c>
      <c r="AQ220" t="s">
        <v>750</v>
      </c>
      <c r="AR220" t="s">
        <v>751</v>
      </c>
      <c r="AS220" t="s">
        <v>752</v>
      </c>
      <c r="AT220" t="s">
        <v>753</v>
      </c>
      <c r="AU220" t="s">
        <v>747</v>
      </c>
    </row>
    <row r="221" spans="5:47" x14ac:dyDescent="0.3">
      <c r="E221" t="s">
        <v>107</v>
      </c>
      <c r="AL221" t="s">
        <v>746</v>
      </c>
      <c r="AM221" t="s">
        <v>747</v>
      </c>
      <c r="AN221" t="s">
        <v>748</v>
      </c>
      <c r="AO221" t="s">
        <v>749</v>
      </c>
      <c r="AP221" t="s">
        <v>107</v>
      </c>
      <c r="AQ221" t="s">
        <v>750</v>
      </c>
      <c r="AR221" t="s">
        <v>751</v>
      </c>
      <c r="AS221" t="s">
        <v>752</v>
      </c>
      <c r="AT221" t="s">
        <v>753</v>
      </c>
      <c r="AU221" t="s">
        <v>747</v>
      </c>
    </row>
    <row r="222" spans="5:47" x14ac:dyDescent="0.3">
      <c r="E222" t="s">
        <v>107</v>
      </c>
      <c r="AL222" t="s">
        <v>746</v>
      </c>
      <c r="AM222" t="s">
        <v>747</v>
      </c>
      <c r="AN222" t="s">
        <v>748</v>
      </c>
      <c r="AO222" t="s">
        <v>749</v>
      </c>
      <c r="AP222" t="s">
        <v>107</v>
      </c>
      <c r="AQ222" t="s">
        <v>750</v>
      </c>
      <c r="AR222" t="s">
        <v>751</v>
      </c>
      <c r="AS222" t="s">
        <v>752</v>
      </c>
      <c r="AT222" t="s">
        <v>753</v>
      </c>
      <c r="AU222" t="s">
        <v>747</v>
      </c>
    </row>
    <row r="223" spans="5:47" x14ac:dyDescent="0.3">
      <c r="E223" t="s">
        <v>107</v>
      </c>
      <c r="AL223" t="s">
        <v>746</v>
      </c>
      <c r="AM223" t="s">
        <v>747</v>
      </c>
      <c r="AN223" t="s">
        <v>748</v>
      </c>
      <c r="AO223" t="s">
        <v>749</v>
      </c>
      <c r="AP223" t="s">
        <v>107</v>
      </c>
      <c r="AQ223" t="s">
        <v>750</v>
      </c>
      <c r="AR223" t="s">
        <v>751</v>
      </c>
      <c r="AS223" t="s">
        <v>752</v>
      </c>
      <c r="AT223" t="s">
        <v>753</v>
      </c>
      <c r="AU223" t="s">
        <v>747</v>
      </c>
    </row>
    <row r="224" spans="5:47" x14ac:dyDescent="0.3">
      <c r="E224" t="s">
        <v>107</v>
      </c>
      <c r="AL224" t="s">
        <v>746</v>
      </c>
      <c r="AM224" t="s">
        <v>747</v>
      </c>
      <c r="AN224" t="s">
        <v>748</v>
      </c>
      <c r="AO224" t="s">
        <v>749</v>
      </c>
      <c r="AP224" t="s">
        <v>107</v>
      </c>
      <c r="AQ224" t="s">
        <v>750</v>
      </c>
      <c r="AR224" t="s">
        <v>751</v>
      </c>
      <c r="AS224" t="s">
        <v>752</v>
      </c>
      <c r="AT224" t="s">
        <v>753</v>
      </c>
      <c r="AU224" t="s">
        <v>747</v>
      </c>
    </row>
    <row r="225" spans="5:47" x14ac:dyDescent="0.3">
      <c r="E225" t="s">
        <v>107</v>
      </c>
      <c r="AL225" t="s">
        <v>746</v>
      </c>
      <c r="AM225" t="s">
        <v>747</v>
      </c>
      <c r="AN225" t="s">
        <v>748</v>
      </c>
      <c r="AO225" t="s">
        <v>749</v>
      </c>
      <c r="AP225" t="s">
        <v>107</v>
      </c>
      <c r="AQ225" t="s">
        <v>750</v>
      </c>
      <c r="AR225" t="s">
        <v>751</v>
      </c>
      <c r="AS225" t="s">
        <v>752</v>
      </c>
      <c r="AT225" t="s">
        <v>753</v>
      </c>
      <c r="AU225" t="s">
        <v>747</v>
      </c>
    </row>
    <row r="226" spans="5:47" x14ac:dyDescent="0.3">
      <c r="E226" t="s">
        <v>107</v>
      </c>
      <c r="AL226" t="s">
        <v>746</v>
      </c>
      <c r="AM226" t="s">
        <v>747</v>
      </c>
      <c r="AN226" t="s">
        <v>748</v>
      </c>
      <c r="AO226" t="s">
        <v>749</v>
      </c>
      <c r="AP226" t="s">
        <v>107</v>
      </c>
      <c r="AQ226" t="s">
        <v>750</v>
      </c>
      <c r="AR226" t="s">
        <v>751</v>
      </c>
      <c r="AS226" t="s">
        <v>752</v>
      </c>
      <c r="AT226" t="s">
        <v>753</v>
      </c>
      <c r="AU226" t="s">
        <v>747</v>
      </c>
    </row>
    <row r="227" spans="5:47" x14ac:dyDescent="0.3">
      <c r="E227" t="s">
        <v>107</v>
      </c>
      <c r="AL227" t="s">
        <v>746</v>
      </c>
      <c r="AM227" t="s">
        <v>747</v>
      </c>
      <c r="AN227" t="s">
        <v>748</v>
      </c>
      <c r="AO227" t="s">
        <v>749</v>
      </c>
      <c r="AP227" t="s">
        <v>107</v>
      </c>
      <c r="AQ227" t="s">
        <v>750</v>
      </c>
      <c r="AR227" t="s">
        <v>751</v>
      </c>
      <c r="AS227" t="s">
        <v>752</v>
      </c>
      <c r="AT227" t="s">
        <v>753</v>
      </c>
      <c r="AU227" t="s">
        <v>747</v>
      </c>
    </row>
    <row r="228" spans="5:47" x14ac:dyDescent="0.3">
      <c r="E228" t="s">
        <v>107</v>
      </c>
      <c r="AL228" t="s">
        <v>746</v>
      </c>
      <c r="AM228" t="s">
        <v>747</v>
      </c>
      <c r="AN228" t="s">
        <v>748</v>
      </c>
      <c r="AO228" t="s">
        <v>749</v>
      </c>
      <c r="AP228" t="s">
        <v>107</v>
      </c>
      <c r="AQ228" t="s">
        <v>750</v>
      </c>
      <c r="AR228" t="s">
        <v>751</v>
      </c>
      <c r="AS228" t="s">
        <v>752</v>
      </c>
      <c r="AT228" t="s">
        <v>753</v>
      </c>
      <c r="AU228" t="s">
        <v>747</v>
      </c>
    </row>
    <row r="229" spans="5:47" x14ac:dyDescent="0.3">
      <c r="E229" t="s">
        <v>107</v>
      </c>
      <c r="AL229" t="s">
        <v>746</v>
      </c>
      <c r="AM229" t="s">
        <v>747</v>
      </c>
      <c r="AN229" t="s">
        <v>748</v>
      </c>
      <c r="AO229" t="s">
        <v>749</v>
      </c>
      <c r="AP229" t="s">
        <v>107</v>
      </c>
      <c r="AQ229" t="s">
        <v>750</v>
      </c>
      <c r="AR229" t="s">
        <v>751</v>
      </c>
      <c r="AS229" t="s">
        <v>752</v>
      </c>
      <c r="AT229" t="s">
        <v>753</v>
      </c>
      <c r="AU229" t="s">
        <v>747</v>
      </c>
    </row>
    <row r="230" spans="5:47" x14ac:dyDescent="0.3">
      <c r="E230" t="s">
        <v>107</v>
      </c>
      <c r="AL230" t="s">
        <v>746</v>
      </c>
      <c r="AM230" t="s">
        <v>747</v>
      </c>
      <c r="AN230" t="s">
        <v>748</v>
      </c>
      <c r="AO230" t="s">
        <v>749</v>
      </c>
      <c r="AP230" t="s">
        <v>107</v>
      </c>
      <c r="AQ230" t="s">
        <v>750</v>
      </c>
      <c r="AR230" t="s">
        <v>751</v>
      </c>
      <c r="AS230" t="s">
        <v>752</v>
      </c>
      <c r="AT230" t="s">
        <v>753</v>
      </c>
      <c r="AU230" t="s">
        <v>747</v>
      </c>
    </row>
    <row r="231" spans="5:47" x14ac:dyDescent="0.3">
      <c r="E231" t="s">
        <v>107</v>
      </c>
      <c r="AL231" t="s">
        <v>746</v>
      </c>
      <c r="AM231" t="s">
        <v>747</v>
      </c>
      <c r="AN231" t="s">
        <v>748</v>
      </c>
      <c r="AO231" t="s">
        <v>749</v>
      </c>
      <c r="AP231" t="s">
        <v>107</v>
      </c>
      <c r="AQ231" t="s">
        <v>750</v>
      </c>
      <c r="AR231" t="s">
        <v>751</v>
      </c>
      <c r="AS231" t="s">
        <v>752</v>
      </c>
      <c r="AT231" t="s">
        <v>753</v>
      </c>
      <c r="AU231" t="s">
        <v>747</v>
      </c>
    </row>
    <row r="232" spans="5:47" x14ac:dyDescent="0.3">
      <c r="E232" t="s">
        <v>107</v>
      </c>
      <c r="AL232" t="s">
        <v>746</v>
      </c>
      <c r="AM232" t="s">
        <v>747</v>
      </c>
      <c r="AN232" t="s">
        <v>748</v>
      </c>
      <c r="AO232" t="s">
        <v>749</v>
      </c>
      <c r="AP232" t="s">
        <v>107</v>
      </c>
      <c r="AQ232" t="s">
        <v>750</v>
      </c>
      <c r="AR232" t="s">
        <v>751</v>
      </c>
      <c r="AS232" t="s">
        <v>752</v>
      </c>
      <c r="AT232" t="s">
        <v>753</v>
      </c>
      <c r="AU232" t="s">
        <v>747</v>
      </c>
    </row>
    <row r="233" spans="5:47" x14ac:dyDescent="0.3">
      <c r="E233" t="s">
        <v>107</v>
      </c>
      <c r="AL233" t="s">
        <v>746</v>
      </c>
      <c r="AM233" t="s">
        <v>747</v>
      </c>
      <c r="AN233" t="s">
        <v>748</v>
      </c>
      <c r="AO233" t="s">
        <v>749</v>
      </c>
      <c r="AP233" t="s">
        <v>107</v>
      </c>
      <c r="AQ233" t="s">
        <v>750</v>
      </c>
      <c r="AR233" t="s">
        <v>751</v>
      </c>
      <c r="AS233" t="s">
        <v>752</v>
      </c>
      <c r="AT233" t="s">
        <v>753</v>
      </c>
      <c r="AU233" t="s">
        <v>747</v>
      </c>
    </row>
    <row r="234" spans="5:47" x14ac:dyDescent="0.3">
      <c r="E234" t="s">
        <v>107</v>
      </c>
      <c r="AL234" t="s">
        <v>746</v>
      </c>
      <c r="AM234" t="s">
        <v>747</v>
      </c>
      <c r="AN234" t="s">
        <v>748</v>
      </c>
      <c r="AO234" t="s">
        <v>749</v>
      </c>
      <c r="AP234" t="s">
        <v>107</v>
      </c>
      <c r="AQ234" t="s">
        <v>750</v>
      </c>
      <c r="AR234" t="s">
        <v>751</v>
      </c>
      <c r="AS234" t="s">
        <v>752</v>
      </c>
      <c r="AT234" t="s">
        <v>753</v>
      </c>
      <c r="AU234" t="s">
        <v>747</v>
      </c>
    </row>
    <row r="235" spans="5:47" x14ac:dyDescent="0.3">
      <c r="E235" t="s">
        <v>107</v>
      </c>
      <c r="AL235" t="s">
        <v>746</v>
      </c>
      <c r="AM235" t="s">
        <v>747</v>
      </c>
      <c r="AN235" t="s">
        <v>748</v>
      </c>
      <c r="AO235" t="s">
        <v>749</v>
      </c>
      <c r="AP235" t="s">
        <v>107</v>
      </c>
      <c r="AQ235" t="s">
        <v>750</v>
      </c>
      <c r="AR235" t="s">
        <v>751</v>
      </c>
      <c r="AS235" t="s">
        <v>752</v>
      </c>
      <c r="AT235" t="s">
        <v>753</v>
      </c>
      <c r="AU235" t="s">
        <v>747</v>
      </c>
    </row>
    <row r="236" spans="5:47" x14ac:dyDescent="0.3">
      <c r="E236" t="s">
        <v>107</v>
      </c>
      <c r="AL236" t="s">
        <v>746</v>
      </c>
      <c r="AM236" t="s">
        <v>747</v>
      </c>
      <c r="AN236" t="s">
        <v>748</v>
      </c>
      <c r="AO236" t="s">
        <v>749</v>
      </c>
      <c r="AP236" t="s">
        <v>107</v>
      </c>
      <c r="AQ236" t="s">
        <v>750</v>
      </c>
      <c r="AR236" t="s">
        <v>751</v>
      </c>
      <c r="AS236" t="s">
        <v>752</v>
      </c>
      <c r="AT236" t="s">
        <v>753</v>
      </c>
      <c r="AU236" t="s">
        <v>747</v>
      </c>
    </row>
    <row r="237" spans="5:47" x14ac:dyDescent="0.3">
      <c r="E237" t="s">
        <v>107</v>
      </c>
      <c r="AL237" t="s">
        <v>746</v>
      </c>
      <c r="AM237" t="s">
        <v>747</v>
      </c>
      <c r="AN237" t="s">
        <v>748</v>
      </c>
      <c r="AO237" t="s">
        <v>749</v>
      </c>
      <c r="AP237" t="s">
        <v>107</v>
      </c>
      <c r="AQ237" t="s">
        <v>750</v>
      </c>
      <c r="AR237" t="s">
        <v>751</v>
      </c>
      <c r="AS237" t="s">
        <v>752</v>
      </c>
      <c r="AT237" t="s">
        <v>753</v>
      </c>
      <c r="AU237" t="s">
        <v>747</v>
      </c>
    </row>
    <row r="238" spans="5:47" x14ac:dyDescent="0.3">
      <c r="E238" t="s">
        <v>107</v>
      </c>
      <c r="AL238" t="s">
        <v>746</v>
      </c>
      <c r="AM238" t="s">
        <v>747</v>
      </c>
      <c r="AN238" t="s">
        <v>748</v>
      </c>
      <c r="AO238" t="s">
        <v>749</v>
      </c>
      <c r="AP238" t="s">
        <v>107</v>
      </c>
      <c r="AQ238" t="s">
        <v>750</v>
      </c>
      <c r="AR238" t="s">
        <v>751</v>
      </c>
      <c r="AS238" t="s">
        <v>752</v>
      </c>
      <c r="AT238" t="s">
        <v>753</v>
      </c>
      <c r="AU238" t="s">
        <v>747</v>
      </c>
    </row>
    <row r="239" spans="5:47" x14ac:dyDescent="0.3">
      <c r="E239" t="s">
        <v>107</v>
      </c>
      <c r="AL239" t="s">
        <v>746</v>
      </c>
      <c r="AM239" t="s">
        <v>747</v>
      </c>
      <c r="AN239" t="s">
        <v>748</v>
      </c>
      <c r="AO239" t="s">
        <v>749</v>
      </c>
      <c r="AP239" t="s">
        <v>107</v>
      </c>
      <c r="AQ239" t="s">
        <v>750</v>
      </c>
      <c r="AR239" t="s">
        <v>751</v>
      </c>
      <c r="AS239" t="s">
        <v>752</v>
      </c>
      <c r="AT239" t="s">
        <v>753</v>
      </c>
      <c r="AU239" t="s">
        <v>747</v>
      </c>
    </row>
    <row r="240" spans="5:47" x14ac:dyDescent="0.3">
      <c r="E240" t="s">
        <v>107</v>
      </c>
      <c r="AL240" t="s">
        <v>746</v>
      </c>
      <c r="AM240" t="s">
        <v>747</v>
      </c>
      <c r="AN240" t="s">
        <v>748</v>
      </c>
      <c r="AO240" t="s">
        <v>749</v>
      </c>
      <c r="AP240" t="s">
        <v>107</v>
      </c>
      <c r="AQ240" t="s">
        <v>750</v>
      </c>
      <c r="AR240" t="s">
        <v>751</v>
      </c>
      <c r="AS240" t="s">
        <v>752</v>
      </c>
      <c r="AT240" t="s">
        <v>753</v>
      </c>
      <c r="AU240" t="s">
        <v>747</v>
      </c>
    </row>
    <row r="241" spans="5:47" x14ac:dyDescent="0.3">
      <c r="E241" t="s">
        <v>107</v>
      </c>
      <c r="AL241" t="s">
        <v>746</v>
      </c>
      <c r="AM241" t="s">
        <v>747</v>
      </c>
      <c r="AN241" t="s">
        <v>748</v>
      </c>
      <c r="AO241" t="s">
        <v>749</v>
      </c>
      <c r="AP241" t="s">
        <v>107</v>
      </c>
      <c r="AQ241" t="s">
        <v>750</v>
      </c>
      <c r="AR241" t="s">
        <v>751</v>
      </c>
      <c r="AS241" t="s">
        <v>752</v>
      </c>
      <c r="AT241" t="s">
        <v>753</v>
      </c>
      <c r="AU241" t="s">
        <v>747</v>
      </c>
    </row>
    <row r="242" spans="5:47" x14ac:dyDescent="0.3">
      <c r="E242" t="s">
        <v>107</v>
      </c>
      <c r="AL242" t="s">
        <v>746</v>
      </c>
      <c r="AM242" t="s">
        <v>747</v>
      </c>
      <c r="AN242" t="s">
        <v>748</v>
      </c>
      <c r="AO242" t="s">
        <v>749</v>
      </c>
      <c r="AP242" t="s">
        <v>107</v>
      </c>
      <c r="AQ242" t="s">
        <v>750</v>
      </c>
      <c r="AR242" t="s">
        <v>751</v>
      </c>
      <c r="AS242" t="s">
        <v>752</v>
      </c>
      <c r="AT242" t="s">
        <v>753</v>
      </c>
      <c r="AU242" t="s">
        <v>747</v>
      </c>
    </row>
    <row r="243" spans="5:47" x14ac:dyDescent="0.3">
      <c r="E243" t="s">
        <v>107</v>
      </c>
      <c r="AL243" t="s">
        <v>746</v>
      </c>
      <c r="AM243" t="s">
        <v>747</v>
      </c>
      <c r="AN243" t="s">
        <v>748</v>
      </c>
      <c r="AO243" t="s">
        <v>749</v>
      </c>
      <c r="AP243" t="s">
        <v>107</v>
      </c>
      <c r="AQ243" t="s">
        <v>750</v>
      </c>
      <c r="AR243" t="s">
        <v>751</v>
      </c>
      <c r="AS243" t="s">
        <v>752</v>
      </c>
      <c r="AT243" t="s">
        <v>753</v>
      </c>
      <c r="AU243" t="s">
        <v>747</v>
      </c>
    </row>
    <row r="244" spans="5:47" x14ac:dyDescent="0.3">
      <c r="E244" t="s">
        <v>107</v>
      </c>
      <c r="AL244" t="s">
        <v>746</v>
      </c>
      <c r="AM244" t="s">
        <v>747</v>
      </c>
      <c r="AN244" t="s">
        <v>748</v>
      </c>
      <c r="AO244" t="s">
        <v>749</v>
      </c>
      <c r="AP244" t="s">
        <v>107</v>
      </c>
      <c r="AQ244" t="s">
        <v>750</v>
      </c>
      <c r="AR244" t="s">
        <v>751</v>
      </c>
      <c r="AS244" t="s">
        <v>752</v>
      </c>
      <c r="AT244" t="s">
        <v>753</v>
      </c>
      <c r="AU244" t="s">
        <v>747</v>
      </c>
    </row>
    <row r="245" spans="5:47" x14ac:dyDescent="0.3">
      <c r="E245" t="s">
        <v>107</v>
      </c>
      <c r="AL245" t="s">
        <v>746</v>
      </c>
      <c r="AM245" t="s">
        <v>747</v>
      </c>
      <c r="AN245" t="s">
        <v>748</v>
      </c>
      <c r="AO245" t="s">
        <v>749</v>
      </c>
      <c r="AP245" t="s">
        <v>107</v>
      </c>
      <c r="AQ245" t="s">
        <v>750</v>
      </c>
      <c r="AR245" t="s">
        <v>751</v>
      </c>
      <c r="AS245" t="s">
        <v>752</v>
      </c>
      <c r="AT245" t="s">
        <v>753</v>
      </c>
      <c r="AU245" t="s">
        <v>747</v>
      </c>
    </row>
    <row r="246" spans="5:47" x14ac:dyDescent="0.3">
      <c r="E246" t="s">
        <v>107</v>
      </c>
      <c r="AL246" t="s">
        <v>746</v>
      </c>
      <c r="AM246" t="s">
        <v>747</v>
      </c>
      <c r="AN246" t="s">
        <v>748</v>
      </c>
      <c r="AO246" t="s">
        <v>749</v>
      </c>
      <c r="AP246" t="s">
        <v>107</v>
      </c>
      <c r="AQ246" t="s">
        <v>750</v>
      </c>
      <c r="AR246" t="s">
        <v>751</v>
      </c>
      <c r="AS246" t="s">
        <v>752</v>
      </c>
      <c r="AT246" t="s">
        <v>753</v>
      </c>
      <c r="AU246" t="s">
        <v>747</v>
      </c>
    </row>
    <row r="247" spans="5:47" x14ac:dyDescent="0.3">
      <c r="E247" t="s">
        <v>107</v>
      </c>
      <c r="AL247" t="s">
        <v>746</v>
      </c>
      <c r="AM247" t="s">
        <v>747</v>
      </c>
      <c r="AN247" t="s">
        <v>748</v>
      </c>
      <c r="AO247" t="s">
        <v>749</v>
      </c>
      <c r="AP247" t="s">
        <v>107</v>
      </c>
      <c r="AQ247" t="s">
        <v>750</v>
      </c>
      <c r="AR247" t="s">
        <v>751</v>
      </c>
      <c r="AS247" t="s">
        <v>752</v>
      </c>
      <c r="AT247" t="s">
        <v>753</v>
      </c>
      <c r="AU247" t="s">
        <v>747</v>
      </c>
    </row>
    <row r="248" spans="5:47" x14ac:dyDescent="0.3">
      <c r="E248" t="s">
        <v>107</v>
      </c>
      <c r="AL248" t="s">
        <v>746</v>
      </c>
      <c r="AM248" t="s">
        <v>747</v>
      </c>
      <c r="AN248" t="s">
        <v>748</v>
      </c>
      <c r="AO248" t="s">
        <v>749</v>
      </c>
      <c r="AP248" t="s">
        <v>107</v>
      </c>
      <c r="AQ248" t="s">
        <v>750</v>
      </c>
      <c r="AR248" t="s">
        <v>751</v>
      </c>
      <c r="AS248" t="s">
        <v>752</v>
      </c>
      <c r="AT248" t="s">
        <v>753</v>
      </c>
      <c r="AU248" t="s">
        <v>747</v>
      </c>
    </row>
    <row r="249" spans="5:47" x14ac:dyDescent="0.3">
      <c r="E249" t="s">
        <v>107</v>
      </c>
      <c r="AL249" t="s">
        <v>746</v>
      </c>
      <c r="AM249" t="s">
        <v>747</v>
      </c>
      <c r="AN249" t="s">
        <v>748</v>
      </c>
      <c r="AO249" t="s">
        <v>749</v>
      </c>
      <c r="AP249" t="s">
        <v>107</v>
      </c>
      <c r="AQ249" t="s">
        <v>750</v>
      </c>
      <c r="AR249" t="s">
        <v>751</v>
      </c>
      <c r="AS249" t="s">
        <v>752</v>
      </c>
      <c r="AT249" t="s">
        <v>753</v>
      </c>
      <c r="AU249" t="s">
        <v>747</v>
      </c>
    </row>
    <row r="250" spans="5:47" x14ac:dyDescent="0.3">
      <c r="E250" t="s">
        <v>107</v>
      </c>
      <c r="AL250" t="s">
        <v>746</v>
      </c>
      <c r="AM250" t="s">
        <v>747</v>
      </c>
      <c r="AN250" t="s">
        <v>748</v>
      </c>
      <c r="AO250" t="s">
        <v>749</v>
      </c>
      <c r="AP250" t="s">
        <v>107</v>
      </c>
      <c r="AQ250" t="s">
        <v>750</v>
      </c>
      <c r="AR250" t="s">
        <v>751</v>
      </c>
      <c r="AS250" t="s">
        <v>752</v>
      </c>
      <c r="AT250" t="s">
        <v>753</v>
      </c>
      <c r="AU250" t="s">
        <v>747</v>
      </c>
    </row>
    <row r="251" spans="5:47" x14ac:dyDescent="0.3">
      <c r="E251" t="s">
        <v>107</v>
      </c>
      <c r="AL251" t="s">
        <v>746</v>
      </c>
      <c r="AM251" t="s">
        <v>747</v>
      </c>
      <c r="AN251" t="s">
        <v>748</v>
      </c>
      <c r="AO251" t="s">
        <v>749</v>
      </c>
      <c r="AP251" t="s">
        <v>107</v>
      </c>
      <c r="AQ251" t="s">
        <v>750</v>
      </c>
      <c r="AR251" t="s">
        <v>751</v>
      </c>
      <c r="AS251" t="s">
        <v>752</v>
      </c>
      <c r="AT251" t="s">
        <v>753</v>
      </c>
      <c r="AU251" t="s">
        <v>747</v>
      </c>
    </row>
    <row r="252" spans="5:47" x14ac:dyDescent="0.3">
      <c r="E252" t="s">
        <v>107</v>
      </c>
      <c r="AL252" t="s">
        <v>746</v>
      </c>
      <c r="AM252" t="s">
        <v>747</v>
      </c>
      <c r="AN252" t="s">
        <v>748</v>
      </c>
      <c r="AO252" t="s">
        <v>749</v>
      </c>
      <c r="AP252" t="s">
        <v>107</v>
      </c>
      <c r="AQ252" t="s">
        <v>750</v>
      </c>
      <c r="AR252" t="s">
        <v>751</v>
      </c>
      <c r="AS252" t="s">
        <v>752</v>
      </c>
      <c r="AT252" t="s">
        <v>753</v>
      </c>
      <c r="AU252" t="s">
        <v>747</v>
      </c>
    </row>
    <row r="253" spans="5:47" x14ac:dyDescent="0.3">
      <c r="E253" t="s">
        <v>107</v>
      </c>
      <c r="AL253" t="s">
        <v>746</v>
      </c>
      <c r="AM253" t="s">
        <v>747</v>
      </c>
      <c r="AN253" t="s">
        <v>748</v>
      </c>
      <c r="AO253" t="s">
        <v>749</v>
      </c>
      <c r="AP253" t="s">
        <v>107</v>
      </c>
      <c r="AQ253" t="s">
        <v>750</v>
      </c>
      <c r="AR253" t="s">
        <v>751</v>
      </c>
      <c r="AS253" t="s">
        <v>752</v>
      </c>
      <c r="AT253" t="s">
        <v>753</v>
      </c>
      <c r="AU253" t="s">
        <v>747</v>
      </c>
    </row>
    <row r="254" spans="5:47" x14ac:dyDescent="0.3">
      <c r="E254" t="s">
        <v>107</v>
      </c>
      <c r="AL254" t="s">
        <v>746</v>
      </c>
      <c r="AM254" t="s">
        <v>747</v>
      </c>
      <c r="AN254" t="s">
        <v>748</v>
      </c>
      <c r="AO254" t="s">
        <v>749</v>
      </c>
      <c r="AP254" t="s">
        <v>107</v>
      </c>
      <c r="AQ254" t="s">
        <v>750</v>
      </c>
      <c r="AR254" t="s">
        <v>751</v>
      </c>
      <c r="AS254" t="s">
        <v>752</v>
      </c>
      <c r="AT254" t="s">
        <v>753</v>
      </c>
      <c r="AU254" t="s">
        <v>747</v>
      </c>
    </row>
    <row r="255" spans="5:47" x14ac:dyDescent="0.3">
      <c r="E255" t="s">
        <v>107</v>
      </c>
      <c r="AL255" t="s">
        <v>746</v>
      </c>
      <c r="AM255" t="s">
        <v>747</v>
      </c>
      <c r="AN255" t="s">
        <v>748</v>
      </c>
      <c r="AO255" t="s">
        <v>749</v>
      </c>
      <c r="AP255" t="s">
        <v>107</v>
      </c>
      <c r="AQ255" t="s">
        <v>750</v>
      </c>
      <c r="AR255" t="s">
        <v>751</v>
      </c>
      <c r="AS255" t="s">
        <v>752</v>
      </c>
      <c r="AT255" t="s">
        <v>753</v>
      </c>
      <c r="AU255" t="s">
        <v>747</v>
      </c>
    </row>
    <row r="256" spans="5:47" x14ac:dyDescent="0.3">
      <c r="E256" t="s">
        <v>107</v>
      </c>
      <c r="AL256" t="s">
        <v>746</v>
      </c>
      <c r="AM256" t="s">
        <v>747</v>
      </c>
      <c r="AN256" t="s">
        <v>748</v>
      </c>
      <c r="AO256" t="s">
        <v>749</v>
      </c>
      <c r="AP256" t="s">
        <v>107</v>
      </c>
      <c r="AQ256" t="s">
        <v>750</v>
      </c>
      <c r="AR256" t="s">
        <v>751</v>
      </c>
      <c r="AS256" t="s">
        <v>752</v>
      </c>
      <c r="AT256" t="s">
        <v>753</v>
      </c>
      <c r="AU256" t="s">
        <v>747</v>
      </c>
    </row>
    <row r="257" spans="5:47" x14ac:dyDescent="0.3">
      <c r="E257" t="s">
        <v>107</v>
      </c>
      <c r="AL257" t="s">
        <v>746</v>
      </c>
      <c r="AM257" t="s">
        <v>747</v>
      </c>
      <c r="AN257" t="s">
        <v>748</v>
      </c>
      <c r="AO257" t="s">
        <v>749</v>
      </c>
      <c r="AP257" t="s">
        <v>107</v>
      </c>
      <c r="AQ257" t="s">
        <v>750</v>
      </c>
      <c r="AR257" t="s">
        <v>751</v>
      </c>
      <c r="AS257" t="s">
        <v>752</v>
      </c>
      <c r="AT257" t="s">
        <v>753</v>
      </c>
      <c r="AU257" t="s">
        <v>747</v>
      </c>
    </row>
    <row r="258" spans="5:47" x14ac:dyDescent="0.3">
      <c r="E258" t="s">
        <v>107</v>
      </c>
      <c r="AL258" t="s">
        <v>746</v>
      </c>
      <c r="AM258" t="s">
        <v>747</v>
      </c>
      <c r="AN258" t="s">
        <v>748</v>
      </c>
      <c r="AO258" t="s">
        <v>749</v>
      </c>
      <c r="AP258" t="s">
        <v>107</v>
      </c>
      <c r="AQ258" t="s">
        <v>750</v>
      </c>
      <c r="AR258" t="s">
        <v>751</v>
      </c>
      <c r="AS258" t="s">
        <v>752</v>
      </c>
      <c r="AT258" t="s">
        <v>753</v>
      </c>
      <c r="AU258" t="s">
        <v>747</v>
      </c>
    </row>
    <row r="259" spans="5:47" x14ac:dyDescent="0.3">
      <c r="E259" t="s">
        <v>107</v>
      </c>
      <c r="AL259" t="s">
        <v>746</v>
      </c>
      <c r="AM259" t="s">
        <v>747</v>
      </c>
      <c r="AN259" t="s">
        <v>748</v>
      </c>
      <c r="AO259" t="s">
        <v>749</v>
      </c>
      <c r="AP259" t="s">
        <v>107</v>
      </c>
      <c r="AQ259" t="s">
        <v>750</v>
      </c>
      <c r="AR259" t="s">
        <v>751</v>
      </c>
      <c r="AS259" t="s">
        <v>752</v>
      </c>
      <c r="AT259" t="s">
        <v>753</v>
      </c>
      <c r="AU259" t="s">
        <v>747</v>
      </c>
    </row>
    <row r="260" spans="5:47" x14ac:dyDescent="0.3">
      <c r="E260" t="s">
        <v>107</v>
      </c>
      <c r="AL260" t="s">
        <v>746</v>
      </c>
      <c r="AM260" t="s">
        <v>747</v>
      </c>
      <c r="AN260" t="s">
        <v>748</v>
      </c>
      <c r="AO260" t="s">
        <v>749</v>
      </c>
      <c r="AP260" t="s">
        <v>107</v>
      </c>
      <c r="AQ260" t="s">
        <v>750</v>
      </c>
      <c r="AR260" t="s">
        <v>751</v>
      </c>
      <c r="AS260" t="s">
        <v>752</v>
      </c>
      <c r="AT260" t="s">
        <v>753</v>
      </c>
      <c r="AU260" t="s">
        <v>747</v>
      </c>
    </row>
    <row r="261" spans="5:47" x14ac:dyDescent="0.3">
      <c r="E261" t="s">
        <v>107</v>
      </c>
      <c r="AL261" t="s">
        <v>746</v>
      </c>
      <c r="AM261" t="s">
        <v>747</v>
      </c>
      <c r="AN261" t="s">
        <v>748</v>
      </c>
      <c r="AO261" t="s">
        <v>749</v>
      </c>
      <c r="AP261" t="s">
        <v>107</v>
      </c>
      <c r="AQ261" t="s">
        <v>750</v>
      </c>
      <c r="AR261" t="s">
        <v>751</v>
      </c>
      <c r="AS261" t="s">
        <v>752</v>
      </c>
      <c r="AT261" t="s">
        <v>753</v>
      </c>
      <c r="AU261" t="s">
        <v>747</v>
      </c>
    </row>
    <row r="262" spans="5:47" x14ac:dyDescent="0.3">
      <c r="E262" t="s">
        <v>107</v>
      </c>
      <c r="AL262" t="s">
        <v>746</v>
      </c>
      <c r="AM262" t="s">
        <v>747</v>
      </c>
      <c r="AN262" t="s">
        <v>748</v>
      </c>
      <c r="AO262" t="s">
        <v>749</v>
      </c>
      <c r="AP262" t="s">
        <v>107</v>
      </c>
      <c r="AQ262" t="s">
        <v>750</v>
      </c>
      <c r="AR262" t="s">
        <v>751</v>
      </c>
      <c r="AS262" t="s">
        <v>752</v>
      </c>
      <c r="AT262" t="s">
        <v>753</v>
      </c>
      <c r="AU262" t="s">
        <v>747</v>
      </c>
    </row>
    <row r="263" spans="5:47" x14ac:dyDescent="0.3">
      <c r="E263" t="s">
        <v>107</v>
      </c>
      <c r="AL263" t="s">
        <v>746</v>
      </c>
      <c r="AM263" t="s">
        <v>747</v>
      </c>
      <c r="AN263" t="s">
        <v>748</v>
      </c>
      <c r="AO263" t="s">
        <v>749</v>
      </c>
      <c r="AP263" t="s">
        <v>107</v>
      </c>
      <c r="AQ263" t="s">
        <v>750</v>
      </c>
      <c r="AR263" t="s">
        <v>751</v>
      </c>
      <c r="AS263" t="s">
        <v>752</v>
      </c>
      <c r="AT263" t="s">
        <v>753</v>
      </c>
      <c r="AU263" t="s">
        <v>747</v>
      </c>
    </row>
    <row r="264" spans="5:47" x14ac:dyDescent="0.3">
      <c r="E264" t="s">
        <v>107</v>
      </c>
      <c r="AL264" t="s">
        <v>746</v>
      </c>
      <c r="AM264" t="s">
        <v>747</v>
      </c>
      <c r="AN264" t="s">
        <v>748</v>
      </c>
      <c r="AO264" t="s">
        <v>749</v>
      </c>
      <c r="AP264" t="s">
        <v>107</v>
      </c>
      <c r="AQ264" t="s">
        <v>750</v>
      </c>
      <c r="AR264" t="s">
        <v>751</v>
      </c>
      <c r="AS264" t="s">
        <v>752</v>
      </c>
      <c r="AT264" t="s">
        <v>753</v>
      </c>
      <c r="AU264" t="s">
        <v>747</v>
      </c>
    </row>
    <row r="265" spans="5:47" x14ac:dyDescent="0.3">
      <c r="E265" t="s">
        <v>107</v>
      </c>
      <c r="AL265" t="s">
        <v>746</v>
      </c>
      <c r="AM265" t="s">
        <v>747</v>
      </c>
      <c r="AN265" t="s">
        <v>748</v>
      </c>
      <c r="AO265" t="s">
        <v>749</v>
      </c>
      <c r="AP265" t="s">
        <v>107</v>
      </c>
      <c r="AQ265" t="s">
        <v>750</v>
      </c>
      <c r="AR265" t="s">
        <v>751</v>
      </c>
      <c r="AS265" t="s">
        <v>752</v>
      </c>
      <c r="AT265" t="s">
        <v>753</v>
      </c>
      <c r="AU265" t="s">
        <v>747</v>
      </c>
    </row>
    <row r="266" spans="5:47" x14ac:dyDescent="0.3">
      <c r="E266" t="s">
        <v>107</v>
      </c>
      <c r="AL266" t="s">
        <v>746</v>
      </c>
      <c r="AM266" t="s">
        <v>747</v>
      </c>
      <c r="AN266" t="s">
        <v>748</v>
      </c>
      <c r="AO266" t="s">
        <v>749</v>
      </c>
      <c r="AP266" t="s">
        <v>107</v>
      </c>
      <c r="AQ266" t="s">
        <v>750</v>
      </c>
      <c r="AR266" t="s">
        <v>751</v>
      </c>
      <c r="AS266" t="s">
        <v>752</v>
      </c>
      <c r="AT266" t="s">
        <v>753</v>
      </c>
      <c r="AU266" t="s">
        <v>747</v>
      </c>
    </row>
    <row r="267" spans="5:47" x14ac:dyDescent="0.3">
      <c r="E267" t="s">
        <v>107</v>
      </c>
      <c r="AL267" t="s">
        <v>746</v>
      </c>
      <c r="AM267" t="s">
        <v>747</v>
      </c>
      <c r="AN267" t="s">
        <v>748</v>
      </c>
      <c r="AO267" t="s">
        <v>749</v>
      </c>
      <c r="AP267" t="s">
        <v>107</v>
      </c>
      <c r="AQ267" t="s">
        <v>750</v>
      </c>
      <c r="AR267" t="s">
        <v>751</v>
      </c>
      <c r="AS267" t="s">
        <v>752</v>
      </c>
      <c r="AT267" t="s">
        <v>753</v>
      </c>
      <c r="AU267" t="s">
        <v>747</v>
      </c>
    </row>
    <row r="268" spans="5:47" x14ac:dyDescent="0.3">
      <c r="E268" t="s">
        <v>107</v>
      </c>
      <c r="AL268" t="s">
        <v>746</v>
      </c>
      <c r="AM268" t="s">
        <v>747</v>
      </c>
      <c r="AN268" t="s">
        <v>748</v>
      </c>
      <c r="AO268" t="s">
        <v>749</v>
      </c>
      <c r="AP268" t="s">
        <v>107</v>
      </c>
      <c r="AQ268" t="s">
        <v>750</v>
      </c>
      <c r="AR268" t="s">
        <v>751</v>
      </c>
      <c r="AS268" t="s">
        <v>752</v>
      </c>
      <c r="AT268" t="s">
        <v>753</v>
      </c>
      <c r="AU268" t="s">
        <v>747</v>
      </c>
    </row>
    <row r="269" spans="5:47" x14ac:dyDescent="0.3">
      <c r="E269" t="s">
        <v>107</v>
      </c>
      <c r="AL269" t="s">
        <v>746</v>
      </c>
      <c r="AM269" t="s">
        <v>747</v>
      </c>
      <c r="AN269" t="s">
        <v>748</v>
      </c>
      <c r="AO269" t="s">
        <v>749</v>
      </c>
      <c r="AP269" t="s">
        <v>107</v>
      </c>
      <c r="AQ269" t="s">
        <v>750</v>
      </c>
      <c r="AR269" t="s">
        <v>751</v>
      </c>
      <c r="AS269" t="s">
        <v>752</v>
      </c>
      <c r="AT269" t="s">
        <v>753</v>
      </c>
      <c r="AU269" t="s">
        <v>747</v>
      </c>
    </row>
    <row r="270" spans="5:47" x14ac:dyDescent="0.3">
      <c r="E270" t="s">
        <v>107</v>
      </c>
      <c r="AL270" t="s">
        <v>746</v>
      </c>
      <c r="AM270" t="s">
        <v>747</v>
      </c>
      <c r="AN270" t="s">
        <v>748</v>
      </c>
      <c r="AO270" t="s">
        <v>749</v>
      </c>
      <c r="AP270" t="s">
        <v>107</v>
      </c>
      <c r="AQ270" t="s">
        <v>750</v>
      </c>
      <c r="AR270" t="s">
        <v>751</v>
      </c>
      <c r="AS270" t="s">
        <v>752</v>
      </c>
      <c r="AT270" t="s">
        <v>753</v>
      </c>
      <c r="AU270" t="s">
        <v>747</v>
      </c>
    </row>
    <row r="271" spans="5:47" x14ac:dyDescent="0.3">
      <c r="E271" t="s">
        <v>107</v>
      </c>
      <c r="AL271" t="s">
        <v>746</v>
      </c>
      <c r="AM271" t="s">
        <v>747</v>
      </c>
      <c r="AN271" t="s">
        <v>748</v>
      </c>
      <c r="AO271" t="s">
        <v>749</v>
      </c>
      <c r="AP271" t="s">
        <v>107</v>
      </c>
      <c r="AQ271" t="s">
        <v>750</v>
      </c>
      <c r="AR271" t="s">
        <v>751</v>
      </c>
      <c r="AS271" t="s">
        <v>752</v>
      </c>
      <c r="AT271" t="s">
        <v>753</v>
      </c>
      <c r="AU271" t="s">
        <v>747</v>
      </c>
    </row>
    <row r="272" spans="5:47" x14ac:dyDescent="0.3">
      <c r="E272" t="s">
        <v>107</v>
      </c>
      <c r="AL272" t="s">
        <v>746</v>
      </c>
      <c r="AM272" t="s">
        <v>747</v>
      </c>
      <c r="AN272" t="s">
        <v>748</v>
      </c>
      <c r="AO272" t="s">
        <v>749</v>
      </c>
      <c r="AP272" t="s">
        <v>107</v>
      </c>
      <c r="AQ272" t="s">
        <v>750</v>
      </c>
      <c r="AR272" t="s">
        <v>751</v>
      </c>
      <c r="AS272" t="s">
        <v>752</v>
      </c>
      <c r="AT272" t="s">
        <v>753</v>
      </c>
      <c r="AU272" t="s">
        <v>747</v>
      </c>
    </row>
    <row r="273" spans="5:47" x14ac:dyDescent="0.3">
      <c r="E273" t="s">
        <v>107</v>
      </c>
      <c r="AL273" t="s">
        <v>746</v>
      </c>
      <c r="AM273" t="s">
        <v>747</v>
      </c>
      <c r="AN273" t="s">
        <v>748</v>
      </c>
      <c r="AO273" t="s">
        <v>749</v>
      </c>
      <c r="AP273" t="s">
        <v>107</v>
      </c>
      <c r="AQ273" t="s">
        <v>750</v>
      </c>
      <c r="AR273" t="s">
        <v>751</v>
      </c>
      <c r="AS273" t="s">
        <v>752</v>
      </c>
      <c r="AT273" t="s">
        <v>753</v>
      </c>
      <c r="AU273" t="s">
        <v>747</v>
      </c>
    </row>
    <row r="274" spans="5:47" x14ac:dyDescent="0.3">
      <c r="E274" t="s">
        <v>107</v>
      </c>
      <c r="AL274" t="s">
        <v>746</v>
      </c>
      <c r="AM274" t="s">
        <v>747</v>
      </c>
      <c r="AN274" t="s">
        <v>748</v>
      </c>
      <c r="AO274" t="s">
        <v>749</v>
      </c>
      <c r="AP274" t="s">
        <v>107</v>
      </c>
      <c r="AQ274" t="s">
        <v>750</v>
      </c>
      <c r="AR274" t="s">
        <v>751</v>
      </c>
      <c r="AS274" t="s">
        <v>752</v>
      </c>
      <c r="AT274" t="s">
        <v>753</v>
      </c>
      <c r="AU274" t="s">
        <v>747</v>
      </c>
    </row>
    <row r="275" spans="5:47" x14ac:dyDescent="0.3">
      <c r="E275" t="s">
        <v>107</v>
      </c>
      <c r="AL275" t="s">
        <v>746</v>
      </c>
      <c r="AM275" t="s">
        <v>747</v>
      </c>
      <c r="AN275" t="s">
        <v>748</v>
      </c>
      <c r="AO275" t="s">
        <v>749</v>
      </c>
      <c r="AP275" t="s">
        <v>107</v>
      </c>
      <c r="AQ275" t="s">
        <v>750</v>
      </c>
      <c r="AR275" t="s">
        <v>751</v>
      </c>
      <c r="AS275" t="s">
        <v>752</v>
      </c>
      <c r="AT275" t="s">
        <v>753</v>
      </c>
      <c r="AU275" t="s">
        <v>747</v>
      </c>
    </row>
    <row r="276" spans="5:47" x14ac:dyDescent="0.3">
      <c r="E276" t="s">
        <v>107</v>
      </c>
      <c r="AL276" t="s">
        <v>746</v>
      </c>
      <c r="AM276" t="s">
        <v>747</v>
      </c>
      <c r="AN276" t="s">
        <v>748</v>
      </c>
      <c r="AO276" t="s">
        <v>749</v>
      </c>
      <c r="AP276" t="s">
        <v>107</v>
      </c>
      <c r="AQ276" t="s">
        <v>750</v>
      </c>
      <c r="AR276" t="s">
        <v>751</v>
      </c>
      <c r="AS276" t="s">
        <v>752</v>
      </c>
      <c r="AT276" t="s">
        <v>753</v>
      </c>
      <c r="AU276" t="s">
        <v>747</v>
      </c>
    </row>
    <row r="277" spans="5:47" x14ac:dyDescent="0.3">
      <c r="E277" t="s">
        <v>107</v>
      </c>
      <c r="AL277" t="s">
        <v>746</v>
      </c>
      <c r="AM277" t="s">
        <v>747</v>
      </c>
      <c r="AN277" t="s">
        <v>748</v>
      </c>
      <c r="AO277" t="s">
        <v>749</v>
      </c>
      <c r="AP277" t="s">
        <v>107</v>
      </c>
      <c r="AQ277" t="s">
        <v>750</v>
      </c>
      <c r="AR277" t="s">
        <v>751</v>
      </c>
      <c r="AS277" t="s">
        <v>752</v>
      </c>
      <c r="AT277" t="s">
        <v>753</v>
      </c>
      <c r="AU277" t="s">
        <v>747</v>
      </c>
    </row>
    <row r="278" spans="5:47" x14ac:dyDescent="0.3">
      <c r="E278" t="s">
        <v>107</v>
      </c>
      <c r="AL278" t="s">
        <v>746</v>
      </c>
      <c r="AM278" t="s">
        <v>747</v>
      </c>
      <c r="AN278" t="s">
        <v>748</v>
      </c>
      <c r="AO278" t="s">
        <v>749</v>
      </c>
      <c r="AP278" t="s">
        <v>107</v>
      </c>
      <c r="AQ278" t="s">
        <v>750</v>
      </c>
      <c r="AR278" t="s">
        <v>751</v>
      </c>
      <c r="AS278" t="s">
        <v>752</v>
      </c>
      <c r="AT278" t="s">
        <v>753</v>
      </c>
      <c r="AU278" t="s">
        <v>747</v>
      </c>
    </row>
    <row r="279" spans="5:47" x14ac:dyDescent="0.3">
      <c r="E279" t="s">
        <v>107</v>
      </c>
      <c r="AL279" t="s">
        <v>746</v>
      </c>
      <c r="AM279" t="s">
        <v>747</v>
      </c>
      <c r="AN279" t="s">
        <v>748</v>
      </c>
      <c r="AO279" t="s">
        <v>749</v>
      </c>
      <c r="AP279" t="s">
        <v>107</v>
      </c>
      <c r="AQ279" t="s">
        <v>750</v>
      </c>
      <c r="AR279" t="s">
        <v>751</v>
      </c>
      <c r="AS279" t="s">
        <v>752</v>
      </c>
      <c r="AT279" t="s">
        <v>753</v>
      </c>
      <c r="AU279" t="s">
        <v>747</v>
      </c>
    </row>
    <row r="280" spans="5:47" x14ac:dyDescent="0.3">
      <c r="E280" t="s">
        <v>107</v>
      </c>
      <c r="AL280" t="s">
        <v>746</v>
      </c>
      <c r="AM280" t="s">
        <v>747</v>
      </c>
      <c r="AN280" t="s">
        <v>748</v>
      </c>
      <c r="AO280" t="s">
        <v>749</v>
      </c>
      <c r="AP280" t="s">
        <v>107</v>
      </c>
      <c r="AQ280" t="s">
        <v>750</v>
      </c>
      <c r="AR280" t="s">
        <v>751</v>
      </c>
      <c r="AS280" t="s">
        <v>752</v>
      </c>
      <c r="AT280" t="s">
        <v>753</v>
      </c>
      <c r="AU280" t="s">
        <v>747</v>
      </c>
    </row>
    <row r="281" spans="5:47" x14ac:dyDescent="0.3">
      <c r="E281" t="s">
        <v>107</v>
      </c>
      <c r="AL281" t="s">
        <v>746</v>
      </c>
      <c r="AM281" t="s">
        <v>747</v>
      </c>
      <c r="AN281" t="s">
        <v>748</v>
      </c>
      <c r="AO281" t="s">
        <v>749</v>
      </c>
      <c r="AP281" t="s">
        <v>107</v>
      </c>
      <c r="AQ281" t="s">
        <v>750</v>
      </c>
      <c r="AR281" t="s">
        <v>751</v>
      </c>
      <c r="AS281" t="s">
        <v>752</v>
      </c>
      <c r="AT281" t="s">
        <v>753</v>
      </c>
      <c r="AU281" t="s">
        <v>747</v>
      </c>
    </row>
    <row r="282" spans="5:47" x14ac:dyDescent="0.3">
      <c r="E282" t="s">
        <v>107</v>
      </c>
      <c r="AL282" t="s">
        <v>746</v>
      </c>
      <c r="AM282" t="s">
        <v>747</v>
      </c>
      <c r="AN282" t="s">
        <v>748</v>
      </c>
      <c r="AO282" t="s">
        <v>749</v>
      </c>
      <c r="AP282" t="s">
        <v>107</v>
      </c>
      <c r="AQ282" t="s">
        <v>750</v>
      </c>
      <c r="AR282" t="s">
        <v>751</v>
      </c>
      <c r="AS282" t="s">
        <v>752</v>
      </c>
      <c r="AT282" t="s">
        <v>753</v>
      </c>
      <c r="AU282" t="s">
        <v>747</v>
      </c>
    </row>
    <row r="283" spans="5:47" x14ac:dyDescent="0.3">
      <c r="E283" t="s">
        <v>107</v>
      </c>
      <c r="AL283" t="s">
        <v>746</v>
      </c>
      <c r="AM283" t="s">
        <v>747</v>
      </c>
      <c r="AN283" t="s">
        <v>748</v>
      </c>
      <c r="AO283" t="s">
        <v>749</v>
      </c>
      <c r="AP283" t="s">
        <v>107</v>
      </c>
      <c r="AQ283" t="s">
        <v>750</v>
      </c>
      <c r="AR283" t="s">
        <v>751</v>
      </c>
      <c r="AS283" t="s">
        <v>752</v>
      </c>
      <c r="AT283" t="s">
        <v>753</v>
      </c>
      <c r="AU283" t="s">
        <v>747</v>
      </c>
    </row>
    <row r="284" spans="5:47" x14ac:dyDescent="0.3">
      <c r="E284" t="s">
        <v>107</v>
      </c>
      <c r="AL284" t="s">
        <v>746</v>
      </c>
      <c r="AM284" t="s">
        <v>747</v>
      </c>
      <c r="AN284" t="s">
        <v>748</v>
      </c>
      <c r="AO284" t="s">
        <v>749</v>
      </c>
      <c r="AP284" t="s">
        <v>107</v>
      </c>
      <c r="AQ284" t="s">
        <v>750</v>
      </c>
      <c r="AR284" t="s">
        <v>751</v>
      </c>
      <c r="AS284" t="s">
        <v>752</v>
      </c>
      <c r="AT284" t="s">
        <v>753</v>
      </c>
      <c r="AU284" t="s">
        <v>747</v>
      </c>
    </row>
    <row r="285" spans="5:47" x14ac:dyDescent="0.3">
      <c r="E285" t="s">
        <v>107</v>
      </c>
      <c r="AL285" t="s">
        <v>746</v>
      </c>
      <c r="AM285" t="s">
        <v>747</v>
      </c>
      <c r="AN285" t="s">
        <v>748</v>
      </c>
      <c r="AO285" t="s">
        <v>749</v>
      </c>
      <c r="AP285" t="s">
        <v>107</v>
      </c>
      <c r="AQ285" t="s">
        <v>750</v>
      </c>
      <c r="AR285" t="s">
        <v>751</v>
      </c>
      <c r="AS285" t="s">
        <v>752</v>
      </c>
      <c r="AT285" t="s">
        <v>753</v>
      </c>
      <c r="AU285" t="s">
        <v>747</v>
      </c>
    </row>
    <row r="286" spans="5:47" x14ac:dyDescent="0.3">
      <c r="E286" t="s">
        <v>107</v>
      </c>
      <c r="AL286" t="s">
        <v>746</v>
      </c>
      <c r="AM286" t="s">
        <v>747</v>
      </c>
      <c r="AN286" t="s">
        <v>748</v>
      </c>
      <c r="AO286" t="s">
        <v>749</v>
      </c>
      <c r="AP286" t="s">
        <v>107</v>
      </c>
      <c r="AQ286" t="s">
        <v>750</v>
      </c>
      <c r="AR286" t="s">
        <v>751</v>
      </c>
      <c r="AS286" t="s">
        <v>752</v>
      </c>
      <c r="AT286" t="s">
        <v>753</v>
      </c>
      <c r="AU286" t="s">
        <v>747</v>
      </c>
    </row>
    <row r="287" spans="5:47" x14ac:dyDescent="0.3">
      <c r="E287" t="s">
        <v>107</v>
      </c>
      <c r="AL287" t="s">
        <v>746</v>
      </c>
      <c r="AM287" t="s">
        <v>747</v>
      </c>
      <c r="AN287" t="s">
        <v>748</v>
      </c>
      <c r="AO287" t="s">
        <v>749</v>
      </c>
      <c r="AP287" t="s">
        <v>107</v>
      </c>
      <c r="AQ287" t="s">
        <v>750</v>
      </c>
      <c r="AR287" t="s">
        <v>751</v>
      </c>
      <c r="AS287" t="s">
        <v>752</v>
      </c>
      <c r="AT287" t="s">
        <v>753</v>
      </c>
      <c r="AU287" t="s">
        <v>747</v>
      </c>
    </row>
    <row r="288" spans="5:47" x14ac:dyDescent="0.3">
      <c r="AL288" t="s">
        <v>746</v>
      </c>
      <c r="AM288" t="s">
        <v>747</v>
      </c>
      <c r="AN288" t="s">
        <v>748</v>
      </c>
      <c r="AO288" t="s">
        <v>749</v>
      </c>
      <c r="AP288" t="s">
        <v>107</v>
      </c>
      <c r="AQ288" t="s">
        <v>750</v>
      </c>
      <c r="AR288" t="s">
        <v>751</v>
      </c>
      <c r="AS288" t="s">
        <v>752</v>
      </c>
      <c r="AT288" t="s">
        <v>753</v>
      </c>
      <c r="AU288" t="s">
        <v>747</v>
      </c>
    </row>
    <row r="289" spans="38:47" x14ac:dyDescent="0.3">
      <c r="AL289" t="s">
        <v>746</v>
      </c>
      <c r="AM289" t="s">
        <v>747</v>
      </c>
      <c r="AN289" t="s">
        <v>748</v>
      </c>
      <c r="AO289" t="s">
        <v>749</v>
      </c>
      <c r="AP289" t="s">
        <v>107</v>
      </c>
      <c r="AQ289" t="s">
        <v>750</v>
      </c>
      <c r="AR289" t="s">
        <v>751</v>
      </c>
      <c r="AS289" t="s">
        <v>752</v>
      </c>
      <c r="AT289" t="s">
        <v>753</v>
      </c>
      <c r="AU289" t="s">
        <v>747</v>
      </c>
    </row>
    <row r="290" spans="38:47" x14ac:dyDescent="0.3">
      <c r="AL290" t="s">
        <v>746</v>
      </c>
      <c r="AM290" t="s">
        <v>747</v>
      </c>
      <c r="AN290" t="s">
        <v>748</v>
      </c>
      <c r="AO290" t="s">
        <v>749</v>
      </c>
      <c r="AP290" t="s">
        <v>107</v>
      </c>
      <c r="AQ290" t="s">
        <v>750</v>
      </c>
      <c r="AR290" t="s">
        <v>751</v>
      </c>
      <c r="AS290" t="s">
        <v>752</v>
      </c>
      <c r="AT290" t="s">
        <v>753</v>
      </c>
      <c r="AU290" t="s">
        <v>747</v>
      </c>
    </row>
    <row r="291" spans="38:47" x14ac:dyDescent="0.3">
      <c r="AL291" t="s">
        <v>746</v>
      </c>
      <c r="AM291" t="s">
        <v>747</v>
      </c>
      <c r="AN291" t="s">
        <v>748</v>
      </c>
      <c r="AO291" t="s">
        <v>749</v>
      </c>
      <c r="AP291" t="s">
        <v>107</v>
      </c>
      <c r="AQ291" t="s">
        <v>750</v>
      </c>
      <c r="AR291" t="s">
        <v>751</v>
      </c>
      <c r="AS291" t="s">
        <v>752</v>
      </c>
      <c r="AT291" t="s">
        <v>753</v>
      </c>
      <c r="AU291" t="s">
        <v>747</v>
      </c>
    </row>
    <row r="292" spans="38:47" x14ac:dyDescent="0.3">
      <c r="AL292" t="s">
        <v>746</v>
      </c>
      <c r="AM292" t="s">
        <v>747</v>
      </c>
      <c r="AN292" t="s">
        <v>748</v>
      </c>
      <c r="AO292" t="s">
        <v>749</v>
      </c>
      <c r="AP292" t="s">
        <v>107</v>
      </c>
      <c r="AQ292" t="s">
        <v>750</v>
      </c>
      <c r="AR292" t="s">
        <v>751</v>
      </c>
      <c r="AS292" t="s">
        <v>752</v>
      </c>
      <c r="AT292" t="s">
        <v>753</v>
      </c>
      <c r="AU292" t="s">
        <v>747</v>
      </c>
    </row>
    <row r="293" spans="38:47" x14ac:dyDescent="0.3">
      <c r="AL293" t="s">
        <v>746</v>
      </c>
      <c r="AM293" t="s">
        <v>747</v>
      </c>
      <c r="AN293" t="s">
        <v>748</v>
      </c>
      <c r="AO293" t="s">
        <v>749</v>
      </c>
      <c r="AP293" t="s">
        <v>107</v>
      </c>
      <c r="AQ293" t="s">
        <v>750</v>
      </c>
      <c r="AR293" t="s">
        <v>751</v>
      </c>
      <c r="AS293" t="s">
        <v>752</v>
      </c>
      <c r="AT293" t="s">
        <v>753</v>
      </c>
      <c r="AU293" t="s">
        <v>747</v>
      </c>
    </row>
    <row r="294" spans="38:47" x14ac:dyDescent="0.3">
      <c r="AL294" t="s">
        <v>746</v>
      </c>
      <c r="AM294" t="s">
        <v>747</v>
      </c>
      <c r="AN294" t="s">
        <v>748</v>
      </c>
      <c r="AO294" t="s">
        <v>749</v>
      </c>
      <c r="AP294" t="s">
        <v>107</v>
      </c>
      <c r="AQ294" t="s">
        <v>750</v>
      </c>
      <c r="AR294" t="s">
        <v>751</v>
      </c>
      <c r="AS294" t="s">
        <v>752</v>
      </c>
      <c r="AT294" t="s">
        <v>753</v>
      </c>
      <c r="AU294" t="s">
        <v>747</v>
      </c>
    </row>
    <row r="295" spans="38:47" x14ac:dyDescent="0.3">
      <c r="AL295" t="s">
        <v>746</v>
      </c>
      <c r="AM295" t="s">
        <v>747</v>
      </c>
      <c r="AN295" t="s">
        <v>748</v>
      </c>
      <c r="AO295" t="s">
        <v>749</v>
      </c>
      <c r="AP295" t="s">
        <v>107</v>
      </c>
      <c r="AQ295" t="s">
        <v>750</v>
      </c>
      <c r="AR295" t="s">
        <v>751</v>
      </c>
      <c r="AS295" t="s">
        <v>752</v>
      </c>
      <c r="AT295" t="s">
        <v>753</v>
      </c>
      <c r="AU295" t="s">
        <v>747</v>
      </c>
    </row>
    <row r="296" spans="38:47" x14ac:dyDescent="0.3">
      <c r="AL296" t="s">
        <v>746</v>
      </c>
      <c r="AM296" t="s">
        <v>747</v>
      </c>
      <c r="AN296" t="s">
        <v>748</v>
      </c>
      <c r="AO296" t="s">
        <v>749</v>
      </c>
      <c r="AP296" t="s">
        <v>107</v>
      </c>
      <c r="AQ296" t="s">
        <v>750</v>
      </c>
      <c r="AR296" t="s">
        <v>751</v>
      </c>
      <c r="AS296" t="s">
        <v>752</v>
      </c>
      <c r="AT296" t="s">
        <v>753</v>
      </c>
      <c r="AU296" t="s">
        <v>747</v>
      </c>
    </row>
    <row r="297" spans="38:47" x14ac:dyDescent="0.3">
      <c r="AL297" t="s">
        <v>746</v>
      </c>
      <c r="AM297" t="s">
        <v>747</v>
      </c>
      <c r="AN297" t="s">
        <v>748</v>
      </c>
      <c r="AO297" t="s">
        <v>749</v>
      </c>
      <c r="AP297" t="s">
        <v>107</v>
      </c>
      <c r="AQ297" t="s">
        <v>750</v>
      </c>
      <c r="AR297" t="s">
        <v>751</v>
      </c>
      <c r="AS297" t="s">
        <v>752</v>
      </c>
      <c r="AT297" t="s">
        <v>753</v>
      </c>
      <c r="AU297" t="s">
        <v>747</v>
      </c>
    </row>
    <row r="298" spans="38:47" x14ac:dyDescent="0.3">
      <c r="AL298" t="s">
        <v>746</v>
      </c>
      <c r="AM298" t="s">
        <v>747</v>
      </c>
      <c r="AN298" t="s">
        <v>748</v>
      </c>
      <c r="AO298" t="s">
        <v>749</v>
      </c>
      <c r="AP298" t="s">
        <v>107</v>
      </c>
      <c r="AQ298" t="s">
        <v>750</v>
      </c>
      <c r="AR298" t="s">
        <v>751</v>
      </c>
      <c r="AS298" t="s">
        <v>752</v>
      </c>
      <c r="AT298" t="s">
        <v>753</v>
      </c>
      <c r="AU298" t="s">
        <v>747</v>
      </c>
    </row>
    <row r="299" spans="38:47" x14ac:dyDescent="0.3">
      <c r="AL299" t="s">
        <v>746</v>
      </c>
      <c r="AM299" t="s">
        <v>747</v>
      </c>
      <c r="AN299" t="s">
        <v>748</v>
      </c>
      <c r="AO299" t="s">
        <v>749</v>
      </c>
      <c r="AP299" t="s">
        <v>107</v>
      </c>
      <c r="AQ299" t="s">
        <v>750</v>
      </c>
      <c r="AR299" t="s">
        <v>751</v>
      </c>
      <c r="AS299" t="s">
        <v>752</v>
      </c>
      <c r="AT299" t="s">
        <v>753</v>
      </c>
      <c r="AU299" t="s">
        <v>747</v>
      </c>
    </row>
    <row r="300" spans="38:47" x14ac:dyDescent="0.3">
      <c r="AL300" t="s">
        <v>746</v>
      </c>
      <c r="AM300" t="s">
        <v>747</v>
      </c>
      <c r="AN300" t="s">
        <v>748</v>
      </c>
      <c r="AO300" t="s">
        <v>749</v>
      </c>
      <c r="AP300" t="s">
        <v>107</v>
      </c>
      <c r="AQ300" t="s">
        <v>750</v>
      </c>
      <c r="AR300" t="s">
        <v>751</v>
      </c>
      <c r="AS300" t="s">
        <v>752</v>
      </c>
      <c r="AT300" t="s">
        <v>753</v>
      </c>
      <c r="AU300" t="s">
        <v>747</v>
      </c>
    </row>
    <row r="301" spans="38:47" x14ac:dyDescent="0.3">
      <c r="AL301" t="s">
        <v>746</v>
      </c>
      <c r="AM301" t="s">
        <v>747</v>
      </c>
      <c r="AN301" t="s">
        <v>748</v>
      </c>
      <c r="AO301" t="s">
        <v>749</v>
      </c>
      <c r="AP301" t="s">
        <v>107</v>
      </c>
      <c r="AQ301" t="s">
        <v>750</v>
      </c>
      <c r="AR301" t="s">
        <v>751</v>
      </c>
      <c r="AS301" t="s">
        <v>752</v>
      </c>
      <c r="AT301" t="s">
        <v>753</v>
      </c>
      <c r="AU301" t="s">
        <v>747</v>
      </c>
    </row>
  </sheetData>
  <pageMargins left="0.7" right="0.7" top="0.75" bottom="0.75" header="0.3" footer="0.3"/>
  <customProperties>
    <customPr name="REFI_OFFICE_FUNCTION_CLICK_THROUGH_DATA" r:id="rId1"/>
    <customPr name="REFI_OFFICE_FUNCTION_CLICK_THROUGH_WORKSHEET_CURRENT_NAM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4FA8-D2E0-4CE5-9754-58A30BAF62E3}">
  <dimension ref="B1:BU501"/>
  <sheetViews>
    <sheetView showGridLines="0" tabSelected="1" zoomScale="70" zoomScaleNormal="70" zoomScaleSheetLayoutView="80" workbookViewId="0">
      <pane xSplit="1" ySplit="2" topLeftCell="B3" activePane="bottomRight" state="frozen"/>
      <selection pane="topRight" activeCell="B1" sqref="B1"/>
      <selection pane="bottomLeft" activeCell="A3" sqref="A3"/>
      <selection pane="bottomRight" activeCell="B2" sqref="B2"/>
    </sheetView>
  </sheetViews>
  <sheetFormatPr defaultRowHeight="15.75" x14ac:dyDescent="0.3"/>
  <cols>
    <col min="1" max="1" width="1.7109375" customWidth="1"/>
    <col min="2" max="2" width="14.42578125" bestFit="1" customWidth="1"/>
    <col min="3" max="3" width="10.85546875" customWidth="1"/>
    <col min="4" max="4" width="21" customWidth="1"/>
    <col min="5" max="5" width="25.5703125" customWidth="1"/>
    <col min="6" max="6" width="19" customWidth="1"/>
    <col min="7" max="7" width="16" customWidth="1"/>
    <col min="8" max="8" width="15.5703125" bestFit="1" customWidth="1"/>
    <col min="9" max="9" width="12.7109375" customWidth="1"/>
    <col min="10" max="10" width="12" bestFit="1" customWidth="1"/>
    <col min="11" max="11" width="16.42578125" customWidth="1"/>
    <col min="12" max="13" width="11.28515625" bestFit="1" customWidth="1"/>
    <col min="14" max="14" width="8.7109375" customWidth="1"/>
    <col min="15" max="24" width="10.42578125" customWidth="1"/>
    <col min="26" max="26" width="7.85546875" customWidth="1"/>
    <col min="27" max="27" width="33.7109375" customWidth="1"/>
    <col min="28" max="28" width="17.28515625" customWidth="1"/>
    <col min="29" max="29" width="15.140625" customWidth="1"/>
    <col min="30" max="30" width="12.7109375" customWidth="1"/>
    <col min="31" max="31" width="10.85546875" bestFit="1" customWidth="1"/>
    <col min="32" max="32" width="13.42578125" bestFit="1" customWidth="1"/>
    <col min="34" max="34" width="14.28515625" customWidth="1"/>
    <col min="35" max="35" width="19.7109375" bestFit="1" customWidth="1"/>
    <col min="39" max="39" width="14.85546875" bestFit="1" customWidth="1"/>
    <col min="40" max="40" width="11.140625" bestFit="1" customWidth="1"/>
    <col min="41" max="41" width="22" customWidth="1"/>
    <col min="42" max="42" width="20.7109375" customWidth="1"/>
    <col min="43" max="43" width="10.140625" customWidth="1"/>
    <col min="44" max="44" width="15" customWidth="1"/>
    <col min="45" max="45" width="18" customWidth="1"/>
    <col min="46" max="48" width="9.7109375" customWidth="1"/>
    <col min="49" max="50" width="11.140625" customWidth="1"/>
    <col min="51" max="51" width="10.42578125" bestFit="1" customWidth="1"/>
    <col min="52" max="52" width="9.85546875" customWidth="1"/>
    <col min="53" max="53" width="9.42578125" customWidth="1"/>
    <col min="54" max="54" width="8.7109375" customWidth="1"/>
    <col min="55" max="56" width="12.7109375" customWidth="1"/>
    <col min="57" max="57" width="8.7109375" customWidth="1"/>
    <col min="58" max="58" width="11.42578125" bestFit="1" customWidth="1"/>
    <col min="60" max="60" width="9.5703125" customWidth="1"/>
    <col min="61" max="63" width="12.7109375" customWidth="1"/>
    <col min="72" max="72" width="14" bestFit="1" customWidth="1"/>
    <col min="73" max="73" width="14.28515625" bestFit="1" customWidth="1"/>
  </cols>
  <sheetData>
    <row r="1" spans="2:73" ht="35.1" customHeight="1" x14ac:dyDescent="0.3">
      <c r="B1" s="82" t="s">
        <v>287</v>
      </c>
      <c r="C1" s="82"/>
      <c r="D1" s="82"/>
      <c r="E1" s="82"/>
      <c r="F1" s="82"/>
      <c r="G1" s="82"/>
      <c r="H1" s="82"/>
      <c r="I1" s="82"/>
      <c r="J1" s="82"/>
      <c r="K1" s="82"/>
      <c r="L1" s="72"/>
      <c r="N1" s="27" t="s">
        <v>119</v>
      </c>
      <c r="O1" s="21" t="s">
        <v>102</v>
      </c>
      <c r="P1" s="21" t="s">
        <v>104</v>
      </c>
      <c r="Q1" s="21" t="s">
        <v>150</v>
      </c>
      <c r="R1" s="68">
        <f>MIN($R$3:$R$500)</f>
        <v>1</v>
      </c>
      <c r="S1" s="27"/>
      <c r="T1" s="27"/>
      <c r="U1" s="27"/>
      <c r="V1" s="88" t="s">
        <v>161</v>
      </c>
      <c r="W1" s="88"/>
      <c r="X1" s="88"/>
      <c r="Y1" s="27"/>
      <c r="Z1" s="46"/>
      <c r="AA1" s="43" t="s">
        <v>111</v>
      </c>
      <c r="AB1" s="33">
        <f>SUMIFS($K$3:$K$501,$O$3:$O$501,1,$L$3:$L$501,"&gt;0")</f>
        <v>1002503.14</v>
      </c>
      <c r="AC1" s="21">
        <f>COUNTIFS($O$3:$O$501,1,$L$3:$L$501,"&gt;0")</f>
        <v>9</v>
      </c>
      <c r="AD1" s="26">
        <f>SUMIFS($L$3:$L$501,$O$3:$O$501,1,$L$3:$L$501,"&gt;0")</f>
        <v>6.6833542666666648E-2</v>
      </c>
      <c r="AE1" s="21"/>
      <c r="AF1" s="66"/>
      <c r="AG1" s="13"/>
      <c r="AH1" s="82" t="s">
        <v>98</v>
      </c>
      <c r="AI1" s="82"/>
      <c r="AJ1" s="82"/>
      <c r="AK1" s="49"/>
      <c r="AL1" s="13" t="str">
        <f>_xll.RDP.Data(AI3:AI501,"TR.PrimaryIssueRICCode;TR.ISIN;TR.CUSIPExtended;TR.CommonName;TR.BusinessSummary;TR.ExchangeCountry;TR.GICSSector;TR.CompanyMarketCapitalization(Scale=6);TR.PriceClose;TR.ISIN","Curn=USD",AL3)</f>
        <v>Updated at 18:26:44</v>
      </c>
      <c r="AN1" s="24">
        <f>COUNTIF(AL3:AL500,"NULL")</f>
        <v>0</v>
      </c>
      <c r="AO1" s="13" t="str">
        <f>_xll.RDP.Data(C3:C501,"TR.BusinessSummary",,E3)</f>
        <v>Updated at 18:26:23</v>
      </c>
      <c r="AP1" s="11"/>
      <c r="AQ1" s="11"/>
      <c r="AR1" s="11" t="str">
        <f>IF(OR(AQ3&lt;&gt;"United States of America", AL3="NULL"), 1, "")</f>
        <v/>
      </c>
      <c r="AS1" s="11"/>
      <c r="AT1" s="42" t="s">
        <v>411</v>
      </c>
      <c r="AU1" s="11"/>
      <c r="AV1" s="11"/>
      <c r="AW1" s="42" t="s">
        <v>1939</v>
      </c>
      <c r="AX1" s="25">
        <f>COUNTIF(AX3:AX501,1)</f>
        <v>0</v>
      </c>
      <c r="AY1" s="24">
        <f>COUNTIF(AY3:AY501,1)</f>
        <v>4</v>
      </c>
      <c r="AZ1" s="24">
        <f>COUNTIF(AZ3:AZ501,1)</f>
        <v>0</v>
      </c>
      <c r="BA1" s="24">
        <f>COUNTIF(BA3:BA501,1)</f>
        <v>1</v>
      </c>
      <c r="BB1" s="24">
        <f>COUNTIF(BB3:BB501,1)</f>
        <v>5</v>
      </c>
      <c r="BC1" s="36" t="s">
        <v>103</v>
      </c>
      <c r="BD1" s="24">
        <f>MIN(BD3:BD500)</f>
        <v>51</v>
      </c>
      <c r="BE1" s="36"/>
      <c r="BH1" s="43" t="s">
        <v>114</v>
      </c>
      <c r="BI1" s="33">
        <f>AB12</f>
        <v>937898.97000000568</v>
      </c>
      <c r="BJ1" s="21">
        <f>COUNTIFS($BC$3:$BC$501,1,$AJ$3:$AJ$501,"&gt;0")</f>
        <v>15</v>
      </c>
      <c r="BK1" s="34"/>
      <c r="BN1" s="77" t="s">
        <v>221</v>
      </c>
    </row>
    <row r="2" spans="2:73" ht="35.1" customHeight="1" x14ac:dyDescent="0.3">
      <c r="B2" s="70" t="s">
        <v>1</v>
      </c>
      <c r="C2" s="70" t="s">
        <v>45</v>
      </c>
      <c r="D2" s="70" t="s">
        <v>3</v>
      </c>
      <c r="E2" s="2" t="s">
        <v>4</v>
      </c>
      <c r="F2" s="70" t="s">
        <v>6</v>
      </c>
      <c r="G2" s="70" t="s">
        <v>95</v>
      </c>
      <c r="H2" s="71" t="s">
        <v>113</v>
      </c>
      <c r="I2" s="70" t="s">
        <v>97</v>
      </c>
      <c r="J2" s="70" t="s">
        <v>96</v>
      </c>
      <c r="K2" s="70" t="s">
        <v>46</v>
      </c>
      <c r="L2" s="22" t="s">
        <v>101</v>
      </c>
      <c r="M2" s="2" t="s">
        <v>99</v>
      </c>
      <c r="N2" s="23">
        <f>SUM(N3:N501)</f>
        <v>0</v>
      </c>
      <c r="O2" s="24">
        <f t="shared" ref="O2:P2" si="0">SUM(O3:O501)</f>
        <v>13</v>
      </c>
      <c r="P2" s="24">
        <f t="shared" si="0"/>
        <v>163</v>
      </c>
      <c r="Q2" s="81">
        <v>0.02</v>
      </c>
      <c r="R2" s="2" t="s">
        <v>137</v>
      </c>
      <c r="S2" s="2" t="s">
        <v>136</v>
      </c>
      <c r="T2" s="2" t="s">
        <v>154</v>
      </c>
      <c r="U2" s="2" t="s">
        <v>155</v>
      </c>
      <c r="V2" s="63" cm="1">
        <f t="array" ref="V2">SUM(V3:V500) + 0.01 * SUM(BD3:BD500) + 0.01 * SUM(IF(ISNUMBER(O3:O500), O3:O500 * I3:I500, 0))</f>
        <v>1813.4199999999994</v>
      </c>
      <c r="W2" s="64">
        <f>V2/AB16</f>
        <v>4.1793379250415697E-4</v>
      </c>
      <c r="X2" s="64">
        <f>(V2/(AB33-AC33))*250</f>
        <v>1.5283500793210838E-2</v>
      </c>
      <c r="Y2" s="54" t="s">
        <v>100</v>
      </c>
      <c r="Z2" s="61"/>
      <c r="AA2" s="43" t="s">
        <v>112</v>
      </c>
      <c r="AB2" s="33">
        <f>-SUMIFS($K$3:$K$501,$O$3:$O$501,1,$L$3:$L$501,"&lt;0")</f>
        <v>391796.9</v>
      </c>
      <c r="AC2" s="21">
        <f>COUNTIFS($O$3:$O$501,1,$L$3:$L$501,"&lt;0")</f>
        <v>4</v>
      </c>
      <c r="AD2" s="26">
        <f>-SUMIFS($L$3:$L$501,$O$3:$O$501,1,$L$3:$L$501,"&lt;0")</f>
        <v>2.6119793333333332E-2</v>
      </c>
      <c r="AE2" s="33"/>
      <c r="AF2" s="66"/>
      <c r="AG2" s="17"/>
      <c r="AH2" s="70" t="s">
        <v>0</v>
      </c>
      <c r="AI2" s="70" t="s">
        <v>1</v>
      </c>
      <c r="AJ2" s="70" t="s">
        <v>2</v>
      </c>
      <c r="AK2" s="22" t="s">
        <v>144</v>
      </c>
      <c r="AL2" s="2" t="s">
        <v>45</v>
      </c>
      <c r="AM2" s="22" t="s">
        <v>1</v>
      </c>
      <c r="AN2" s="2" t="s">
        <v>69</v>
      </c>
      <c r="AO2" s="41" t="s">
        <v>3</v>
      </c>
      <c r="AP2" s="2" t="s">
        <v>4</v>
      </c>
      <c r="AQ2" s="2" t="s">
        <v>5</v>
      </c>
      <c r="AR2" s="2" t="s">
        <v>6</v>
      </c>
      <c r="AS2" s="22" t="s">
        <v>156</v>
      </c>
      <c r="AT2" s="22" t="s">
        <v>96</v>
      </c>
      <c r="AU2" s="22" t="s">
        <v>1</v>
      </c>
      <c r="AV2" s="80">
        <f>COUNTIF(AV3:AV400,"FALSE")</f>
        <v>0</v>
      </c>
      <c r="AW2" s="2" t="s">
        <v>70</v>
      </c>
      <c r="AX2" s="2" t="s">
        <v>134</v>
      </c>
      <c r="AY2" s="22" t="s">
        <v>116</v>
      </c>
      <c r="AZ2" s="22" t="s">
        <v>117</v>
      </c>
      <c r="BA2" s="22" t="s">
        <v>171</v>
      </c>
      <c r="BB2" s="22" t="s">
        <v>118</v>
      </c>
      <c r="BC2" s="25">
        <f>COUNTIF(BC3:BC501,1)</f>
        <v>22</v>
      </c>
      <c r="BD2" s="2" t="s">
        <v>159</v>
      </c>
      <c r="BE2" s="22" t="s">
        <v>158</v>
      </c>
      <c r="BF2" s="22" t="s">
        <v>160</v>
      </c>
      <c r="BH2" s="43" t="s">
        <v>115</v>
      </c>
      <c r="BI2" s="33">
        <f>AB13</f>
        <v>190008.03499999631</v>
      </c>
      <c r="BJ2" s="21">
        <f>COUNTIFS($BC$3:$BC$501,1,$AJ$3:$AJ$501,"&lt;0")</f>
        <v>7</v>
      </c>
      <c r="BK2" s="34"/>
      <c r="BN2" s="76" t="s">
        <v>150</v>
      </c>
      <c r="BO2" s="21" t="s">
        <v>219</v>
      </c>
      <c r="BP2" s="21" t="s">
        <v>220</v>
      </c>
      <c r="BQ2" s="76"/>
      <c r="BR2" s="21" t="s">
        <v>218</v>
      </c>
      <c r="BT2" s="46" t="s">
        <v>150</v>
      </c>
      <c r="BU2" s="46" t="s">
        <v>218</v>
      </c>
    </row>
    <row r="3" spans="2:73" ht="15.75" customHeight="1" x14ac:dyDescent="0.3">
      <c r="B3" s="18" t="s">
        <v>299</v>
      </c>
      <c r="C3" s="18" t="s">
        <v>303</v>
      </c>
      <c r="D3" s="18" t="s">
        <v>306</v>
      </c>
      <c r="E3" s="44" t="s">
        <v>305</v>
      </c>
      <c r="F3" s="18" t="s">
        <v>21</v>
      </c>
      <c r="G3" s="18" t="s">
        <v>10</v>
      </c>
      <c r="H3" s="19">
        <v>905.70453330000009</v>
      </c>
      <c r="I3" s="18">
        <v>7517</v>
      </c>
      <c r="J3" s="20">
        <v>25.62</v>
      </c>
      <c r="K3" s="19">
        <v>192585.54</v>
      </c>
      <c r="L3" s="12">
        <f>IF(K3&gt;0,K3/$AB$22,K3/$AB$23)</f>
        <v>1.2839036E-2</v>
      </c>
      <c r="M3" s="12">
        <f t="shared" ref="M3" si="1">IFERROR(VLOOKUP(B3,$AI$3:$AK$501,3,FALSE),0)</f>
        <v>1.0004001600640256E-2</v>
      </c>
      <c r="N3" s="15" t="str">
        <f t="shared" ref="N3" si="2">IF(OR(AND(L3&lt;0,M3&gt;0),AND(L3&gt;0,M3&lt;0)),1,"")</f>
        <v/>
      </c>
      <c r="O3" s="15" t="str">
        <f t="shared" ref="O3" si="3">IF(M3=0,1,"")</f>
        <v/>
      </c>
      <c r="P3" s="15">
        <f t="shared" ref="P3" si="4">IFERROR(IF(ABS(L3/M3-1)&gt;$Q$2,1,""),"")</f>
        <v>1</v>
      </c>
      <c r="Q3" s="15" t="str">
        <f t="shared" ref="Q3" si="5">IF(P3&lt;&gt;1, "", IF(AND(L3&gt;0, M3&gt;L3), "Buy", IF(AND(L3&gt;0, M3&lt;L3), "Sell", IF(AND(L3&lt;0, M3&gt;L3), "BuyToCover", IF(AND(L3&lt;0, M3&lt;L3), "SellShort", "")))))</f>
        <v>Sell</v>
      </c>
      <c r="R3" s="55">
        <f t="shared" ref="R3" si="6">IFERROR(IF(INT(P3*(ABS(ABS(L3-M3)/ABS(L3)*I3)))=0,1,INT(P3*(ABS(ABS(L3-M3)/ABS(L3)*I3)))),"")</f>
        <v>1659</v>
      </c>
      <c r="S3" s="33">
        <f t="shared" ref="S3" si="7">IFERROR(R3*J3,"")</f>
        <v>42503.58</v>
      </c>
      <c r="T3" s="33" t="str">
        <f t="shared" ref="T3" si="8">IF(O3&lt;&gt;1,"",IF(K3&gt;0,"Sell","BuyToCover"))</f>
        <v/>
      </c>
      <c r="U3" s="15" t="str">
        <f>IFERROR(INT(ABS(O3*I3)),"")</f>
        <v/>
      </c>
      <c r="V3" s="15">
        <f t="shared" ref="V3" si="9">IFERROR(R3*0.01,"")</f>
        <v>16.59</v>
      </c>
      <c r="W3" s="62">
        <f t="shared" ref="W3" si="10">IFERROR(V3/S3,"")</f>
        <v>3.9032006245120999E-4</v>
      </c>
      <c r="X3" s="15"/>
      <c r="Y3" s="1">
        <f t="shared" ref="Y3" si="11">L3-M3</f>
        <v>2.8350343993597434E-3</v>
      </c>
      <c r="Z3" s="50"/>
      <c r="AA3" s="53"/>
      <c r="AB3" s="21"/>
      <c r="AC3" s="21"/>
      <c r="AD3" s="21"/>
      <c r="AE3" s="21"/>
      <c r="AH3" s="35">
        <v>45714</v>
      </c>
      <c r="AI3" s="31" t="s">
        <v>180</v>
      </c>
      <c r="AJ3" s="32">
        <v>0.01</v>
      </c>
      <c r="AK3" s="28">
        <f t="shared" ref="AK3:AK66" si="12">IF(BB3=1, 0, IF(AJ3&gt;0, AJ3/SUMIFS($AJ$3:$AJ$501, $BB$3:$BB$501, "&lt;&gt;1", $AJ$3:$AJ$501, "&gt;0"), AJ3/-SUMIFS($AJ$3:$AJ$501, $BB$3:$BB$501, "&lt;&gt;1", $AJ$3:$AJ$501, "&lt;0")))</f>
        <v>1.0004001600640256E-2</v>
      </c>
      <c r="AL3" s="28" t="s">
        <v>183</v>
      </c>
      <c r="AM3" s="28" t="s">
        <v>180</v>
      </c>
      <c r="AN3" s="28" t="s">
        <v>663</v>
      </c>
      <c r="AO3" s="28" t="s">
        <v>184</v>
      </c>
      <c r="AP3" s="28" t="s">
        <v>185</v>
      </c>
      <c r="AQ3" s="28" t="s">
        <v>73</v>
      </c>
      <c r="AR3" s="28" t="s">
        <v>24</v>
      </c>
      <c r="AS3" s="73">
        <v>863.34127332000003</v>
      </c>
      <c r="AT3" s="8">
        <v>15.43</v>
      </c>
      <c r="AU3" s="73" t="s">
        <v>180</v>
      </c>
      <c r="AV3" s="73" t="b">
        <f>AU3=AI3</f>
        <v>1</v>
      </c>
      <c r="AW3" s="79">
        <v>0</v>
      </c>
      <c r="AX3" s="45" t="str">
        <f>IF(OR(AND(ISNUMBER(AW3), AW3 &gt; 0, AJ3 &gt; 0), AND(ISNUMBER(AW3), AW3 &lt; 0, AJ3 &lt; 0)), 1, "")</f>
        <v/>
      </c>
      <c r="AY3" s="29" t="str">
        <f t="shared" ref="AY3" si="13">IF(OR(AND(AW3&gt;0,AJ3&lt;0),AND(AW3&lt;0,AJ3&gt;0)),1,"")</f>
        <v/>
      </c>
      <c r="AZ3" s="29" t="str">
        <f>IF(AQ3="United States of America","", 1)</f>
        <v/>
      </c>
      <c r="BA3" s="29" t="s">
        <v>699</v>
      </c>
      <c r="BB3" s="29">
        <f t="shared" ref="BB3" si="14">MAX(AZ3,AY3,BA3)</f>
        <v>0</v>
      </c>
      <c r="BC3">
        <f t="shared" ref="BC3" si="15">IF(AND(ISNA(VLOOKUP(AI3,$B$3:$Y$500,3,FALSE)),BB3=0),1,0)</f>
        <v>0</v>
      </c>
      <c r="BD3" s="78" t="str" cm="1">
        <f t="array" ref="BD3">IF(BC3&lt;&gt;1, "", IF(AK3&gt;0, INT(AK3/SUMPRODUCT(($AK$3:$AK$1000&gt;0)*($AK$3:$AK$1000), ($BC$3:$BC$1000))*$AB$12/AT3), INT(AK3/SUMPRODUCT(($AK$3:$AK$1000&lt;0)*($AK$3:$AK$1000), ($BC$3:$BC$1000))*$AB$13/AT3)))</f>
        <v/>
      </c>
      <c r="BE3" t="str">
        <f>IF(BC3&lt;&gt;1,"",IF(AK3&gt;0,"Buy","SellShort"))</f>
        <v/>
      </c>
      <c r="BF3" s="65" t="str">
        <f>IFERROR(BD3*AT3,"")</f>
        <v/>
      </c>
      <c r="BN3" s="75">
        <v>0</v>
      </c>
      <c r="BO3" s="57">
        <f>AF12</f>
        <v>0.99683552409569998</v>
      </c>
      <c r="BP3" s="57">
        <f>AF13</f>
        <v>0.96092605200518999</v>
      </c>
      <c r="BQ3" s="75"/>
      <c r="BR3" s="26">
        <f t="shared" ref="BR3:BR66" si="16">(ABS(BO3-1)+ABS(BP3-1))/2</f>
        <v>2.1119211949555017E-2</v>
      </c>
      <c r="BT3" s="74">
        <v>0</v>
      </c>
      <c r="BU3" s="74">
        <v>2.0003663194457233E-3</v>
      </c>
    </row>
    <row r="4" spans="2:73" x14ac:dyDescent="0.3">
      <c r="B4" s="18" t="s">
        <v>701</v>
      </c>
      <c r="C4" s="18" t="s">
        <v>712</v>
      </c>
      <c r="D4" s="18" t="s">
        <v>754</v>
      </c>
      <c r="E4" s="44" t="s">
        <v>715</v>
      </c>
      <c r="F4" s="18" t="s">
        <v>13</v>
      </c>
      <c r="G4" s="18" t="s">
        <v>10</v>
      </c>
      <c r="H4" s="19">
        <v>3787.3095528400004</v>
      </c>
      <c r="I4" s="18">
        <v>2354</v>
      </c>
      <c r="J4" s="20">
        <v>70.510000000000005</v>
      </c>
      <c r="K4" s="19">
        <v>165980.54</v>
      </c>
      <c r="L4" s="12">
        <f t="shared" ref="L4:L67" si="17">IF(K4&gt;0,K4/$AB$22,K4/$AB$23)</f>
        <v>1.1065369333333333E-2</v>
      </c>
      <c r="M4" s="12">
        <f t="shared" ref="M4:M67" si="18">IFERROR(VLOOKUP(B4,$AI$3:$AK$501,3,FALSE),0)</f>
        <v>1.0004001600640256E-2</v>
      </c>
      <c r="N4" s="15" t="str">
        <f t="shared" ref="N4:N67" si="19">IF(OR(AND(L4&lt;0,M4&gt;0),AND(L4&gt;0,M4&lt;0)),1,"")</f>
        <v/>
      </c>
      <c r="O4" s="15" t="str">
        <f t="shared" ref="O4:O67" si="20">IF(M4=0,1,"")</f>
        <v/>
      </c>
      <c r="P4" s="15">
        <f t="shared" ref="P4:P67" si="21">IFERROR(IF(ABS(L4/M4-1)&gt;$Q$2,1,""),"")</f>
        <v>1</v>
      </c>
      <c r="Q4" s="15" t="str">
        <f t="shared" ref="Q4:Q67" si="22">IF(P4&lt;&gt;1, "", IF(AND(L4&gt;0, M4&gt;L4), "Buy", IF(AND(L4&gt;0, M4&lt;L4), "Sell", IF(AND(L4&lt;0, M4&gt;L4), "BuyToCover", IF(AND(L4&lt;0, M4&lt;L4), "SellShort", "")))))</f>
        <v>Sell</v>
      </c>
      <c r="R4" s="55">
        <f t="shared" ref="R4:R67" si="23">IFERROR(IF(INT(P4*(ABS(ABS(L4-M4)/ABS(L4)*I4)))=0,1,INT(P4*(ABS(ABS(L4-M4)/ABS(L4)*I4)))),"")</f>
        <v>225</v>
      </c>
      <c r="S4" s="33">
        <f t="shared" ref="S4:S67" si="24">IFERROR(R4*J4,"")</f>
        <v>15864.750000000002</v>
      </c>
      <c r="T4" s="33" t="str">
        <f t="shared" ref="T4:T67" si="25">IF(O4&lt;&gt;1,"",IF(K4&gt;0,"Sell","BuyToCover"))</f>
        <v/>
      </c>
      <c r="U4" s="15" t="str">
        <f t="shared" ref="U4:U67" si="26">IFERROR(INT(ABS(O4*I4)),"")</f>
        <v/>
      </c>
      <c r="V4" s="15">
        <f t="shared" ref="V4:V67" si="27">IFERROR(R4*0.01,"")</f>
        <v>2.25</v>
      </c>
      <c r="W4" s="62">
        <f t="shared" ref="W4:W67" si="28">IFERROR(V4/S4,"")</f>
        <v>1.4182385477237269E-4</v>
      </c>
      <c r="X4" s="15"/>
      <c r="Y4" s="1">
        <f t="shared" ref="Y4:Y67" si="29">L4-M4</f>
        <v>1.0613677326930769E-3</v>
      </c>
      <c r="AA4" s="43" t="s">
        <v>138</v>
      </c>
      <c r="AB4" s="33">
        <f>SUMIFS($S$3:$S$501,$Q$3:$Q$501,"Sell",$L$3:$L$501,"&gt;0")</f>
        <v>395548.35</v>
      </c>
      <c r="AC4" s="21">
        <f>COUNTIFS($Q$3:$Q$501,"Sell",$L$3:$L$501,"&gt;0")</f>
        <v>46</v>
      </c>
      <c r="AD4" s="26">
        <f ca="1">AB4/SUMIF($K$3:$K$501,"&gt;0",$K$3:$K$297)</f>
        <v>2.6311146480203659E-2</v>
      </c>
      <c r="AE4" s="34"/>
      <c r="AH4" s="35">
        <v>45714</v>
      </c>
      <c r="AI4" s="31" t="s">
        <v>843</v>
      </c>
      <c r="AJ4" s="32">
        <v>0.01</v>
      </c>
      <c r="AK4" s="28">
        <f t="shared" si="12"/>
        <v>1.0004001600640256E-2</v>
      </c>
      <c r="AL4" s="28" t="s">
        <v>863</v>
      </c>
      <c r="AM4" s="28" t="s">
        <v>843</v>
      </c>
      <c r="AN4" s="28" t="s">
        <v>1651</v>
      </c>
      <c r="AO4" s="28" t="s">
        <v>864</v>
      </c>
      <c r="AP4" s="28" t="s">
        <v>865</v>
      </c>
      <c r="AQ4" s="28" t="s">
        <v>73</v>
      </c>
      <c r="AR4" s="28" t="s">
        <v>20</v>
      </c>
      <c r="AS4" s="73">
        <v>3884.0222014800001</v>
      </c>
      <c r="AT4" s="8">
        <v>50.36</v>
      </c>
      <c r="AU4" s="73" t="s">
        <v>843</v>
      </c>
      <c r="AV4" s="73" t="b">
        <f t="shared" ref="AV4:AV67" si="30">AU4=AI4</f>
        <v>1</v>
      </c>
      <c r="AW4" s="79">
        <v>0</v>
      </c>
      <c r="AX4" s="45" t="str">
        <f t="shared" ref="AX4:AX67" si="31">IF(OR(AND(ISNUMBER(AW4), AW4 &gt; 0, AJ4 &gt; 0), AND(ISNUMBER(AW4), AW4 &lt; 0, AJ4 &lt; 0)), 1, "")</f>
        <v/>
      </c>
      <c r="AY4" s="29" t="str">
        <f t="shared" ref="AY4:AY67" si="32">IF(OR(AND(AW4&gt;0,AJ4&lt;0),AND(AW4&lt;0,AJ4&gt;0)),1,"")</f>
        <v/>
      </c>
      <c r="AZ4" s="29" t="str">
        <f t="shared" ref="AZ4:AZ67" si="33">IF(AQ4="United States of America","", 1)</f>
        <v/>
      </c>
      <c r="BA4" s="29" t="s">
        <v>699</v>
      </c>
      <c r="BB4" s="29">
        <f t="shared" ref="BB4:BB67" si="34">MAX(AZ4,AY4,BA4)</f>
        <v>0</v>
      </c>
      <c r="BC4">
        <f t="shared" ref="BC4:BC67" si="35">IF(AND(ISNA(VLOOKUP(AI4,$B$3:$Y$500,3,FALSE)),BB4=0),1,0)</f>
        <v>0</v>
      </c>
      <c r="BD4" s="78" t="str" cm="1">
        <f t="array" ref="BD4">IF(BC4&lt;&gt;1, "", IF(AK4&gt;0, INT(AK4/SUMPRODUCT(($AK$3:$AK$1000&gt;0)*($AK$3:$AK$1000), ($BC$3:$BC$1000))*$AB$12/AT4), INT(AK4/SUMPRODUCT(($AK$3:$AK$1000&lt;0)*($AK$3:$AK$1000), ($BC$3:$BC$1000))*$AB$13/AT4)))</f>
        <v/>
      </c>
      <c r="BE4" t="str">
        <f t="shared" ref="BE4:BE67" si="36">IF(BC4&lt;&gt;1,"",IF(AK4&gt;0,"Buy","SellShort"))</f>
        <v/>
      </c>
      <c r="BF4" s="65" t="str">
        <f t="shared" ref="BF4:BF67" si="37">IFERROR(BD4*AT4,"")</f>
        <v/>
      </c>
      <c r="BN4" s="75">
        <v>0.01</v>
      </c>
      <c r="BO4" s="57">
        <f t="dataTable" ref="BO4:BP102" dt2D="0" dtr="0" r1="Q2"/>
        <v>0.99878420736204743</v>
      </c>
      <c r="BP4" s="57">
        <v>0.98588580929685743</v>
      </c>
      <c r="BQ4" s="57"/>
      <c r="BR4" s="26">
        <f t="shared" si="16"/>
        <v>7.6649916705475718E-3</v>
      </c>
      <c r="BT4" s="74">
        <v>0.01</v>
      </c>
      <c r="BU4" s="74">
        <v>7.6649916705475718E-3</v>
      </c>
    </row>
    <row r="5" spans="2:73" x14ac:dyDescent="0.3">
      <c r="B5" s="18" t="s">
        <v>348</v>
      </c>
      <c r="C5" s="18" t="s">
        <v>352</v>
      </c>
      <c r="D5" s="18" t="s">
        <v>361</v>
      </c>
      <c r="E5" s="44" t="s">
        <v>354</v>
      </c>
      <c r="F5" s="18" t="s">
        <v>20</v>
      </c>
      <c r="G5" s="18" t="s">
        <v>10</v>
      </c>
      <c r="H5" s="19">
        <v>2022.3481377599996</v>
      </c>
      <c r="I5" s="18">
        <v>628</v>
      </c>
      <c r="J5" s="20">
        <v>263.52</v>
      </c>
      <c r="K5" s="19">
        <v>165490.56</v>
      </c>
      <c r="L5" s="12">
        <f t="shared" si="17"/>
        <v>1.1032703999999999E-2</v>
      </c>
      <c r="M5" s="12">
        <f t="shared" si="18"/>
        <v>1.0004001600640256E-2</v>
      </c>
      <c r="N5" s="15" t="str">
        <f t="shared" si="19"/>
        <v/>
      </c>
      <c r="O5" s="15" t="str">
        <f t="shared" si="20"/>
        <v/>
      </c>
      <c r="P5" s="15">
        <f t="shared" si="21"/>
        <v>1</v>
      </c>
      <c r="Q5" s="15" t="str">
        <f t="shared" si="22"/>
        <v>Sell</v>
      </c>
      <c r="R5" s="55">
        <f t="shared" si="23"/>
        <v>58</v>
      </c>
      <c r="S5" s="33">
        <f t="shared" si="24"/>
        <v>15284.16</v>
      </c>
      <c r="T5" s="33" t="str">
        <f t="shared" si="25"/>
        <v/>
      </c>
      <c r="U5" s="15" t="str">
        <f t="shared" si="26"/>
        <v/>
      </c>
      <c r="V5" s="15">
        <f t="shared" si="27"/>
        <v>0.57999999999999996</v>
      </c>
      <c r="W5" s="62">
        <f t="shared" si="28"/>
        <v>3.7947783849423189E-5</v>
      </c>
      <c r="X5" s="15"/>
      <c r="Y5" s="1">
        <f t="shared" si="29"/>
        <v>1.0287023993597426E-3</v>
      </c>
      <c r="AA5" s="43" t="s">
        <v>139</v>
      </c>
      <c r="AB5" s="33">
        <f>SUMIFS($S$3:$S$501,$Q$3:$Q$501,"Buy",$L$3:$L$501,"&gt;0")</f>
        <v>426662.80500000005</v>
      </c>
      <c r="AC5" s="21">
        <f>COUNTIFS($Q$3:$Q$501,"Buy",$L$3:$L$501,"&gt;0")</f>
        <v>41</v>
      </c>
      <c r="AD5" s="26">
        <f ca="1">AB5/SUMIF($K$3:$K$501,"&gt;0",$K$3:$K$297)</f>
        <v>2.8380822622593602E-2</v>
      </c>
      <c r="AH5" s="35">
        <v>45714</v>
      </c>
      <c r="AI5" s="31" t="s">
        <v>1502</v>
      </c>
      <c r="AJ5" s="32">
        <v>0.01</v>
      </c>
      <c r="AK5" s="28">
        <f t="shared" si="12"/>
        <v>1.0004001600640256E-2</v>
      </c>
      <c r="AL5" s="28" t="s">
        <v>1530</v>
      </c>
      <c r="AM5" s="28" t="s">
        <v>1502</v>
      </c>
      <c r="AN5" s="28" t="s">
        <v>1531</v>
      </c>
      <c r="AO5" s="28" t="s">
        <v>1532</v>
      </c>
      <c r="AP5" s="28" t="s">
        <v>1533</v>
      </c>
      <c r="AQ5" s="28" t="s">
        <v>73</v>
      </c>
      <c r="AR5" s="28" t="s">
        <v>23</v>
      </c>
      <c r="AS5" s="73">
        <v>820.05099012000005</v>
      </c>
      <c r="AT5" s="8">
        <v>8.7899999999999991</v>
      </c>
      <c r="AU5" s="73" t="s">
        <v>1502</v>
      </c>
      <c r="AV5" s="73" t="b">
        <f t="shared" si="30"/>
        <v>1</v>
      </c>
      <c r="AW5" s="79">
        <v>0</v>
      </c>
      <c r="AX5" s="45" t="str">
        <f t="shared" si="31"/>
        <v/>
      </c>
      <c r="AY5" s="29" t="str">
        <f t="shared" si="32"/>
        <v/>
      </c>
      <c r="AZ5" s="29" t="str">
        <f t="shared" si="33"/>
        <v/>
      </c>
      <c r="BA5" s="29" t="s">
        <v>699</v>
      </c>
      <c r="BB5" s="29">
        <f t="shared" si="34"/>
        <v>0</v>
      </c>
      <c r="BC5">
        <f t="shared" si="35"/>
        <v>0</v>
      </c>
      <c r="BD5" s="78" t="str" cm="1">
        <f t="array" ref="BD5">IF(BC5&lt;&gt;1, "", IF(AK5&gt;0, INT(AK5/SUMPRODUCT(($AK$3:$AK$1000&gt;0)*($AK$3:$AK$1000), ($BC$3:$BC$1000))*$AB$12/AT5), INT(AK5/SUMPRODUCT(($AK$3:$AK$1000&lt;0)*($AK$3:$AK$1000), ($BC$3:$BC$1000))*$AB$13/AT5)))</f>
        <v/>
      </c>
      <c r="BE5" t="str">
        <f t="shared" si="36"/>
        <v/>
      </c>
      <c r="BF5" s="65" t="str">
        <f t="shared" si="37"/>
        <v/>
      </c>
      <c r="BN5" s="75">
        <v>0.02</v>
      </c>
      <c r="BO5" s="57">
        <v>0.99683552409569998</v>
      </c>
      <c r="BP5" s="57">
        <v>0.96092605200518999</v>
      </c>
      <c r="BQ5" s="57"/>
      <c r="BR5" s="26">
        <f t="shared" si="16"/>
        <v>2.1119211949555017E-2</v>
      </c>
      <c r="BT5" s="74">
        <v>0.02</v>
      </c>
      <c r="BU5" s="74">
        <v>2.1119211949555017E-2</v>
      </c>
    </row>
    <row r="6" spans="2:73" x14ac:dyDescent="0.3">
      <c r="B6" s="18" t="s">
        <v>383</v>
      </c>
      <c r="C6" s="18" t="s">
        <v>384</v>
      </c>
      <c r="D6" s="18" t="s">
        <v>390</v>
      </c>
      <c r="E6" s="44" t="s">
        <v>386</v>
      </c>
      <c r="F6" s="18" t="s">
        <v>13</v>
      </c>
      <c r="G6" s="18" t="s">
        <v>10</v>
      </c>
      <c r="H6" s="19">
        <v>3560.8773936999996</v>
      </c>
      <c r="I6" s="18">
        <v>1394</v>
      </c>
      <c r="J6" s="20">
        <v>115.94</v>
      </c>
      <c r="K6" s="19">
        <v>161620.35999999999</v>
      </c>
      <c r="L6" s="12">
        <f t="shared" si="17"/>
        <v>1.0774690666666666E-2</v>
      </c>
      <c r="M6" s="12">
        <f t="shared" si="18"/>
        <v>1.0004001600640256E-2</v>
      </c>
      <c r="N6" s="15" t="str">
        <f t="shared" si="19"/>
        <v/>
      </c>
      <c r="O6" s="15" t="str">
        <f t="shared" si="20"/>
        <v/>
      </c>
      <c r="P6" s="15">
        <f t="shared" si="21"/>
        <v>1</v>
      </c>
      <c r="Q6" s="15" t="str">
        <f t="shared" si="22"/>
        <v>Sell</v>
      </c>
      <c r="R6" s="55">
        <f t="shared" si="23"/>
        <v>99</v>
      </c>
      <c r="S6" s="33">
        <f t="shared" si="24"/>
        <v>11478.06</v>
      </c>
      <c r="T6" s="33" t="str">
        <f t="shared" si="25"/>
        <v/>
      </c>
      <c r="U6" s="15" t="str">
        <f t="shared" si="26"/>
        <v/>
      </c>
      <c r="V6" s="15">
        <f t="shared" si="27"/>
        <v>0.99</v>
      </c>
      <c r="W6" s="62">
        <f t="shared" si="28"/>
        <v>8.6251509401414521E-5</v>
      </c>
      <c r="X6" s="15"/>
      <c r="Y6" s="1">
        <f t="shared" si="29"/>
        <v>7.7068906602640978E-4</v>
      </c>
      <c r="AA6" s="43" t="s">
        <v>140</v>
      </c>
      <c r="AB6" s="33">
        <f>AB5-AB4</f>
        <v>31114.455000000075</v>
      </c>
      <c r="AC6" s="51"/>
      <c r="AD6" s="51"/>
      <c r="AH6" s="35">
        <v>45714</v>
      </c>
      <c r="AI6" s="31" t="s">
        <v>657</v>
      </c>
      <c r="AJ6" s="32">
        <v>0.01</v>
      </c>
      <c r="AK6" s="28">
        <f t="shared" si="12"/>
        <v>1.0004001600640256E-2</v>
      </c>
      <c r="AL6" s="28" t="s">
        <v>664</v>
      </c>
      <c r="AM6" s="28" t="s">
        <v>657</v>
      </c>
      <c r="AN6" s="28" t="s">
        <v>859</v>
      </c>
      <c r="AO6" s="28" t="s">
        <v>665</v>
      </c>
      <c r="AP6" s="28" t="s">
        <v>666</v>
      </c>
      <c r="AQ6" s="28" t="s">
        <v>73</v>
      </c>
      <c r="AR6" s="28" t="s">
        <v>19</v>
      </c>
      <c r="AS6" s="73">
        <v>13293.380723230001</v>
      </c>
      <c r="AT6" s="8">
        <v>78.41</v>
      </c>
      <c r="AU6" s="73" t="s">
        <v>657</v>
      </c>
      <c r="AV6" s="73" t="b">
        <f t="shared" si="30"/>
        <v>1</v>
      </c>
      <c r="AW6" s="79">
        <v>0</v>
      </c>
      <c r="AX6" s="45" t="str">
        <f t="shared" si="31"/>
        <v/>
      </c>
      <c r="AY6" s="29" t="str">
        <f t="shared" si="32"/>
        <v/>
      </c>
      <c r="AZ6" s="29" t="str">
        <f t="shared" si="33"/>
        <v/>
      </c>
      <c r="BA6" s="29" t="s">
        <v>699</v>
      </c>
      <c r="BB6" s="29">
        <f t="shared" si="34"/>
        <v>0</v>
      </c>
      <c r="BC6">
        <f t="shared" si="35"/>
        <v>0</v>
      </c>
      <c r="BD6" s="78" t="str" cm="1">
        <f t="array" ref="BD6">IF(BC6&lt;&gt;1, "", IF(AK6&gt;0, INT(AK6/SUMPRODUCT(($AK$3:$AK$1000&gt;0)*($AK$3:$AK$1000), ($BC$3:$BC$1000))*$AB$12/AT6), INT(AK6/SUMPRODUCT(($AK$3:$AK$1000&lt;0)*($AK$3:$AK$1000), ($BC$3:$BC$1000))*$AB$13/AT6)))</f>
        <v/>
      </c>
      <c r="BE6" t="str">
        <f t="shared" si="36"/>
        <v/>
      </c>
      <c r="BF6" s="65" t="str">
        <f t="shared" si="37"/>
        <v/>
      </c>
      <c r="BN6" s="75">
        <v>0.03</v>
      </c>
      <c r="BO6" s="57">
        <v>0.94652972145455172</v>
      </c>
      <c r="BP6" s="57">
        <v>0.90658762768227363</v>
      </c>
      <c r="BQ6" s="57"/>
      <c r="BR6" s="26">
        <f t="shared" si="16"/>
        <v>7.3441325431587323E-2</v>
      </c>
      <c r="BT6" s="74">
        <v>0.05</v>
      </c>
      <c r="BU6" s="74">
        <v>2.8190599811671435E-2</v>
      </c>
    </row>
    <row r="7" spans="2:73" x14ac:dyDescent="0.3">
      <c r="B7" s="18" t="s">
        <v>765</v>
      </c>
      <c r="C7" s="18" t="s">
        <v>782</v>
      </c>
      <c r="D7" s="18" t="s">
        <v>828</v>
      </c>
      <c r="E7" s="44" t="s">
        <v>785</v>
      </c>
      <c r="F7" s="18" t="s">
        <v>14</v>
      </c>
      <c r="G7" s="18" t="s">
        <v>10</v>
      </c>
      <c r="H7" s="19">
        <v>2663.2201428000003</v>
      </c>
      <c r="I7" s="18">
        <v>2675</v>
      </c>
      <c r="J7" s="20">
        <v>59.85</v>
      </c>
      <c r="K7" s="19">
        <v>160098.75</v>
      </c>
      <c r="L7" s="12">
        <f t="shared" si="17"/>
        <v>1.067325E-2</v>
      </c>
      <c r="M7" s="12">
        <f t="shared" si="18"/>
        <v>1.0004001600640256E-2</v>
      </c>
      <c r="N7" s="15" t="str">
        <f t="shared" si="19"/>
        <v/>
      </c>
      <c r="O7" s="15" t="str">
        <f t="shared" si="20"/>
        <v/>
      </c>
      <c r="P7" s="15">
        <f t="shared" si="21"/>
        <v>1</v>
      </c>
      <c r="Q7" s="15" t="str">
        <f t="shared" si="22"/>
        <v>Sell</v>
      </c>
      <c r="R7" s="55">
        <f t="shared" si="23"/>
        <v>167</v>
      </c>
      <c r="S7" s="33">
        <f t="shared" si="24"/>
        <v>9994.9500000000007</v>
      </c>
      <c r="T7" s="33" t="str">
        <f t="shared" si="25"/>
        <v/>
      </c>
      <c r="U7" s="15" t="str">
        <f t="shared" si="26"/>
        <v/>
      </c>
      <c r="V7" s="15">
        <f t="shared" si="27"/>
        <v>1.67</v>
      </c>
      <c r="W7" s="62">
        <f t="shared" si="28"/>
        <v>1.6708437761069338E-4</v>
      </c>
      <c r="X7" s="15"/>
      <c r="Y7" s="1">
        <f t="shared" si="29"/>
        <v>6.6924839935974395E-4</v>
      </c>
      <c r="AA7" s="53"/>
      <c r="AB7" s="21"/>
      <c r="AC7" s="21"/>
      <c r="AD7" s="21"/>
      <c r="AH7" s="35">
        <v>45714</v>
      </c>
      <c r="AI7" s="31" t="s">
        <v>15</v>
      </c>
      <c r="AJ7" s="32">
        <v>0.01</v>
      </c>
      <c r="AK7" s="28">
        <f t="shared" si="12"/>
        <v>1.0004001600640256E-2</v>
      </c>
      <c r="AL7" s="28" t="s">
        <v>43</v>
      </c>
      <c r="AM7" s="28" t="s">
        <v>15</v>
      </c>
      <c r="AN7" s="28" t="s">
        <v>82</v>
      </c>
      <c r="AO7" s="28" t="s">
        <v>83</v>
      </c>
      <c r="AP7" s="28" t="s">
        <v>169</v>
      </c>
      <c r="AQ7" s="28" t="s">
        <v>73</v>
      </c>
      <c r="AR7" s="28" t="s">
        <v>22</v>
      </c>
      <c r="AS7" s="73">
        <v>722.94017566037701</v>
      </c>
      <c r="AT7" s="8">
        <v>10.64</v>
      </c>
      <c r="AU7" s="73" t="s">
        <v>15</v>
      </c>
      <c r="AV7" s="73" t="b">
        <f t="shared" si="30"/>
        <v>1</v>
      </c>
      <c r="AW7" s="79">
        <v>0</v>
      </c>
      <c r="AX7" s="45" t="str">
        <f t="shared" si="31"/>
        <v/>
      </c>
      <c r="AY7" s="29" t="str">
        <f t="shared" si="32"/>
        <v/>
      </c>
      <c r="AZ7" s="29" t="str">
        <f t="shared" si="33"/>
        <v/>
      </c>
      <c r="BA7" s="29" t="s">
        <v>699</v>
      </c>
      <c r="BB7" s="29">
        <f t="shared" si="34"/>
        <v>0</v>
      </c>
      <c r="BC7">
        <f t="shared" si="35"/>
        <v>0</v>
      </c>
      <c r="BD7" s="78" t="str" cm="1">
        <f t="array" ref="BD7">IF(BC7&lt;&gt;1, "", IF(AK7&gt;0, INT(AK7/SUMPRODUCT(($AK$3:$AK$1000&gt;0)*($AK$3:$AK$1000), ($BC$3:$BC$1000))*$AB$12/AT7), INT(AK7/SUMPRODUCT(($AK$3:$AK$1000&lt;0)*($AK$3:$AK$1000), ($BC$3:$BC$1000))*$AB$13/AT7)))</f>
        <v/>
      </c>
      <c r="BE7" t="str">
        <f t="shared" si="36"/>
        <v/>
      </c>
      <c r="BF7" s="65" t="str">
        <f t="shared" si="37"/>
        <v/>
      </c>
      <c r="BN7" s="75">
        <v>0.04</v>
      </c>
      <c r="BO7" s="57">
        <v>0.94342628496332348</v>
      </c>
      <c r="BP7" s="57">
        <v>0.86160711471352325</v>
      </c>
      <c r="BQ7" s="57"/>
      <c r="BR7" s="26">
        <f t="shared" si="16"/>
        <v>9.7483300161576636E-2</v>
      </c>
      <c r="BT7" s="74">
        <v>6.0000000000000005E-2</v>
      </c>
      <c r="BU7" s="74">
        <v>6.6782592269961139E-2</v>
      </c>
    </row>
    <row r="8" spans="2:73" x14ac:dyDescent="0.3">
      <c r="B8" s="18" t="s">
        <v>769</v>
      </c>
      <c r="C8" s="18" t="s">
        <v>796</v>
      </c>
      <c r="D8" s="18" t="s">
        <v>833</v>
      </c>
      <c r="E8" s="44" t="s">
        <v>798</v>
      </c>
      <c r="F8" s="18" t="s">
        <v>13</v>
      </c>
      <c r="G8" s="18" t="s">
        <v>10</v>
      </c>
      <c r="H8" s="19">
        <v>1377.1225752</v>
      </c>
      <c r="I8" s="18">
        <v>10352</v>
      </c>
      <c r="J8" s="20">
        <v>15.42</v>
      </c>
      <c r="K8" s="19">
        <v>159627.84</v>
      </c>
      <c r="L8" s="12">
        <f t="shared" si="17"/>
        <v>1.0641856E-2</v>
      </c>
      <c r="M8" s="12">
        <f t="shared" si="18"/>
        <v>1.0004001600640256E-2</v>
      </c>
      <c r="N8" s="15" t="str">
        <f t="shared" si="19"/>
        <v/>
      </c>
      <c r="O8" s="15" t="str">
        <f t="shared" si="20"/>
        <v/>
      </c>
      <c r="P8" s="15">
        <f t="shared" si="21"/>
        <v>1</v>
      </c>
      <c r="Q8" s="15" t="str">
        <f t="shared" si="22"/>
        <v>Sell</v>
      </c>
      <c r="R8" s="55">
        <f t="shared" si="23"/>
        <v>620</v>
      </c>
      <c r="S8" s="33">
        <f t="shared" si="24"/>
        <v>9560.4</v>
      </c>
      <c r="T8" s="33" t="str">
        <f t="shared" si="25"/>
        <v/>
      </c>
      <c r="U8" s="15" t="str">
        <f t="shared" si="26"/>
        <v/>
      </c>
      <c r="V8" s="15">
        <f t="shared" si="27"/>
        <v>6.2</v>
      </c>
      <c r="W8" s="62">
        <f t="shared" si="28"/>
        <v>6.4850843060959801E-4</v>
      </c>
      <c r="X8" s="15"/>
      <c r="Y8" s="1">
        <f t="shared" si="29"/>
        <v>6.3785439935974339E-4</v>
      </c>
      <c r="AA8" s="43" t="s">
        <v>141</v>
      </c>
      <c r="AB8" s="33">
        <f>SUMIFS($S$3:$S$501,$Q$3:$Q$501,"BuyToCover",$L$3:$L$501,"&lt;0")</f>
        <v>211174.79999999996</v>
      </c>
      <c r="AC8" s="21">
        <f>COUNTIFS($Q$3:$Q$501,"BuyToCover",$L$3:$L$501,"&lt;0")</f>
        <v>21</v>
      </c>
      <c r="AD8" s="26">
        <f ca="1">AB8/-SUMIF($K$3:$K$501,"&lt;0",$K$3:$K$297)</f>
        <v>1.4434817609519006E-2</v>
      </c>
      <c r="AH8" s="35">
        <v>45714</v>
      </c>
      <c r="AI8" s="31" t="s">
        <v>211</v>
      </c>
      <c r="AJ8" s="32">
        <v>0.01</v>
      </c>
      <c r="AK8" s="28">
        <f t="shared" si="12"/>
        <v>1.0004001600640256E-2</v>
      </c>
      <c r="AL8" s="28" t="s">
        <v>213</v>
      </c>
      <c r="AM8" s="28" t="s">
        <v>211</v>
      </c>
      <c r="AN8" s="28" t="s">
        <v>851</v>
      </c>
      <c r="AO8" s="28" t="s">
        <v>214</v>
      </c>
      <c r="AP8" s="28" t="s">
        <v>215</v>
      </c>
      <c r="AQ8" s="28" t="s">
        <v>73</v>
      </c>
      <c r="AR8" s="28" t="s">
        <v>20</v>
      </c>
      <c r="AS8" s="73">
        <v>378.72336000000001</v>
      </c>
      <c r="AT8" s="8">
        <v>21.5</v>
      </c>
      <c r="AU8" s="73" t="s">
        <v>211</v>
      </c>
      <c r="AV8" s="73" t="b">
        <f t="shared" si="30"/>
        <v>1</v>
      </c>
      <c r="AW8" s="79">
        <v>0</v>
      </c>
      <c r="AX8" s="45" t="str">
        <f t="shared" si="31"/>
        <v/>
      </c>
      <c r="AY8" s="29" t="str">
        <f t="shared" si="32"/>
        <v/>
      </c>
      <c r="AZ8" s="29" t="str">
        <f t="shared" si="33"/>
        <v/>
      </c>
      <c r="BA8" s="29" t="s">
        <v>699</v>
      </c>
      <c r="BB8" s="29">
        <f t="shared" si="34"/>
        <v>0</v>
      </c>
      <c r="BC8">
        <f t="shared" si="35"/>
        <v>0</v>
      </c>
      <c r="BD8" s="78" t="str" cm="1">
        <f t="array" ref="BD8">IF(BC8&lt;&gt;1, "", IF(AK8&gt;0, INT(AK8/SUMPRODUCT(($AK$3:$AK$1000&gt;0)*($AK$3:$AK$1000), ($BC$3:$BC$1000))*$AB$12/AT8), INT(AK8/SUMPRODUCT(($AK$3:$AK$1000&lt;0)*($AK$3:$AK$1000), ($BC$3:$BC$1000))*$AB$13/AT8)))</f>
        <v/>
      </c>
      <c r="BE8" t="str">
        <f t="shared" si="36"/>
        <v/>
      </c>
      <c r="BF8" s="65" t="str">
        <f t="shared" si="37"/>
        <v/>
      </c>
      <c r="BN8" s="75">
        <v>0.05</v>
      </c>
      <c r="BO8" s="57">
        <v>0.95277163623605077</v>
      </c>
      <c r="BP8" s="57">
        <v>0.99084716414060636</v>
      </c>
      <c r="BQ8" s="57"/>
      <c r="BR8" s="26">
        <f t="shared" si="16"/>
        <v>2.8190599811671435E-2</v>
      </c>
      <c r="BT8" s="74">
        <v>0.03</v>
      </c>
      <c r="BU8" s="74">
        <v>7.3441325431587323E-2</v>
      </c>
    </row>
    <row r="9" spans="2:73" x14ac:dyDescent="0.3">
      <c r="B9" s="18" t="s">
        <v>224</v>
      </c>
      <c r="C9" s="18" t="s">
        <v>225</v>
      </c>
      <c r="D9" s="18" t="s">
        <v>228</v>
      </c>
      <c r="E9" s="44" t="s">
        <v>351</v>
      </c>
      <c r="F9" s="18" t="s">
        <v>22</v>
      </c>
      <c r="G9" s="18" t="s">
        <v>10</v>
      </c>
      <c r="H9" s="19">
        <v>9834.0664658400001</v>
      </c>
      <c r="I9" s="18">
        <v>14000</v>
      </c>
      <c r="J9" s="20">
        <v>11.38</v>
      </c>
      <c r="K9" s="19">
        <v>159320</v>
      </c>
      <c r="L9" s="12">
        <f t="shared" si="17"/>
        <v>1.0621333333333333E-2</v>
      </c>
      <c r="M9" s="12">
        <f t="shared" si="18"/>
        <v>1.0004001600640256E-2</v>
      </c>
      <c r="N9" s="15" t="str">
        <f t="shared" si="19"/>
        <v/>
      </c>
      <c r="O9" s="15" t="str">
        <f t="shared" si="20"/>
        <v/>
      </c>
      <c r="P9" s="15">
        <f t="shared" si="21"/>
        <v>1</v>
      </c>
      <c r="Q9" s="15" t="str">
        <f t="shared" si="22"/>
        <v>Sell</v>
      </c>
      <c r="R9" s="55">
        <f t="shared" si="23"/>
        <v>813</v>
      </c>
      <c r="S9" s="33">
        <f t="shared" si="24"/>
        <v>9251.94</v>
      </c>
      <c r="T9" s="33" t="str">
        <f t="shared" si="25"/>
        <v/>
      </c>
      <c r="U9" s="15" t="str">
        <f t="shared" si="26"/>
        <v/>
      </c>
      <c r="V9" s="15">
        <f t="shared" si="27"/>
        <v>8.1300000000000008</v>
      </c>
      <c r="W9" s="62">
        <f t="shared" si="28"/>
        <v>8.7873462214411253E-4</v>
      </c>
      <c r="X9" s="15"/>
      <c r="Y9" s="1">
        <f t="shared" si="29"/>
        <v>6.1733173269307683E-4</v>
      </c>
      <c r="AA9" s="43" t="s">
        <v>142</v>
      </c>
      <c r="AB9" s="33">
        <f>SUMIFS($S$3:$S$501,$Q$3:$Q$501,"SellShort",$L$3:$L$501,"&lt;0")</f>
        <v>783419.62</v>
      </c>
      <c r="AC9" s="21">
        <f>COUNTIFS($Q$3:$Q$501,"SellSHort",$L$3:$L$501,"&lt;0")</f>
        <v>55</v>
      </c>
      <c r="AD9" s="26">
        <f ca="1">AB9/-SUMIF($K$3:$K$501,"&lt;0",$K$3:$K$297)</f>
        <v>5.3550515148676307E-2</v>
      </c>
      <c r="AH9" s="35">
        <v>45714</v>
      </c>
      <c r="AI9" s="31" t="s">
        <v>392</v>
      </c>
      <c r="AJ9" s="32">
        <v>0.01</v>
      </c>
      <c r="AK9" s="28">
        <f t="shared" si="12"/>
        <v>1.0004001600640256E-2</v>
      </c>
      <c r="AL9" s="28" t="s">
        <v>398</v>
      </c>
      <c r="AM9" s="28" t="s">
        <v>392</v>
      </c>
      <c r="AN9" s="28" t="s">
        <v>452</v>
      </c>
      <c r="AO9" s="28" t="s">
        <v>399</v>
      </c>
      <c r="AP9" s="28" t="s">
        <v>400</v>
      </c>
      <c r="AQ9" s="28" t="s">
        <v>73</v>
      </c>
      <c r="AR9" s="28" t="s">
        <v>13</v>
      </c>
      <c r="AS9" s="73">
        <v>477.88349598000002</v>
      </c>
      <c r="AT9" s="8">
        <v>48.18</v>
      </c>
      <c r="AU9" s="73" t="s">
        <v>392</v>
      </c>
      <c r="AV9" s="73" t="b">
        <f t="shared" si="30"/>
        <v>1</v>
      </c>
      <c r="AW9" s="79">
        <v>0</v>
      </c>
      <c r="AX9" s="45" t="str">
        <f t="shared" si="31"/>
        <v/>
      </c>
      <c r="AY9" s="29" t="str">
        <f t="shared" si="32"/>
        <v/>
      </c>
      <c r="AZ9" s="29" t="str">
        <f t="shared" si="33"/>
        <v/>
      </c>
      <c r="BA9" s="29" t="s">
        <v>699</v>
      </c>
      <c r="BB9" s="29">
        <f t="shared" si="34"/>
        <v>0</v>
      </c>
      <c r="BC9">
        <f t="shared" si="35"/>
        <v>0</v>
      </c>
      <c r="BD9" s="78" t="str" cm="1">
        <f t="array" ref="BD9">IF(BC9&lt;&gt;1, "", IF(AK9&gt;0, INT(AK9/SUMPRODUCT(($AK$3:$AK$1000&gt;0)*($AK$3:$AK$1000), ($BC$3:$BC$1000))*$AB$12/AT9), INT(AK9/SUMPRODUCT(($AK$3:$AK$1000&lt;0)*($AK$3:$AK$1000), ($BC$3:$BC$1000))*$AB$13/AT9)))</f>
        <v/>
      </c>
      <c r="BE9" t="str">
        <f t="shared" si="36"/>
        <v/>
      </c>
      <c r="BF9" s="65" t="str">
        <f t="shared" si="37"/>
        <v/>
      </c>
      <c r="BN9" s="75">
        <v>6.0000000000000005E-2</v>
      </c>
      <c r="BO9" s="57">
        <v>0.97455713439235059</v>
      </c>
      <c r="BP9" s="57">
        <v>1.1081223189322729</v>
      </c>
      <c r="BQ9" s="57"/>
      <c r="BR9" s="26">
        <f t="shared" si="16"/>
        <v>6.6782592269961139E-2</v>
      </c>
      <c r="BT9" s="74">
        <v>0.04</v>
      </c>
      <c r="BU9" s="74">
        <v>9.7483300161576636E-2</v>
      </c>
    </row>
    <row r="10" spans="2:73" x14ac:dyDescent="0.3">
      <c r="B10" s="18" t="s">
        <v>413</v>
      </c>
      <c r="C10" s="18" t="s">
        <v>661</v>
      </c>
      <c r="D10" s="18" t="s">
        <v>1273</v>
      </c>
      <c r="E10" s="44" t="s">
        <v>425</v>
      </c>
      <c r="F10" s="18" t="s">
        <v>20</v>
      </c>
      <c r="G10" s="18" t="s">
        <v>10</v>
      </c>
      <c r="H10" s="19">
        <v>381.54577482000002</v>
      </c>
      <c r="I10" s="18">
        <v>28365</v>
      </c>
      <c r="J10" s="20">
        <v>5.58</v>
      </c>
      <c r="K10" s="19">
        <v>158276.70000000001</v>
      </c>
      <c r="L10" s="12">
        <f t="shared" si="17"/>
        <v>1.055178E-2</v>
      </c>
      <c r="M10" s="12">
        <f t="shared" si="18"/>
        <v>9.00360144057623E-3</v>
      </c>
      <c r="N10" s="15" t="str">
        <f t="shared" si="19"/>
        <v/>
      </c>
      <c r="O10" s="15" t="str">
        <f t="shared" si="20"/>
        <v/>
      </c>
      <c r="P10" s="15">
        <f t="shared" si="21"/>
        <v>1</v>
      </c>
      <c r="Q10" s="15" t="str">
        <f t="shared" si="22"/>
        <v>Sell</v>
      </c>
      <c r="R10" s="55">
        <f t="shared" si="23"/>
        <v>4161</v>
      </c>
      <c r="S10" s="33">
        <f t="shared" si="24"/>
        <v>23218.38</v>
      </c>
      <c r="T10" s="33" t="str">
        <f t="shared" si="25"/>
        <v/>
      </c>
      <c r="U10" s="15" t="str">
        <f t="shared" si="26"/>
        <v/>
      </c>
      <c r="V10" s="15">
        <f t="shared" si="27"/>
        <v>41.61</v>
      </c>
      <c r="W10" s="62">
        <f t="shared" si="28"/>
        <v>1.7921146953405018E-3</v>
      </c>
      <c r="X10" s="15"/>
      <c r="Y10" s="1">
        <f t="shared" si="29"/>
        <v>1.5481785594237702E-3</v>
      </c>
      <c r="AA10" s="43" t="s">
        <v>143</v>
      </c>
      <c r="AB10" s="33">
        <f>AB9-AB8</f>
        <v>572244.82000000007</v>
      </c>
      <c r="AC10" s="51"/>
      <c r="AD10" s="51"/>
      <c r="AH10" s="35">
        <v>45714</v>
      </c>
      <c r="AI10" s="31" t="s">
        <v>1062</v>
      </c>
      <c r="AJ10" s="32">
        <v>0.01</v>
      </c>
      <c r="AK10" s="28">
        <f t="shared" si="12"/>
        <v>1.0004001600640256E-2</v>
      </c>
      <c r="AL10" s="28" t="s">
        <v>1114</v>
      </c>
      <c r="AM10" s="28" t="s">
        <v>1062</v>
      </c>
      <c r="AN10" s="28" t="s">
        <v>1115</v>
      </c>
      <c r="AO10" s="28" t="s">
        <v>1116</v>
      </c>
      <c r="AP10" s="28" t="s">
        <v>1117</v>
      </c>
      <c r="AQ10" s="28" t="s">
        <v>73</v>
      </c>
      <c r="AR10" s="28" t="s">
        <v>22</v>
      </c>
      <c r="AS10" s="73">
        <v>1082.9872427400001</v>
      </c>
      <c r="AT10" s="8">
        <v>10.74</v>
      </c>
      <c r="AU10" s="73" t="s">
        <v>1062</v>
      </c>
      <c r="AV10" s="73" t="b">
        <f t="shared" si="30"/>
        <v>1</v>
      </c>
      <c r="AW10" s="79">
        <v>0</v>
      </c>
      <c r="AX10" s="45" t="str">
        <f t="shared" si="31"/>
        <v/>
      </c>
      <c r="AY10" s="29" t="str">
        <f t="shared" si="32"/>
        <v/>
      </c>
      <c r="AZ10" s="29" t="str">
        <f t="shared" si="33"/>
        <v/>
      </c>
      <c r="BA10" s="29" t="s">
        <v>699</v>
      </c>
      <c r="BB10" s="29">
        <f t="shared" si="34"/>
        <v>0</v>
      </c>
      <c r="BC10">
        <f t="shared" si="35"/>
        <v>0</v>
      </c>
      <c r="BD10" s="78" t="str" cm="1">
        <f t="array" ref="BD10">IF(BC10&lt;&gt;1, "", IF(AK10&gt;0, INT(AK10/SUMPRODUCT(($AK$3:$AK$1000&gt;0)*($AK$3:$AK$1000), ($BC$3:$BC$1000))*$AB$12/AT10), INT(AK10/SUMPRODUCT(($AK$3:$AK$1000&lt;0)*($AK$3:$AK$1000), ($BC$3:$BC$1000))*$AB$13/AT10)))</f>
        <v/>
      </c>
      <c r="BE10" t="str">
        <f t="shared" si="36"/>
        <v/>
      </c>
      <c r="BF10" s="65" t="str">
        <f t="shared" si="37"/>
        <v/>
      </c>
      <c r="BN10" s="75">
        <v>7.0000000000000007E-2</v>
      </c>
      <c r="BO10" s="57">
        <v>0.94844042948644958</v>
      </c>
      <c r="BP10" s="57">
        <v>1.1572908257031065</v>
      </c>
      <c r="BQ10" s="57"/>
      <c r="BR10" s="26">
        <f t="shared" si="16"/>
        <v>0.10442519810832845</v>
      </c>
      <c r="BT10" s="74">
        <v>7.0000000000000007E-2</v>
      </c>
      <c r="BU10" s="74">
        <v>0.10442519810832845</v>
      </c>
    </row>
    <row r="11" spans="2:73" x14ac:dyDescent="0.3">
      <c r="B11" s="18" t="s">
        <v>948</v>
      </c>
      <c r="C11" s="18" t="s">
        <v>965</v>
      </c>
      <c r="D11" s="18" t="s">
        <v>994</v>
      </c>
      <c r="E11" s="44" t="s">
        <v>968</v>
      </c>
      <c r="F11" s="18" t="s">
        <v>22</v>
      </c>
      <c r="G11" s="18" t="s">
        <v>10</v>
      </c>
      <c r="H11" s="19">
        <v>1944.9739210800001</v>
      </c>
      <c r="I11" s="18">
        <v>4826</v>
      </c>
      <c r="J11" s="20">
        <v>32.46</v>
      </c>
      <c r="K11" s="19">
        <v>156651.96</v>
      </c>
      <c r="L11" s="12">
        <f t="shared" si="17"/>
        <v>1.0443464E-2</v>
      </c>
      <c r="M11" s="12">
        <f t="shared" si="18"/>
        <v>1.0004001600640256E-2</v>
      </c>
      <c r="N11" s="15" t="str">
        <f t="shared" si="19"/>
        <v/>
      </c>
      <c r="O11" s="15" t="str">
        <f t="shared" si="20"/>
        <v/>
      </c>
      <c r="P11" s="15">
        <f t="shared" si="21"/>
        <v>1</v>
      </c>
      <c r="Q11" s="15" t="str">
        <f t="shared" si="22"/>
        <v>Sell</v>
      </c>
      <c r="R11" s="55">
        <f t="shared" si="23"/>
        <v>203</v>
      </c>
      <c r="S11" s="33">
        <f t="shared" si="24"/>
        <v>6589.38</v>
      </c>
      <c r="T11" s="33" t="str">
        <f t="shared" si="25"/>
        <v/>
      </c>
      <c r="U11" s="15" t="str">
        <f t="shared" si="26"/>
        <v/>
      </c>
      <c r="V11" s="15">
        <f t="shared" si="27"/>
        <v>2.0300000000000002</v>
      </c>
      <c r="W11" s="62">
        <f t="shared" si="28"/>
        <v>3.0807147258163895E-4</v>
      </c>
      <c r="X11" s="15"/>
      <c r="Y11" s="1">
        <f t="shared" si="29"/>
        <v>4.3946239935974303E-4</v>
      </c>
      <c r="AB11" s="51"/>
      <c r="AC11" s="51"/>
      <c r="AD11" s="51"/>
      <c r="AF11" s="21" t="s">
        <v>151</v>
      </c>
      <c r="AH11" s="35">
        <v>45714</v>
      </c>
      <c r="AI11" s="31" t="s">
        <v>1323</v>
      </c>
      <c r="AJ11" s="32">
        <v>0.01</v>
      </c>
      <c r="AK11" s="28">
        <f t="shared" si="12"/>
        <v>1.0004001600640256E-2</v>
      </c>
      <c r="AL11" s="28" t="s">
        <v>1351</v>
      </c>
      <c r="AM11" s="28" t="s">
        <v>1323</v>
      </c>
      <c r="AN11" s="28" t="s">
        <v>1352</v>
      </c>
      <c r="AO11" s="28" t="s">
        <v>1353</v>
      </c>
      <c r="AP11" s="28" t="s">
        <v>1354</v>
      </c>
      <c r="AQ11" s="28" t="s">
        <v>73</v>
      </c>
      <c r="AR11" s="28" t="s">
        <v>14</v>
      </c>
      <c r="AS11" s="73">
        <v>4856.5445098199998</v>
      </c>
      <c r="AT11" s="8">
        <v>52.63</v>
      </c>
      <c r="AU11" s="73" t="s">
        <v>1323</v>
      </c>
      <c r="AV11" s="73" t="b">
        <f t="shared" si="30"/>
        <v>1</v>
      </c>
      <c r="AW11" s="79">
        <v>0</v>
      </c>
      <c r="AX11" s="45" t="str">
        <f t="shared" si="31"/>
        <v/>
      </c>
      <c r="AY11" s="29" t="str">
        <f t="shared" si="32"/>
        <v/>
      </c>
      <c r="AZ11" s="29" t="str">
        <f t="shared" si="33"/>
        <v/>
      </c>
      <c r="BA11" s="29" t="s">
        <v>699</v>
      </c>
      <c r="BB11" s="29">
        <f t="shared" si="34"/>
        <v>0</v>
      </c>
      <c r="BC11">
        <f t="shared" si="35"/>
        <v>0</v>
      </c>
      <c r="BD11" s="78" t="str" cm="1">
        <f t="array" ref="BD11">IF(BC11&lt;&gt;1, "", IF(AK11&gt;0, INT(AK11/SUMPRODUCT(($AK$3:$AK$1000&gt;0)*($AK$3:$AK$1000), ($BC$3:$BC$1000))*$AB$12/AT11), INT(AK11/SUMPRODUCT(($AK$3:$AK$1000&lt;0)*($AK$3:$AK$1000), ($BC$3:$BC$1000))*$AB$13/AT11)))</f>
        <v/>
      </c>
      <c r="BE11" t="str">
        <f t="shared" si="36"/>
        <v/>
      </c>
      <c r="BF11" s="65" t="str">
        <f t="shared" si="37"/>
        <v/>
      </c>
      <c r="BN11" s="75">
        <v>0.08</v>
      </c>
      <c r="BO11" s="57">
        <v>0.93249444466986264</v>
      </c>
      <c r="BP11" s="57">
        <v>1.2680801556510233</v>
      </c>
      <c r="BQ11" s="57"/>
      <c r="BR11" s="26">
        <f t="shared" si="16"/>
        <v>0.16779285549058032</v>
      </c>
      <c r="BT11" s="74">
        <v>0.08</v>
      </c>
      <c r="BU11" s="74">
        <v>0.16779285549058032</v>
      </c>
    </row>
    <row r="12" spans="2:73" x14ac:dyDescent="0.3">
      <c r="B12" s="18" t="s">
        <v>392</v>
      </c>
      <c r="C12" s="18" t="s">
        <v>398</v>
      </c>
      <c r="D12" s="18" t="s">
        <v>407</v>
      </c>
      <c r="E12" s="44" t="s">
        <v>400</v>
      </c>
      <c r="F12" s="18" t="s">
        <v>13</v>
      </c>
      <c r="G12" s="18" t="s">
        <v>10</v>
      </c>
      <c r="H12" s="19">
        <v>477.88349598000002</v>
      </c>
      <c r="I12" s="18">
        <v>3246</v>
      </c>
      <c r="J12" s="20">
        <v>48.18</v>
      </c>
      <c r="K12" s="19">
        <v>156392.28</v>
      </c>
      <c r="L12" s="12">
        <f t="shared" si="17"/>
        <v>1.0426151999999999E-2</v>
      </c>
      <c r="M12" s="12">
        <f t="shared" si="18"/>
        <v>1.0004001600640256E-2</v>
      </c>
      <c r="N12" s="15" t="str">
        <f t="shared" si="19"/>
        <v/>
      </c>
      <c r="O12" s="15" t="str">
        <f t="shared" si="20"/>
        <v/>
      </c>
      <c r="P12" s="15">
        <f t="shared" si="21"/>
        <v>1</v>
      </c>
      <c r="Q12" s="15" t="str">
        <f t="shared" si="22"/>
        <v>Sell</v>
      </c>
      <c r="R12" s="55">
        <f t="shared" si="23"/>
        <v>131</v>
      </c>
      <c r="S12" s="33">
        <f t="shared" si="24"/>
        <v>6311.58</v>
      </c>
      <c r="T12" s="33" t="str">
        <f t="shared" si="25"/>
        <v/>
      </c>
      <c r="U12" s="15" t="str">
        <f t="shared" si="26"/>
        <v/>
      </c>
      <c r="V12" s="15">
        <f t="shared" si="27"/>
        <v>1.31</v>
      </c>
      <c r="W12" s="62">
        <f t="shared" si="28"/>
        <v>2.0755500207555002E-4</v>
      </c>
      <c r="X12" s="15"/>
      <c r="Y12" s="1">
        <f t="shared" si="29"/>
        <v>4.221503993597428E-4</v>
      </c>
      <c r="AA12" s="43" t="s">
        <v>145</v>
      </c>
      <c r="AB12" s="33">
        <f>AB1-AB6+AD25</f>
        <v>937898.97000000568</v>
      </c>
      <c r="AC12" s="21"/>
      <c r="AD12" s="52">
        <f>SUMIFS($AK$3:$AK$501,$BC$3:$BC$501,1,$AK$3:$AK$501,"&gt;0")*AB22</f>
        <v>940876.35054021596</v>
      </c>
      <c r="AE12" s="60">
        <f>AD12/AB33</f>
        <v>6.2585358980319514E-2</v>
      </c>
      <c r="AF12" s="57">
        <f>AB12/AD12</f>
        <v>0.99683552409569998</v>
      </c>
      <c r="AH12" s="35">
        <v>45714</v>
      </c>
      <c r="AI12" s="31" t="s">
        <v>1070</v>
      </c>
      <c r="AJ12" s="32">
        <v>0.01</v>
      </c>
      <c r="AK12" s="28">
        <f t="shared" si="12"/>
        <v>1.0004001600640256E-2</v>
      </c>
      <c r="AL12" s="28" t="s">
        <v>1144</v>
      </c>
      <c r="AM12" s="28" t="s">
        <v>1070</v>
      </c>
      <c r="AN12" s="28" t="s">
        <v>1145</v>
      </c>
      <c r="AO12" s="28" t="s">
        <v>1146</v>
      </c>
      <c r="AP12" s="28" t="s">
        <v>1147</v>
      </c>
      <c r="AQ12" s="28" t="s">
        <v>73</v>
      </c>
      <c r="AR12" s="28" t="s">
        <v>13</v>
      </c>
      <c r="AS12" s="73">
        <v>1925.8045543999999</v>
      </c>
      <c r="AT12" s="8">
        <v>102.64</v>
      </c>
      <c r="AU12" s="73" t="s">
        <v>1070</v>
      </c>
      <c r="AV12" s="73" t="b">
        <f t="shared" si="30"/>
        <v>1</v>
      </c>
      <c r="AW12" s="79">
        <v>0</v>
      </c>
      <c r="AX12" s="45" t="str">
        <f t="shared" si="31"/>
        <v/>
      </c>
      <c r="AY12" s="29" t="str">
        <f t="shared" si="32"/>
        <v/>
      </c>
      <c r="AZ12" s="29" t="str">
        <f t="shared" si="33"/>
        <v/>
      </c>
      <c r="BA12" s="29" t="s">
        <v>699</v>
      </c>
      <c r="BB12" s="29">
        <f t="shared" si="34"/>
        <v>0</v>
      </c>
      <c r="BC12">
        <f t="shared" si="35"/>
        <v>0</v>
      </c>
      <c r="BD12" s="78" t="str" cm="1">
        <f t="array" ref="BD12">IF(BC12&lt;&gt;1, "", IF(AK12&gt;0, INT(AK12/SUMPRODUCT(($AK$3:$AK$1000&gt;0)*($AK$3:$AK$1000), ($BC$3:$BC$1000))*$AB$12/AT12), INT(AK12/SUMPRODUCT(($AK$3:$AK$1000&lt;0)*($AK$3:$AK$1000), ($BC$3:$BC$1000))*$AB$13/AT12)))</f>
        <v/>
      </c>
      <c r="BE12" t="str">
        <f t="shared" si="36"/>
        <v/>
      </c>
      <c r="BF12" s="65" t="str">
        <f t="shared" si="37"/>
        <v/>
      </c>
      <c r="BN12" s="75">
        <v>0.09</v>
      </c>
      <c r="BO12" s="57">
        <v>0.94153077021372233</v>
      </c>
      <c r="BP12" s="57">
        <v>1.35165311419269</v>
      </c>
      <c r="BQ12" s="57"/>
      <c r="BR12" s="26">
        <f t="shared" si="16"/>
        <v>0.20506117198948381</v>
      </c>
      <c r="BT12" s="74">
        <v>0.09</v>
      </c>
      <c r="BU12" s="74">
        <v>0.20506117198948381</v>
      </c>
    </row>
    <row r="13" spans="2:73" x14ac:dyDescent="0.3">
      <c r="B13" s="18" t="s">
        <v>553</v>
      </c>
      <c r="C13" s="18" t="s">
        <v>558</v>
      </c>
      <c r="D13" s="18" t="s">
        <v>573</v>
      </c>
      <c r="E13" s="44" t="s">
        <v>560</v>
      </c>
      <c r="F13" s="18" t="s">
        <v>13</v>
      </c>
      <c r="G13" s="18" t="s">
        <v>10</v>
      </c>
      <c r="H13" s="19">
        <v>3363.8697245900003</v>
      </c>
      <c r="I13" s="18">
        <v>2885</v>
      </c>
      <c r="J13" s="20">
        <v>54.07</v>
      </c>
      <c r="K13" s="19">
        <v>155991.95000000001</v>
      </c>
      <c r="L13" s="12">
        <f t="shared" si="17"/>
        <v>1.0399463333333334E-2</v>
      </c>
      <c r="M13" s="12">
        <f t="shared" si="18"/>
        <v>1.0004001600640256E-2</v>
      </c>
      <c r="N13" s="15" t="str">
        <f t="shared" si="19"/>
        <v/>
      </c>
      <c r="O13" s="15" t="str">
        <f t="shared" si="20"/>
        <v/>
      </c>
      <c r="P13" s="15">
        <f t="shared" si="21"/>
        <v>1</v>
      </c>
      <c r="Q13" s="15" t="str">
        <f t="shared" si="22"/>
        <v>Sell</v>
      </c>
      <c r="R13" s="55">
        <f t="shared" si="23"/>
        <v>109</v>
      </c>
      <c r="S13" s="33">
        <f t="shared" si="24"/>
        <v>5893.63</v>
      </c>
      <c r="T13" s="33" t="str">
        <f t="shared" si="25"/>
        <v/>
      </c>
      <c r="U13" s="15" t="str">
        <f t="shared" si="26"/>
        <v/>
      </c>
      <c r="V13" s="15">
        <f t="shared" si="27"/>
        <v>1.0900000000000001</v>
      </c>
      <c r="W13" s="62">
        <f t="shared" si="28"/>
        <v>1.8494544109487701E-4</v>
      </c>
      <c r="X13" s="15"/>
      <c r="Y13" s="1">
        <f t="shared" si="29"/>
        <v>3.9546173269307781E-4</v>
      </c>
      <c r="AA13" s="43" t="s">
        <v>146</v>
      </c>
      <c r="AB13" s="33">
        <f>AB2-AB10+AD26</f>
        <v>190008.03499999631</v>
      </c>
      <c r="AC13" s="21"/>
      <c r="AD13" s="52">
        <f>SUMIFS($AK$3:$AK$501,$BC$3:$BC$501,1,$AK$3:$AK$501,"&lt;0")*-AB23</f>
        <v>197734.2945417095</v>
      </c>
      <c r="AE13" s="60">
        <f>AD13/-AC33</f>
        <v>1.3516094140287984E-2</v>
      </c>
      <c r="AF13" s="57">
        <f>AB13/AD13</f>
        <v>0.96092605200518999</v>
      </c>
      <c r="AH13" s="35">
        <v>45714</v>
      </c>
      <c r="AI13" s="31" t="s">
        <v>175</v>
      </c>
      <c r="AJ13" s="32">
        <v>0.01</v>
      </c>
      <c r="AK13" s="28">
        <f t="shared" si="12"/>
        <v>1.0004001600640256E-2</v>
      </c>
      <c r="AL13" s="28" t="s">
        <v>176</v>
      </c>
      <c r="AM13" s="28" t="s">
        <v>175</v>
      </c>
      <c r="AN13" s="28" t="s">
        <v>1652</v>
      </c>
      <c r="AO13" s="28" t="s">
        <v>186</v>
      </c>
      <c r="AP13" s="28" t="s">
        <v>179</v>
      </c>
      <c r="AQ13" s="28" t="s">
        <v>73</v>
      </c>
      <c r="AR13" s="28" t="s">
        <v>13</v>
      </c>
      <c r="AS13" s="73">
        <v>13068.95006058</v>
      </c>
      <c r="AT13" s="8">
        <v>367.59</v>
      </c>
      <c r="AU13" s="73" t="s">
        <v>175</v>
      </c>
      <c r="AV13" s="73" t="b">
        <f t="shared" si="30"/>
        <v>1</v>
      </c>
      <c r="AW13" s="79">
        <v>0</v>
      </c>
      <c r="AX13" s="45" t="str">
        <f t="shared" si="31"/>
        <v/>
      </c>
      <c r="AY13" s="29" t="str">
        <f t="shared" si="32"/>
        <v/>
      </c>
      <c r="AZ13" s="29" t="str">
        <f t="shared" si="33"/>
        <v/>
      </c>
      <c r="BA13" s="29" t="s">
        <v>699</v>
      </c>
      <c r="BB13" s="29">
        <f t="shared" si="34"/>
        <v>0</v>
      </c>
      <c r="BC13">
        <f t="shared" si="35"/>
        <v>0</v>
      </c>
      <c r="BD13" s="78" t="str" cm="1">
        <f t="array" ref="BD13">IF(BC13&lt;&gt;1, "", IF(AK13&gt;0, INT(AK13/SUMPRODUCT(($AK$3:$AK$1000&gt;0)*($AK$3:$AK$1000), ($BC$3:$BC$1000))*$AB$12/AT13), INT(AK13/SUMPRODUCT(($AK$3:$AK$1000&lt;0)*($AK$3:$AK$1000), ($BC$3:$BC$1000))*$AB$13/AT13)))</f>
        <v/>
      </c>
      <c r="BE13" t="str">
        <f t="shared" si="36"/>
        <v/>
      </c>
      <c r="BF13" s="65" t="str">
        <f t="shared" si="37"/>
        <v/>
      </c>
      <c r="BN13" s="75">
        <v>9.9999999999999992E-2</v>
      </c>
      <c r="BO13" s="57">
        <v>0.94153077021372233</v>
      </c>
      <c r="BP13" s="57">
        <v>1.40271102513019</v>
      </c>
      <c r="BQ13" s="57"/>
      <c r="BR13" s="26">
        <f t="shared" si="16"/>
        <v>0.23059012745823382</v>
      </c>
      <c r="BT13" s="74">
        <v>9.9999999999999992E-2</v>
      </c>
      <c r="BU13" s="74">
        <v>0.23059012745823382</v>
      </c>
    </row>
    <row r="14" spans="2:73" x14ac:dyDescent="0.3">
      <c r="B14" s="18" t="s">
        <v>554</v>
      </c>
      <c r="C14" s="18" t="s">
        <v>561</v>
      </c>
      <c r="D14" s="18" t="s">
        <v>574</v>
      </c>
      <c r="E14" s="44" t="s">
        <v>562</v>
      </c>
      <c r="F14" s="18" t="s">
        <v>14</v>
      </c>
      <c r="G14" s="18" t="s">
        <v>10</v>
      </c>
      <c r="H14" s="19">
        <v>9155.824470399999</v>
      </c>
      <c r="I14" s="18">
        <v>501</v>
      </c>
      <c r="J14" s="20">
        <v>310.33999999999997</v>
      </c>
      <c r="K14" s="19">
        <v>155480.34</v>
      </c>
      <c r="L14" s="12">
        <f t="shared" si="17"/>
        <v>1.0365355999999999E-2</v>
      </c>
      <c r="M14" s="12">
        <f t="shared" si="18"/>
        <v>0</v>
      </c>
      <c r="N14" s="15" t="str">
        <f t="shared" si="19"/>
        <v/>
      </c>
      <c r="O14" s="15">
        <f t="shared" si="20"/>
        <v>1</v>
      </c>
      <c r="P14" s="15" t="str">
        <f t="shared" si="21"/>
        <v/>
      </c>
      <c r="Q14" s="15" t="str">
        <f t="shared" si="22"/>
        <v/>
      </c>
      <c r="R14" s="55" t="str">
        <f t="shared" si="23"/>
        <v/>
      </c>
      <c r="S14" s="33" t="str">
        <f t="shared" si="24"/>
        <v/>
      </c>
      <c r="T14" s="33" t="str">
        <f t="shared" si="25"/>
        <v>Sell</v>
      </c>
      <c r="U14" s="15">
        <f t="shared" si="26"/>
        <v>501</v>
      </c>
      <c r="V14" s="15" t="str">
        <f t="shared" si="27"/>
        <v/>
      </c>
      <c r="W14" s="62" t="str">
        <f t="shared" si="28"/>
        <v/>
      </c>
      <c r="X14" s="15"/>
      <c r="Y14" s="1">
        <f t="shared" si="29"/>
        <v>1.0365355999999999E-2</v>
      </c>
      <c r="AB14" s="51"/>
      <c r="AC14" s="51"/>
      <c r="AD14" s="51"/>
      <c r="AH14" s="35">
        <v>45714</v>
      </c>
      <c r="AI14" s="31" t="s">
        <v>288</v>
      </c>
      <c r="AJ14" s="32">
        <v>0.01</v>
      </c>
      <c r="AK14" s="28">
        <f t="shared" si="12"/>
        <v>1.0004001600640256E-2</v>
      </c>
      <c r="AL14" s="28" t="s">
        <v>290</v>
      </c>
      <c r="AM14" s="28" t="s">
        <v>288</v>
      </c>
      <c r="AN14" s="28" t="s">
        <v>291</v>
      </c>
      <c r="AO14" s="28" t="s">
        <v>292</v>
      </c>
      <c r="AP14" s="28" t="s">
        <v>293</v>
      </c>
      <c r="AQ14" s="28" t="s">
        <v>73</v>
      </c>
      <c r="AR14" s="28" t="s">
        <v>14</v>
      </c>
      <c r="AS14" s="73">
        <v>1712.6906534100001</v>
      </c>
      <c r="AT14" s="8">
        <v>8.1300000000000008</v>
      </c>
      <c r="AU14" s="73" t="s">
        <v>288</v>
      </c>
      <c r="AV14" s="73" t="b">
        <f t="shared" si="30"/>
        <v>1</v>
      </c>
      <c r="AW14" s="79">
        <v>0</v>
      </c>
      <c r="AX14" s="45" t="str">
        <f t="shared" si="31"/>
        <v/>
      </c>
      <c r="AY14" s="29" t="str">
        <f t="shared" si="32"/>
        <v/>
      </c>
      <c r="AZ14" s="29" t="str">
        <f t="shared" si="33"/>
        <v/>
      </c>
      <c r="BA14" s="29" t="s">
        <v>699</v>
      </c>
      <c r="BB14" s="29">
        <f t="shared" si="34"/>
        <v>0</v>
      </c>
      <c r="BC14">
        <f t="shared" si="35"/>
        <v>0</v>
      </c>
      <c r="BD14" s="78" t="str" cm="1">
        <f t="array" ref="BD14">IF(BC14&lt;&gt;1, "", IF(AK14&gt;0, INT(AK14/SUMPRODUCT(($AK$3:$AK$1000&gt;0)*($AK$3:$AK$1000), ($BC$3:$BC$1000))*$AB$12/AT14), INT(AK14/SUMPRODUCT(($AK$3:$AK$1000&lt;0)*($AK$3:$AK$1000), ($BC$3:$BC$1000))*$AB$13/AT14)))</f>
        <v/>
      </c>
      <c r="BE14" t="str">
        <f t="shared" si="36"/>
        <v/>
      </c>
      <c r="BF14" s="65" t="str">
        <f t="shared" si="37"/>
        <v/>
      </c>
      <c r="BN14" s="75">
        <v>0.10999999999999999</v>
      </c>
      <c r="BO14" s="57">
        <v>0.92537162242424864</v>
      </c>
      <c r="BP14" s="57">
        <v>1.4935235978385235</v>
      </c>
      <c r="BQ14" s="57"/>
      <c r="BR14" s="26">
        <f t="shared" si="16"/>
        <v>0.28407598770713743</v>
      </c>
      <c r="BT14" s="74">
        <v>0.10999999999999999</v>
      </c>
      <c r="BU14" s="74">
        <v>0.28407598770713743</v>
      </c>
    </row>
    <row r="15" spans="2:73" x14ac:dyDescent="0.3">
      <c r="B15" s="18" t="s">
        <v>579</v>
      </c>
      <c r="C15" s="18" t="s">
        <v>592</v>
      </c>
      <c r="D15" s="18" t="s">
        <v>620</v>
      </c>
      <c r="E15" s="44" t="s">
        <v>591</v>
      </c>
      <c r="F15" s="18" t="s">
        <v>26</v>
      </c>
      <c r="G15" s="18" t="s">
        <v>10</v>
      </c>
      <c r="H15" s="19">
        <v>1996.4706834299998</v>
      </c>
      <c r="I15" s="18">
        <v>6022</v>
      </c>
      <c r="J15" s="20">
        <v>25.81</v>
      </c>
      <c r="K15" s="19">
        <v>155427.81999999998</v>
      </c>
      <c r="L15" s="12">
        <f t="shared" si="17"/>
        <v>1.0361854666666665E-2</v>
      </c>
      <c r="M15" s="12">
        <f t="shared" si="18"/>
        <v>0</v>
      </c>
      <c r="N15" s="15" t="str">
        <f t="shared" si="19"/>
        <v/>
      </c>
      <c r="O15" s="15">
        <f t="shared" si="20"/>
        <v>1</v>
      </c>
      <c r="P15" s="15" t="str">
        <f t="shared" si="21"/>
        <v/>
      </c>
      <c r="Q15" s="15" t="str">
        <f t="shared" si="22"/>
        <v/>
      </c>
      <c r="R15" s="55" t="str">
        <f t="shared" si="23"/>
        <v/>
      </c>
      <c r="S15" s="33" t="str">
        <f t="shared" si="24"/>
        <v/>
      </c>
      <c r="T15" s="33" t="str">
        <f t="shared" si="25"/>
        <v>Sell</v>
      </c>
      <c r="U15" s="15">
        <f t="shared" si="26"/>
        <v>6022</v>
      </c>
      <c r="V15" s="15" t="str">
        <f t="shared" si="27"/>
        <v/>
      </c>
      <c r="W15" s="62" t="str">
        <f t="shared" si="28"/>
        <v/>
      </c>
      <c r="X15" s="15"/>
      <c r="Y15" s="1">
        <f t="shared" si="29"/>
        <v>1.0361854666666665E-2</v>
      </c>
      <c r="AA15" s="43" t="s">
        <v>148</v>
      </c>
      <c r="AB15" s="52">
        <f>SUMIF($K$3:$K$501,"&gt;0",$K$3:$K$501)+(-SUMIF($K$3:$K$501,"&lt;0",$K$3:$K$501))</f>
        <v>29663033.759999998</v>
      </c>
      <c r="AC15" s="51"/>
      <c r="AD15" s="52">
        <f>AB12-AD12</f>
        <v>-2977.380540210288</v>
      </c>
      <c r="AH15" s="35">
        <v>45714</v>
      </c>
      <c r="AI15" s="31" t="s">
        <v>383</v>
      </c>
      <c r="AJ15" s="32">
        <v>0.01</v>
      </c>
      <c r="AK15" s="28">
        <f t="shared" si="12"/>
        <v>1.0004001600640256E-2</v>
      </c>
      <c r="AL15" s="28" t="s">
        <v>384</v>
      </c>
      <c r="AM15" s="28" t="s">
        <v>383</v>
      </c>
      <c r="AN15" s="28" t="s">
        <v>1653</v>
      </c>
      <c r="AO15" s="28" t="s">
        <v>385</v>
      </c>
      <c r="AP15" s="28" t="s">
        <v>386</v>
      </c>
      <c r="AQ15" s="28" t="s">
        <v>73</v>
      </c>
      <c r="AR15" s="28" t="s">
        <v>13</v>
      </c>
      <c r="AS15" s="73">
        <v>3560.8773937000001</v>
      </c>
      <c r="AT15" s="8">
        <v>115.94</v>
      </c>
      <c r="AU15" s="73" t="s">
        <v>383</v>
      </c>
      <c r="AV15" s="73" t="b">
        <f t="shared" si="30"/>
        <v>1</v>
      </c>
      <c r="AW15" s="79">
        <v>0</v>
      </c>
      <c r="AX15" s="45" t="str">
        <f t="shared" si="31"/>
        <v/>
      </c>
      <c r="AY15" s="29" t="str">
        <f t="shared" si="32"/>
        <v/>
      </c>
      <c r="AZ15" s="29" t="str">
        <f t="shared" si="33"/>
        <v/>
      </c>
      <c r="BA15" s="29" t="s">
        <v>699</v>
      </c>
      <c r="BB15" s="29">
        <f t="shared" si="34"/>
        <v>0</v>
      </c>
      <c r="BC15">
        <f t="shared" si="35"/>
        <v>0</v>
      </c>
      <c r="BD15" s="78" t="str" cm="1">
        <f t="array" ref="BD15">IF(BC15&lt;&gt;1, "", IF(AK15&gt;0, INT(AK15/SUMPRODUCT(($AK$3:$AK$1000&gt;0)*($AK$3:$AK$1000), ($BC$3:$BC$1000))*$AB$12/AT15), INT(AK15/SUMPRODUCT(($AK$3:$AK$1000&lt;0)*($AK$3:$AK$1000), ($BC$3:$BC$1000))*$AB$13/AT15)))</f>
        <v/>
      </c>
      <c r="BE15" t="str">
        <f t="shared" si="36"/>
        <v/>
      </c>
      <c r="BF15" s="65" t="str">
        <f t="shared" si="37"/>
        <v/>
      </c>
      <c r="BN15" s="75">
        <v>0.11999999999999998</v>
      </c>
      <c r="BO15" s="57">
        <v>0.9524663835853332</v>
      </c>
      <c r="BP15" s="57">
        <v>1.6696732135676899</v>
      </c>
      <c r="BQ15" s="57"/>
      <c r="BR15" s="26">
        <f t="shared" si="16"/>
        <v>0.35860341499117837</v>
      </c>
      <c r="BT15" s="74">
        <v>0.11999999999999998</v>
      </c>
      <c r="BU15" s="74">
        <v>0.35860341499117837</v>
      </c>
    </row>
    <row r="16" spans="2:73" x14ac:dyDescent="0.3">
      <c r="B16" s="18" t="s">
        <v>175</v>
      </c>
      <c r="C16" s="18" t="s">
        <v>176</v>
      </c>
      <c r="D16" s="18" t="s">
        <v>177</v>
      </c>
      <c r="E16" s="44" t="s">
        <v>179</v>
      </c>
      <c r="F16" s="18" t="s">
        <v>13</v>
      </c>
      <c r="G16" s="18" t="s">
        <v>10</v>
      </c>
      <c r="H16" s="19">
        <v>13068.95006058</v>
      </c>
      <c r="I16" s="18">
        <v>422</v>
      </c>
      <c r="J16" s="20">
        <v>367.59</v>
      </c>
      <c r="K16" s="19">
        <v>155122.97999999998</v>
      </c>
      <c r="L16" s="12">
        <f t="shared" si="17"/>
        <v>1.0341531999999999E-2</v>
      </c>
      <c r="M16" s="12">
        <f t="shared" si="18"/>
        <v>1.0004001600640256E-2</v>
      </c>
      <c r="N16" s="15" t="str">
        <f t="shared" si="19"/>
        <v/>
      </c>
      <c r="O16" s="15" t="str">
        <f t="shared" si="20"/>
        <v/>
      </c>
      <c r="P16" s="15">
        <f t="shared" si="21"/>
        <v>1</v>
      </c>
      <c r="Q16" s="15" t="str">
        <f t="shared" si="22"/>
        <v>Sell</v>
      </c>
      <c r="R16" s="55">
        <f t="shared" si="23"/>
        <v>13</v>
      </c>
      <c r="S16" s="33">
        <f t="shared" si="24"/>
        <v>4778.67</v>
      </c>
      <c r="T16" s="33" t="str">
        <f t="shared" si="25"/>
        <v/>
      </c>
      <c r="U16" s="15" t="str">
        <f t="shared" si="26"/>
        <v/>
      </c>
      <c r="V16" s="15">
        <f t="shared" si="27"/>
        <v>0.13</v>
      </c>
      <c r="W16" s="62">
        <f t="shared" si="28"/>
        <v>2.7204222095269187E-5</v>
      </c>
      <c r="X16" s="15"/>
      <c r="Y16" s="1">
        <f t="shared" si="29"/>
        <v>3.3753039935974227E-4</v>
      </c>
      <c r="AA16" s="43" t="s">
        <v>147</v>
      </c>
      <c r="AB16" s="52">
        <f>AB4+AB5+AB8+AB9+AB2+AB1+AB12+AB13</f>
        <v>4339012.620000002</v>
      </c>
      <c r="AC16" s="56">
        <f>AB16/AB15</f>
        <v>0.14627676505061571</v>
      </c>
      <c r="AD16" s="52">
        <f>AB13-AD13</f>
        <v>-7726.2595417131961</v>
      </c>
      <c r="AE16" s="87" t="s">
        <v>152</v>
      </c>
      <c r="AF16" s="87"/>
      <c r="AH16" s="35">
        <v>45714</v>
      </c>
      <c r="AI16" s="31" t="s">
        <v>765</v>
      </c>
      <c r="AJ16" s="32">
        <v>0.01</v>
      </c>
      <c r="AK16" s="28">
        <f t="shared" si="12"/>
        <v>1.0004001600640256E-2</v>
      </c>
      <c r="AL16" s="28" t="s">
        <v>782</v>
      </c>
      <c r="AM16" s="28" t="s">
        <v>765</v>
      </c>
      <c r="AN16" s="28" t="s">
        <v>783</v>
      </c>
      <c r="AO16" s="28" t="s">
        <v>784</v>
      </c>
      <c r="AP16" s="28" t="s">
        <v>785</v>
      </c>
      <c r="AQ16" s="28" t="s">
        <v>73</v>
      </c>
      <c r="AR16" s="28" t="s">
        <v>14</v>
      </c>
      <c r="AS16" s="73">
        <v>2663.2201427999998</v>
      </c>
      <c r="AT16" s="8">
        <v>59.85</v>
      </c>
      <c r="AU16" s="73" t="s">
        <v>765</v>
      </c>
      <c r="AV16" s="73" t="b">
        <f t="shared" si="30"/>
        <v>1</v>
      </c>
      <c r="AW16" s="79">
        <v>0</v>
      </c>
      <c r="AX16" s="45" t="str">
        <f t="shared" si="31"/>
        <v/>
      </c>
      <c r="AY16" s="29" t="str">
        <f t="shared" si="32"/>
        <v/>
      </c>
      <c r="AZ16" s="29" t="str">
        <f t="shared" si="33"/>
        <v/>
      </c>
      <c r="BA16" s="29" t="s">
        <v>699</v>
      </c>
      <c r="BB16" s="29">
        <f t="shared" si="34"/>
        <v>0</v>
      </c>
      <c r="BC16">
        <f t="shared" si="35"/>
        <v>0</v>
      </c>
      <c r="BD16" s="78" t="str" cm="1">
        <f t="array" ref="BD16">IF(BC16&lt;&gt;1, "", IF(AK16&gt;0, INT(AK16/SUMPRODUCT(($AK$3:$AK$1000&gt;0)*($AK$3:$AK$1000), ($BC$3:$BC$1000))*$AB$12/AT16), INT(AK16/SUMPRODUCT(($AK$3:$AK$1000&lt;0)*($AK$3:$AK$1000), ($BC$3:$BC$1000))*$AB$13/AT16)))</f>
        <v/>
      </c>
      <c r="BE16" t="str">
        <f t="shared" si="36"/>
        <v/>
      </c>
      <c r="BF16" s="65" t="str">
        <f t="shared" si="37"/>
        <v/>
      </c>
      <c r="BN16" s="75">
        <v>0.12999999999999998</v>
      </c>
      <c r="BO16" s="57">
        <v>0.95882712375758195</v>
      </c>
      <c r="BP16" s="57">
        <v>1.875111375390607</v>
      </c>
      <c r="BQ16" s="57"/>
      <c r="BR16" s="26">
        <f t="shared" si="16"/>
        <v>0.45814212581651254</v>
      </c>
      <c r="BT16" s="74">
        <v>0.12999999999999998</v>
      </c>
      <c r="BU16" s="74">
        <v>0.45814212581651254</v>
      </c>
    </row>
    <row r="17" spans="2:73" x14ac:dyDescent="0.3">
      <c r="B17" s="18" t="s">
        <v>498</v>
      </c>
      <c r="C17" s="18" t="s">
        <v>505</v>
      </c>
      <c r="D17" s="18" t="s">
        <v>521</v>
      </c>
      <c r="E17" s="44" t="s">
        <v>507</v>
      </c>
      <c r="F17" s="18" t="s">
        <v>20</v>
      </c>
      <c r="G17" s="18" t="s">
        <v>10</v>
      </c>
      <c r="H17" s="19">
        <v>429.13855464</v>
      </c>
      <c r="I17" s="18">
        <v>11203</v>
      </c>
      <c r="J17" s="20">
        <v>13.84</v>
      </c>
      <c r="K17" s="19">
        <v>155049.51999999999</v>
      </c>
      <c r="L17" s="12">
        <f t="shared" si="17"/>
        <v>1.0336634666666665E-2</v>
      </c>
      <c r="M17" s="12">
        <f t="shared" si="18"/>
        <v>1.0004001600640256E-2</v>
      </c>
      <c r="N17" s="15" t="str">
        <f t="shared" si="19"/>
        <v/>
      </c>
      <c r="O17" s="15" t="str">
        <f t="shared" si="20"/>
        <v/>
      </c>
      <c r="P17" s="15">
        <f t="shared" si="21"/>
        <v>1</v>
      </c>
      <c r="Q17" s="15" t="str">
        <f t="shared" si="22"/>
        <v>Sell</v>
      </c>
      <c r="R17" s="55">
        <f t="shared" si="23"/>
        <v>360</v>
      </c>
      <c r="S17" s="33">
        <f t="shared" si="24"/>
        <v>4982.3999999999996</v>
      </c>
      <c r="T17" s="33" t="str">
        <f t="shared" si="25"/>
        <v/>
      </c>
      <c r="U17" s="15" t="str">
        <f t="shared" si="26"/>
        <v/>
      </c>
      <c r="V17" s="15">
        <f t="shared" si="27"/>
        <v>3.6</v>
      </c>
      <c r="W17" s="62">
        <f t="shared" si="28"/>
        <v>7.2254335260115614E-4</v>
      </c>
      <c r="X17" s="15"/>
      <c r="Y17" s="1">
        <f t="shared" si="29"/>
        <v>3.3263306602640888E-4</v>
      </c>
      <c r="AA17" s="43" t="s">
        <v>149</v>
      </c>
      <c r="AB17" s="52">
        <f>(AB1+AB2)*2</f>
        <v>2788600.08</v>
      </c>
      <c r="AC17" s="56">
        <f>AB17/AB15</f>
        <v>9.400926764815172E-2</v>
      </c>
      <c r="AD17" s="51"/>
      <c r="AE17">
        <f>SUM(AC1:AC9)+BJ1+BJ2</f>
        <v>198</v>
      </c>
      <c r="AF17">
        <f>AC1+AC2+BJ1+BJ2</f>
        <v>35</v>
      </c>
      <c r="AH17" s="35">
        <v>45714</v>
      </c>
      <c r="AI17" s="31" t="s">
        <v>1061</v>
      </c>
      <c r="AJ17" s="32">
        <v>0.01</v>
      </c>
      <c r="AK17" s="28">
        <f t="shared" si="12"/>
        <v>1.0004001600640256E-2</v>
      </c>
      <c r="AL17" s="28" t="s">
        <v>1110</v>
      </c>
      <c r="AM17" s="28" t="s">
        <v>1061</v>
      </c>
      <c r="AN17" s="28" t="s">
        <v>1111</v>
      </c>
      <c r="AO17" s="28" t="s">
        <v>1112</v>
      </c>
      <c r="AP17" s="28" t="s">
        <v>1113</v>
      </c>
      <c r="AQ17" s="28" t="s">
        <v>73</v>
      </c>
      <c r="AR17" s="28" t="s">
        <v>14</v>
      </c>
      <c r="AS17" s="73">
        <v>68757.868526274498</v>
      </c>
      <c r="AT17" s="8">
        <v>40.07</v>
      </c>
      <c r="AU17" s="73" t="s">
        <v>1061</v>
      </c>
      <c r="AV17" s="73" t="b">
        <f t="shared" si="30"/>
        <v>1</v>
      </c>
      <c r="AW17" s="79">
        <v>0</v>
      </c>
      <c r="AX17" s="45" t="str">
        <f t="shared" si="31"/>
        <v/>
      </c>
      <c r="AY17" s="29" t="str">
        <f t="shared" si="32"/>
        <v/>
      </c>
      <c r="AZ17" s="29" t="str">
        <f t="shared" si="33"/>
        <v/>
      </c>
      <c r="BA17" s="29" t="s">
        <v>699</v>
      </c>
      <c r="BB17" s="29">
        <f t="shared" si="34"/>
        <v>0</v>
      </c>
      <c r="BC17">
        <f t="shared" si="35"/>
        <v>0</v>
      </c>
      <c r="BD17" s="78" t="str" cm="1">
        <f t="array" ref="BD17">IF(BC17&lt;&gt;1, "", IF(AK17&gt;0, INT(AK17/SUMPRODUCT(($AK$3:$AK$1000&gt;0)*($AK$3:$AK$1000), ($BC$3:$BC$1000))*$AB$12/AT17), INT(AK17/SUMPRODUCT(($AK$3:$AK$1000&lt;0)*($AK$3:$AK$1000), ($BC$3:$BC$1000))*$AB$13/AT17)))</f>
        <v/>
      </c>
      <c r="BE17" t="str">
        <f t="shared" si="36"/>
        <v/>
      </c>
      <c r="BF17" s="65" t="str">
        <f t="shared" si="37"/>
        <v/>
      </c>
      <c r="BN17" s="75">
        <v>0.13999999999999999</v>
      </c>
      <c r="BO17" s="57">
        <v>0.95882712375758195</v>
      </c>
      <c r="BP17" s="57">
        <v>2.1431589597656071</v>
      </c>
      <c r="BQ17" s="57"/>
      <c r="BR17" s="26">
        <f t="shared" si="16"/>
        <v>0.59216591800401264</v>
      </c>
      <c r="BT17" s="74">
        <v>0.13999999999999999</v>
      </c>
      <c r="BU17" s="74">
        <v>0.59216591800401264</v>
      </c>
    </row>
    <row r="18" spans="2:73" x14ac:dyDescent="0.3">
      <c r="B18" s="18" t="s">
        <v>1070</v>
      </c>
      <c r="C18" s="18" t="s">
        <v>1144</v>
      </c>
      <c r="D18" s="18" t="s">
        <v>1283</v>
      </c>
      <c r="E18" s="44" t="s">
        <v>1147</v>
      </c>
      <c r="F18" s="18" t="s">
        <v>13</v>
      </c>
      <c r="G18" s="18" t="s">
        <v>10</v>
      </c>
      <c r="H18" s="19">
        <v>1925.8045544000001</v>
      </c>
      <c r="I18" s="18">
        <v>1509</v>
      </c>
      <c r="J18" s="20">
        <v>102.64</v>
      </c>
      <c r="K18" s="19">
        <v>154883.76</v>
      </c>
      <c r="L18" s="12">
        <f t="shared" si="17"/>
        <v>1.0325584E-2</v>
      </c>
      <c r="M18" s="12">
        <f t="shared" si="18"/>
        <v>1.0004001600640256E-2</v>
      </c>
      <c r="N18" s="15" t="str">
        <f t="shared" si="19"/>
        <v/>
      </c>
      <c r="O18" s="15" t="str">
        <f t="shared" si="20"/>
        <v/>
      </c>
      <c r="P18" s="15">
        <f t="shared" si="21"/>
        <v>1</v>
      </c>
      <c r="Q18" s="15" t="str">
        <f t="shared" si="22"/>
        <v>Sell</v>
      </c>
      <c r="R18" s="55">
        <f t="shared" si="23"/>
        <v>46</v>
      </c>
      <c r="S18" s="33">
        <f t="shared" si="24"/>
        <v>4721.4399999999996</v>
      </c>
      <c r="T18" s="33" t="str">
        <f t="shared" si="25"/>
        <v/>
      </c>
      <c r="U18" s="15" t="str">
        <f t="shared" si="26"/>
        <v/>
      </c>
      <c r="V18" s="15">
        <f t="shared" si="27"/>
        <v>0.46</v>
      </c>
      <c r="W18" s="62">
        <f t="shared" si="28"/>
        <v>9.742790335151989E-5</v>
      </c>
      <c r="X18" s="15"/>
      <c r="Y18" s="1">
        <f t="shared" si="29"/>
        <v>3.21582399359744E-4</v>
      </c>
      <c r="AB18" s="51"/>
      <c r="AC18" s="51"/>
      <c r="AD18" s="52">
        <f>AD16-AD15</f>
        <v>-4748.8790015029081</v>
      </c>
      <c r="AH18" s="35">
        <v>45714</v>
      </c>
      <c r="AI18" s="31" t="s">
        <v>1322</v>
      </c>
      <c r="AJ18" s="32">
        <v>0.01</v>
      </c>
      <c r="AK18" s="28">
        <f t="shared" si="12"/>
        <v>1.0004001600640256E-2</v>
      </c>
      <c r="AL18" s="28" t="s">
        <v>1347</v>
      </c>
      <c r="AM18" s="28" t="s">
        <v>1322</v>
      </c>
      <c r="AN18" s="28" t="s">
        <v>1348</v>
      </c>
      <c r="AO18" s="28" t="s">
        <v>1349</v>
      </c>
      <c r="AP18" s="28" t="s">
        <v>1350</v>
      </c>
      <c r="AQ18" s="28" t="s">
        <v>73</v>
      </c>
      <c r="AR18" s="28" t="s">
        <v>13</v>
      </c>
      <c r="AS18" s="73">
        <v>1046.55992715</v>
      </c>
      <c r="AT18" s="8">
        <v>40.35</v>
      </c>
      <c r="AU18" s="73" t="s">
        <v>1322</v>
      </c>
      <c r="AV18" s="73" t="b">
        <f t="shared" si="30"/>
        <v>1</v>
      </c>
      <c r="AW18" s="79">
        <v>0</v>
      </c>
      <c r="AX18" s="45" t="str">
        <f t="shared" si="31"/>
        <v/>
      </c>
      <c r="AY18" s="29" t="str">
        <f t="shared" si="32"/>
        <v/>
      </c>
      <c r="AZ18" s="29" t="str">
        <f t="shared" si="33"/>
        <v/>
      </c>
      <c r="BA18" s="29" t="s">
        <v>699</v>
      </c>
      <c r="BB18" s="29">
        <f t="shared" si="34"/>
        <v>0</v>
      </c>
      <c r="BC18">
        <f t="shared" si="35"/>
        <v>0</v>
      </c>
      <c r="BD18" s="78" t="str" cm="1">
        <f t="array" ref="BD18">IF(BC18&lt;&gt;1, "", IF(AK18&gt;0, INT(AK18/SUMPRODUCT(($AK$3:$AK$1000&gt;0)*($AK$3:$AK$1000), ($BC$3:$BC$1000))*$AB$12/AT18), INT(AK18/SUMPRODUCT(($AK$3:$AK$1000&lt;0)*($AK$3:$AK$1000), ($BC$3:$BC$1000))*$AB$13/AT18)))</f>
        <v/>
      </c>
      <c r="BE18" t="str">
        <f t="shared" si="36"/>
        <v/>
      </c>
      <c r="BF18" s="65" t="str">
        <f t="shared" si="37"/>
        <v/>
      </c>
      <c r="BN18" s="75">
        <v>0.15</v>
      </c>
      <c r="BO18" s="57">
        <v>0.95882712375758195</v>
      </c>
      <c r="BP18" s="57">
        <v>2.1764979413281069</v>
      </c>
      <c r="BQ18" s="57"/>
      <c r="BR18" s="26">
        <f t="shared" si="16"/>
        <v>0.60883540878526254</v>
      </c>
      <c r="BT18" s="74">
        <v>0.15</v>
      </c>
      <c r="BU18" s="74">
        <v>0.60883540878526254</v>
      </c>
    </row>
    <row r="19" spans="2:73" x14ac:dyDescent="0.3">
      <c r="B19" s="18" t="s">
        <v>172</v>
      </c>
      <c r="C19" s="18" t="s">
        <v>173</v>
      </c>
      <c r="D19" s="18" t="s">
        <v>174</v>
      </c>
      <c r="E19" s="44" t="s">
        <v>178</v>
      </c>
      <c r="F19" s="18" t="s">
        <v>23</v>
      </c>
      <c r="G19" s="18" t="s">
        <v>10</v>
      </c>
      <c r="H19" s="19">
        <v>1326.8120545800002</v>
      </c>
      <c r="I19" s="18">
        <v>19149</v>
      </c>
      <c r="J19" s="20">
        <v>8.07</v>
      </c>
      <c r="K19" s="19">
        <v>154532.43</v>
      </c>
      <c r="L19" s="12">
        <f t="shared" si="17"/>
        <v>1.0302162E-2</v>
      </c>
      <c r="M19" s="12">
        <f t="shared" si="18"/>
        <v>1.0004001600640256E-2</v>
      </c>
      <c r="N19" s="15" t="str">
        <f t="shared" si="19"/>
        <v/>
      </c>
      <c r="O19" s="15" t="str">
        <f t="shared" si="20"/>
        <v/>
      </c>
      <c r="P19" s="15">
        <f t="shared" si="21"/>
        <v>1</v>
      </c>
      <c r="Q19" s="15" t="str">
        <f t="shared" si="22"/>
        <v>Sell</v>
      </c>
      <c r="R19" s="55">
        <f t="shared" si="23"/>
        <v>554</v>
      </c>
      <c r="S19" s="33">
        <f t="shared" si="24"/>
        <v>4470.78</v>
      </c>
      <c r="T19" s="33" t="str">
        <f t="shared" si="25"/>
        <v/>
      </c>
      <c r="U19" s="15" t="str">
        <f t="shared" si="26"/>
        <v/>
      </c>
      <c r="V19" s="15">
        <f t="shared" si="27"/>
        <v>5.54</v>
      </c>
      <c r="W19" s="62">
        <f t="shared" si="28"/>
        <v>1.2391573729863693E-3</v>
      </c>
      <c r="X19" s="15"/>
      <c r="Y19" s="1">
        <f t="shared" si="29"/>
        <v>2.9816039935974363E-4</v>
      </c>
      <c r="AA19" s="43" t="s">
        <v>153</v>
      </c>
      <c r="AB19" s="52">
        <f>AB16*250</f>
        <v>1084753155.0000005</v>
      </c>
      <c r="AC19" s="58">
        <f>AB19/AB15</f>
        <v>36.569191262653931</v>
      </c>
      <c r="AD19" s="51"/>
      <c r="AE19" s="50"/>
      <c r="AH19" s="35">
        <v>45714</v>
      </c>
      <c r="AI19" s="31" t="s">
        <v>628</v>
      </c>
      <c r="AJ19" s="32">
        <v>0.01</v>
      </c>
      <c r="AK19" s="28">
        <f t="shared" si="12"/>
        <v>1.0004001600640256E-2</v>
      </c>
      <c r="AL19" s="28" t="s">
        <v>640</v>
      </c>
      <c r="AM19" s="28" t="s">
        <v>628</v>
      </c>
      <c r="AN19" s="28" t="s">
        <v>1654</v>
      </c>
      <c r="AO19" s="28" t="s">
        <v>632</v>
      </c>
      <c r="AP19" s="28" t="s">
        <v>633</v>
      </c>
      <c r="AQ19" s="28" t="s">
        <v>73</v>
      </c>
      <c r="AR19" s="28" t="s">
        <v>20</v>
      </c>
      <c r="AS19" s="73">
        <v>6750.1028624299997</v>
      </c>
      <c r="AT19" s="8">
        <v>309.49</v>
      </c>
      <c r="AU19" s="73" t="s">
        <v>628</v>
      </c>
      <c r="AV19" s="73" t="b">
        <f t="shared" si="30"/>
        <v>1</v>
      </c>
      <c r="AW19" s="79">
        <v>0</v>
      </c>
      <c r="AX19" s="45" t="str">
        <f t="shared" si="31"/>
        <v/>
      </c>
      <c r="AY19" s="29" t="str">
        <f t="shared" si="32"/>
        <v/>
      </c>
      <c r="AZ19" s="29" t="str">
        <f t="shared" si="33"/>
        <v/>
      </c>
      <c r="BA19" s="29" t="s">
        <v>699</v>
      </c>
      <c r="BB19" s="29">
        <f t="shared" si="34"/>
        <v>0</v>
      </c>
      <c r="BC19">
        <f t="shared" si="35"/>
        <v>0</v>
      </c>
      <c r="BD19" s="78" t="str" cm="1">
        <f t="array" ref="BD19">IF(BC19&lt;&gt;1, "", IF(AK19&gt;0, INT(AK19/SUMPRODUCT(($AK$3:$AK$1000&gt;0)*($AK$3:$AK$1000), ($BC$3:$BC$1000))*$AB$12/AT19), INT(AK19/SUMPRODUCT(($AK$3:$AK$1000&lt;0)*($AK$3:$AK$1000), ($BC$3:$BC$1000))*$AB$13/AT19)))</f>
        <v/>
      </c>
      <c r="BE19" t="str">
        <f t="shared" si="36"/>
        <v/>
      </c>
      <c r="BF19" s="65" t="str">
        <f t="shared" si="37"/>
        <v/>
      </c>
      <c r="BN19" s="75">
        <v>0.16</v>
      </c>
      <c r="BO19" s="57">
        <v>0.96317096766188826</v>
      </c>
      <c r="BP19" s="57">
        <v>2.292289691328107</v>
      </c>
      <c r="BQ19" s="57"/>
      <c r="BR19" s="26">
        <f t="shared" si="16"/>
        <v>0.66455936183310937</v>
      </c>
      <c r="BT19" s="74">
        <v>0.16</v>
      </c>
      <c r="BU19" s="74">
        <v>0.66455936183310937</v>
      </c>
    </row>
    <row r="20" spans="2:73" x14ac:dyDescent="0.3">
      <c r="B20" s="18" t="s">
        <v>1061</v>
      </c>
      <c r="C20" s="18" t="s">
        <v>1110</v>
      </c>
      <c r="D20" s="18" t="s">
        <v>1274</v>
      </c>
      <c r="E20" s="44" t="s">
        <v>1113</v>
      </c>
      <c r="F20" s="18" t="s">
        <v>14</v>
      </c>
      <c r="G20" s="18" t="s">
        <v>10</v>
      </c>
      <c r="H20" s="19">
        <v>58081.464999999997</v>
      </c>
      <c r="I20" s="18">
        <v>3853</v>
      </c>
      <c r="J20" s="20">
        <v>40.07</v>
      </c>
      <c r="K20" s="19">
        <v>154389.71</v>
      </c>
      <c r="L20" s="12">
        <f t="shared" si="17"/>
        <v>1.0292647333333333E-2</v>
      </c>
      <c r="M20" s="12">
        <f t="shared" si="18"/>
        <v>1.0004001600640256E-2</v>
      </c>
      <c r="N20" s="15" t="str">
        <f t="shared" si="19"/>
        <v/>
      </c>
      <c r="O20" s="15" t="str">
        <f t="shared" si="20"/>
        <v/>
      </c>
      <c r="P20" s="15">
        <f t="shared" si="21"/>
        <v>1</v>
      </c>
      <c r="Q20" s="15" t="str">
        <f t="shared" si="22"/>
        <v>Sell</v>
      </c>
      <c r="R20" s="55">
        <f t="shared" si="23"/>
        <v>108</v>
      </c>
      <c r="S20" s="33">
        <f t="shared" si="24"/>
        <v>4327.5600000000004</v>
      </c>
      <c r="T20" s="33" t="str">
        <f t="shared" si="25"/>
        <v/>
      </c>
      <c r="U20" s="15" t="str">
        <f t="shared" si="26"/>
        <v/>
      </c>
      <c r="V20" s="15">
        <f t="shared" si="27"/>
        <v>1.08</v>
      </c>
      <c r="W20" s="62">
        <f t="shared" si="28"/>
        <v>2.495632642874969E-4</v>
      </c>
      <c r="X20" s="15"/>
      <c r="Y20" s="1">
        <f t="shared" si="29"/>
        <v>2.8864573269307692E-4</v>
      </c>
      <c r="AA20" s="43" t="s">
        <v>153</v>
      </c>
      <c r="AB20" s="52">
        <f>AB19*0.04%</f>
        <v>433901.26200000022</v>
      </c>
      <c r="AC20" s="59">
        <f>AB20/AB15</f>
        <v>1.4627676505061573E-2</v>
      </c>
      <c r="AD20" s="51"/>
      <c r="AH20" s="35">
        <v>45714</v>
      </c>
      <c r="AI20" s="31" t="s">
        <v>1063</v>
      </c>
      <c r="AJ20" s="32">
        <v>0.01</v>
      </c>
      <c r="AK20" s="28">
        <f t="shared" si="12"/>
        <v>1.0004001600640256E-2</v>
      </c>
      <c r="AL20" s="28" t="s">
        <v>1118</v>
      </c>
      <c r="AM20" s="28" t="s">
        <v>1063</v>
      </c>
      <c r="AN20" s="28" t="s">
        <v>1119</v>
      </c>
      <c r="AO20" s="28" t="s">
        <v>1120</v>
      </c>
      <c r="AP20" s="28" t="s">
        <v>1121</v>
      </c>
      <c r="AQ20" s="28" t="s">
        <v>73</v>
      </c>
      <c r="AR20" s="28" t="s">
        <v>14</v>
      </c>
      <c r="AS20" s="73">
        <v>19537.023001924899</v>
      </c>
      <c r="AT20" s="8">
        <v>124.38</v>
      </c>
      <c r="AU20" s="73" t="s">
        <v>1063</v>
      </c>
      <c r="AV20" s="73" t="b">
        <f t="shared" si="30"/>
        <v>1</v>
      </c>
      <c r="AW20" s="79">
        <v>0</v>
      </c>
      <c r="AX20" s="45" t="str">
        <f t="shared" si="31"/>
        <v/>
      </c>
      <c r="AY20" s="29" t="str">
        <f t="shared" si="32"/>
        <v/>
      </c>
      <c r="AZ20" s="29" t="str">
        <f t="shared" si="33"/>
        <v/>
      </c>
      <c r="BA20" s="29" t="s">
        <v>699</v>
      </c>
      <c r="BB20" s="29">
        <f t="shared" si="34"/>
        <v>0</v>
      </c>
      <c r="BC20">
        <f t="shared" si="35"/>
        <v>0</v>
      </c>
      <c r="BD20" s="78" t="str" cm="1">
        <f t="array" ref="BD20">IF(BC20&lt;&gt;1, "", IF(AK20&gt;0, INT(AK20/SUMPRODUCT(($AK$3:$AK$1000&gt;0)*($AK$3:$AK$1000), ($BC$3:$BC$1000))*$AB$12/AT20), INT(AK20/SUMPRODUCT(($AK$3:$AK$1000&lt;0)*($AK$3:$AK$1000), ($BC$3:$BC$1000))*$AB$13/AT20)))</f>
        <v/>
      </c>
      <c r="BE20" t="str">
        <f t="shared" si="36"/>
        <v/>
      </c>
      <c r="BF20" s="65" t="str">
        <f t="shared" si="37"/>
        <v/>
      </c>
      <c r="BN20" s="75">
        <v>0.17</v>
      </c>
      <c r="BO20" s="57">
        <v>0.96317096766188826</v>
      </c>
      <c r="BP20" s="57">
        <v>2.292289691328107</v>
      </c>
      <c r="BQ20" s="57"/>
      <c r="BR20" s="26">
        <f t="shared" si="16"/>
        <v>0.66455936183310937</v>
      </c>
      <c r="BT20" s="74">
        <v>0.17</v>
      </c>
      <c r="BU20" s="74">
        <v>0.66455936183310937</v>
      </c>
    </row>
    <row r="21" spans="2:73" x14ac:dyDescent="0.3">
      <c r="B21" s="18" t="s">
        <v>1065</v>
      </c>
      <c r="C21" s="18" t="s">
        <v>1126</v>
      </c>
      <c r="D21" s="18" t="s">
        <v>1278</v>
      </c>
      <c r="E21" s="44" t="s">
        <v>1129</v>
      </c>
      <c r="F21" s="18" t="s">
        <v>11</v>
      </c>
      <c r="G21" s="18" t="s">
        <v>10</v>
      </c>
      <c r="H21" s="19">
        <v>1180.0145817600001</v>
      </c>
      <c r="I21" s="18">
        <v>13115</v>
      </c>
      <c r="J21" s="20">
        <v>11.76</v>
      </c>
      <c r="K21" s="19">
        <v>154232.4</v>
      </c>
      <c r="L21" s="12">
        <f t="shared" si="17"/>
        <v>1.028216E-2</v>
      </c>
      <c r="M21" s="12">
        <f t="shared" si="18"/>
        <v>1.0004001600640256E-2</v>
      </c>
      <c r="N21" s="15" t="str">
        <f t="shared" si="19"/>
        <v/>
      </c>
      <c r="O21" s="15" t="str">
        <f t="shared" si="20"/>
        <v/>
      </c>
      <c r="P21" s="15">
        <f t="shared" si="21"/>
        <v>1</v>
      </c>
      <c r="Q21" s="15" t="str">
        <f t="shared" si="22"/>
        <v>Sell</v>
      </c>
      <c r="R21" s="55">
        <f t="shared" si="23"/>
        <v>354</v>
      </c>
      <c r="S21" s="33">
        <f t="shared" si="24"/>
        <v>4163.04</v>
      </c>
      <c r="T21" s="33" t="str">
        <f t="shared" si="25"/>
        <v/>
      </c>
      <c r="U21" s="15" t="str">
        <f t="shared" si="26"/>
        <v/>
      </c>
      <c r="V21" s="15">
        <f t="shared" si="27"/>
        <v>3.54</v>
      </c>
      <c r="W21" s="62">
        <f t="shared" si="28"/>
        <v>8.5034013605442174E-4</v>
      </c>
      <c r="X21" s="15"/>
      <c r="Y21" s="1">
        <f t="shared" si="29"/>
        <v>2.7815839935974376E-4</v>
      </c>
      <c r="AH21" s="35">
        <v>45714</v>
      </c>
      <c r="AI21" s="31" t="s">
        <v>553</v>
      </c>
      <c r="AJ21" s="32">
        <v>0.01</v>
      </c>
      <c r="AK21" s="28">
        <f t="shared" si="12"/>
        <v>1.0004001600640256E-2</v>
      </c>
      <c r="AL21" s="28" t="s">
        <v>558</v>
      </c>
      <c r="AM21" s="28" t="s">
        <v>553</v>
      </c>
      <c r="AN21" s="28" t="s">
        <v>667</v>
      </c>
      <c r="AO21" s="28" t="s">
        <v>559</v>
      </c>
      <c r="AP21" s="28" t="s">
        <v>560</v>
      </c>
      <c r="AQ21" s="28" t="s">
        <v>73</v>
      </c>
      <c r="AR21" s="28" t="s">
        <v>13</v>
      </c>
      <c r="AS21" s="73">
        <v>3363.8697245899998</v>
      </c>
      <c r="AT21" s="8">
        <v>54.07</v>
      </c>
      <c r="AU21" s="73" t="s">
        <v>553</v>
      </c>
      <c r="AV21" s="73" t="b">
        <f t="shared" si="30"/>
        <v>1</v>
      </c>
      <c r="AW21" s="79">
        <v>0</v>
      </c>
      <c r="AX21" s="45" t="str">
        <f t="shared" si="31"/>
        <v/>
      </c>
      <c r="AY21" s="29" t="str">
        <f t="shared" si="32"/>
        <v/>
      </c>
      <c r="AZ21" s="29" t="str">
        <f t="shared" si="33"/>
        <v/>
      </c>
      <c r="BA21" s="29" t="s">
        <v>699</v>
      </c>
      <c r="BB21" s="29">
        <f t="shared" si="34"/>
        <v>0</v>
      </c>
      <c r="BC21">
        <f t="shared" si="35"/>
        <v>0</v>
      </c>
      <c r="BD21" s="78" t="str" cm="1">
        <f t="array" ref="BD21">IF(BC21&lt;&gt;1, "", IF(AK21&gt;0, INT(AK21/SUMPRODUCT(($AK$3:$AK$1000&gt;0)*($AK$3:$AK$1000), ($BC$3:$BC$1000))*$AB$12/AT21), INT(AK21/SUMPRODUCT(($AK$3:$AK$1000&lt;0)*($AK$3:$AK$1000), ($BC$3:$BC$1000))*$AB$13/AT21)))</f>
        <v/>
      </c>
      <c r="BE21" t="str">
        <f t="shared" si="36"/>
        <v/>
      </c>
      <c r="BF21" s="65" t="str">
        <f t="shared" si="37"/>
        <v/>
      </c>
      <c r="BN21" s="75">
        <v>0.18000000000000002</v>
      </c>
      <c r="BO21" s="57">
        <v>0.93400147053908111</v>
      </c>
      <c r="BP21" s="57">
        <v>2.3245647704426906</v>
      </c>
      <c r="BQ21" s="57"/>
      <c r="BR21" s="26">
        <f t="shared" si="16"/>
        <v>0.69528164995180475</v>
      </c>
      <c r="BT21" s="74">
        <v>0.18000000000000002</v>
      </c>
      <c r="BU21" s="74">
        <v>0.69528164995180475</v>
      </c>
    </row>
    <row r="22" spans="2:73" x14ac:dyDescent="0.3">
      <c r="B22" s="18" t="s">
        <v>1632</v>
      </c>
      <c r="C22" s="18" t="s">
        <v>1655</v>
      </c>
      <c r="D22" s="18" t="s">
        <v>1811</v>
      </c>
      <c r="E22" s="44" t="s">
        <v>1658</v>
      </c>
      <c r="F22" s="18" t="s">
        <v>25</v>
      </c>
      <c r="G22" s="18" t="s">
        <v>10</v>
      </c>
      <c r="H22" s="19">
        <v>29791.089637000005</v>
      </c>
      <c r="I22" s="18">
        <v>2255</v>
      </c>
      <c r="J22" s="20">
        <v>68.150000000000006</v>
      </c>
      <c r="K22" s="19">
        <v>153678.25</v>
      </c>
      <c r="L22" s="12">
        <f t="shared" si="17"/>
        <v>1.0245216666666666E-2</v>
      </c>
      <c r="M22" s="12">
        <f t="shared" si="18"/>
        <v>1.0004001600640256E-2</v>
      </c>
      <c r="N22" s="15" t="str">
        <f t="shared" si="19"/>
        <v/>
      </c>
      <c r="O22" s="15" t="str">
        <f t="shared" si="20"/>
        <v/>
      </c>
      <c r="P22" s="15">
        <f t="shared" si="21"/>
        <v>1</v>
      </c>
      <c r="Q22" s="15" t="str">
        <f t="shared" si="22"/>
        <v>Sell</v>
      </c>
      <c r="R22" s="55">
        <f t="shared" si="23"/>
        <v>53</v>
      </c>
      <c r="S22" s="33">
        <f t="shared" si="24"/>
        <v>3611.9500000000003</v>
      </c>
      <c r="T22" s="33" t="str">
        <f t="shared" si="25"/>
        <v/>
      </c>
      <c r="U22" s="15" t="str">
        <f t="shared" si="26"/>
        <v/>
      </c>
      <c r="V22" s="15">
        <f t="shared" si="27"/>
        <v>0.53</v>
      </c>
      <c r="W22" s="62">
        <f t="shared" si="28"/>
        <v>1.4673514306676449E-4</v>
      </c>
      <c r="X22" s="15"/>
      <c r="Y22" s="1">
        <f t="shared" si="29"/>
        <v>2.4121506602640952E-4</v>
      </c>
      <c r="AA22" s="43" t="s">
        <v>162</v>
      </c>
      <c r="AB22" s="69">
        <v>15000000</v>
      </c>
      <c r="AC22" s="67">
        <f>AB15/2</f>
        <v>14831516.879999999</v>
      </c>
      <c r="AH22" s="35">
        <v>45714</v>
      </c>
      <c r="AI22" s="31" t="s">
        <v>701</v>
      </c>
      <c r="AJ22" s="32">
        <v>0.01</v>
      </c>
      <c r="AK22" s="28">
        <f t="shared" si="12"/>
        <v>1.0004001600640256E-2</v>
      </c>
      <c r="AL22" s="28" t="s">
        <v>712</v>
      </c>
      <c r="AM22" s="28" t="s">
        <v>701</v>
      </c>
      <c r="AN22" s="28" t="s">
        <v>713</v>
      </c>
      <c r="AO22" s="28" t="s">
        <v>714</v>
      </c>
      <c r="AP22" s="28" t="s">
        <v>715</v>
      </c>
      <c r="AQ22" s="28" t="s">
        <v>73</v>
      </c>
      <c r="AR22" s="28" t="s">
        <v>13</v>
      </c>
      <c r="AS22" s="73">
        <v>3787.3095528399999</v>
      </c>
      <c r="AT22" s="8">
        <v>70.510000000000005</v>
      </c>
      <c r="AU22" s="73" t="s">
        <v>701</v>
      </c>
      <c r="AV22" s="73" t="b">
        <f t="shared" si="30"/>
        <v>1</v>
      </c>
      <c r="AW22" s="79">
        <v>0</v>
      </c>
      <c r="AX22" s="45" t="str">
        <f t="shared" si="31"/>
        <v/>
      </c>
      <c r="AY22" s="29" t="str">
        <f t="shared" si="32"/>
        <v/>
      </c>
      <c r="AZ22" s="29" t="str">
        <f t="shared" si="33"/>
        <v/>
      </c>
      <c r="BA22" s="29" t="s">
        <v>699</v>
      </c>
      <c r="BB22" s="29">
        <f t="shared" si="34"/>
        <v>0</v>
      </c>
      <c r="BC22">
        <f t="shared" si="35"/>
        <v>0</v>
      </c>
      <c r="BD22" s="78" t="str" cm="1">
        <f t="array" ref="BD22">IF(BC22&lt;&gt;1, "", IF(AK22&gt;0, INT(AK22/SUMPRODUCT(($AK$3:$AK$1000&gt;0)*($AK$3:$AK$1000), ($BC$3:$BC$1000))*$AB$12/AT22), INT(AK22/SUMPRODUCT(($AK$3:$AK$1000&lt;0)*($AK$3:$AK$1000), ($BC$3:$BC$1000))*$AB$13/AT22)))</f>
        <v/>
      </c>
      <c r="BE22" t="str">
        <f t="shared" si="36"/>
        <v/>
      </c>
      <c r="BF22" s="65" t="str">
        <f t="shared" si="37"/>
        <v/>
      </c>
      <c r="BN22" s="75">
        <v>0.19000000000000003</v>
      </c>
      <c r="BO22" s="57">
        <v>0.94066387628070791</v>
      </c>
      <c r="BP22" s="57">
        <v>2.469607086276024</v>
      </c>
      <c r="BQ22" s="57"/>
      <c r="BR22" s="26">
        <f t="shared" si="16"/>
        <v>0.76447160499765809</v>
      </c>
      <c r="BT22" s="74">
        <v>0.21000000000000005</v>
      </c>
      <c r="BU22" s="74">
        <v>0.75178107452237886</v>
      </c>
    </row>
    <row r="23" spans="2:73" x14ac:dyDescent="0.3">
      <c r="B23" s="18" t="s">
        <v>900</v>
      </c>
      <c r="C23" s="18" t="s">
        <v>911</v>
      </c>
      <c r="D23" s="18" t="s">
        <v>938</v>
      </c>
      <c r="E23" s="44" t="s">
        <v>913</v>
      </c>
      <c r="F23" s="18" t="s">
        <v>13</v>
      </c>
      <c r="G23" s="18" t="s">
        <v>10</v>
      </c>
      <c r="H23" s="19">
        <v>18310.199543769999</v>
      </c>
      <c r="I23" s="18">
        <v>386</v>
      </c>
      <c r="J23" s="20">
        <v>398.03</v>
      </c>
      <c r="K23" s="19">
        <v>153639.57999999999</v>
      </c>
      <c r="L23" s="12">
        <f t="shared" si="17"/>
        <v>1.0242638666666666E-2</v>
      </c>
      <c r="M23" s="12">
        <f t="shared" si="18"/>
        <v>1.0004001600640256E-2</v>
      </c>
      <c r="N23" s="15" t="str">
        <f t="shared" si="19"/>
        <v/>
      </c>
      <c r="O23" s="15" t="str">
        <f t="shared" si="20"/>
        <v/>
      </c>
      <c r="P23" s="15">
        <f t="shared" si="21"/>
        <v>1</v>
      </c>
      <c r="Q23" s="15" t="str">
        <f t="shared" si="22"/>
        <v>Sell</v>
      </c>
      <c r="R23" s="55">
        <f t="shared" si="23"/>
        <v>8</v>
      </c>
      <c r="S23" s="33">
        <f t="shared" si="24"/>
        <v>3184.24</v>
      </c>
      <c r="T23" s="33" t="str">
        <f t="shared" si="25"/>
        <v/>
      </c>
      <c r="U23" s="15" t="str">
        <f t="shared" si="26"/>
        <v/>
      </c>
      <c r="V23" s="15">
        <f t="shared" si="27"/>
        <v>0.08</v>
      </c>
      <c r="W23" s="62">
        <f t="shared" si="28"/>
        <v>2.5123734391880011E-5</v>
      </c>
      <c r="X23" s="15"/>
      <c r="Y23" s="1">
        <f t="shared" si="29"/>
        <v>2.3863706602640991E-4</v>
      </c>
      <c r="AA23" s="43" t="s">
        <v>163</v>
      </c>
      <c r="AB23" s="67">
        <f>AB22</f>
        <v>15000000</v>
      </c>
      <c r="AC23" s="67">
        <f>AC22</f>
        <v>14831516.879999999</v>
      </c>
      <c r="AH23" s="35">
        <v>45714</v>
      </c>
      <c r="AI23" s="31" t="s">
        <v>1002</v>
      </c>
      <c r="AJ23" s="32">
        <v>0.01</v>
      </c>
      <c r="AK23" s="28">
        <f t="shared" si="12"/>
        <v>1.0004001600640256E-2</v>
      </c>
      <c r="AL23" s="28" t="s">
        <v>1016</v>
      </c>
      <c r="AM23" s="28" t="s">
        <v>1002</v>
      </c>
      <c r="AN23" s="28" t="s">
        <v>1345</v>
      </c>
      <c r="AO23" s="28" t="s">
        <v>1346</v>
      </c>
      <c r="AP23" s="28" t="s">
        <v>1017</v>
      </c>
      <c r="AQ23" s="28" t="s">
        <v>73</v>
      </c>
      <c r="AR23" s="28" t="s">
        <v>19</v>
      </c>
      <c r="AS23" s="73">
        <v>127801.778689713</v>
      </c>
      <c r="AT23" s="8">
        <v>50.7</v>
      </c>
      <c r="AU23" s="73" t="s">
        <v>1002</v>
      </c>
      <c r="AV23" s="73" t="b">
        <f t="shared" si="30"/>
        <v>1</v>
      </c>
      <c r="AW23" s="79">
        <v>0</v>
      </c>
      <c r="AX23" s="45" t="str">
        <f t="shared" si="31"/>
        <v/>
      </c>
      <c r="AY23" s="29" t="str">
        <f t="shared" si="32"/>
        <v/>
      </c>
      <c r="AZ23" s="29" t="str">
        <f t="shared" si="33"/>
        <v/>
      </c>
      <c r="BA23" s="29" t="s">
        <v>699</v>
      </c>
      <c r="BB23" s="29">
        <f t="shared" si="34"/>
        <v>0</v>
      </c>
      <c r="BC23">
        <f t="shared" si="35"/>
        <v>0</v>
      </c>
      <c r="BD23" s="78" t="str" cm="1">
        <f t="array" ref="BD23">IF(BC23&lt;&gt;1, "", IF(AK23&gt;0, INT(AK23/SUMPRODUCT(($AK$3:$AK$1000&gt;0)*($AK$3:$AK$1000), ($BC$3:$BC$1000))*$AB$12/AT23), INT(AK23/SUMPRODUCT(($AK$3:$AK$1000&lt;0)*($AK$3:$AK$1000), ($BC$3:$BC$1000))*$AB$13/AT23)))</f>
        <v/>
      </c>
      <c r="BE23" t="str">
        <f t="shared" si="36"/>
        <v/>
      </c>
      <c r="BF23" s="65" t="str">
        <f t="shared" si="37"/>
        <v/>
      </c>
      <c r="BN23" s="75">
        <v>0.20000000000000004</v>
      </c>
      <c r="BO23" s="57">
        <v>0.94066387628070791</v>
      </c>
      <c r="BP23" s="57">
        <v>2.469607086276024</v>
      </c>
      <c r="BQ23" s="57"/>
      <c r="BR23" s="26">
        <f t="shared" si="16"/>
        <v>0.76447160499765809</v>
      </c>
      <c r="BT23" s="74">
        <v>0.19000000000000003</v>
      </c>
      <c r="BU23" s="74">
        <v>0.76447160499765809</v>
      </c>
    </row>
    <row r="24" spans="2:73" x14ac:dyDescent="0.3">
      <c r="B24" s="18" t="s">
        <v>1320</v>
      </c>
      <c r="C24" s="18" t="s">
        <v>1337</v>
      </c>
      <c r="D24" s="18" t="s">
        <v>1386</v>
      </c>
      <c r="E24" s="44" t="s">
        <v>1340</v>
      </c>
      <c r="F24" s="18" t="s">
        <v>14</v>
      </c>
      <c r="G24" s="18" t="s">
        <v>10</v>
      </c>
      <c r="H24" s="19">
        <v>43490.949301000001</v>
      </c>
      <c r="I24" s="18">
        <v>679</v>
      </c>
      <c r="J24" s="20">
        <v>226.04</v>
      </c>
      <c r="K24" s="19">
        <v>153481.16</v>
      </c>
      <c r="L24" s="12">
        <f t="shared" si="17"/>
        <v>1.0232077333333334E-2</v>
      </c>
      <c r="M24" s="12">
        <f t="shared" si="18"/>
        <v>1.0004001600640256E-2</v>
      </c>
      <c r="N24" s="15" t="str">
        <f t="shared" si="19"/>
        <v/>
      </c>
      <c r="O24" s="15" t="str">
        <f t="shared" si="20"/>
        <v/>
      </c>
      <c r="P24" s="15">
        <f t="shared" si="21"/>
        <v>1</v>
      </c>
      <c r="Q24" s="15" t="str">
        <f t="shared" si="22"/>
        <v>Sell</v>
      </c>
      <c r="R24" s="55">
        <f t="shared" si="23"/>
        <v>15</v>
      </c>
      <c r="S24" s="33">
        <f t="shared" si="24"/>
        <v>3390.6</v>
      </c>
      <c r="T24" s="33" t="str">
        <f t="shared" si="25"/>
        <v/>
      </c>
      <c r="U24" s="15" t="str">
        <f t="shared" si="26"/>
        <v/>
      </c>
      <c r="V24" s="15">
        <f t="shared" si="27"/>
        <v>0.15</v>
      </c>
      <c r="W24" s="62">
        <f t="shared" si="28"/>
        <v>4.423995752964077E-5</v>
      </c>
      <c r="X24" s="15"/>
      <c r="Y24" s="1">
        <f t="shared" si="29"/>
        <v>2.2807573269307754E-4</v>
      </c>
      <c r="AH24" s="35">
        <v>45714</v>
      </c>
      <c r="AI24" s="31" t="s">
        <v>1067</v>
      </c>
      <c r="AJ24" s="32">
        <v>0.01</v>
      </c>
      <c r="AK24" s="28">
        <f t="shared" si="12"/>
        <v>1.0004001600640256E-2</v>
      </c>
      <c r="AL24" s="28" t="s">
        <v>1133</v>
      </c>
      <c r="AM24" s="28" t="s">
        <v>1067</v>
      </c>
      <c r="AN24" s="28" t="s">
        <v>1134</v>
      </c>
      <c r="AO24" s="28" t="s">
        <v>1135</v>
      </c>
      <c r="AP24" s="28" t="s">
        <v>1136</v>
      </c>
      <c r="AQ24" s="28" t="s">
        <v>73</v>
      </c>
      <c r="AR24" s="28" t="s">
        <v>24</v>
      </c>
      <c r="AS24" s="73">
        <v>47586.44</v>
      </c>
      <c r="AT24" s="8">
        <v>150.59</v>
      </c>
      <c r="AU24" s="73" t="s">
        <v>1067</v>
      </c>
      <c r="AV24" s="73" t="b">
        <f t="shared" si="30"/>
        <v>1</v>
      </c>
      <c r="AW24" s="79">
        <v>0</v>
      </c>
      <c r="AX24" s="45" t="str">
        <f t="shared" si="31"/>
        <v/>
      </c>
      <c r="AY24" s="29" t="str">
        <f t="shared" si="32"/>
        <v/>
      </c>
      <c r="AZ24" s="29" t="str">
        <f t="shared" si="33"/>
        <v/>
      </c>
      <c r="BA24" s="29" t="s">
        <v>699</v>
      </c>
      <c r="BB24" s="29">
        <f t="shared" si="34"/>
        <v>0</v>
      </c>
      <c r="BC24">
        <f t="shared" si="35"/>
        <v>0</v>
      </c>
      <c r="BD24" s="78" t="str" cm="1">
        <f t="array" ref="BD24">IF(BC24&lt;&gt;1, "", IF(AK24&gt;0, INT(AK24/SUMPRODUCT(($AK$3:$AK$1000&gt;0)*($AK$3:$AK$1000), ($BC$3:$BC$1000))*$AB$12/AT24), INT(AK24/SUMPRODUCT(($AK$3:$AK$1000&lt;0)*($AK$3:$AK$1000), ($BC$3:$BC$1000))*$AB$13/AT24)))</f>
        <v/>
      </c>
      <c r="BE24" t="str">
        <f t="shared" si="36"/>
        <v/>
      </c>
      <c r="BF24" s="65" t="str">
        <f t="shared" si="37"/>
        <v/>
      </c>
      <c r="BN24" s="75">
        <v>0.21000000000000005</v>
      </c>
      <c r="BO24" s="57">
        <v>0.96604493723126628</v>
      </c>
      <c r="BP24" s="57">
        <v>2.469607086276024</v>
      </c>
      <c r="BQ24" s="57"/>
      <c r="BR24" s="26">
        <f t="shared" si="16"/>
        <v>0.75178107452237886</v>
      </c>
      <c r="BT24" s="74">
        <v>0.20000000000000004</v>
      </c>
      <c r="BU24" s="74">
        <v>0.76447160499765809</v>
      </c>
    </row>
    <row r="25" spans="2:73" x14ac:dyDescent="0.3">
      <c r="B25" s="18" t="s">
        <v>764</v>
      </c>
      <c r="C25" s="18" t="s">
        <v>778</v>
      </c>
      <c r="D25" s="18" t="s">
        <v>827</v>
      </c>
      <c r="E25" s="44" t="s">
        <v>781</v>
      </c>
      <c r="F25" s="18" t="s">
        <v>14</v>
      </c>
      <c r="G25" s="18" t="s">
        <v>10</v>
      </c>
      <c r="H25" s="19">
        <v>5435.3349058399999</v>
      </c>
      <c r="I25" s="18">
        <v>1502</v>
      </c>
      <c r="J25" s="20">
        <v>102.13</v>
      </c>
      <c r="K25" s="19">
        <v>153399.25999999998</v>
      </c>
      <c r="L25" s="12">
        <f t="shared" si="17"/>
        <v>1.0226617333333332E-2</v>
      </c>
      <c r="M25" s="12">
        <f t="shared" si="18"/>
        <v>1.0004001600640256E-2</v>
      </c>
      <c r="N25" s="15" t="str">
        <f t="shared" si="19"/>
        <v/>
      </c>
      <c r="O25" s="15" t="str">
        <f t="shared" si="20"/>
        <v/>
      </c>
      <c r="P25" s="15">
        <f t="shared" si="21"/>
        <v>1</v>
      </c>
      <c r="Q25" s="15" t="str">
        <f t="shared" si="22"/>
        <v>Sell</v>
      </c>
      <c r="R25" s="55">
        <f t="shared" si="23"/>
        <v>32</v>
      </c>
      <c r="S25" s="33">
        <f t="shared" si="24"/>
        <v>3268.16</v>
      </c>
      <c r="T25" s="33" t="str">
        <f t="shared" si="25"/>
        <v/>
      </c>
      <c r="U25" s="15" t="str">
        <f t="shared" si="26"/>
        <v/>
      </c>
      <c r="V25" s="15">
        <f t="shared" si="27"/>
        <v>0.32</v>
      </c>
      <c r="W25" s="62">
        <f t="shared" si="28"/>
        <v>9.7914422794477635E-5</v>
      </c>
      <c r="X25" s="15"/>
      <c r="Y25" s="1">
        <f t="shared" si="29"/>
        <v>2.2261573269307527E-4</v>
      </c>
      <c r="AA25" s="43" t="s">
        <v>164</v>
      </c>
      <c r="AB25" s="67">
        <f>SUMIF(K3:K500,"&gt;0",K3:K500)</f>
        <v>15033489.714999994</v>
      </c>
      <c r="AD25" s="67">
        <f>AB22-AB25</f>
        <v>-33489.714999994263</v>
      </c>
      <c r="AH25" s="35">
        <v>45714</v>
      </c>
      <c r="AI25" s="31" t="s">
        <v>1327</v>
      </c>
      <c r="AJ25" s="32">
        <v>0.01</v>
      </c>
      <c r="AK25" s="28">
        <f t="shared" si="12"/>
        <v>1.0004001600640256E-2</v>
      </c>
      <c r="AL25" s="28" t="s">
        <v>1364</v>
      </c>
      <c r="AM25" s="28" t="s">
        <v>1327</v>
      </c>
      <c r="AN25" s="28" t="s">
        <v>1365</v>
      </c>
      <c r="AO25" s="28" t="s">
        <v>1366</v>
      </c>
      <c r="AP25" s="28" t="s">
        <v>1367</v>
      </c>
      <c r="AQ25" s="28" t="s">
        <v>73</v>
      </c>
      <c r="AR25" s="28" t="s">
        <v>13</v>
      </c>
      <c r="AS25" s="73">
        <v>370.43444784000002</v>
      </c>
      <c r="AT25" s="8">
        <v>13.83</v>
      </c>
      <c r="AU25" s="73" t="s">
        <v>1327</v>
      </c>
      <c r="AV25" s="73" t="b">
        <f t="shared" si="30"/>
        <v>1</v>
      </c>
      <c r="AW25" s="79">
        <v>0</v>
      </c>
      <c r="AX25" s="45" t="str">
        <f t="shared" si="31"/>
        <v/>
      </c>
      <c r="AY25" s="29" t="str">
        <f t="shared" si="32"/>
        <v/>
      </c>
      <c r="AZ25" s="29" t="str">
        <f t="shared" si="33"/>
        <v/>
      </c>
      <c r="BA25" s="29" t="s">
        <v>699</v>
      </c>
      <c r="BB25" s="29">
        <f t="shared" si="34"/>
        <v>0</v>
      </c>
      <c r="BC25">
        <f t="shared" si="35"/>
        <v>0</v>
      </c>
      <c r="BD25" s="78" t="str" cm="1">
        <f t="array" ref="BD25">IF(BC25&lt;&gt;1, "", IF(AK25&gt;0, INT(AK25/SUMPRODUCT(($AK$3:$AK$1000&gt;0)*($AK$3:$AK$1000), ($BC$3:$BC$1000))*$AB$12/AT25), INT(AK25/SUMPRODUCT(($AK$3:$AK$1000&lt;0)*($AK$3:$AK$1000), ($BC$3:$BC$1000))*$AB$13/AT25)))</f>
        <v/>
      </c>
      <c r="BE25" t="str">
        <f t="shared" si="36"/>
        <v/>
      </c>
      <c r="BF25" s="65" t="str">
        <f t="shared" si="37"/>
        <v/>
      </c>
      <c r="BN25" s="75">
        <v>0.22000000000000006</v>
      </c>
      <c r="BO25" s="57">
        <v>0.96604493723126628</v>
      </c>
      <c r="BP25" s="57">
        <v>2.5261373408072747</v>
      </c>
      <c r="BQ25" s="57"/>
      <c r="BR25" s="26">
        <f t="shared" si="16"/>
        <v>0.78004620178800421</v>
      </c>
      <c r="BT25" s="74">
        <v>0.26000000000000006</v>
      </c>
      <c r="BU25" s="74">
        <v>0.76815456423777118</v>
      </c>
    </row>
    <row r="26" spans="2:73" x14ac:dyDescent="0.3">
      <c r="B26" s="18" t="s">
        <v>349</v>
      </c>
      <c r="C26" s="18" t="s">
        <v>355</v>
      </c>
      <c r="D26" s="18" t="s">
        <v>362</v>
      </c>
      <c r="E26" s="44" t="s">
        <v>357</v>
      </c>
      <c r="F26" s="18" t="s">
        <v>20</v>
      </c>
      <c r="G26" s="18" t="s">
        <v>10</v>
      </c>
      <c r="H26" s="19">
        <v>10215.8265675</v>
      </c>
      <c r="I26" s="18">
        <v>1434</v>
      </c>
      <c r="J26" s="20">
        <v>106.95</v>
      </c>
      <c r="K26" s="19">
        <v>153366.30000000002</v>
      </c>
      <c r="L26" s="12">
        <f t="shared" si="17"/>
        <v>1.0224420000000001E-2</v>
      </c>
      <c r="M26" s="12">
        <f t="shared" si="18"/>
        <v>1.0004001600640256E-2</v>
      </c>
      <c r="N26" s="15" t="str">
        <f t="shared" si="19"/>
        <v/>
      </c>
      <c r="O26" s="15" t="str">
        <f t="shared" si="20"/>
        <v/>
      </c>
      <c r="P26" s="15">
        <f t="shared" si="21"/>
        <v>1</v>
      </c>
      <c r="Q26" s="15" t="str">
        <f t="shared" si="22"/>
        <v>Sell</v>
      </c>
      <c r="R26" s="55">
        <f t="shared" si="23"/>
        <v>30</v>
      </c>
      <c r="S26" s="33">
        <f t="shared" si="24"/>
        <v>3208.5</v>
      </c>
      <c r="T26" s="33" t="str">
        <f t="shared" si="25"/>
        <v/>
      </c>
      <c r="U26" s="15" t="str">
        <f t="shared" si="26"/>
        <v/>
      </c>
      <c r="V26" s="15">
        <f t="shared" si="27"/>
        <v>0.3</v>
      </c>
      <c r="W26" s="62">
        <f t="shared" si="28"/>
        <v>9.3501636278634867E-5</v>
      </c>
      <c r="X26" s="15"/>
      <c r="Y26" s="1">
        <f t="shared" si="29"/>
        <v>2.2041839935974493E-4</v>
      </c>
      <c r="AA26" s="43" t="s">
        <v>165</v>
      </c>
      <c r="AB26" s="67">
        <f>-SUMIF(K3:K500,"&lt;0",K3:K500)</f>
        <v>14629544.045000004</v>
      </c>
      <c r="AD26" s="67">
        <f>AB23-AB26</f>
        <v>370455.95499999635</v>
      </c>
      <c r="AH26" s="35">
        <v>45714</v>
      </c>
      <c r="AI26" s="31" t="s">
        <v>1632</v>
      </c>
      <c r="AJ26" s="32">
        <v>0.01</v>
      </c>
      <c r="AK26" s="28">
        <f t="shared" si="12"/>
        <v>1.0004001600640256E-2</v>
      </c>
      <c r="AL26" s="28" t="s">
        <v>1655</v>
      </c>
      <c r="AM26" s="28" t="s">
        <v>1632</v>
      </c>
      <c r="AN26" s="28" t="s">
        <v>1656</v>
      </c>
      <c r="AO26" s="28" t="s">
        <v>1657</v>
      </c>
      <c r="AP26" s="28" t="s">
        <v>1658</v>
      </c>
      <c r="AQ26" s="28" t="s">
        <v>73</v>
      </c>
      <c r="AR26" s="28" t="s">
        <v>25</v>
      </c>
      <c r="AS26" s="73">
        <v>29791.089637000001</v>
      </c>
      <c r="AT26" s="8">
        <v>68.150000000000006</v>
      </c>
      <c r="AU26" s="73" t="s">
        <v>1632</v>
      </c>
      <c r="AV26" s="73" t="b">
        <f t="shared" si="30"/>
        <v>1</v>
      </c>
      <c r="AW26" s="79">
        <v>0</v>
      </c>
      <c r="AX26" s="45" t="str">
        <f t="shared" si="31"/>
        <v/>
      </c>
      <c r="AY26" s="29" t="str">
        <f t="shared" si="32"/>
        <v/>
      </c>
      <c r="AZ26" s="29" t="str">
        <f t="shared" si="33"/>
        <v/>
      </c>
      <c r="BA26" s="29" t="s">
        <v>699</v>
      </c>
      <c r="BB26" s="29">
        <f t="shared" si="34"/>
        <v>0</v>
      </c>
      <c r="BC26">
        <f t="shared" si="35"/>
        <v>0</v>
      </c>
      <c r="BD26" s="78" t="str" cm="1">
        <f t="array" ref="BD26">IF(BC26&lt;&gt;1, "", IF(AK26&gt;0, INT(AK26/SUMPRODUCT(($AK$3:$AK$1000&gt;0)*($AK$3:$AK$1000), ($BC$3:$BC$1000))*$AB$12/AT26), INT(AK26/SUMPRODUCT(($AK$3:$AK$1000&lt;0)*($AK$3:$AK$1000), ($BC$3:$BC$1000))*$AB$13/AT26)))</f>
        <v/>
      </c>
      <c r="BE26" t="str">
        <f t="shared" si="36"/>
        <v/>
      </c>
      <c r="BF26" s="65" t="str">
        <f t="shared" si="37"/>
        <v/>
      </c>
      <c r="BN26" s="75">
        <v>0.23000000000000007</v>
      </c>
      <c r="BO26" s="57">
        <v>0.96604493723126628</v>
      </c>
      <c r="BP26" s="57">
        <v>2.5261373408072747</v>
      </c>
      <c r="BQ26" s="57"/>
      <c r="BR26" s="26">
        <f t="shared" si="16"/>
        <v>0.78004620178800421</v>
      </c>
      <c r="BT26" s="74">
        <v>0.25000000000000006</v>
      </c>
      <c r="BU26" s="74">
        <v>0.77272175900012541</v>
      </c>
    </row>
    <row r="27" spans="2:73" x14ac:dyDescent="0.3">
      <c r="B27" s="18" t="s">
        <v>1062</v>
      </c>
      <c r="C27" s="18" t="s">
        <v>1114</v>
      </c>
      <c r="D27" s="18" t="s">
        <v>1275</v>
      </c>
      <c r="E27" s="44" t="s">
        <v>1117</v>
      </c>
      <c r="F27" s="18" t="s">
        <v>22</v>
      </c>
      <c r="G27" s="18" t="s">
        <v>10</v>
      </c>
      <c r="H27" s="19">
        <v>1082.9872427400001</v>
      </c>
      <c r="I27" s="18">
        <v>14276</v>
      </c>
      <c r="J27" s="20">
        <v>10.74</v>
      </c>
      <c r="K27" s="19">
        <v>153324.24</v>
      </c>
      <c r="L27" s="12">
        <f t="shared" si="17"/>
        <v>1.0221615999999999E-2</v>
      </c>
      <c r="M27" s="12">
        <f t="shared" si="18"/>
        <v>1.0004001600640256E-2</v>
      </c>
      <c r="N27" s="15" t="str">
        <f t="shared" si="19"/>
        <v/>
      </c>
      <c r="O27" s="15" t="str">
        <f t="shared" si="20"/>
        <v/>
      </c>
      <c r="P27" s="15">
        <f t="shared" si="21"/>
        <v>1</v>
      </c>
      <c r="Q27" s="15" t="str">
        <f t="shared" si="22"/>
        <v>Sell</v>
      </c>
      <c r="R27" s="55">
        <f t="shared" si="23"/>
        <v>303</v>
      </c>
      <c r="S27" s="33">
        <f t="shared" si="24"/>
        <v>3254.2200000000003</v>
      </c>
      <c r="T27" s="33" t="str">
        <f t="shared" si="25"/>
        <v/>
      </c>
      <c r="U27" s="15" t="str">
        <f t="shared" si="26"/>
        <v/>
      </c>
      <c r="V27" s="15">
        <f t="shared" si="27"/>
        <v>3.0300000000000002</v>
      </c>
      <c r="W27" s="62">
        <f t="shared" si="28"/>
        <v>9.3109869646182495E-4</v>
      </c>
      <c r="X27" s="15"/>
      <c r="Y27" s="1">
        <f t="shared" si="29"/>
        <v>2.1761439935974285E-4</v>
      </c>
      <c r="AH27" s="35">
        <v>45714</v>
      </c>
      <c r="AI27" s="31" t="s">
        <v>1829</v>
      </c>
      <c r="AJ27" s="32">
        <v>0.01</v>
      </c>
      <c r="AK27" s="28">
        <f t="shared" si="12"/>
        <v>1.0004001600640256E-2</v>
      </c>
      <c r="AL27" s="28" t="s">
        <v>1853</v>
      </c>
      <c r="AM27" s="28" t="s">
        <v>1829</v>
      </c>
      <c r="AN27" s="28" t="s">
        <v>1854</v>
      </c>
      <c r="AO27" s="28" t="s">
        <v>1855</v>
      </c>
      <c r="AP27" s="28" t="s">
        <v>1856</v>
      </c>
      <c r="AQ27" s="28" t="s">
        <v>73</v>
      </c>
      <c r="AR27" s="28" t="s">
        <v>11</v>
      </c>
      <c r="AS27" s="73">
        <v>4590.5691217000003</v>
      </c>
      <c r="AT27" s="8">
        <v>101.81</v>
      </c>
      <c r="AU27" s="73" t="s">
        <v>1829</v>
      </c>
      <c r="AV27" s="73" t="b">
        <f t="shared" si="30"/>
        <v>1</v>
      </c>
      <c r="AW27" s="79">
        <v>0</v>
      </c>
      <c r="AX27" s="45" t="str">
        <f t="shared" si="31"/>
        <v/>
      </c>
      <c r="AY27" s="29" t="str">
        <f t="shared" si="32"/>
        <v/>
      </c>
      <c r="AZ27" s="29" t="str">
        <f t="shared" si="33"/>
        <v/>
      </c>
      <c r="BA27" s="29" t="s">
        <v>699</v>
      </c>
      <c r="BB27" s="29">
        <f t="shared" si="34"/>
        <v>0</v>
      </c>
      <c r="BC27">
        <f t="shared" si="35"/>
        <v>1</v>
      </c>
      <c r="BD27" s="78" cm="1">
        <f t="array" ref="BD27">IF(BC27&lt;&gt;1, "", IF(AK27&gt;0, INT(AK27/SUMPRODUCT(($AK$3:$AK$1000&gt;0)*($AK$3:$AK$1000), ($BC$3:$BC$1000))*$AB$12/AT27), INT(AK27/SUMPRODUCT(($AK$3:$AK$1000&lt;0)*($AK$3:$AK$1000), ($BC$3:$BC$1000))*$AB$13/AT27)))</f>
        <v>1469</v>
      </c>
      <c r="BE27" t="str">
        <f t="shared" si="36"/>
        <v>Buy</v>
      </c>
      <c r="BF27" s="65">
        <f t="shared" si="37"/>
        <v>149558.89000000001</v>
      </c>
      <c r="BN27" s="75">
        <v>0.24000000000000007</v>
      </c>
      <c r="BO27" s="57">
        <v>0.96604493723126628</v>
      </c>
      <c r="BP27" s="57">
        <v>2.5261373408072747</v>
      </c>
      <c r="BQ27" s="57"/>
      <c r="BR27" s="26">
        <f t="shared" si="16"/>
        <v>0.78004620178800421</v>
      </c>
      <c r="BT27" s="74">
        <v>0.27000000000000007</v>
      </c>
      <c r="BU27" s="74">
        <v>0.77590109755834547</v>
      </c>
    </row>
    <row r="28" spans="2:73" x14ac:dyDescent="0.3">
      <c r="B28" s="18" t="s">
        <v>657</v>
      </c>
      <c r="C28" s="18" t="s">
        <v>664</v>
      </c>
      <c r="D28" s="18" t="s">
        <v>678</v>
      </c>
      <c r="E28" s="44" t="s">
        <v>666</v>
      </c>
      <c r="F28" s="18" t="s">
        <v>19</v>
      </c>
      <c r="G28" s="18" t="s">
        <v>10</v>
      </c>
      <c r="H28" s="19">
        <v>13293.380723229999</v>
      </c>
      <c r="I28" s="18">
        <v>1954</v>
      </c>
      <c r="J28" s="20">
        <v>78.41</v>
      </c>
      <c r="K28" s="19">
        <v>153213.13999999998</v>
      </c>
      <c r="L28" s="12">
        <f t="shared" si="17"/>
        <v>1.0214209333333332E-2</v>
      </c>
      <c r="M28" s="12">
        <f t="shared" si="18"/>
        <v>1.0004001600640256E-2</v>
      </c>
      <c r="N28" s="15" t="str">
        <f t="shared" si="19"/>
        <v/>
      </c>
      <c r="O28" s="15" t="str">
        <f t="shared" si="20"/>
        <v/>
      </c>
      <c r="P28" s="15">
        <f t="shared" si="21"/>
        <v>1</v>
      </c>
      <c r="Q28" s="15" t="str">
        <f t="shared" si="22"/>
        <v>Sell</v>
      </c>
      <c r="R28" s="55">
        <f t="shared" si="23"/>
        <v>40</v>
      </c>
      <c r="S28" s="33">
        <f t="shared" si="24"/>
        <v>3136.3999999999996</v>
      </c>
      <c r="T28" s="33" t="str">
        <f t="shared" si="25"/>
        <v/>
      </c>
      <c r="U28" s="15" t="str">
        <f t="shared" si="26"/>
        <v/>
      </c>
      <c r="V28" s="15">
        <f t="shared" si="27"/>
        <v>0.4</v>
      </c>
      <c r="W28" s="62">
        <f t="shared" si="28"/>
        <v>1.2753475322025253E-4</v>
      </c>
      <c r="X28" s="15"/>
      <c r="Y28" s="1">
        <f t="shared" si="29"/>
        <v>2.1020773269307506E-4</v>
      </c>
      <c r="AH28" s="35">
        <v>45714</v>
      </c>
      <c r="AI28" s="31" t="s">
        <v>1320</v>
      </c>
      <c r="AJ28" s="32">
        <v>0.01</v>
      </c>
      <c r="AK28" s="28">
        <f t="shared" si="12"/>
        <v>1.0004001600640256E-2</v>
      </c>
      <c r="AL28" s="28" t="s">
        <v>1337</v>
      </c>
      <c r="AM28" s="28" t="s">
        <v>1320</v>
      </c>
      <c r="AN28" s="28" t="s">
        <v>1338</v>
      </c>
      <c r="AO28" s="28" t="s">
        <v>1339</v>
      </c>
      <c r="AP28" s="28" t="s">
        <v>1340</v>
      </c>
      <c r="AQ28" s="28" t="s">
        <v>73</v>
      </c>
      <c r="AR28" s="28" t="s">
        <v>14</v>
      </c>
      <c r="AS28" s="73">
        <v>43490.949301000001</v>
      </c>
      <c r="AT28" s="8">
        <v>226.04</v>
      </c>
      <c r="AU28" s="73" t="s">
        <v>1320</v>
      </c>
      <c r="AV28" s="73" t="b">
        <f t="shared" si="30"/>
        <v>1</v>
      </c>
      <c r="AW28" s="79">
        <v>0</v>
      </c>
      <c r="AX28" s="45" t="str">
        <f t="shared" si="31"/>
        <v/>
      </c>
      <c r="AY28" s="29" t="str">
        <f t="shared" si="32"/>
        <v/>
      </c>
      <c r="AZ28" s="29" t="str">
        <f t="shared" si="33"/>
        <v/>
      </c>
      <c r="BA28" s="29" t="s">
        <v>699</v>
      </c>
      <c r="BB28" s="29">
        <f t="shared" si="34"/>
        <v>0</v>
      </c>
      <c r="BC28">
        <f t="shared" si="35"/>
        <v>0</v>
      </c>
      <c r="BD28" s="78" t="str" cm="1">
        <f t="array" ref="BD28">IF(BC28&lt;&gt;1, "", IF(AK28&gt;0, INT(AK28/SUMPRODUCT(($AK$3:$AK$1000&gt;0)*($AK$3:$AK$1000), ($BC$3:$BC$1000))*$AB$12/AT28), INT(AK28/SUMPRODUCT(($AK$3:$AK$1000&lt;0)*($AK$3:$AK$1000), ($BC$3:$BC$1000))*$AB$13/AT28)))</f>
        <v/>
      </c>
      <c r="BE28" t="str">
        <f t="shared" si="36"/>
        <v/>
      </c>
      <c r="BF28" s="65" t="str">
        <f t="shared" si="37"/>
        <v/>
      </c>
      <c r="BN28" s="75">
        <v>0.25000000000000006</v>
      </c>
      <c r="BO28" s="57">
        <v>0.98069382280702388</v>
      </c>
      <c r="BP28" s="57">
        <v>2.5261373408072747</v>
      </c>
      <c r="BQ28" s="57"/>
      <c r="BR28" s="26">
        <f t="shared" si="16"/>
        <v>0.77272175900012541</v>
      </c>
      <c r="BT28" s="74">
        <v>0.22000000000000006</v>
      </c>
      <c r="BU28" s="74">
        <v>0.78004620178800421</v>
      </c>
    </row>
    <row r="29" spans="2:73" x14ac:dyDescent="0.3">
      <c r="B29" s="18" t="s">
        <v>1321</v>
      </c>
      <c r="C29" s="18" t="s">
        <v>1341</v>
      </c>
      <c r="D29" s="18" t="s">
        <v>1387</v>
      </c>
      <c r="E29" s="44" t="s">
        <v>1344</v>
      </c>
      <c r="F29" s="18" t="s">
        <v>25</v>
      </c>
      <c r="G29" s="18" t="s">
        <v>10</v>
      </c>
      <c r="H29" s="19">
        <v>25444.92238</v>
      </c>
      <c r="I29" s="18">
        <v>7209</v>
      </c>
      <c r="J29" s="20">
        <v>21.25</v>
      </c>
      <c r="K29" s="19">
        <v>153191.25</v>
      </c>
      <c r="L29" s="12">
        <f t="shared" si="17"/>
        <v>1.021275E-2</v>
      </c>
      <c r="M29" s="12">
        <f t="shared" si="18"/>
        <v>1.0004001600640256E-2</v>
      </c>
      <c r="N29" s="15" t="str">
        <f t="shared" si="19"/>
        <v/>
      </c>
      <c r="O29" s="15" t="str">
        <f t="shared" si="20"/>
        <v/>
      </c>
      <c r="P29" s="15">
        <f t="shared" si="21"/>
        <v>1</v>
      </c>
      <c r="Q29" s="15" t="str">
        <f t="shared" si="22"/>
        <v>Sell</v>
      </c>
      <c r="R29" s="55">
        <f t="shared" si="23"/>
        <v>147</v>
      </c>
      <c r="S29" s="33">
        <f t="shared" si="24"/>
        <v>3123.75</v>
      </c>
      <c r="T29" s="33" t="str">
        <f t="shared" si="25"/>
        <v/>
      </c>
      <c r="U29" s="15" t="str">
        <f t="shared" si="26"/>
        <v/>
      </c>
      <c r="V29" s="15">
        <f t="shared" si="27"/>
        <v>1.47</v>
      </c>
      <c r="W29" s="62">
        <f t="shared" si="28"/>
        <v>4.7058823529411766E-4</v>
      </c>
      <c r="X29" s="15"/>
      <c r="Y29" s="1">
        <f t="shared" si="29"/>
        <v>2.0874839935974311E-4</v>
      </c>
      <c r="AH29" s="35">
        <v>45714</v>
      </c>
      <c r="AI29" s="31" t="s">
        <v>629</v>
      </c>
      <c r="AJ29" s="32">
        <v>0.01</v>
      </c>
      <c r="AK29" s="28">
        <f t="shared" si="12"/>
        <v>1.0004001600640256E-2</v>
      </c>
      <c r="AL29" s="28" t="s">
        <v>642</v>
      </c>
      <c r="AM29" s="28" t="s">
        <v>629</v>
      </c>
      <c r="AN29" s="28" t="s">
        <v>1659</v>
      </c>
      <c r="AO29" s="28" t="s">
        <v>634</v>
      </c>
      <c r="AP29" s="28" t="s">
        <v>635</v>
      </c>
      <c r="AQ29" s="28" t="s">
        <v>73</v>
      </c>
      <c r="AR29" s="28" t="s">
        <v>11</v>
      </c>
      <c r="AS29" s="73">
        <v>5376.69714294</v>
      </c>
      <c r="AT29" s="8">
        <v>209.34</v>
      </c>
      <c r="AU29" s="73" t="s">
        <v>629</v>
      </c>
      <c r="AV29" s="73" t="b">
        <f t="shared" si="30"/>
        <v>1</v>
      </c>
      <c r="AW29" s="79">
        <v>0</v>
      </c>
      <c r="AX29" s="45" t="str">
        <f t="shared" si="31"/>
        <v/>
      </c>
      <c r="AY29" s="29" t="str">
        <f t="shared" si="32"/>
        <v/>
      </c>
      <c r="AZ29" s="29" t="str">
        <f t="shared" si="33"/>
        <v/>
      </c>
      <c r="BA29" s="29" t="s">
        <v>699</v>
      </c>
      <c r="BB29" s="29">
        <f t="shared" si="34"/>
        <v>0</v>
      </c>
      <c r="BC29">
        <f t="shared" si="35"/>
        <v>0</v>
      </c>
      <c r="BD29" s="78" t="str" cm="1">
        <f t="array" ref="BD29">IF(BC29&lt;&gt;1, "", IF(AK29&gt;0, INT(AK29/SUMPRODUCT(($AK$3:$AK$1000&gt;0)*($AK$3:$AK$1000), ($BC$3:$BC$1000))*$AB$12/AT29), INT(AK29/SUMPRODUCT(($AK$3:$AK$1000&lt;0)*($AK$3:$AK$1000), ($BC$3:$BC$1000))*$AB$13/AT29)))</f>
        <v/>
      </c>
      <c r="BE29" t="str">
        <f t="shared" si="36"/>
        <v/>
      </c>
      <c r="BF29" s="65" t="str">
        <f t="shared" si="37"/>
        <v/>
      </c>
      <c r="BN29" s="75">
        <v>0.26000000000000006</v>
      </c>
      <c r="BO29" s="57">
        <v>1.0101717876682677</v>
      </c>
      <c r="BP29" s="57">
        <v>2.5261373408072747</v>
      </c>
      <c r="BQ29" s="57"/>
      <c r="BR29" s="26">
        <f t="shared" si="16"/>
        <v>0.76815456423777118</v>
      </c>
      <c r="BT29" s="74">
        <v>0.23000000000000007</v>
      </c>
      <c r="BU29" s="74">
        <v>0.78004620178800421</v>
      </c>
    </row>
    <row r="30" spans="2:73" x14ac:dyDescent="0.3">
      <c r="B30" s="18" t="s">
        <v>843</v>
      </c>
      <c r="C30" s="18" t="s">
        <v>863</v>
      </c>
      <c r="D30" s="18" t="s">
        <v>893</v>
      </c>
      <c r="E30" s="44" t="s">
        <v>865</v>
      </c>
      <c r="F30" s="18" t="s">
        <v>20</v>
      </c>
      <c r="G30" s="18" t="s">
        <v>10</v>
      </c>
      <c r="H30" s="19">
        <v>3884.0222014800001</v>
      </c>
      <c r="I30" s="18">
        <v>3035</v>
      </c>
      <c r="J30" s="20">
        <v>50.36</v>
      </c>
      <c r="K30" s="19">
        <v>152842.6</v>
      </c>
      <c r="L30" s="12">
        <f t="shared" si="17"/>
        <v>1.0189506666666667E-2</v>
      </c>
      <c r="M30" s="12">
        <f t="shared" si="18"/>
        <v>1.0004001600640256E-2</v>
      </c>
      <c r="N30" s="15" t="str">
        <f t="shared" si="19"/>
        <v/>
      </c>
      <c r="O30" s="15" t="str">
        <f t="shared" si="20"/>
        <v/>
      </c>
      <c r="P30" s="15" t="str">
        <f t="shared" si="21"/>
        <v/>
      </c>
      <c r="Q30" s="15" t="str">
        <f t="shared" si="22"/>
        <v/>
      </c>
      <c r="R30" s="55" t="str">
        <f t="shared" si="23"/>
        <v/>
      </c>
      <c r="S30" s="33" t="str">
        <f t="shared" si="24"/>
        <v/>
      </c>
      <c r="T30" s="33" t="str">
        <f t="shared" si="25"/>
        <v/>
      </c>
      <c r="U30" s="15" t="str">
        <f t="shared" si="26"/>
        <v/>
      </c>
      <c r="V30" s="15" t="str">
        <f t="shared" si="27"/>
        <v/>
      </c>
      <c r="W30" s="62" t="str">
        <f t="shared" si="28"/>
        <v/>
      </c>
      <c r="X30" s="15"/>
      <c r="Y30" s="1">
        <f t="shared" si="29"/>
        <v>1.8550506602641077E-4</v>
      </c>
      <c r="AA30" s="83" t="s">
        <v>108</v>
      </c>
      <c r="AB30" s="85" t="s">
        <v>7</v>
      </c>
      <c r="AC30" s="85" t="s">
        <v>8</v>
      </c>
      <c r="AD30" s="85" t="s">
        <v>9</v>
      </c>
      <c r="AH30" s="35">
        <v>45714</v>
      </c>
      <c r="AI30" s="31" t="s">
        <v>948</v>
      </c>
      <c r="AJ30" s="32">
        <v>0.01</v>
      </c>
      <c r="AK30" s="28">
        <f t="shared" si="12"/>
        <v>1.0004001600640256E-2</v>
      </c>
      <c r="AL30" s="28" t="s">
        <v>965</v>
      </c>
      <c r="AM30" s="28" t="s">
        <v>948</v>
      </c>
      <c r="AN30" s="28" t="s">
        <v>966</v>
      </c>
      <c r="AO30" s="28" t="s">
        <v>967</v>
      </c>
      <c r="AP30" s="28" t="s">
        <v>968</v>
      </c>
      <c r="AQ30" s="28" t="s">
        <v>73</v>
      </c>
      <c r="AR30" s="28" t="s">
        <v>22</v>
      </c>
      <c r="AS30" s="73">
        <v>1944.9739210800001</v>
      </c>
      <c r="AT30" s="8">
        <v>32.46</v>
      </c>
      <c r="AU30" s="73" t="s">
        <v>948</v>
      </c>
      <c r="AV30" s="73" t="b">
        <f t="shared" si="30"/>
        <v>1</v>
      </c>
      <c r="AW30" s="79">
        <v>0</v>
      </c>
      <c r="AX30" s="45" t="str">
        <f t="shared" si="31"/>
        <v/>
      </c>
      <c r="AY30" s="29" t="str">
        <f t="shared" si="32"/>
        <v/>
      </c>
      <c r="AZ30" s="29" t="str">
        <f t="shared" si="33"/>
        <v/>
      </c>
      <c r="BA30" s="29" t="s">
        <v>699</v>
      </c>
      <c r="BB30" s="29">
        <f t="shared" si="34"/>
        <v>0</v>
      </c>
      <c r="BC30">
        <f t="shared" si="35"/>
        <v>0</v>
      </c>
      <c r="BD30" s="78" t="str" cm="1">
        <f t="array" ref="BD30">IF(BC30&lt;&gt;1, "", IF(AK30&gt;0, INT(AK30/SUMPRODUCT(($AK$3:$AK$1000&gt;0)*($AK$3:$AK$1000), ($BC$3:$BC$1000))*$AB$12/AT30), INT(AK30/SUMPRODUCT(($AK$3:$AK$1000&lt;0)*($AK$3:$AK$1000), ($BC$3:$BC$1000))*$AB$13/AT30)))</f>
        <v/>
      </c>
      <c r="BE30" t="str">
        <f t="shared" si="36"/>
        <v/>
      </c>
      <c r="BF30" s="65" t="str">
        <f t="shared" si="37"/>
        <v/>
      </c>
      <c r="BN30" s="75">
        <v>0.27000000000000007</v>
      </c>
      <c r="BO30" s="57">
        <v>1.0256648543094162</v>
      </c>
      <c r="BP30" s="57">
        <v>2.5261373408072747</v>
      </c>
      <c r="BQ30" s="57"/>
      <c r="BR30" s="26">
        <f t="shared" si="16"/>
        <v>0.77590109755834547</v>
      </c>
      <c r="BT30" s="74">
        <v>0.24000000000000007</v>
      </c>
      <c r="BU30" s="74">
        <v>0.78004620178800421</v>
      </c>
    </row>
    <row r="31" spans="2:73" x14ac:dyDescent="0.3">
      <c r="B31" s="18" t="s">
        <v>1322</v>
      </c>
      <c r="C31" s="18" t="s">
        <v>1347</v>
      </c>
      <c r="D31" s="18" t="s">
        <v>1389</v>
      </c>
      <c r="E31" s="44" t="s">
        <v>1350</v>
      </c>
      <c r="F31" s="18" t="s">
        <v>13</v>
      </c>
      <c r="G31" s="18" t="s">
        <v>10</v>
      </c>
      <c r="H31" s="19">
        <v>1046.55992715</v>
      </c>
      <c r="I31" s="18">
        <v>3785</v>
      </c>
      <c r="J31" s="20">
        <v>40.35</v>
      </c>
      <c r="K31" s="19">
        <v>152724.75</v>
      </c>
      <c r="L31" s="12">
        <f t="shared" si="17"/>
        <v>1.018165E-2</v>
      </c>
      <c r="M31" s="12">
        <f t="shared" si="18"/>
        <v>1.0004001600640256E-2</v>
      </c>
      <c r="N31" s="15" t="str">
        <f t="shared" si="19"/>
        <v/>
      </c>
      <c r="O31" s="15" t="str">
        <f t="shared" si="20"/>
        <v/>
      </c>
      <c r="P31" s="15" t="str">
        <f t="shared" si="21"/>
        <v/>
      </c>
      <c r="Q31" s="15" t="str">
        <f t="shared" si="22"/>
        <v/>
      </c>
      <c r="R31" s="55" t="str">
        <f t="shared" si="23"/>
        <v/>
      </c>
      <c r="S31" s="33" t="str">
        <f t="shared" si="24"/>
        <v/>
      </c>
      <c r="T31" s="33" t="str">
        <f t="shared" si="25"/>
        <v/>
      </c>
      <c r="U31" s="15" t="str">
        <f t="shared" si="26"/>
        <v/>
      </c>
      <c r="V31" s="15" t="str">
        <f t="shared" si="27"/>
        <v/>
      </c>
      <c r="W31" s="62" t="str">
        <f t="shared" si="28"/>
        <v/>
      </c>
      <c r="X31" s="15"/>
      <c r="Y31" s="1">
        <f t="shared" si="29"/>
        <v>1.7764839935974393E-4</v>
      </c>
      <c r="AA31" s="84"/>
      <c r="AB31" s="86"/>
      <c r="AC31" s="86"/>
      <c r="AD31" s="86"/>
      <c r="AH31" s="35">
        <v>45714</v>
      </c>
      <c r="AI31" s="31" t="s">
        <v>348</v>
      </c>
      <c r="AJ31" s="32">
        <v>0.01</v>
      </c>
      <c r="AK31" s="28">
        <f t="shared" si="12"/>
        <v>1.0004001600640256E-2</v>
      </c>
      <c r="AL31" s="28" t="s">
        <v>352</v>
      </c>
      <c r="AM31" s="28" t="s">
        <v>348</v>
      </c>
      <c r="AN31" s="28" t="s">
        <v>1660</v>
      </c>
      <c r="AO31" s="28" t="s">
        <v>353</v>
      </c>
      <c r="AP31" s="28" t="s">
        <v>354</v>
      </c>
      <c r="AQ31" s="28" t="s">
        <v>73</v>
      </c>
      <c r="AR31" s="28" t="s">
        <v>20</v>
      </c>
      <c r="AS31" s="73">
        <v>2022.3481377600001</v>
      </c>
      <c r="AT31" s="8">
        <v>263.52</v>
      </c>
      <c r="AU31" s="73" t="s">
        <v>348</v>
      </c>
      <c r="AV31" s="73" t="b">
        <f t="shared" si="30"/>
        <v>1</v>
      </c>
      <c r="AW31" s="79">
        <v>0</v>
      </c>
      <c r="AX31" s="45" t="str">
        <f t="shared" si="31"/>
        <v/>
      </c>
      <c r="AY31" s="29" t="str">
        <f t="shared" si="32"/>
        <v/>
      </c>
      <c r="AZ31" s="29" t="str">
        <f t="shared" si="33"/>
        <v/>
      </c>
      <c r="BA31" s="29" t="s">
        <v>699</v>
      </c>
      <c r="BB31" s="29">
        <f t="shared" si="34"/>
        <v>0</v>
      </c>
      <c r="BC31">
        <f t="shared" si="35"/>
        <v>0</v>
      </c>
      <c r="BD31" s="78" t="str" cm="1">
        <f t="array" ref="BD31">IF(BC31&lt;&gt;1, "", IF(AK31&gt;0, INT(AK31/SUMPRODUCT(($AK$3:$AK$1000&gt;0)*($AK$3:$AK$1000), ($BC$3:$BC$1000))*$AB$12/AT31), INT(AK31/SUMPRODUCT(($AK$3:$AK$1000&lt;0)*($AK$3:$AK$1000), ($BC$3:$BC$1000))*$AB$13/AT31)))</f>
        <v/>
      </c>
      <c r="BE31" t="str">
        <f t="shared" si="36"/>
        <v/>
      </c>
      <c r="BF31" s="65" t="str">
        <f t="shared" si="37"/>
        <v/>
      </c>
      <c r="BN31" s="75">
        <v>0.28000000000000008</v>
      </c>
      <c r="BO31" s="57">
        <v>1.0256648543094162</v>
      </c>
      <c r="BP31" s="57">
        <v>2.5805392341406077</v>
      </c>
      <c r="BQ31" s="57"/>
      <c r="BR31" s="26">
        <f t="shared" si="16"/>
        <v>0.80310204422501197</v>
      </c>
      <c r="BT31" s="74">
        <v>0.28000000000000008</v>
      </c>
      <c r="BU31" s="74">
        <v>0.80310204422501197</v>
      </c>
    </row>
    <row r="32" spans="2:73" x14ac:dyDescent="0.3">
      <c r="B32" s="18" t="s">
        <v>29</v>
      </c>
      <c r="C32" s="18" t="s">
        <v>50</v>
      </c>
      <c r="D32" s="18" t="s">
        <v>1609</v>
      </c>
      <c r="E32" s="44" t="s">
        <v>60</v>
      </c>
      <c r="F32" s="18" t="s">
        <v>20</v>
      </c>
      <c r="G32" s="18" t="s">
        <v>10</v>
      </c>
      <c r="H32" s="19">
        <v>567.48299427999984</v>
      </c>
      <c r="I32" s="18">
        <v>8847</v>
      </c>
      <c r="J32" s="20">
        <v>17.239999999999998</v>
      </c>
      <c r="K32" s="19">
        <v>152522.28</v>
      </c>
      <c r="L32" s="12">
        <f t="shared" si="17"/>
        <v>1.0168152E-2</v>
      </c>
      <c r="M32" s="12">
        <f t="shared" si="18"/>
        <v>1.0004001600640256E-2</v>
      </c>
      <c r="N32" s="15" t="str">
        <f t="shared" si="19"/>
        <v/>
      </c>
      <c r="O32" s="15" t="str">
        <f t="shared" si="20"/>
        <v/>
      </c>
      <c r="P32" s="15" t="str">
        <f t="shared" si="21"/>
        <v/>
      </c>
      <c r="Q32" s="15" t="str">
        <f t="shared" si="22"/>
        <v/>
      </c>
      <c r="R32" s="55" t="str">
        <f t="shared" si="23"/>
        <v/>
      </c>
      <c r="S32" s="33" t="str">
        <f t="shared" si="24"/>
        <v/>
      </c>
      <c r="T32" s="33" t="str">
        <f t="shared" si="25"/>
        <v/>
      </c>
      <c r="U32" s="15" t="str">
        <f t="shared" si="26"/>
        <v/>
      </c>
      <c r="V32" s="15" t="str">
        <f t="shared" si="27"/>
        <v/>
      </c>
      <c r="W32" s="62" t="str">
        <f t="shared" si="28"/>
        <v/>
      </c>
      <c r="X32" s="15"/>
      <c r="Y32" s="1">
        <f t="shared" si="29"/>
        <v>1.6415039935974325E-4</v>
      </c>
      <c r="AA32" s="38" t="s">
        <v>12</v>
      </c>
      <c r="AB32" s="3">
        <f>COUNTIF($L$3:$L$501,"&gt;0")</f>
        <v>143</v>
      </c>
      <c r="AC32" s="3">
        <f>COUNTIF($L$3:$L$501,"&lt;0")</f>
        <v>142</v>
      </c>
      <c r="AD32" s="3">
        <f t="shared" ref="AD32:AD38" si="38">AC32+AB32</f>
        <v>285</v>
      </c>
      <c r="AH32" s="35">
        <v>45714</v>
      </c>
      <c r="AI32" s="31" t="s">
        <v>900</v>
      </c>
      <c r="AJ32" s="32">
        <v>0.01</v>
      </c>
      <c r="AK32" s="28">
        <f t="shared" si="12"/>
        <v>1.0004001600640256E-2</v>
      </c>
      <c r="AL32" s="28" t="s">
        <v>911</v>
      </c>
      <c r="AM32" s="28" t="s">
        <v>900</v>
      </c>
      <c r="AN32" s="28" t="s">
        <v>1661</v>
      </c>
      <c r="AO32" s="28" t="s">
        <v>912</v>
      </c>
      <c r="AP32" s="28" t="s">
        <v>913</v>
      </c>
      <c r="AQ32" s="28" t="s">
        <v>73</v>
      </c>
      <c r="AR32" s="28" t="s">
        <v>13</v>
      </c>
      <c r="AS32" s="73">
        <v>18310.199543769999</v>
      </c>
      <c r="AT32" s="8">
        <v>398.03</v>
      </c>
      <c r="AU32" s="73" t="s">
        <v>900</v>
      </c>
      <c r="AV32" s="73" t="b">
        <f t="shared" si="30"/>
        <v>1</v>
      </c>
      <c r="AW32" s="79">
        <v>0</v>
      </c>
      <c r="AX32" s="45" t="str">
        <f t="shared" si="31"/>
        <v/>
      </c>
      <c r="AY32" s="29" t="str">
        <f t="shared" si="32"/>
        <v/>
      </c>
      <c r="AZ32" s="29" t="str">
        <f t="shared" si="33"/>
        <v/>
      </c>
      <c r="BA32" s="29" t="s">
        <v>699</v>
      </c>
      <c r="BB32" s="29">
        <f t="shared" si="34"/>
        <v>0</v>
      </c>
      <c r="BC32">
        <f t="shared" si="35"/>
        <v>0</v>
      </c>
      <c r="BD32" s="78" t="str" cm="1">
        <f t="array" ref="BD32">IF(BC32&lt;&gt;1, "", IF(AK32&gt;0, INT(AK32/SUMPRODUCT(($AK$3:$AK$1000&gt;0)*($AK$3:$AK$1000), ($BC$3:$BC$1000))*$AB$12/AT32), INT(AK32/SUMPRODUCT(($AK$3:$AK$1000&lt;0)*($AK$3:$AK$1000), ($BC$3:$BC$1000))*$AB$13/AT32)))</f>
        <v/>
      </c>
      <c r="BE32" t="str">
        <f t="shared" si="36"/>
        <v/>
      </c>
      <c r="BF32" s="65" t="str">
        <f t="shared" si="37"/>
        <v/>
      </c>
      <c r="BN32" s="75">
        <v>0.29000000000000009</v>
      </c>
      <c r="BO32" s="57">
        <v>0.98049039543860284</v>
      </c>
      <c r="BP32" s="57">
        <v>2.6184270472656079</v>
      </c>
      <c r="BQ32" s="57"/>
      <c r="BR32" s="26">
        <f t="shared" si="16"/>
        <v>0.81896832591350255</v>
      </c>
      <c r="BT32" s="74">
        <v>0.31000000000000011</v>
      </c>
      <c r="BU32" s="74">
        <v>0.81143735226756952</v>
      </c>
    </row>
    <row r="33" spans="2:73" x14ac:dyDescent="0.3">
      <c r="B33" s="18" t="s">
        <v>211</v>
      </c>
      <c r="C33" s="18" t="s">
        <v>213</v>
      </c>
      <c r="D33" s="18" t="s">
        <v>222</v>
      </c>
      <c r="E33" s="44" t="s">
        <v>215</v>
      </c>
      <c r="F33" s="18" t="s">
        <v>20</v>
      </c>
      <c r="G33" s="18" t="s">
        <v>10</v>
      </c>
      <c r="H33" s="19">
        <v>378.72336000000001</v>
      </c>
      <c r="I33" s="18">
        <v>7082</v>
      </c>
      <c r="J33" s="20">
        <v>21.5</v>
      </c>
      <c r="K33" s="19">
        <v>152263</v>
      </c>
      <c r="L33" s="12">
        <f t="shared" si="17"/>
        <v>1.0150866666666666E-2</v>
      </c>
      <c r="M33" s="12">
        <f t="shared" si="18"/>
        <v>1.0004001600640256E-2</v>
      </c>
      <c r="N33" s="15" t="str">
        <f t="shared" si="19"/>
        <v/>
      </c>
      <c r="O33" s="15" t="str">
        <f t="shared" si="20"/>
        <v/>
      </c>
      <c r="P33" s="15" t="str">
        <f t="shared" si="21"/>
        <v/>
      </c>
      <c r="Q33" s="15" t="str">
        <f t="shared" si="22"/>
        <v/>
      </c>
      <c r="R33" s="55" t="str">
        <f t="shared" si="23"/>
        <v/>
      </c>
      <c r="S33" s="33" t="str">
        <f t="shared" si="24"/>
        <v/>
      </c>
      <c r="T33" s="33" t="str">
        <f t="shared" si="25"/>
        <v/>
      </c>
      <c r="U33" s="15" t="str">
        <f t="shared" si="26"/>
        <v/>
      </c>
      <c r="V33" s="15" t="str">
        <f t="shared" si="27"/>
        <v/>
      </c>
      <c r="W33" s="62" t="str">
        <f t="shared" si="28"/>
        <v/>
      </c>
      <c r="X33" s="15"/>
      <c r="Y33" s="1">
        <f t="shared" si="29"/>
        <v>1.4686506602640953E-4</v>
      </c>
      <c r="AA33" s="39" t="s">
        <v>109</v>
      </c>
      <c r="AB33" s="37">
        <f>SUMIF($K$3:$K$501,"&gt;0",$K$3:$K$501)</f>
        <v>15033489.714999994</v>
      </c>
      <c r="AC33" s="37">
        <f>SUMIF($K$3:$K$501,"&lt;0",$K$3:$K$501)</f>
        <v>-14629544.045000004</v>
      </c>
      <c r="AD33" s="37">
        <f t="shared" si="38"/>
        <v>403945.66999999061</v>
      </c>
      <c r="AH33" s="35">
        <v>45714</v>
      </c>
      <c r="AI33" s="31" t="s">
        <v>224</v>
      </c>
      <c r="AJ33" s="32">
        <v>0.01</v>
      </c>
      <c r="AK33" s="28">
        <f t="shared" si="12"/>
        <v>1.0004001600640256E-2</v>
      </c>
      <c r="AL33" s="28" t="s">
        <v>225</v>
      </c>
      <c r="AM33" s="28" t="s">
        <v>224</v>
      </c>
      <c r="AN33" s="28" t="s">
        <v>1662</v>
      </c>
      <c r="AO33" s="28" t="s">
        <v>226</v>
      </c>
      <c r="AP33" s="28" t="s">
        <v>351</v>
      </c>
      <c r="AQ33" s="28" t="s">
        <v>73</v>
      </c>
      <c r="AR33" s="28" t="s">
        <v>22</v>
      </c>
      <c r="AS33" s="73">
        <v>9834.0664658400001</v>
      </c>
      <c r="AT33" s="8">
        <v>11.38</v>
      </c>
      <c r="AU33" s="73" t="s">
        <v>224</v>
      </c>
      <c r="AV33" s="73" t="b">
        <f t="shared" si="30"/>
        <v>1</v>
      </c>
      <c r="AW33" s="79">
        <v>0</v>
      </c>
      <c r="AX33" s="45" t="str">
        <f t="shared" si="31"/>
        <v/>
      </c>
      <c r="AY33" s="29" t="str">
        <f t="shared" si="32"/>
        <v/>
      </c>
      <c r="AZ33" s="29" t="str">
        <f t="shared" si="33"/>
        <v/>
      </c>
      <c r="BA33" s="29" t="s">
        <v>699</v>
      </c>
      <c r="BB33" s="29">
        <f t="shared" si="34"/>
        <v>0</v>
      </c>
      <c r="BC33">
        <f t="shared" si="35"/>
        <v>0</v>
      </c>
      <c r="BD33" s="78" t="str" cm="1">
        <f t="array" ref="BD33">IF(BC33&lt;&gt;1, "", IF(AK33&gt;0, INT(AK33/SUMPRODUCT(($AK$3:$AK$1000&gt;0)*($AK$3:$AK$1000), ($BC$3:$BC$1000))*$AB$12/AT33), INT(AK33/SUMPRODUCT(($AK$3:$AK$1000&lt;0)*($AK$3:$AK$1000), ($BC$3:$BC$1000))*$AB$13/AT33)))</f>
        <v/>
      </c>
      <c r="BE33" t="str">
        <f t="shared" si="36"/>
        <v/>
      </c>
      <c r="BF33" s="65" t="str">
        <f t="shared" si="37"/>
        <v/>
      </c>
      <c r="BN33" s="75">
        <v>0.3000000000000001</v>
      </c>
      <c r="BO33" s="57">
        <v>0.98049039543860284</v>
      </c>
      <c r="BP33" s="57">
        <v>2.6184270472656079</v>
      </c>
      <c r="BQ33" s="57"/>
      <c r="BR33" s="26">
        <f t="shared" si="16"/>
        <v>0.81896832591350255</v>
      </c>
      <c r="BT33" s="74">
        <v>0.29000000000000009</v>
      </c>
      <c r="BU33" s="74">
        <v>0.81896832591350255</v>
      </c>
    </row>
    <row r="34" spans="2:73" x14ac:dyDescent="0.3">
      <c r="B34" s="18" t="s">
        <v>1063</v>
      </c>
      <c r="C34" s="18" t="s">
        <v>1118</v>
      </c>
      <c r="D34" s="18" t="s">
        <v>1276</v>
      </c>
      <c r="E34" s="44" t="s">
        <v>1121</v>
      </c>
      <c r="F34" s="18" t="s">
        <v>14</v>
      </c>
      <c r="G34" s="18" t="s">
        <v>10</v>
      </c>
      <c r="H34" s="19">
        <v>19648.13620932</v>
      </c>
      <c r="I34" s="18">
        <v>1221</v>
      </c>
      <c r="J34" s="20">
        <v>124.38</v>
      </c>
      <c r="K34" s="19">
        <v>151867.97999999998</v>
      </c>
      <c r="L34" s="12">
        <f t="shared" si="17"/>
        <v>1.0124531999999999E-2</v>
      </c>
      <c r="M34" s="12">
        <f t="shared" si="18"/>
        <v>1.0004001600640256E-2</v>
      </c>
      <c r="N34" s="15" t="str">
        <f t="shared" si="19"/>
        <v/>
      </c>
      <c r="O34" s="15" t="str">
        <f t="shared" si="20"/>
        <v/>
      </c>
      <c r="P34" s="15" t="str">
        <f t="shared" si="21"/>
        <v/>
      </c>
      <c r="Q34" s="15" t="str">
        <f t="shared" si="22"/>
        <v/>
      </c>
      <c r="R34" s="55" t="str">
        <f t="shared" si="23"/>
        <v/>
      </c>
      <c r="S34" s="33" t="str">
        <f t="shared" si="24"/>
        <v/>
      </c>
      <c r="T34" s="33" t="str">
        <f t="shared" si="25"/>
        <v/>
      </c>
      <c r="U34" s="15" t="str">
        <f t="shared" si="26"/>
        <v/>
      </c>
      <c r="V34" s="15" t="str">
        <f t="shared" si="27"/>
        <v/>
      </c>
      <c r="W34" s="62" t="str">
        <f t="shared" si="28"/>
        <v/>
      </c>
      <c r="X34" s="15"/>
      <c r="Y34" s="1">
        <f t="shared" si="29"/>
        <v>1.2053039935974209E-4</v>
      </c>
      <c r="AA34" s="38" t="s">
        <v>110</v>
      </c>
      <c r="AB34" s="6">
        <f>AVERAGEIF($L$3:$L$500,"&gt;0",$L$3:$L$500)</f>
        <v>7.008619913752916E-3</v>
      </c>
      <c r="AC34" s="6">
        <f>AVERAGEIF($L$3:$L$500,"&lt;0",$L$3:$L$500)</f>
        <v>-6.8683305375586857E-3</v>
      </c>
      <c r="AD34" s="6">
        <f t="shared" si="38"/>
        <v>1.4028937619423032E-4</v>
      </c>
      <c r="AH34" s="35">
        <v>45714</v>
      </c>
      <c r="AI34" s="31" t="s">
        <v>1066</v>
      </c>
      <c r="AJ34" s="32">
        <v>0.01</v>
      </c>
      <c r="AK34" s="28">
        <f t="shared" si="12"/>
        <v>1.0004001600640256E-2</v>
      </c>
      <c r="AL34" s="28" t="s">
        <v>1130</v>
      </c>
      <c r="AM34" s="28" t="s">
        <v>1066</v>
      </c>
      <c r="AN34" s="28" t="s">
        <v>1663</v>
      </c>
      <c r="AO34" s="28" t="s">
        <v>1131</v>
      </c>
      <c r="AP34" s="28" t="s">
        <v>1132</v>
      </c>
      <c r="AQ34" s="28" t="s">
        <v>73</v>
      </c>
      <c r="AR34" s="28" t="s">
        <v>20</v>
      </c>
      <c r="AS34" s="73">
        <v>6415.3816385099999</v>
      </c>
      <c r="AT34" s="8">
        <v>61.23</v>
      </c>
      <c r="AU34" s="73" t="s">
        <v>1066</v>
      </c>
      <c r="AV34" s="73" t="b">
        <f t="shared" si="30"/>
        <v>1</v>
      </c>
      <c r="AW34" s="79">
        <v>0</v>
      </c>
      <c r="AX34" s="45" t="str">
        <f t="shared" si="31"/>
        <v/>
      </c>
      <c r="AY34" s="29" t="str">
        <f t="shared" si="32"/>
        <v/>
      </c>
      <c r="AZ34" s="29" t="str">
        <f t="shared" si="33"/>
        <v/>
      </c>
      <c r="BA34" s="29" t="s">
        <v>699</v>
      </c>
      <c r="BB34" s="29">
        <f t="shared" si="34"/>
        <v>0</v>
      </c>
      <c r="BC34">
        <f t="shared" si="35"/>
        <v>0</v>
      </c>
      <c r="BD34" s="78" t="str" cm="1">
        <f t="array" ref="BD34">IF(BC34&lt;&gt;1, "", IF(AK34&gt;0, INT(AK34/SUMPRODUCT(($AK$3:$AK$1000&gt;0)*($AK$3:$AK$1000), ($BC$3:$BC$1000))*$AB$12/AT34), INT(AK34/SUMPRODUCT(($AK$3:$AK$1000&lt;0)*($AK$3:$AK$1000), ($BC$3:$BC$1000))*$AB$13/AT34)))</f>
        <v/>
      </c>
      <c r="BE34" t="str">
        <f t="shared" si="36"/>
        <v/>
      </c>
      <c r="BF34" s="65" t="str">
        <f t="shared" si="37"/>
        <v/>
      </c>
      <c r="BN34" s="75">
        <v>0.31000000000000011</v>
      </c>
      <c r="BO34" s="57">
        <v>0.99555234273046878</v>
      </c>
      <c r="BP34" s="57">
        <v>2.6184270472656079</v>
      </c>
      <c r="BQ34" s="57"/>
      <c r="BR34" s="26">
        <f t="shared" si="16"/>
        <v>0.81143735226756952</v>
      </c>
      <c r="BT34" s="74">
        <v>0.3000000000000001</v>
      </c>
      <c r="BU34" s="74">
        <v>0.81896832591350255</v>
      </c>
    </row>
    <row r="35" spans="2:73" x14ac:dyDescent="0.3">
      <c r="B35" s="18" t="s">
        <v>281</v>
      </c>
      <c r="C35" s="18" t="s">
        <v>282</v>
      </c>
      <c r="D35" s="18" t="s">
        <v>344</v>
      </c>
      <c r="E35" s="44" t="s">
        <v>284</v>
      </c>
      <c r="F35" s="18" t="s">
        <v>24</v>
      </c>
      <c r="G35" s="18" t="s">
        <v>10</v>
      </c>
      <c r="H35" s="19">
        <v>1036.4007059999999</v>
      </c>
      <c r="I35" s="18">
        <v>9241</v>
      </c>
      <c r="J35" s="20">
        <v>16.399999999999999</v>
      </c>
      <c r="K35" s="19">
        <v>151552.4</v>
      </c>
      <c r="L35" s="12">
        <f t="shared" si="17"/>
        <v>1.0103493333333333E-2</v>
      </c>
      <c r="M35" s="12">
        <f t="shared" si="18"/>
        <v>1.0004001600640256E-2</v>
      </c>
      <c r="N35" s="15" t="str">
        <f t="shared" si="19"/>
        <v/>
      </c>
      <c r="O35" s="15" t="str">
        <f t="shared" si="20"/>
        <v/>
      </c>
      <c r="P35" s="15" t="str">
        <f t="shared" si="21"/>
        <v/>
      </c>
      <c r="Q35" s="15" t="str">
        <f t="shared" si="22"/>
        <v/>
      </c>
      <c r="R35" s="55" t="str">
        <f t="shared" si="23"/>
        <v/>
      </c>
      <c r="S35" s="33" t="str">
        <f t="shared" si="24"/>
        <v/>
      </c>
      <c r="T35" s="33" t="str">
        <f t="shared" si="25"/>
        <v/>
      </c>
      <c r="U35" s="15" t="str">
        <f t="shared" si="26"/>
        <v/>
      </c>
      <c r="V35" s="15" t="str">
        <f t="shared" si="27"/>
        <v/>
      </c>
      <c r="W35" s="62" t="str">
        <f t="shared" si="28"/>
        <v/>
      </c>
      <c r="X35" s="15"/>
      <c r="Y35" s="1">
        <f t="shared" si="29"/>
        <v>9.9491732693076512E-5</v>
      </c>
      <c r="AA35" s="39" t="s">
        <v>16</v>
      </c>
      <c r="AB35" s="7" cm="1">
        <f t="array" ref="AB35">MEDIAN(IF($L$3:$L$500&gt;0, $L$3:$L$500))</f>
        <v>8.5092699999999993E-3</v>
      </c>
      <c r="AC35" s="7" cm="1">
        <f t="array" ref="AC35">MEDIAN(IF($L$3:$L$500&lt;0, $L$3:$L$500))</f>
        <v>-8.2617066666666669E-3</v>
      </c>
      <c r="AD35" s="7">
        <f t="shared" si="38"/>
        <v>2.4756333333333241E-4</v>
      </c>
      <c r="AH35" s="35">
        <v>45714</v>
      </c>
      <c r="AI35" s="31" t="s">
        <v>1064</v>
      </c>
      <c r="AJ35" s="32">
        <v>0.01</v>
      </c>
      <c r="AK35" s="28">
        <f t="shared" si="12"/>
        <v>1.0004001600640256E-2</v>
      </c>
      <c r="AL35" s="28" t="s">
        <v>1122</v>
      </c>
      <c r="AM35" s="28" t="s">
        <v>1064</v>
      </c>
      <c r="AN35" s="28" t="s">
        <v>1123</v>
      </c>
      <c r="AO35" s="28" t="s">
        <v>1124</v>
      </c>
      <c r="AP35" s="28" t="s">
        <v>1125</v>
      </c>
      <c r="AQ35" s="28" t="s">
        <v>73</v>
      </c>
      <c r="AR35" s="28" t="s">
        <v>13</v>
      </c>
      <c r="AS35" s="73">
        <v>1100.1883847700001</v>
      </c>
      <c r="AT35" s="8">
        <v>18.87</v>
      </c>
      <c r="AU35" s="73" t="s">
        <v>1064</v>
      </c>
      <c r="AV35" s="73" t="b">
        <f t="shared" si="30"/>
        <v>1</v>
      </c>
      <c r="AW35" s="79">
        <v>0</v>
      </c>
      <c r="AX35" s="45" t="str">
        <f t="shared" si="31"/>
        <v/>
      </c>
      <c r="AY35" s="29" t="str">
        <f t="shared" si="32"/>
        <v/>
      </c>
      <c r="AZ35" s="29" t="str">
        <f t="shared" si="33"/>
        <v/>
      </c>
      <c r="BA35" s="29" t="s">
        <v>699</v>
      </c>
      <c r="BB35" s="29">
        <f t="shared" si="34"/>
        <v>0</v>
      </c>
      <c r="BC35">
        <f t="shared" si="35"/>
        <v>0</v>
      </c>
      <c r="BD35" s="78" t="str" cm="1">
        <f t="array" ref="BD35">IF(BC35&lt;&gt;1, "", IF(AK35&gt;0, INT(AK35/SUMPRODUCT(($AK$3:$AK$1000&gt;0)*($AK$3:$AK$1000), ($BC$3:$BC$1000))*$AB$12/AT35), INT(AK35/SUMPRODUCT(($AK$3:$AK$1000&lt;0)*($AK$3:$AK$1000), ($BC$3:$BC$1000))*$AB$13/AT35)))</f>
        <v/>
      </c>
      <c r="BE35" t="str">
        <f t="shared" si="36"/>
        <v/>
      </c>
      <c r="BF35" s="65" t="str">
        <f t="shared" si="37"/>
        <v/>
      </c>
      <c r="BN35" s="75">
        <v>0.32000000000000012</v>
      </c>
      <c r="BO35" s="57">
        <v>0.99857123038597118</v>
      </c>
      <c r="BP35" s="57">
        <v>2.7936132489322745</v>
      </c>
      <c r="BQ35" s="57"/>
      <c r="BR35" s="26">
        <f t="shared" si="16"/>
        <v>0.89752100927315159</v>
      </c>
      <c r="BT35" s="74">
        <v>0.34000000000000014</v>
      </c>
      <c r="BU35" s="74">
        <v>0.84458330302315154</v>
      </c>
    </row>
    <row r="36" spans="2:73" x14ac:dyDescent="0.3">
      <c r="B36" s="18" t="s">
        <v>629</v>
      </c>
      <c r="C36" s="18" t="s">
        <v>642</v>
      </c>
      <c r="D36" s="18" t="s">
        <v>651</v>
      </c>
      <c r="E36" s="44" t="s">
        <v>635</v>
      </c>
      <c r="F36" s="18" t="s">
        <v>11</v>
      </c>
      <c r="G36" s="18" t="s">
        <v>10</v>
      </c>
      <c r="H36" s="19">
        <v>5376.697142940001</v>
      </c>
      <c r="I36" s="18">
        <v>722</v>
      </c>
      <c r="J36" s="20">
        <v>209.34</v>
      </c>
      <c r="K36" s="19">
        <v>151143.48000000001</v>
      </c>
      <c r="L36" s="12">
        <f t="shared" si="17"/>
        <v>1.0076232000000001E-2</v>
      </c>
      <c r="M36" s="12">
        <f t="shared" si="18"/>
        <v>1.0004001600640256E-2</v>
      </c>
      <c r="N36" s="15" t="str">
        <f t="shared" si="19"/>
        <v/>
      </c>
      <c r="O36" s="15" t="str">
        <f t="shared" si="20"/>
        <v/>
      </c>
      <c r="P36" s="15" t="str">
        <f t="shared" si="21"/>
        <v/>
      </c>
      <c r="Q36" s="15" t="str">
        <f t="shared" si="22"/>
        <v/>
      </c>
      <c r="R36" s="55" t="str">
        <f t="shared" si="23"/>
        <v/>
      </c>
      <c r="S36" s="33" t="str">
        <f t="shared" si="24"/>
        <v/>
      </c>
      <c r="T36" s="33" t="str">
        <f t="shared" si="25"/>
        <v/>
      </c>
      <c r="U36" s="15" t="str">
        <f t="shared" si="26"/>
        <v/>
      </c>
      <c r="V36" s="15" t="str">
        <f t="shared" si="27"/>
        <v/>
      </c>
      <c r="W36" s="62" t="str">
        <f t="shared" si="28"/>
        <v/>
      </c>
      <c r="X36" s="15"/>
      <c r="Y36" s="1">
        <f t="shared" si="29"/>
        <v>7.2230399359744443E-5</v>
      </c>
      <c r="AA36" s="38" t="s">
        <v>17</v>
      </c>
      <c r="AB36" s="6" cm="1">
        <f t="array" ref="AB36">PERCENTILE(IF($L$3:$L$500&gt;0, $L$3:$L$500), 0.75)</f>
        <v>1.0029511333333335E-2</v>
      </c>
      <c r="AC36" s="6" cm="1">
        <f t="array" ref="AC36">PERCENTILE(IF($L$3:$L$500&lt;0, $L$3:$L$500), 0.25)</f>
        <v>-1.0120412499999999E-2</v>
      </c>
      <c r="AD36" s="6">
        <f t="shared" si="38"/>
        <v>-9.0901166666663979E-5</v>
      </c>
      <c r="AH36" s="35">
        <v>45714</v>
      </c>
      <c r="AI36" s="31" t="s">
        <v>412</v>
      </c>
      <c r="AJ36" s="32">
        <v>0.01</v>
      </c>
      <c r="AK36" s="28">
        <f t="shared" si="12"/>
        <v>1.0004001600640256E-2</v>
      </c>
      <c r="AL36" s="28" t="s">
        <v>421</v>
      </c>
      <c r="AM36" s="28" t="s">
        <v>412</v>
      </c>
      <c r="AN36" s="28" t="s">
        <v>852</v>
      </c>
      <c r="AO36" s="28" t="s">
        <v>422</v>
      </c>
      <c r="AP36" s="28" t="s">
        <v>423</v>
      </c>
      <c r="AQ36" s="28" t="s">
        <v>73</v>
      </c>
      <c r="AR36" s="28" t="s">
        <v>22</v>
      </c>
      <c r="AS36" s="73">
        <v>4318.5201120900001</v>
      </c>
      <c r="AT36" s="8">
        <v>88.07</v>
      </c>
      <c r="AU36" s="73" t="s">
        <v>412</v>
      </c>
      <c r="AV36" s="73" t="b">
        <f t="shared" si="30"/>
        <v>1</v>
      </c>
      <c r="AW36" s="79">
        <v>0</v>
      </c>
      <c r="AX36" s="45" t="str">
        <f t="shared" si="31"/>
        <v/>
      </c>
      <c r="AY36" s="29" t="str">
        <f t="shared" si="32"/>
        <v/>
      </c>
      <c r="AZ36" s="29" t="str">
        <f t="shared" si="33"/>
        <v/>
      </c>
      <c r="BA36" s="29" t="s">
        <v>699</v>
      </c>
      <c r="BB36" s="29">
        <f t="shared" si="34"/>
        <v>0</v>
      </c>
      <c r="BC36">
        <f t="shared" si="35"/>
        <v>0</v>
      </c>
      <c r="BD36" s="78" t="str" cm="1">
        <f t="array" ref="BD36">IF(BC36&lt;&gt;1, "", IF(AK36&gt;0, INT(AK36/SUMPRODUCT(($AK$3:$AK$1000&gt;0)*($AK$3:$AK$1000), ($BC$3:$BC$1000))*$AB$12/AT36), INT(AK36/SUMPRODUCT(($AK$3:$AK$1000&lt;0)*($AK$3:$AK$1000), ($BC$3:$BC$1000))*$AB$13/AT36)))</f>
        <v/>
      </c>
      <c r="BE36" t="str">
        <f t="shared" si="36"/>
        <v/>
      </c>
      <c r="BF36" s="65" t="str">
        <f t="shared" si="37"/>
        <v/>
      </c>
      <c r="BN36" s="75">
        <v>0.33000000000000013</v>
      </c>
      <c r="BO36" s="57">
        <v>0.99857123038597118</v>
      </c>
      <c r="BP36" s="57">
        <v>2.7936132489322745</v>
      </c>
      <c r="BQ36" s="57"/>
      <c r="BR36" s="26">
        <f t="shared" si="16"/>
        <v>0.89752100927315159</v>
      </c>
      <c r="BT36" s="74">
        <v>0.32000000000000012</v>
      </c>
      <c r="BU36" s="74">
        <v>0.89752100927315159</v>
      </c>
    </row>
    <row r="37" spans="2:73" x14ac:dyDescent="0.3">
      <c r="B37" s="18" t="s">
        <v>1068</v>
      </c>
      <c r="C37" s="18" t="s">
        <v>1137</v>
      </c>
      <c r="D37" s="18" t="s">
        <v>1281</v>
      </c>
      <c r="E37" s="44" t="s">
        <v>1140</v>
      </c>
      <c r="F37" s="18" t="s">
        <v>14</v>
      </c>
      <c r="G37" s="18" t="s">
        <v>10</v>
      </c>
      <c r="H37" s="19">
        <v>2071.5150767999999</v>
      </c>
      <c r="I37" s="18">
        <v>7262</v>
      </c>
      <c r="J37" s="20">
        <v>20.8</v>
      </c>
      <c r="K37" s="19">
        <v>151049.60000000001</v>
      </c>
      <c r="L37" s="12">
        <f t="shared" si="17"/>
        <v>1.0069973333333334E-2</v>
      </c>
      <c r="M37" s="12">
        <f t="shared" si="18"/>
        <v>1.0004001600640256E-2</v>
      </c>
      <c r="N37" s="15" t="str">
        <f t="shared" si="19"/>
        <v/>
      </c>
      <c r="O37" s="15" t="str">
        <f t="shared" si="20"/>
        <v/>
      </c>
      <c r="P37" s="15" t="str">
        <f t="shared" si="21"/>
        <v/>
      </c>
      <c r="Q37" s="15" t="str">
        <f t="shared" si="22"/>
        <v/>
      </c>
      <c r="R37" s="55" t="str">
        <f t="shared" si="23"/>
        <v/>
      </c>
      <c r="S37" s="33" t="str">
        <f t="shared" si="24"/>
        <v/>
      </c>
      <c r="T37" s="33" t="str">
        <f t="shared" si="25"/>
        <v/>
      </c>
      <c r="U37" s="15" t="str">
        <f t="shared" si="26"/>
        <v/>
      </c>
      <c r="V37" s="15" t="str">
        <f t="shared" si="27"/>
        <v/>
      </c>
      <c r="W37" s="62" t="str">
        <f t="shared" si="28"/>
        <v/>
      </c>
      <c r="X37" s="15"/>
      <c r="Y37" s="1">
        <f t="shared" si="29"/>
        <v>6.5971732693077823E-5</v>
      </c>
      <c r="AA37" s="39" t="s">
        <v>18</v>
      </c>
      <c r="AB37" s="7" cm="1">
        <f t="array" ref="AB37">PERCENTILE(IF($L$3:$L$500&gt;0, $L$3:$L$500), 0.25)</f>
        <v>3.8980769999999998E-3</v>
      </c>
      <c r="AC37" s="7" cm="1">
        <f t="array" ref="AC37">PERCENTILE(IF($L$3:$L$500&lt;0, $L$3:$L$500), 0.75)</f>
        <v>-3.3898589999999998E-3</v>
      </c>
      <c r="AD37" s="7">
        <f t="shared" si="38"/>
        <v>5.0821799999999995E-4</v>
      </c>
      <c r="AH37" s="35">
        <v>45714</v>
      </c>
      <c r="AI37" s="31" t="s">
        <v>29</v>
      </c>
      <c r="AJ37" s="32">
        <v>0.01</v>
      </c>
      <c r="AK37" s="28">
        <f t="shared" si="12"/>
        <v>1.0004001600640256E-2</v>
      </c>
      <c r="AL37" s="28" t="s">
        <v>50</v>
      </c>
      <c r="AM37" s="28" t="s">
        <v>29</v>
      </c>
      <c r="AN37" s="28" t="s">
        <v>1528</v>
      </c>
      <c r="AO37" s="28" t="s">
        <v>1529</v>
      </c>
      <c r="AP37" s="28" t="s">
        <v>60</v>
      </c>
      <c r="AQ37" s="28" t="s">
        <v>73</v>
      </c>
      <c r="AR37" s="28" t="s">
        <v>20</v>
      </c>
      <c r="AS37" s="73">
        <v>567.48299427999996</v>
      </c>
      <c r="AT37" s="8">
        <v>17.239999999999998</v>
      </c>
      <c r="AU37" s="73" t="s">
        <v>29</v>
      </c>
      <c r="AV37" s="73" t="b">
        <f t="shared" si="30"/>
        <v>1</v>
      </c>
      <c r="AW37" s="79">
        <v>0</v>
      </c>
      <c r="AX37" s="45" t="str">
        <f t="shared" si="31"/>
        <v/>
      </c>
      <c r="AY37" s="29" t="str">
        <f t="shared" si="32"/>
        <v/>
      </c>
      <c r="AZ37" s="29" t="str">
        <f t="shared" si="33"/>
        <v/>
      </c>
      <c r="BA37" s="29" t="s">
        <v>699</v>
      </c>
      <c r="BB37" s="29">
        <f t="shared" si="34"/>
        <v>0</v>
      </c>
      <c r="BC37">
        <f t="shared" si="35"/>
        <v>0</v>
      </c>
      <c r="BD37" s="78" t="str" cm="1">
        <f t="array" ref="BD37">IF(BC37&lt;&gt;1, "", IF(AK37&gt;0, INT(AK37/SUMPRODUCT(($AK$3:$AK$1000&gt;0)*($AK$3:$AK$1000), ($BC$3:$BC$1000))*$AB$12/AT37), INT(AK37/SUMPRODUCT(($AK$3:$AK$1000&lt;0)*($AK$3:$AK$1000), ($BC$3:$BC$1000))*$AB$13/AT37)))</f>
        <v/>
      </c>
      <c r="BE37" t="str">
        <f t="shared" si="36"/>
        <v/>
      </c>
      <c r="BF37" s="65" t="str">
        <f t="shared" si="37"/>
        <v/>
      </c>
      <c r="BN37" s="75">
        <v>0.34000000000000014</v>
      </c>
      <c r="BO37" s="57">
        <v>0.99857123038597118</v>
      </c>
      <c r="BP37" s="57">
        <v>2.6877378364322744</v>
      </c>
      <c r="BQ37" s="57"/>
      <c r="BR37" s="26">
        <f t="shared" si="16"/>
        <v>0.84458330302315154</v>
      </c>
      <c r="BT37" s="74">
        <v>0.33000000000000013</v>
      </c>
      <c r="BU37" s="74">
        <v>0.89752100927315159</v>
      </c>
    </row>
    <row r="38" spans="2:73" x14ac:dyDescent="0.3">
      <c r="B38" s="18" t="s">
        <v>263</v>
      </c>
      <c r="C38" s="18" t="s">
        <v>266</v>
      </c>
      <c r="D38" s="18" t="s">
        <v>286</v>
      </c>
      <c r="E38" s="44" t="s">
        <v>307</v>
      </c>
      <c r="F38" s="18" t="s">
        <v>20</v>
      </c>
      <c r="G38" s="18" t="s">
        <v>10</v>
      </c>
      <c r="H38" s="19">
        <v>37369.082848620004</v>
      </c>
      <c r="I38" s="18">
        <v>241</v>
      </c>
      <c r="J38" s="20">
        <v>624.94000000000005</v>
      </c>
      <c r="K38" s="19">
        <v>150610.54</v>
      </c>
      <c r="L38" s="12">
        <f t="shared" si="17"/>
        <v>1.0040702666666667E-2</v>
      </c>
      <c r="M38" s="12">
        <f t="shared" si="18"/>
        <v>1.0004001600640256E-2</v>
      </c>
      <c r="N38" s="15" t="str">
        <f t="shared" si="19"/>
        <v/>
      </c>
      <c r="O38" s="15" t="str">
        <f t="shared" si="20"/>
        <v/>
      </c>
      <c r="P38" s="15" t="str">
        <f t="shared" si="21"/>
        <v/>
      </c>
      <c r="Q38" s="15" t="str">
        <f t="shared" si="22"/>
        <v/>
      </c>
      <c r="R38" s="55" t="str">
        <f t="shared" si="23"/>
        <v/>
      </c>
      <c r="S38" s="33" t="str">
        <f t="shared" si="24"/>
        <v/>
      </c>
      <c r="T38" s="33" t="str">
        <f t="shared" si="25"/>
        <v/>
      </c>
      <c r="U38" s="15" t="str">
        <f t="shared" si="26"/>
        <v/>
      </c>
      <c r="V38" s="15" t="str">
        <f t="shared" si="27"/>
        <v/>
      </c>
      <c r="W38" s="62" t="str">
        <f t="shared" si="28"/>
        <v/>
      </c>
      <c r="X38" s="15"/>
      <c r="Y38" s="1">
        <f t="shared" si="29"/>
        <v>3.6701066026410128E-5</v>
      </c>
      <c r="AA38" s="38" t="s">
        <v>10</v>
      </c>
      <c r="AB38" s="4">
        <f>SUMIFS($L$3:$L$500,$G$3:$G$500,AA38,$L$3:$L$500,"&gt;0")</f>
        <v>1.002232647666667</v>
      </c>
      <c r="AC38" s="4">
        <f>SUMIFS($L$3:$L$500,$G$3:$G$500,AA38,$L$3:$L$500,"&lt;0")</f>
        <v>-0.97530293633333343</v>
      </c>
      <c r="AD38" s="4">
        <f t="shared" si="38"/>
        <v>2.692971133333355E-2</v>
      </c>
      <c r="AH38" s="35">
        <v>45714</v>
      </c>
      <c r="AI38" s="31" t="s">
        <v>334</v>
      </c>
      <c r="AJ38" s="32">
        <v>0.01</v>
      </c>
      <c r="AK38" s="28">
        <f t="shared" si="12"/>
        <v>1.0004001600640256E-2</v>
      </c>
      <c r="AL38" s="28" t="s">
        <v>338</v>
      </c>
      <c r="AM38" s="28" t="s">
        <v>334</v>
      </c>
      <c r="AN38" s="28" t="s">
        <v>1664</v>
      </c>
      <c r="AO38" s="28" t="s">
        <v>339</v>
      </c>
      <c r="AP38" s="28" t="s">
        <v>340</v>
      </c>
      <c r="AQ38" s="28" t="s">
        <v>73</v>
      </c>
      <c r="AR38" s="28" t="s">
        <v>20</v>
      </c>
      <c r="AS38" s="73">
        <v>20595.247296000001</v>
      </c>
      <c r="AT38" s="8">
        <v>156</v>
      </c>
      <c r="AU38" s="73" t="s">
        <v>334</v>
      </c>
      <c r="AV38" s="73" t="b">
        <f t="shared" si="30"/>
        <v>1</v>
      </c>
      <c r="AW38" s="79">
        <v>0</v>
      </c>
      <c r="AX38" s="45" t="str">
        <f t="shared" si="31"/>
        <v/>
      </c>
      <c r="AY38" s="29" t="str">
        <f t="shared" si="32"/>
        <v/>
      </c>
      <c r="AZ38" s="29" t="str">
        <f t="shared" si="33"/>
        <v/>
      </c>
      <c r="BA38" s="29" t="s">
        <v>699</v>
      </c>
      <c r="BB38" s="29">
        <f t="shared" si="34"/>
        <v>0</v>
      </c>
      <c r="BC38">
        <f t="shared" si="35"/>
        <v>0</v>
      </c>
      <c r="BD38" s="78" t="str" cm="1">
        <f t="array" ref="BD38">IF(BC38&lt;&gt;1, "", IF(AK38&gt;0, INT(AK38/SUMPRODUCT(($AK$3:$AK$1000&gt;0)*($AK$3:$AK$1000), ($BC$3:$BC$1000))*$AB$12/AT38), INT(AK38/SUMPRODUCT(($AK$3:$AK$1000&lt;0)*($AK$3:$AK$1000), ($BC$3:$BC$1000))*$AB$13/AT38)))</f>
        <v/>
      </c>
      <c r="BE38" t="str">
        <f t="shared" si="36"/>
        <v/>
      </c>
      <c r="BF38" s="65" t="str">
        <f t="shared" si="37"/>
        <v/>
      </c>
      <c r="BN38" s="75">
        <v>0.35000000000000014</v>
      </c>
      <c r="BO38" s="57">
        <v>0.99857123038597118</v>
      </c>
      <c r="BP38" s="57">
        <v>2.8807830038801909</v>
      </c>
      <c r="BQ38" s="57"/>
      <c r="BR38" s="26">
        <f t="shared" si="16"/>
        <v>0.94110588674710982</v>
      </c>
      <c r="BT38" s="74">
        <v>0.35000000000000014</v>
      </c>
      <c r="BU38" s="74">
        <v>0.94110588674710982</v>
      </c>
    </row>
    <row r="39" spans="2:73" x14ac:dyDescent="0.3">
      <c r="B39" s="18" t="s">
        <v>1002</v>
      </c>
      <c r="C39" s="18" t="s">
        <v>1016</v>
      </c>
      <c r="D39" s="18" t="s">
        <v>1388</v>
      </c>
      <c r="E39" s="44" t="s">
        <v>1017</v>
      </c>
      <c r="F39" s="18" t="s">
        <v>19</v>
      </c>
      <c r="G39" s="18" t="s">
        <v>10</v>
      </c>
      <c r="H39" s="19">
        <v>128591.5130799</v>
      </c>
      <c r="I39" s="18">
        <v>2964</v>
      </c>
      <c r="J39" s="20">
        <v>50.7</v>
      </c>
      <c r="K39" s="19">
        <v>150274.80000000002</v>
      </c>
      <c r="L39" s="12">
        <f t="shared" si="17"/>
        <v>1.0018320000000001E-2</v>
      </c>
      <c r="M39" s="12">
        <f t="shared" si="18"/>
        <v>1.0004001600640256E-2</v>
      </c>
      <c r="N39" s="15" t="str">
        <f t="shared" si="19"/>
        <v/>
      </c>
      <c r="O39" s="15" t="str">
        <f t="shared" si="20"/>
        <v/>
      </c>
      <c r="P39" s="15" t="str">
        <f t="shared" si="21"/>
        <v/>
      </c>
      <c r="Q39" s="15" t="str">
        <f t="shared" si="22"/>
        <v/>
      </c>
      <c r="R39" s="55" t="str">
        <f t="shared" si="23"/>
        <v/>
      </c>
      <c r="S39" s="33" t="str">
        <f t="shared" si="24"/>
        <v/>
      </c>
      <c r="T39" s="33" t="str">
        <f t="shared" si="25"/>
        <v/>
      </c>
      <c r="U39" s="15" t="str">
        <f t="shared" si="26"/>
        <v/>
      </c>
      <c r="V39" s="15" t="str">
        <f t="shared" si="27"/>
        <v/>
      </c>
      <c r="W39" s="62" t="str">
        <f t="shared" si="28"/>
        <v/>
      </c>
      <c r="X39" s="15"/>
      <c r="Y39" s="1">
        <f t="shared" si="29"/>
        <v>1.4318399359744202E-5</v>
      </c>
      <c r="AA39" s="39" t="e">
        <v>#N/A</v>
      </c>
      <c r="AB39" s="5">
        <f>SUMIFS($L$3:$L$500,$G$3:$G$500,AA39,$L$3:$L$500,"&gt;0")</f>
        <v>0</v>
      </c>
      <c r="AC39" s="5">
        <f>SUMIFS($L$3:$L$500,$G$3:$G$500,AA39,$L$3:$L$500,"&lt;0")</f>
        <v>0</v>
      </c>
      <c r="AD39" s="5">
        <f t="shared" ref="AD39" si="39">AC39+AB39</f>
        <v>0</v>
      </c>
      <c r="AH39" s="35">
        <v>45714</v>
      </c>
      <c r="AI39" s="31" t="s">
        <v>349</v>
      </c>
      <c r="AJ39" s="32">
        <v>0.01</v>
      </c>
      <c r="AK39" s="28">
        <f t="shared" si="12"/>
        <v>1.0004001600640256E-2</v>
      </c>
      <c r="AL39" s="28" t="s">
        <v>355</v>
      </c>
      <c r="AM39" s="28" t="s">
        <v>349</v>
      </c>
      <c r="AN39" s="28" t="s">
        <v>1665</v>
      </c>
      <c r="AO39" s="28" t="s">
        <v>356</v>
      </c>
      <c r="AP39" s="28" t="s">
        <v>357</v>
      </c>
      <c r="AQ39" s="28" t="s">
        <v>73</v>
      </c>
      <c r="AR39" s="28" t="s">
        <v>20</v>
      </c>
      <c r="AS39" s="73">
        <v>10215.8265675</v>
      </c>
      <c r="AT39" s="8">
        <v>106.95</v>
      </c>
      <c r="AU39" s="73" t="s">
        <v>349</v>
      </c>
      <c r="AV39" s="73" t="b">
        <f t="shared" si="30"/>
        <v>1</v>
      </c>
      <c r="AW39" s="79">
        <v>0</v>
      </c>
      <c r="AX39" s="45" t="str">
        <f t="shared" si="31"/>
        <v/>
      </c>
      <c r="AY39" s="29" t="str">
        <f t="shared" si="32"/>
        <v/>
      </c>
      <c r="AZ39" s="29" t="str">
        <f t="shared" si="33"/>
        <v/>
      </c>
      <c r="BA39" s="29" t="s">
        <v>699</v>
      </c>
      <c r="BB39" s="29">
        <f t="shared" si="34"/>
        <v>0</v>
      </c>
      <c r="BC39">
        <f t="shared" si="35"/>
        <v>0</v>
      </c>
      <c r="BD39" s="78" t="str" cm="1">
        <f t="array" ref="BD39">IF(BC39&lt;&gt;1, "", IF(AK39&gt;0, INT(AK39/SUMPRODUCT(($AK$3:$AK$1000&gt;0)*($AK$3:$AK$1000), ($BC$3:$BC$1000))*$AB$12/AT39), INT(AK39/SUMPRODUCT(($AK$3:$AK$1000&lt;0)*($AK$3:$AK$1000), ($BC$3:$BC$1000))*$AB$13/AT39)))</f>
        <v/>
      </c>
      <c r="BE39" t="str">
        <f t="shared" si="36"/>
        <v/>
      </c>
      <c r="BF39" s="65" t="str">
        <f t="shared" si="37"/>
        <v/>
      </c>
      <c r="BN39" s="75">
        <v>0.36000000000000015</v>
      </c>
      <c r="BO39" s="57">
        <v>1.0058610405677892</v>
      </c>
      <c r="BP39" s="57">
        <v>3.0916998814843577</v>
      </c>
      <c r="BQ39" s="57"/>
      <c r="BR39" s="26">
        <f t="shared" si="16"/>
        <v>1.0487804610260736</v>
      </c>
      <c r="BT39" s="74">
        <v>0.36000000000000015</v>
      </c>
      <c r="BU39" s="74">
        <v>1.0487804610260736</v>
      </c>
    </row>
    <row r="40" spans="2:73" x14ac:dyDescent="0.3">
      <c r="B40" s="18" t="s">
        <v>180</v>
      </c>
      <c r="C40" s="18" t="s">
        <v>183</v>
      </c>
      <c r="D40" s="18" t="s">
        <v>345</v>
      </c>
      <c r="E40" s="44" t="s">
        <v>185</v>
      </c>
      <c r="F40" s="18" t="s">
        <v>24</v>
      </c>
      <c r="G40" s="18" t="s">
        <v>10</v>
      </c>
      <c r="H40" s="19">
        <v>863.34127331999991</v>
      </c>
      <c r="I40" s="18">
        <v>9732</v>
      </c>
      <c r="J40" s="20">
        <v>15.43</v>
      </c>
      <c r="K40" s="19">
        <v>150164.76</v>
      </c>
      <c r="L40" s="12">
        <f t="shared" si="17"/>
        <v>1.0010984000000001E-2</v>
      </c>
      <c r="M40" s="12">
        <f t="shared" si="18"/>
        <v>1.0004001600640256E-2</v>
      </c>
      <c r="N40" s="15" t="str">
        <f t="shared" si="19"/>
        <v/>
      </c>
      <c r="O40" s="15" t="str">
        <f t="shared" si="20"/>
        <v/>
      </c>
      <c r="P40" s="15" t="str">
        <f t="shared" si="21"/>
        <v/>
      </c>
      <c r="Q40" s="15" t="str">
        <f t="shared" si="22"/>
        <v/>
      </c>
      <c r="R40" s="55" t="str">
        <f t="shared" si="23"/>
        <v/>
      </c>
      <c r="S40" s="33" t="str">
        <f t="shared" si="24"/>
        <v/>
      </c>
      <c r="T40" s="33" t="str">
        <f t="shared" si="25"/>
        <v/>
      </c>
      <c r="U40" s="15" t="str">
        <f t="shared" si="26"/>
        <v/>
      </c>
      <c r="V40" s="15" t="str">
        <f t="shared" si="27"/>
        <v/>
      </c>
      <c r="W40" s="62" t="str">
        <f t="shared" si="28"/>
        <v/>
      </c>
      <c r="X40" s="15"/>
      <c r="Y40" s="1">
        <f t="shared" si="29"/>
        <v>6.9823993597440542E-6</v>
      </c>
      <c r="AA40" s="38" t="s">
        <v>66</v>
      </c>
      <c r="AB40" s="14">
        <f>AB38+AB39</f>
        <v>1.002232647666667</v>
      </c>
      <c r="AC40" s="14">
        <f t="shared" ref="AC40:AD40" si="40">AC38+AC39</f>
        <v>-0.97530293633333343</v>
      </c>
      <c r="AD40" s="14">
        <f t="shared" si="40"/>
        <v>2.692971133333355E-2</v>
      </c>
      <c r="AH40" s="35">
        <v>45714</v>
      </c>
      <c r="AI40" s="31" t="s">
        <v>764</v>
      </c>
      <c r="AJ40" s="32">
        <v>0.01</v>
      </c>
      <c r="AK40" s="28">
        <f t="shared" si="12"/>
        <v>1.0004001600640256E-2</v>
      </c>
      <c r="AL40" s="28" t="s">
        <v>778</v>
      </c>
      <c r="AM40" s="28" t="s">
        <v>764</v>
      </c>
      <c r="AN40" s="28" t="s">
        <v>779</v>
      </c>
      <c r="AO40" s="28" t="s">
        <v>780</v>
      </c>
      <c r="AP40" s="28" t="s">
        <v>781</v>
      </c>
      <c r="AQ40" s="28" t="s">
        <v>73</v>
      </c>
      <c r="AR40" s="28" t="s">
        <v>14</v>
      </c>
      <c r="AS40" s="73">
        <v>5435.3349058399999</v>
      </c>
      <c r="AT40" s="8">
        <v>102.13</v>
      </c>
      <c r="AU40" s="73" t="s">
        <v>764</v>
      </c>
      <c r="AV40" s="73" t="b">
        <f t="shared" si="30"/>
        <v>1</v>
      </c>
      <c r="AW40" s="79">
        <v>0</v>
      </c>
      <c r="AX40" s="45" t="str">
        <f t="shared" si="31"/>
        <v/>
      </c>
      <c r="AY40" s="29" t="str">
        <f t="shared" si="32"/>
        <v/>
      </c>
      <c r="AZ40" s="29" t="str">
        <f t="shared" si="33"/>
        <v/>
      </c>
      <c r="BA40" s="29" t="s">
        <v>699</v>
      </c>
      <c r="BB40" s="29">
        <f t="shared" si="34"/>
        <v>0</v>
      </c>
      <c r="BC40">
        <f t="shared" si="35"/>
        <v>0</v>
      </c>
      <c r="BD40" s="78" t="str" cm="1">
        <f t="array" ref="BD40">IF(BC40&lt;&gt;1, "", IF(AK40&gt;0, INT(AK40/SUMPRODUCT(($AK$3:$AK$1000&gt;0)*($AK$3:$AK$1000), ($BC$3:$BC$1000))*$AB$12/AT40), INT(AK40/SUMPRODUCT(($AK$3:$AK$1000&lt;0)*($AK$3:$AK$1000), ($BC$3:$BC$1000))*$AB$13/AT40)))</f>
        <v/>
      </c>
      <c r="BE40" t="str">
        <f t="shared" si="36"/>
        <v/>
      </c>
      <c r="BF40" s="65" t="str">
        <f t="shared" si="37"/>
        <v/>
      </c>
      <c r="BN40" s="75">
        <v>0.37000000000000016</v>
      </c>
      <c r="BO40" s="57">
        <v>1.0058610405677892</v>
      </c>
      <c r="BP40" s="57">
        <v>3.0916998814843577</v>
      </c>
      <c r="BQ40" s="57"/>
      <c r="BR40" s="26">
        <f t="shared" si="16"/>
        <v>1.0487804610260736</v>
      </c>
      <c r="BT40" s="74">
        <v>0.37000000000000016</v>
      </c>
      <c r="BU40" s="74">
        <v>1.0487804610260736</v>
      </c>
    </row>
    <row r="41" spans="2:73" x14ac:dyDescent="0.3">
      <c r="B41" s="18" t="s">
        <v>72</v>
      </c>
      <c r="C41" s="18" t="s">
        <v>74</v>
      </c>
      <c r="D41" s="18" t="s">
        <v>135</v>
      </c>
      <c r="E41" s="44" t="s">
        <v>157</v>
      </c>
      <c r="F41" s="18" t="s">
        <v>14</v>
      </c>
      <c r="G41" s="18" t="s">
        <v>10</v>
      </c>
      <c r="H41" s="19">
        <v>1013.22072717</v>
      </c>
      <c r="I41" s="18">
        <v>12707</v>
      </c>
      <c r="J41" s="20">
        <v>11.81</v>
      </c>
      <c r="K41" s="19">
        <v>150069.67000000001</v>
      </c>
      <c r="L41" s="12">
        <f t="shared" si="17"/>
        <v>1.0004644666666668E-2</v>
      </c>
      <c r="M41" s="12">
        <f t="shared" si="18"/>
        <v>1.0004001600640256E-2</v>
      </c>
      <c r="N41" s="15" t="str">
        <f t="shared" si="19"/>
        <v/>
      </c>
      <c r="O41" s="15" t="str">
        <f t="shared" si="20"/>
        <v/>
      </c>
      <c r="P41" s="15" t="str">
        <f t="shared" si="21"/>
        <v/>
      </c>
      <c r="Q41" s="15" t="str">
        <f t="shared" si="22"/>
        <v/>
      </c>
      <c r="R41" s="55" t="str">
        <f t="shared" si="23"/>
        <v/>
      </c>
      <c r="S41" s="33" t="str">
        <f t="shared" si="24"/>
        <v/>
      </c>
      <c r="T41" s="33" t="str">
        <f t="shared" si="25"/>
        <v/>
      </c>
      <c r="U41" s="15" t="str">
        <f t="shared" si="26"/>
        <v/>
      </c>
      <c r="V41" s="15" t="str">
        <f t="shared" si="27"/>
        <v/>
      </c>
      <c r="W41" s="62" t="str">
        <f t="shared" si="28"/>
        <v/>
      </c>
      <c r="X41" s="15"/>
      <c r="Y41" s="1">
        <f t="shared" si="29"/>
        <v>6.4306602641159283E-7</v>
      </c>
      <c r="AA41" s="39" t="s">
        <v>14</v>
      </c>
      <c r="AB41" s="5">
        <f>SUMIFS($L$3:$L$500,$F$3:$F$500,AA41,$L$3:$L$500,"&gt;0")</f>
        <v>0.2104335426666667</v>
      </c>
      <c r="AC41" s="5">
        <f>SUMIFS($L$3:$L$500,$F$3:$F$500,AA41,$L$3:$L$500,"&lt;0")</f>
        <v>-7.1867435999999993E-2</v>
      </c>
      <c r="AD41" s="5">
        <f t="shared" ref="AD41:AD53" si="41">AC41+AB41</f>
        <v>0.13856610666666669</v>
      </c>
      <c r="AH41" s="35">
        <v>45714</v>
      </c>
      <c r="AI41" s="31" t="s">
        <v>281</v>
      </c>
      <c r="AJ41" s="32">
        <v>0.01</v>
      </c>
      <c r="AK41" s="28">
        <f t="shared" si="12"/>
        <v>1.0004001600640256E-2</v>
      </c>
      <c r="AL41" s="28" t="s">
        <v>282</v>
      </c>
      <c r="AM41" s="28" t="s">
        <v>281</v>
      </c>
      <c r="AN41" s="28" t="s">
        <v>853</v>
      </c>
      <c r="AO41" s="28" t="s">
        <v>283</v>
      </c>
      <c r="AP41" s="28" t="s">
        <v>284</v>
      </c>
      <c r="AQ41" s="28" t="s">
        <v>73</v>
      </c>
      <c r="AR41" s="28" t="s">
        <v>24</v>
      </c>
      <c r="AS41" s="73">
        <v>1036.4007059999999</v>
      </c>
      <c r="AT41" s="8">
        <v>16.399999999999999</v>
      </c>
      <c r="AU41" s="73" t="s">
        <v>281</v>
      </c>
      <c r="AV41" s="73" t="b">
        <f t="shared" si="30"/>
        <v>1</v>
      </c>
      <c r="AW41" s="79">
        <v>0</v>
      </c>
      <c r="AX41" s="45" t="str">
        <f t="shared" si="31"/>
        <v/>
      </c>
      <c r="AY41" s="29" t="str">
        <f t="shared" si="32"/>
        <v/>
      </c>
      <c r="AZ41" s="29" t="str">
        <f t="shared" si="33"/>
        <v/>
      </c>
      <c r="BA41" s="29" t="s">
        <v>699</v>
      </c>
      <c r="BB41" s="29">
        <f t="shared" si="34"/>
        <v>0</v>
      </c>
      <c r="BC41">
        <f t="shared" si="35"/>
        <v>0</v>
      </c>
      <c r="BD41" s="78" t="str" cm="1">
        <f t="array" ref="BD41">IF(BC41&lt;&gt;1, "", IF(AK41&gt;0, INT(AK41/SUMPRODUCT(($AK$3:$AK$1000&gt;0)*($AK$3:$AK$1000), ($BC$3:$BC$1000))*$AB$12/AT41), INT(AK41/SUMPRODUCT(($AK$3:$AK$1000&lt;0)*($AK$3:$AK$1000), ($BC$3:$BC$1000))*$AB$13/AT41)))</f>
        <v/>
      </c>
      <c r="BE41" t="str">
        <f t="shared" si="36"/>
        <v/>
      </c>
      <c r="BF41" s="65" t="str">
        <f t="shared" si="37"/>
        <v/>
      </c>
      <c r="BN41" s="75">
        <v>0.38000000000000017</v>
      </c>
      <c r="BO41" s="57">
        <v>1.0058610405677892</v>
      </c>
      <c r="BP41" s="57">
        <v>3.3812529917968575</v>
      </c>
      <c r="BQ41" s="57"/>
      <c r="BR41" s="26">
        <f t="shared" si="16"/>
        <v>1.1935570161823232</v>
      </c>
      <c r="BT41" s="74">
        <v>0.38000000000000017</v>
      </c>
      <c r="BU41" s="74">
        <v>1.1935570161823232</v>
      </c>
    </row>
    <row r="42" spans="2:73" x14ac:dyDescent="0.3">
      <c r="B42" s="18" t="s">
        <v>1066</v>
      </c>
      <c r="C42" s="18" t="s">
        <v>1130</v>
      </c>
      <c r="D42" s="18" t="s">
        <v>1279</v>
      </c>
      <c r="E42" s="44" t="s">
        <v>1132</v>
      </c>
      <c r="F42" s="18" t="s">
        <v>20</v>
      </c>
      <c r="G42" s="18" t="s">
        <v>10</v>
      </c>
      <c r="H42" s="19">
        <v>6415.381638509999</v>
      </c>
      <c r="I42" s="18">
        <v>2450</v>
      </c>
      <c r="J42" s="20">
        <v>61.23</v>
      </c>
      <c r="K42" s="19">
        <v>150013.5</v>
      </c>
      <c r="L42" s="12">
        <f t="shared" si="17"/>
        <v>1.00009E-2</v>
      </c>
      <c r="M42" s="12">
        <f t="shared" si="18"/>
        <v>1.0004001600640256E-2</v>
      </c>
      <c r="N42" s="15" t="str">
        <f t="shared" si="19"/>
        <v/>
      </c>
      <c r="O42" s="15" t="str">
        <f t="shared" si="20"/>
        <v/>
      </c>
      <c r="P42" s="15" t="str">
        <f t="shared" si="21"/>
        <v/>
      </c>
      <c r="Q42" s="15" t="str">
        <f t="shared" si="22"/>
        <v/>
      </c>
      <c r="R42" s="55" t="str">
        <f t="shared" si="23"/>
        <v/>
      </c>
      <c r="S42" s="33" t="str">
        <f t="shared" si="24"/>
        <v/>
      </c>
      <c r="T42" s="33" t="str">
        <f t="shared" si="25"/>
        <v/>
      </c>
      <c r="U42" s="15" t="str">
        <f t="shared" si="26"/>
        <v/>
      </c>
      <c r="V42" s="15" t="str">
        <f t="shared" si="27"/>
        <v/>
      </c>
      <c r="W42" s="62" t="str">
        <f t="shared" si="28"/>
        <v/>
      </c>
      <c r="X42" s="15"/>
      <c r="Y42" s="1">
        <f t="shared" si="29"/>
        <v>-3.1016006402564272E-6</v>
      </c>
      <c r="AA42" s="38" t="s">
        <v>22</v>
      </c>
      <c r="AB42" s="4">
        <f t="shared" ref="AB42:AB52" si="42">SUMIFS($L$3:$L$500,$F$3:$F$500,AA42,$L$3:$L$500,"&gt;0")</f>
        <v>9.8936623333333348E-2</v>
      </c>
      <c r="AC42" s="4">
        <f t="shared" ref="AC42:AC52" si="43">SUMIFS($L$3:$L$500,$F$3:$F$500,AA42,$L$3:$L$500,"&lt;0")</f>
        <v>-3.6860880000000001E-3</v>
      </c>
      <c r="AD42" s="4">
        <f t="shared" si="41"/>
        <v>9.5250535333333344E-2</v>
      </c>
      <c r="AH42" s="35">
        <v>45714</v>
      </c>
      <c r="AI42" s="31" t="s">
        <v>1068</v>
      </c>
      <c r="AJ42" s="32">
        <v>0.01</v>
      </c>
      <c r="AK42" s="28">
        <f t="shared" si="12"/>
        <v>1.0004001600640256E-2</v>
      </c>
      <c r="AL42" s="28" t="s">
        <v>1137</v>
      </c>
      <c r="AM42" s="28" t="s">
        <v>1068</v>
      </c>
      <c r="AN42" s="28" t="s">
        <v>1138</v>
      </c>
      <c r="AO42" s="28" t="s">
        <v>1139</v>
      </c>
      <c r="AP42" s="28" t="s">
        <v>1140</v>
      </c>
      <c r="AQ42" s="28" t="s">
        <v>73</v>
      </c>
      <c r="AR42" s="28" t="s">
        <v>14</v>
      </c>
      <c r="AS42" s="73">
        <v>2071.5150767999999</v>
      </c>
      <c r="AT42" s="8">
        <v>20.8</v>
      </c>
      <c r="AU42" s="73" t="s">
        <v>1068</v>
      </c>
      <c r="AV42" s="73" t="b">
        <f t="shared" si="30"/>
        <v>1</v>
      </c>
      <c r="AW42" s="79">
        <v>0</v>
      </c>
      <c r="AX42" s="45" t="str">
        <f t="shared" si="31"/>
        <v/>
      </c>
      <c r="AY42" s="29" t="str">
        <f t="shared" si="32"/>
        <v/>
      </c>
      <c r="AZ42" s="29" t="str">
        <f t="shared" si="33"/>
        <v/>
      </c>
      <c r="BA42" s="29" t="s">
        <v>699</v>
      </c>
      <c r="BB42" s="29">
        <f t="shared" si="34"/>
        <v>0</v>
      </c>
      <c r="BC42">
        <f t="shared" si="35"/>
        <v>0</v>
      </c>
      <c r="BD42" s="78" t="str" cm="1">
        <f t="array" ref="BD42">IF(BC42&lt;&gt;1, "", IF(AK42&gt;0, INT(AK42/SUMPRODUCT(($AK$3:$AK$1000&gt;0)*($AK$3:$AK$1000), ($BC$3:$BC$1000))*$AB$12/AT42), INT(AK42/SUMPRODUCT(($AK$3:$AK$1000&lt;0)*($AK$3:$AK$1000), ($BC$3:$BC$1000))*$AB$13/AT42)))</f>
        <v/>
      </c>
      <c r="BE42" t="str">
        <f t="shared" si="36"/>
        <v/>
      </c>
      <c r="BF42" s="65" t="str">
        <f t="shared" si="37"/>
        <v/>
      </c>
      <c r="BN42" s="75">
        <v>0.39000000000000018</v>
      </c>
      <c r="BO42" s="57">
        <v>1.0058610405677892</v>
      </c>
      <c r="BP42" s="57">
        <v>3.3812529917968575</v>
      </c>
      <c r="BQ42" s="57"/>
      <c r="BR42" s="26">
        <f t="shared" si="16"/>
        <v>1.1935570161823232</v>
      </c>
      <c r="BT42" s="74">
        <v>0.39000000000000018</v>
      </c>
      <c r="BU42" s="74">
        <v>1.1935570161823232</v>
      </c>
    </row>
    <row r="43" spans="2:73" x14ac:dyDescent="0.3">
      <c r="B43" s="18" t="s">
        <v>15</v>
      </c>
      <c r="C43" s="18" t="s">
        <v>43</v>
      </c>
      <c r="D43" s="18" t="s">
        <v>84</v>
      </c>
      <c r="E43" s="44" t="s">
        <v>169</v>
      </c>
      <c r="F43" s="18" t="s">
        <v>22</v>
      </c>
      <c r="G43" s="18" t="s">
        <v>10</v>
      </c>
      <c r="H43" s="19">
        <v>636.95204496000008</v>
      </c>
      <c r="I43" s="18">
        <v>14063</v>
      </c>
      <c r="J43" s="20">
        <v>10.64</v>
      </c>
      <c r="K43" s="19">
        <v>149630.32</v>
      </c>
      <c r="L43" s="12">
        <f t="shared" si="17"/>
        <v>9.9753546666666668E-3</v>
      </c>
      <c r="M43" s="12">
        <f t="shared" si="18"/>
        <v>1.0004001600640256E-2</v>
      </c>
      <c r="N43" s="15" t="str">
        <f t="shared" si="19"/>
        <v/>
      </c>
      <c r="O43" s="15" t="str">
        <f t="shared" si="20"/>
        <v/>
      </c>
      <c r="P43" s="15" t="str">
        <f t="shared" si="21"/>
        <v/>
      </c>
      <c r="Q43" s="15" t="str">
        <f t="shared" si="22"/>
        <v/>
      </c>
      <c r="R43" s="55" t="str">
        <f t="shared" si="23"/>
        <v/>
      </c>
      <c r="S43" s="33" t="str">
        <f t="shared" si="24"/>
        <v/>
      </c>
      <c r="T43" s="33" t="str">
        <f t="shared" si="25"/>
        <v/>
      </c>
      <c r="U43" s="15" t="str">
        <f t="shared" si="26"/>
        <v/>
      </c>
      <c r="V43" s="15" t="str">
        <f t="shared" si="27"/>
        <v/>
      </c>
      <c r="W43" s="62" t="str">
        <f t="shared" si="28"/>
        <v/>
      </c>
      <c r="X43" s="15"/>
      <c r="Y43" s="1">
        <f t="shared" si="29"/>
        <v>-2.8646933973589667E-5</v>
      </c>
      <c r="AA43" s="39" t="s">
        <v>13</v>
      </c>
      <c r="AB43" s="5">
        <f t="shared" si="42"/>
        <v>0.19209365566666664</v>
      </c>
      <c r="AC43" s="5">
        <f t="shared" si="43"/>
        <v>-9.885100266666666E-2</v>
      </c>
      <c r="AD43" s="5">
        <f t="shared" si="41"/>
        <v>9.3242652999999981E-2</v>
      </c>
      <c r="AH43" s="35">
        <v>45714</v>
      </c>
      <c r="AI43" s="31" t="s">
        <v>532</v>
      </c>
      <c r="AJ43" s="32">
        <v>0.01</v>
      </c>
      <c r="AK43" s="28">
        <f t="shared" si="12"/>
        <v>1.0004001600640256E-2</v>
      </c>
      <c r="AL43" s="28" t="s">
        <v>536</v>
      </c>
      <c r="AM43" s="28" t="s">
        <v>532</v>
      </c>
      <c r="AN43" s="28" t="s">
        <v>537</v>
      </c>
      <c r="AO43" s="28" t="s">
        <v>538</v>
      </c>
      <c r="AP43" s="28" t="s">
        <v>539</v>
      </c>
      <c r="AQ43" s="28" t="s">
        <v>73</v>
      </c>
      <c r="AR43" s="28" t="s">
        <v>24</v>
      </c>
      <c r="AS43" s="73">
        <v>11847.807722150001</v>
      </c>
      <c r="AT43" s="8">
        <v>27.85</v>
      </c>
      <c r="AU43" s="73" t="s">
        <v>532</v>
      </c>
      <c r="AV43" s="73" t="b">
        <f t="shared" si="30"/>
        <v>1</v>
      </c>
      <c r="AW43" s="79">
        <v>0</v>
      </c>
      <c r="AX43" s="45" t="str">
        <f t="shared" si="31"/>
        <v/>
      </c>
      <c r="AY43" s="29" t="str">
        <f t="shared" si="32"/>
        <v/>
      </c>
      <c r="AZ43" s="29" t="str">
        <f t="shared" si="33"/>
        <v/>
      </c>
      <c r="BA43" s="29" t="s">
        <v>699</v>
      </c>
      <c r="BB43" s="29">
        <f t="shared" si="34"/>
        <v>0</v>
      </c>
      <c r="BC43">
        <f t="shared" si="35"/>
        <v>0</v>
      </c>
      <c r="BD43" s="78" t="str" cm="1">
        <f t="array" ref="BD43">IF(BC43&lt;&gt;1, "", IF(AK43&gt;0, INT(AK43/SUMPRODUCT(($AK$3:$AK$1000&gt;0)*($AK$3:$AK$1000), ($BC$3:$BC$1000))*$AB$12/AT43), INT(AK43/SUMPRODUCT(($AK$3:$AK$1000&lt;0)*($AK$3:$AK$1000), ($BC$3:$BC$1000))*$AB$13/AT43)))</f>
        <v/>
      </c>
      <c r="BE43" t="str">
        <f t="shared" si="36"/>
        <v/>
      </c>
      <c r="BF43" s="65" t="str">
        <f t="shared" si="37"/>
        <v/>
      </c>
      <c r="BN43" s="75">
        <v>0.40000000000000019</v>
      </c>
      <c r="BO43" s="57">
        <v>1.0058610405677892</v>
      </c>
      <c r="BP43" s="57">
        <v>3.3812529917968575</v>
      </c>
      <c r="BQ43" s="57"/>
      <c r="BR43" s="26">
        <f t="shared" si="16"/>
        <v>1.1935570161823232</v>
      </c>
      <c r="BT43" s="74">
        <v>0.40000000000000019</v>
      </c>
      <c r="BU43" s="74">
        <v>1.1935570161823232</v>
      </c>
    </row>
    <row r="44" spans="2:73" x14ac:dyDescent="0.3">
      <c r="B44" s="18" t="s">
        <v>412</v>
      </c>
      <c r="C44" s="18" t="s">
        <v>421</v>
      </c>
      <c r="D44" s="18" t="s">
        <v>475</v>
      </c>
      <c r="E44" s="44" t="s">
        <v>423</v>
      </c>
      <c r="F44" s="18" t="s">
        <v>22</v>
      </c>
      <c r="G44" s="18" t="s">
        <v>10</v>
      </c>
      <c r="H44" s="19">
        <v>4318.5201120899992</v>
      </c>
      <c r="I44" s="18">
        <v>1695</v>
      </c>
      <c r="J44" s="20">
        <v>88.07</v>
      </c>
      <c r="K44" s="19">
        <v>149278.65</v>
      </c>
      <c r="L44" s="12">
        <f t="shared" si="17"/>
        <v>9.9519099999999996E-3</v>
      </c>
      <c r="M44" s="12">
        <f t="shared" si="18"/>
        <v>1.0004001600640256E-2</v>
      </c>
      <c r="N44" s="15" t="str">
        <f t="shared" si="19"/>
        <v/>
      </c>
      <c r="O44" s="15" t="str">
        <f t="shared" si="20"/>
        <v/>
      </c>
      <c r="P44" s="15" t="str">
        <f t="shared" si="21"/>
        <v/>
      </c>
      <c r="Q44" s="15" t="str">
        <f t="shared" si="22"/>
        <v/>
      </c>
      <c r="R44" s="55" t="str">
        <f t="shared" si="23"/>
        <v/>
      </c>
      <c r="S44" s="33" t="str">
        <f t="shared" si="24"/>
        <v/>
      </c>
      <c r="T44" s="33" t="str">
        <f t="shared" si="25"/>
        <v/>
      </c>
      <c r="U44" s="15" t="str">
        <f t="shared" si="26"/>
        <v/>
      </c>
      <c r="V44" s="15" t="str">
        <f t="shared" si="27"/>
        <v/>
      </c>
      <c r="W44" s="62" t="str">
        <f t="shared" si="28"/>
        <v/>
      </c>
      <c r="X44" s="15"/>
      <c r="Y44" s="1">
        <f t="shared" si="29"/>
        <v>-5.2091600640256919E-5</v>
      </c>
      <c r="AA44" s="38" t="s">
        <v>11</v>
      </c>
      <c r="AB44" s="4">
        <f t="shared" si="42"/>
        <v>9.3119141333333336E-2</v>
      </c>
      <c r="AC44" s="4">
        <f t="shared" si="43"/>
        <v>-0.17458152033333335</v>
      </c>
      <c r="AD44" s="4">
        <f t="shared" si="41"/>
        <v>-8.1462379000000015E-2</v>
      </c>
      <c r="AH44" s="35">
        <v>45714</v>
      </c>
      <c r="AI44" s="31" t="s">
        <v>263</v>
      </c>
      <c r="AJ44" s="32">
        <v>0.01</v>
      </c>
      <c r="AK44" s="28">
        <f t="shared" si="12"/>
        <v>1.0004001600640256E-2</v>
      </c>
      <c r="AL44" s="28" t="s">
        <v>266</v>
      </c>
      <c r="AM44" s="28" t="s">
        <v>263</v>
      </c>
      <c r="AN44" s="28" t="s">
        <v>854</v>
      </c>
      <c r="AO44" s="28" t="s">
        <v>285</v>
      </c>
      <c r="AP44" s="28" t="s">
        <v>307</v>
      </c>
      <c r="AQ44" s="28" t="s">
        <v>73</v>
      </c>
      <c r="AR44" s="28" t="s">
        <v>20</v>
      </c>
      <c r="AS44" s="73">
        <v>38135.2936595879</v>
      </c>
      <c r="AT44" s="8">
        <v>624.94000000000005</v>
      </c>
      <c r="AU44" s="73" t="s">
        <v>263</v>
      </c>
      <c r="AV44" s="73" t="b">
        <f t="shared" si="30"/>
        <v>1</v>
      </c>
      <c r="AW44" s="79">
        <v>0</v>
      </c>
      <c r="AX44" s="45" t="str">
        <f t="shared" si="31"/>
        <v/>
      </c>
      <c r="AY44" s="29" t="str">
        <f t="shared" si="32"/>
        <v/>
      </c>
      <c r="AZ44" s="29" t="str">
        <f t="shared" si="33"/>
        <v/>
      </c>
      <c r="BA44" s="29" t="s">
        <v>699</v>
      </c>
      <c r="BB44" s="29">
        <f t="shared" si="34"/>
        <v>0</v>
      </c>
      <c r="BC44">
        <f t="shared" si="35"/>
        <v>0</v>
      </c>
      <c r="BD44" s="78" t="str" cm="1">
        <f t="array" ref="BD44">IF(BC44&lt;&gt;1, "", IF(AK44&gt;0, INT(AK44/SUMPRODUCT(($AK$3:$AK$1000&gt;0)*($AK$3:$AK$1000), ($BC$3:$BC$1000))*$AB$12/AT44), INT(AK44/SUMPRODUCT(($AK$3:$AK$1000&lt;0)*($AK$3:$AK$1000), ($BC$3:$BC$1000))*$AB$13/AT44)))</f>
        <v/>
      </c>
      <c r="BE44" t="str">
        <f t="shared" si="36"/>
        <v/>
      </c>
      <c r="BF44" s="65" t="str">
        <f t="shared" si="37"/>
        <v/>
      </c>
      <c r="BN44" s="75">
        <v>0.4100000000000002</v>
      </c>
      <c r="BO44" s="57">
        <v>1.0058610405677892</v>
      </c>
      <c r="BP44" s="57">
        <v>3.3812529917968575</v>
      </c>
      <c r="BQ44" s="57"/>
      <c r="BR44" s="26">
        <f t="shared" si="16"/>
        <v>1.1935570161823232</v>
      </c>
      <c r="BT44" s="74">
        <v>0.4100000000000002</v>
      </c>
      <c r="BU44" s="74">
        <v>1.1935570161823232</v>
      </c>
    </row>
    <row r="45" spans="2:73" x14ac:dyDescent="0.3">
      <c r="B45" s="18" t="s">
        <v>288</v>
      </c>
      <c r="C45" s="18" t="s">
        <v>290</v>
      </c>
      <c r="D45" s="18" t="s">
        <v>297</v>
      </c>
      <c r="E45" s="44" t="s">
        <v>293</v>
      </c>
      <c r="F45" s="18" t="s">
        <v>14</v>
      </c>
      <c r="G45" s="18" t="s">
        <v>10</v>
      </c>
      <c r="H45" s="19">
        <v>1712.6906534100001</v>
      </c>
      <c r="I45" s="18">
        <v>18359</v>
      </c>
      <c r="J45" s="20">
        <v>8.1300000000000008</v>
      </c>
      <c r="K45" s="19">
        <v>149258.67000000001</v>
      </c>
      <c r="L45" s="12">
        <f t="shared" si="17"/>
        <v>9.9505780000000016E-3</v>
      </c>
      <c r="M45" s="12">
        <f t="shared" si="18"/>
        <v>1.0004001600640256E-2</v>
      </c>
      <c r="N45" s="15" t="str">
        <f t="shared" si="19"/>
        <v/>
      </c>
      <c r="O45" s="15" t="str">
        <f t="shared" si="20"/>
        <v/>
      </c>
      <c r="P45" s="15" t="str">
        <f t="shared" si="21"/>
        <v/>
      </c>
      <c r="Q45" s="15" t="str">
        <f t="shared" si="22"/>
        <v/>
      </c>
      <c r="R45" s="55" t="str">
        <f t="shared" si="23"/>
        <v/>
      </c>
      <c r="S45" s="33" t="str">
        <f t="shared" si="24"/>
        <v/>
      </c>
      <c r="T45" s="33" t="str">
        <f t="shared" si="25"/>
        <v/>
      </c>
      <c r="U45" s="15" t="str">
        <f t="shared" si="26"/>
        <v/>
      </c>
      <c r="V45" s="15" t="str">
        <f t="shared" si="27"/>
        <v/>
      </c>
      <c r="W45" s="62" t="str">
        <f t="shared" si="28"/>
        <v/>
      </c>
      <c r="X45" s="15"/>
      <c r="Y45" s="1">
        <f t="shared" si="29"/>
        <v>-5.3423600640254906E-5</v>
      </c>
      <c r="AA45" s="39" t="s">
        <v>23</v>
      </c>
      <c r="AB45" s="5">
        <f t="shared" si="42"/>
        <v>8.0660363999999998E-2</v>
      </c>
      <c r="AC45" s="5">
        <f t="shared" si="43"/>
        <v>-0.20534556200000004</v>
      </c>
      <c r="AD45" s="5">
        <f t="shared" si="41"/>
        <v>-0.12468519800000004</v>
      </c>
      <c r="AH45" s="35">
        <v>45714</v>
      </c>
      <c r="AI45" s="31" t="s">
        <v>72</v>
      </c>
      <c r="AJ45" s="32">
        <v>0.01</v>
      </c>
      <c r="AK45" s="28">
        <f t="shared" si="12"/>
        <v>1.0004001600640256E-2</v>
      </c>
      <c r="AL45" s="28" t="s">
        <v>74</v>
      </c>
      <c r="AM45" s="28" t="s">
        <v>72</v>
      </c>
      <c r="AN45" s="28" t="s">
        <v>861</v>
      </c>
      <c r="AO45" s="28" t="s">
        <v>75</v>
      </c>
      <c r="AP45" s="28" t="s">
        <v>157</v>
      </c>
      <c r="AQ45" s="28" t="s">
        <v>73</v>
      </c>
      <c r="AR45" s="28" t="s">
        <v>14</v>
      </c>
      <c r="AS45" s="73">
        <v>1013.22072717</v>
      </c>
      <c r="AT45" s="8">
        <v>11.81</v>
      </c>
      <c r="AU45" s="73" t="s">
        <v>72</v>
      </c>
      <c r="AV45" s="73" t="b">
        <f t="shared" si="30"/>
        <v>1</v>
      </c>
      <c r="AW45" s="79">
        <v>0</v>
      </c>
      <c r="AX45" s="45" t="str">
        <f t="shared" si="31"/>
        <v/>
      </c>
      <c r="AY45" s="29" t="str">
        <f t="shared" si="32"/>
        <v/>
      </c>
      <c r="AZ45" s="29" t="str">
        <f t="shared" si="33"/>
        <v/>
      </c>
      <c r="BA45" s="29" t="s">
        <v>699</v>
      </c>
      <c r="BB45" s="29">
        <f t="shared" si="34"/>
        <v>0</v>
      </c>
      <c r="BC45">
        <f t="shared" si="35"/>
        <v>0</v>
      </c>
      <c r="BD45" s="78" t="str" cm="1">
        <f t="array" ref="BD45">IF(BC45&lt;&gt;1, "", IF(AK45&gt;0, INT(AK45/SUMPRODUCT(($AK$3:$AK$1000&gt;0)*($AK$3:$AK$1000), ($BC$3:$BC$1000))*$AB$12/AT45), INT(AK45/SUMPRODUCT(($AK$3:$AK$1000&lt;0)*($AK$3:$AK$1000), ($BC$3:$BC$1000))*$AB$13/AT45)))</f>
        <v/>
      </c>
      <c r="BE45" t="str">
        <f t="shared" si="36"/>
        <v/>
      </c>
      <c r="BF45" s="65" t="str">
        <f t="shared" si="37"/>
        <v/>
      </c>
      <c r="BN45" s="75">
        <v>0.42000000000000021</v>
      </c>
      <c r="BO45" s="57">
        <v>1.0058610405677892</v>
      </c>
      <c r="BP45" s="57">
        <v>3.3812529917968575</v>
      </c>
      <c r="BQ45" s="57"/>
      <c r="BR45" s="26">
        <f t="shared" si="16"/>
        <v>1.1935570161823232</v>
      </c>
      <c r="BT45" s="74">
        <v>0.42000000000000021</v>
      </c>
      <c r="BU45" s="74">
        <v>1.1935570161823232</v>
      </c>
    </row>
    <row r="46" spans="2:73" x14ac:dyDescent="0.3">
      <c r="B46" s="18" t="s">
        <v>1067</v>
      </c>
      <c r="C46" s="18" t="s">
        <v>1133</v>
      </c>
      <c r="D46" s="18" t="s">
        <v>1280</v>
      </c>
      <c r="E46" s="44" t="s">
        <v>1136</v>
      </c>
      <c r="F46" s="18" t="s">
        <v>24</v>
      </c>
      <c r="G46" s="18" t="s">
        <v>10</v>
      </c>
      <c r="H46" s="19">
        <v>47586.44</v>
      </c>
      <c r="I46" s="18">
        <v>991</v>
      </c>
      <c r="J46" s="20">
        <v>150.59</v>
      </c>
      <c r="K46" s="19">
        <v>149234.69</v>
      </c>
      <c r="L46" s="12">
        <f t="shared" si="17"/>
        <v>9.9489793333333333E-3</v>
      </c>
      <c r="M46" s="12">
        <f t="shared" si="18"/>
        <v>1.0004001600640256E-2</v>
      </c>
      <c r="N46" s="15" t="str">
        <f t="shared" si="19"/>
        <v/>
      </c>
      <c r="O46" s="15" t="str">
        <f t="shared" si="20"/>
        <v/>
      </c>
      <c r="P46" s="15" t="str">
        <f t="shared" si="21"/>
        <v/>
      </c>
      <c r="Q46" s="15" t="str">
        <f t="shared" si="22"/>
        <v/>
      </c>
      <c r="R46" s="55" t="str">
        <f t="shared" si="23"/>
        <v/>
      </c>
      <c r="S46" s="33" t="str">
        <f t="shared" si="24"/>
        <v/>
      </c>
      <c r="T46" s="33" t="str">
        <f t="shared" si="25"/>
        <v/>
      </c>
      <c r="U46" s="15" t="str">
        <f t="shared" si="26"/>
        <v/>
      </c>
      <c r="V46" s="15" t="str">
        <f t="shared" si="27"/>
        <v/>
      </c>
      <c r="W46" s="62" t="str">
        <f t="shared" si="28"/>
        <v/>
      </c>
      <c r="X46" s="15"/>
      <c r="Y46" s="1">
        <f t="shared" si="29"/>
        <v>-5.5022267306923181E-5</v>
      </c>
      <c r="AA46" s="38" t="s">
        <v>20</v>
      </c>
      <c r="AB46" s="4">
        <f t="shared" si="42"/>
        <v>0.15568094266666663</v>
      </c>
      <c r="AC46" s="4">
        <f t="shared" si="43"/>
        <v>-0.16228014066666668</v>
      </c>
      <c r="AD46" s="4">
        <f t="shared" si="41"/>
        <v>-6.5991980000000561E-3</v>
      </c>
      <c r="AH46" s="35">
        <v>45714</v>
      </c>
      <c r="AI46" s="31" t="s">
        <v>194</v>
      </c>
      <c r="AJ46" s="32">
        <v>0.01</v>
      </c>
      <c r="AK46" s="28">
        <f t="shared" si="12"/>
        <v>1.0004001600640256E-2</v>
      </c>
      <c r="AL46" s="28" t="s">
        <v>197</v>
      </c>
      <c r="AM46" s="28" t="s">
        <v>194</v>
      </c>
      <c r="AN46" s="28" t="s">
        <v>448</v>
      </c>
      <c r="AO46" s="28" t="s">
        <v>198</v>
      </c>
      <c r="AP46" s="28" t="s">
        <v>199</v>
      </c>
      <c r="AQ46" s="28" t="s">
        <v>73</v>
      </c>
      <c r="AR46" s="28" t="s">
        <v>23</v>
      </c>
      <c r="AS46" s="73">
        <v>2133.3278112399998</v>
      </c>
      <c r="AT46" s="8">
        <v>8.2100000000000009</v>
      </c>
      <c r="AU46" s="73" t="s">
        <v>194</v>
      </c>
      <c r="AV46" s="73" t="b">
        <f t="shared" si="30"/>
        <v>1</v>
      </c>
      <c r="AW46" s="79">
        <v>0</v>
      </c>
      <c r="AX46" s="45" t="str">
        <f t="shared" si="31"/>
        <v/>
      </c>
      <c r="AY46" s="29" t="str">
        <f t="shared" si="32"/>
        <v/>
      </c>
      <c r="AZ46" s="29" t="str">
        <f t="shared" si="33"/>
        <v/>
      </c>
      <c r="BA46" s="29" t="s">
        <v>699</v>
      </c>
      <c r="BB46" s="29">
        <f t="shared" si="34"/>
        <v>0</v>
      </c>
      <c r="BC46">
        <f t="shared" si="35"/>
        <v>0</v>
      </c>
      <c r="BD46" s="78" t="str" cm="1">
        <f t="array" ref="BD46">IF(BC46&lt;&gt;1, "", IF(AK46&gt;0, INT(AK46/SUMPRODUCT(($AK$3:$AK$1000&gt;0)*($AK$3:$AK$1000), ($BC$3:$BC$1000))*$AB$12/AT46), INT(AK46/SUMPRODUCT(($AK$3:$AK$1000&lt;0)*($AK$3:$AK$1000), ($BC$3:$BC$1000))*$AB$13/AT46)))</f>
        <v/>
      </c>
      <c r="BE46" t="str">
        <f t="shared" si="36"/>
        <v/>
      </c>
      <c r="BF46" s="65" t="str">
        <f t="shared" si="37"/>
        <v/>
      </c>
      <c r="BN46" s="75">
        <v>0.43000000000000022</v>
      </c>
      <c r="BO46" s="57">
        <v>1.0058610405677892</v>
      </c>
      <c r="BP46" s="57">
        <v>3.5290236153385246</v>
      </c>
      <c r="BQ46" s="57"/>
      <c r="BR46" s="26">
        <f t="shared" si="16"/>
        <v>1.267442327953157</v>
      </c>
      <c r="BT46" s="74">
        <v>0.43000000000000022</v>
      </c>
      <c r="BU46" s="74">
        <v>1.267442327953157</v>
      </c>
    </row>
    <row r="47" spans="2:73" x14ac:dyDescent="0.3">
      <c r="B47" s="18" t="s">
        <v>334</v>
      </c>
      <c r="C47" s="18" t="s">
        <v>338</v>
      </c>
      <c r="D47" s="18" t="s">
        <v>346</v>
      </c>
      <c r="E47" s="44" t="s">
        <v>340</v>
      </c>
      <c r="F47" s="18" t="s">
        <v>20</v>
      </c>
      <c r="G47" s="18" t="s">
        <v>10</v>
      </c>
      <c r="H47" s="19">
        <v>20595.247295999998</v>
      </c>
      <c r="I47" s="18">
        <v>956</v>
      </c>
      <c r="J47" s="20">
        <v>156</v>
      </c>
      <c r="K47" s="19">
        <v>149136</v>
      </c>
      <c r="L47" s="12">
        <f t="shared" si="17"/>
        <v>9.9424000000000005E-3</v>
      </c>
      <c r="M47" s="12">
        <f t="shared" si="18"/>
        <v>1.0004001600640256E-2</v>
      </c>
      <c r="N47" s="15" t="str">
        <f t="shared" si="19"/>
        <v/>
      </c>
      <c r="O47" s="15" t="str">
        <f t="shared" si="20"/>
        <v/>
      </c>
      <c r="P47" s="15" t="str">
        <f t="shared" si="21"/>
        <v/>
      </c>
      <c r="Q47" s="15" t="str">
        <f t="shared" si="22"/>
        <v/>
      </c>
      <c r="R47" s="55" t="str">
        <f t="shared" si="23"/>
        <v/>
      </c>
      <c r="S47" s="33" t="str">
        <f t="shared" si="24"/>
        <v/>
      </c>
      <c r="T47" s="33" t="str">
        <f t="shared" si="25"/>
        <v/>
      </c>
      <c r="U47" s="15" t="str">
        <f t="shared" si="26"/>
        <v/>
      </c>
      <c r="V47" s="15" t="str">
        <f t="shared" si="27"/>
        <v/>
      </c>
      <c r="W47" s="62" t="str">
        <f t="shared" si="28"/>
        <v/>
      </c>
      <c r="X47" s="15"/>
      <c r="Y47" s="1">
        <f t="shared" si="29"/>
        <v>-6.1601600640255952E-5</v>
      </c>
      <c r="AA47" s="39" t="s">
        <v>25</v>
      </c>
      <c r="AB47" s="5">
        <f t="shared" si="42"/>
        <v>3.5310002666666666E-2</v>
      </c>
      <c r="AC47" s="5">
        <f t="shared" si="43"/>
        <v>-1.9063110666666667E-2</v>
      </c>
      <c r="AD47" s="5">
        <f t="shared" si="41"/>
        <v>1.6246891999999999E-2</v>
      </c>
      <c r="AH47" s="35">
        <v>45714</v>
      </c>
      <c r="AI47" s="31" t="s">
        <v>172</v>
      </c>
      <c r="AJ47" s="32">
        <v>0.01</v>
      </c>
      <c r="AK47" s="28">
        <f t="shared" si="12"/>
        <v>1.0004001600640256E-2</v>
      </c>
      <c r="AL47" s="28" t="s">
        <v>173</v>
      </c>
      <c r="AM47" s="28" t="s">
        <v>172</v>
      </c>
      <c r="AN47" s="28" t="s">
        <v>449</v>
      </c>
      <c r="AO47" s="28" t="s">
        <v>187</v>
      </c>
      <c r="AP47" s="28" t="s">
        <v>178</v>
      </c>
      <c r="AQ47" s="28" t="s">
        <v>73</v>
      </c>
      <c r="AR47" s="28" t="s">
        <v>23</v>
      </c>
      <c r="AS47" s="73">
        <v>1326.81205458</v>
      </c>
      <c r="AT47" s="8">
        <v>8.07</v>
      </c>
      <c r="AU47" s="73" t="s">
        <v>172</v>
      </c>
      <c r="AV47" s="73" t="b">
        <f t="shared" si="30"/>
        <v>1</v>
      </c>
      <c r="AW47" s="79">
        <v>0</v>
      </c>
      <c r="AX47" s="45" t="str">
        <f t="shared" si="31"/>
        <v/>
      </c>
      <c r="AY47" s="29" t="str">
        <f t="shared" si="32"/>
        <v/>
      </c>
      <c r="AZ47" s="29" t="str">
        <f t="shared" si="33"/>
        <v/>
      </c>
      <c r="BA47" s="29" t="s">
        <v>699</v>
      </c>
      <c r="BB47" s="29">
        <f t="shared" si="34"/>
        <v>0</v>
      </c>
      <c r="BC47">
        <f t="shared" si="35"/>
        <v>0</v>
      </c>
      <c r="BD47" s="78" t="str" cm="1">
        <f t="array" ref="BD47">IF(BC47&lt;&gt;1, "", IF(AK47&gt;0, INT(AK47/SUMPRODUCT(($AK$3:$AK$1000&gt;0)*($AK$3:$AK$1000), ($BC$3:$BC$1000))*$AB$12/AT47), INT(AK47/SUMPRODUCT(($AK$3:$AK$1000&lt;0)*($AK$3:$AK$1000), ($BC$3:$BC$1000))*$AB$13/AT47)))</f>
        <v/>
      </c>
      <c r="BE47" t="str">
        <f t="shared" si="36"/>
        <v/>
      </c>
      <c r="BF47" s="65" t="str">
        <f t="shared" si="37"/>
        <v/>
      </c>
      <c r="BN47" s="75">
        <v>0.44000000000000022</v>
      </c>
      <c r="BO47" s="57">
        <v>1.0058610405677892</v>
      </c>
      <c r="BP47" s="57">
        <v>3.5290236153385246</v>
      </c>
      <c r="BQ47" s="57"/>
      <c r="BR47" s="26">
        <f t="shared" si="16"/>
        <v>1.267442327953157</v>
      </c>
      <c r="BT47" s="74">
        <v>0.44000000000000022</v>
      </c>
      <c r="BU47" s="74">
        <v>1.267442327953157</v>
      </c>
    </row>
    <row r="48" spans="2:73" x14ac:dyDescent="0.3">
      <c r="B48" s="18" t="s">
        <v>1502</v>
      </c>
      <c r="C48" s="18" t="s">
        <v>1530</v>
      </c>
      <c r="D48" s="18" t="s">
        <v>1610</v>
      </c>
      <c r="E48" s="44" t="s">
        <v>1533</v>
      </c>
      <c r="F48" s="18" t="s">
        <v>23</v>
      </c>
      <c r="G48" s="18" t="s">
        <v>10</v>
      </c>
      <c r="H48" s="19">
        <v>820.05099011999994</v>
      </c>
      <c r="I48" s="18">
        <v>16963</v>
      </c>
      <c r="J48" s="20">
        <v>8.7899999999999991</v>
      </c>
      <c r="K48" s="19">
        <v>149104.76999999999</v>
      </c>
      <c r="L48" s="12">
        <f t="shared" si="17"/>
        <v>9.9403180000000001E-3</v>
      </c>
      <c r="M48" s="12">
        <f t="shared" si="18"/>
        <v>1.0004001600640256E-2</v>
      </c>
      <c r="N48" s="15" t="str">
        <f t="shared" si="19"/>
        <v/>
      </c>
      <c r="O48" s="15" t="str">
        <f t="shared" si="20"/>
        <v/>
      </c>
      <c r="P48" s="15" t="str">
        <f t="shared" si="21"/>
        <v/>
      </c>
      <c r="Q48" s="15" t="str">
        <f t="shared" si="22"/>
        <v/>
      </c>
      <c r="R48" s="55" t="str">
        <f t="shared" si="23"/>
        <v/>
      </c>
      <c r="S48" s="33" t="str">
        <f t="shared" si="24"/>
        <v/>
      </c>
      <c r="T48" s="33" t="str">
        <f t="shared" si="25"/>
        <v/>
      </c>
      <c r="U48" s="15" t="str">
        <f t="shared" si="26"/>
        <v/>
      </c>
      <c r="V48" s="15" t="str">
        <f t="shared" si="27"/>
        <v/>
      </c>
      <c r="W48" s="62" t="str">
        <f t="shared" si="28"/>
        <v/>
      </c>
      <c r="X48" s="15"/>
      <c r="Y48" s="1">
        <f t="shared" si="29"/>
        <v>-6.3683600640256424E-5</v>
      </c>
      <c r="AA48" s="38" t="s">
        <v>24</v>
      </c>
      <c r="AB48" s="4">
        <f t="shared" si="42"/>
        <v>5.0140767333333336E-2</v>
      </c>
      <c r="AC48" s="4">
        <f t="shared" si="43"/>
        <v>-0.10990186199999999</v>
      </c>
      <c r="AD48" s="4">
        <f t="shared" si="41"/>
        <v>-5.9761094666666653E-2</v>
      </c>
      <c r="AH48" s="35">
        <v>45714</v>
      </c>
      <c r="AI48" s="31" t="s">
        <v>299</v>
      </c>
      <c r="AJ48" s="32">
        <v>0.01</v>
      </c>
      <c r="AK48" s="28">
        <f t="shared" si="12"/>
        <v>1.0004001600640256E-2</v>
      </c>
      <c r="AL48" s="28" t="s">
        <v>303</v>
      </c>
      <c r="AM48" s="28" t="s">
        <v>299</v>
      </c>
      <c r="AN48" s="28" t="s">
        <v>1666</v>
      </c>
      <c r="AO48" s="28" t="s">
        <v>304</v>
      </c>
      <c r="AP48" s="28" t="s">
        <v>305</v>
      </c>
      <c r="AQ48" s="28" t="s">
        <v>73</v>
      </c>
      <c r="AR48" s="28" t="s">
        <v>21</v>
      </c>
      <c r="AS48" s="73">
        <v>905.70453329999998</v>
      </c>
      <c r="AT48" s="8">
        <v>25.62</v>
      </c>
      <c r="AU48" s="73" t="s">
        <v>299</v>
      </c>
      <c r="AV48" s="73" t="b">
        <f t="shared" si="30"/>
        <v>1</v>
      </c>
      <c r="AW48" s="79">
        <v>0</v>
      </c>
      <c r="AX48" s="45" t="str">
        <f t="shared" si="31"/>
        <v/>
      </c>
      <c r="AY48" s="29" t="str">
        <f t="shared" si="32"/>
        <v/>
      </c>
      <c r="AZ48" s="29" t="str">
        <f t="shared" si="33"/>
        <v/>
      </c>
      <c r="BA48" s="29" t="s">
        <v>699</v>
      </c>
      <c r="BB48" s="29">
        <f t="shared" si="34"/>
        <v>0</v>
      </c>
      <c r="BC48">
        <f t="shared" si="35"/>
        <v>0</v>
      </c>
      <c r="BD48" s="78" t="str" cm="1">
        <f t="array" ref="BD48">IF(BC48&lt;&gt;1, "", IF(AK48&gt;0, INT(AK48/SUMPRODUCT(($AK$3:$AK$1000&gt;0)*($AK$3:$AK$1000), ($BC$3:$BC$1000))*$AB$12/AT48), INT(AK48/SUMPRODUCT(($AK$3:$AK$1000&lt;0)*($AK$3:$AK$1000), ($BC$3:$BC$1000))*$AB$13/AT48)))</f>
        <v/>
      </c>
      <c r="BE48" t="str">
        <f t="shared" si="36"/>
        <v/>
      </c>
      <c r="BF48" s="65" t="str">
        <f t="shared" si="37"/>
        <v/>
      </c>
      <c r="BN48" s="75">
        <v>0.45000000000000023</v>
      </c>
      <c r="BO48" s="57">
        <v>1.0058610405677892</v>
      </c>
      <c r="BP48" s="57">
        <v>3.5290236153385246</v>
      </c>
      <c r="BQ48" s="57"/>
      <c r="BR48" s="26">
        <f t="shared" si="16"/>
        <v>1.267442327953157</v>
      </c>
      <c r="BT48" s="74">
        <v>0.45000000000000023</v>
      </c>
      <c r="BU48" s="74">
        <v>1.267442327953157</v>
      </c>
    </row>
    <row r="49" spans="2:73" x14ac:dyDescent="0.3">
      <c r="B49" s="18" t="s">
        <v>555</v>
      </c>
      <c r="C49" s="18" t="s">
        <v>563</v>
      </c>
      <c r="D49" s="18" t="s">
        <v>575</v>
      </c>
      <c r="E49" s="44" t="s">
        <v>565</v>
      </c>
      <c r="F49" s="18" t="s">
        <v>14</v>
      </c>
      <c r="G49" s="18" t="s">
        <v>10</v>
      </c>
      <c r="H49" s="19">
        <v>308.40450550000003</v>
      </c>
      <c r="I49" s="18">
        <v>17528</v>
      </c>
      <c r="J49" s="20">
        <v>8.5</v>
      </c>
      <c r="K49" s="19">
        <v>148988</v>
      </c>
      <c r="L49" s="12">
        <f t="shared" si="17"/>
        <v>9.9325333333333335E-3</v>
      </c>
      <c r="M49" s="12">
        <f t="shared" si="18"/>
        <v>9.2036814725890356E-3</v>
      </c>
      <c r="N49" s="15" t="str">
        <f t="shared" si="19"/>
        <v/>
      </c>
      <c r="O49" s="15" t="str">
        <f t="shared" si="20"/>
        <v/>
      </c>
      <c r="P49" s="15">
        <f t="shared" si="21"/>
        <v>1</v>
      </c>
      <c r="Q49" s="15" t="str">
        <f t="shared" si="22"/>
        <v>Sell</v>
      </c>
      <c r="R49" s="55">
        <f t="shared" si="23"/>
        <v>1286</v>
      </c>
      <c r="S49" s="33">
        <f t="shared" si="24"/>
        <v>10931</v>
      </c>
      <c r="T49" s="33" t="str">
        <f t="shared" si="25"/>
        <v/>
      </c>
      <c r="U49" s="15" t="str">
        <f t="shared" si="26"/>
        <v/>
      </c>
      <c r="V49" s="15">
        <f t="shared" si="27"/>
        <v>12.86</v>
      </c>
      <c r="W49" s="62">
        <f t="shared" si="28"/>
        <v>1.176470588235294E-3</v>
      </c>
      <c r="X49" s="15"/>
      <c r="Y49" s="1">
        <f t="shared" si="29"/>
        <v>7.2885186074429786E-4</v>
      </c>
      <c r="AA49" s="39" t="s">
        <v>26</v>
      </c>
      <c r="AB49" s="5">
        <f t="shared" si="42"/>
        <v>1.8226942666666662E-2</v>
      </c>
      <c r="AC49" s="5">
        <f t="shared" si="43"/>
        <v>-4.5999280666666663E-2</v>
      </c>
      <c r="AD49" s="5">
        <f t="shared" si="41"/>
        <v>-2.7772338000000001E-2</v>
      </c>
      <c r="AH49" s="35">
        <v>45714</v>
      </c>
      <c r="AI49" s="31" t="s">
        <v>1065</v>
      </c>
      <c r="AJ49" s="32">
        <v>0.01</v>
      </c>
      <c r="AK49" s="28">
        <f t="shared" si="12"/>
        <v>1.0004001600640256E-2</v>
      </c>
      <c r="AL49" s="28" t="s">
        <v>1126</v>
      </c>
      <c r="AM49" s="28" t="s">
        <v>1065</v>
      </c>
      <c r="AN49" s="28" t="s">
        <v>1127</v>
      </c>
      <c r="AO49" s="28" t="s">
        <v>1128</v>
      </c>
      <c r="AP49" s="28" t="s">
        <v>1129</v>
      </c>
      <c r="AQ49" s="28" t="s">
        <v>73</v>
      </c>
      <c r="AR49" s="28" t="s">
        <v>11</v>
      </c>
      <c r="AS49" s="73">
        <v>1180.0145817600001</v>
      </c>
      <c r="AT49" s="8">
        <v>11.76</v>
      </c>
      <c r="AU49" s="73" t="s">
        <v>1065</v>
      </c>
      <c r="AV49" s="73" t="b">
        <f t="shared" si="30"/>
        <v>1</v>
      </c>
      <c r="AW49" s="79">
        <v>0</v>
      </c>
      <c r="AX49" s="45" t="str">
        <f t="shared" si="31"/>
        <v/>
      </c>
      <c r="AY49" s="29" t="str">
        <f t="shared" si="32"/>
        <v/>
      </c>
      <c r="AZ49" s="29" t="str">
        <f t="shared" si="33"/>
        <v/>
      </c>
      <c r="BA49" s="29" t="s">
        <v>699</v>
      </c>
      <c r="BB49" s="29">
        <f t="shared" si="34"/>
        <v>0</v>
      </c>
      <c r="BC49">
        <f t="shared" si="35"/>
        <v>0</v>
      </c>
      <c r="BD49" s="78" t="str" cm="1">
        <f t="array" ref="BD49">IF(BC49&lt;&gt;1, "", IF(AK49&gt;0, INT(AK49/SUMPRODUCT(($AK$3:$AK$1000&gt;0)*($AK$3:$AK$1000), ($BC$3:$BC$1000))*$AB$12/AT49), INT(AK49/SUMPRODUCT(($AK$3:$AK$1000&lt;0)*($AK$3:$AK$1000), ($BC$3:$BC$1000))*$AB$13/AT49)))</f>
        <v/>
      </c>
      <c r="BE49" t="str">
        <f t="shared" si="36"/>
        <v/>
      </c>
      <c r="BF49" s="65" t="str">
        <f t="shared" si="37"/>
        <v/>
      </c>
      <c r="BN49" s="75">
        <v>0.46000000000000024</v>
      </c>
      <c r="BO49" s="57">
        <v>1.0058610405677892</v>
      </c>
      <c r="BP49" s="57">
        <v>3.5290236153385246</v>
      </c>
      <c r="BQ49" s="57"/>
      <c r="BR49" s="26">
        <f t="shared" si="16"/>
        <v>1.267442327953157</v>
      </c>
      <c r="BT49" s="74">
        <v>0.46000000000000024</v>
      </c>
      <c r="BU49" s="74">
        <v>1.267442327953157</v>
      </c>
    </row>
    <row r="50" spans="2:73" x14ac:dyDescent="0.3">
      <c r="B50" s="18" t="s">
        <v>335</v>
      </c>
      <c r="C50" s="18" t="s">
        <v>341</v>
      </c>
      <c r="D50" s="18" t="s">
        <v>347</v>
      </c>
      <c r="E50" s="44" t="s">
        <v>343</v>
      </c>
      <c r="F50" s="18" t="s">
        <v>23</v>
      </c>
      <c r="G50" s="18" t="s">
        <v>10</v>
      </c>
      <c r="H50" s="19">
        <v>922.49220749999984</v>
      </c>
      <c r="I50" s="18">
        <v>13858</v>
      </c>
      <c r="J50" s="20">
        <v>10.7</v>
      </c>
      <c r="K50" s="19">
        <v>148280.59999999998</v>
      </c>
      <c r="L50" s="12">
        <f t="shared" si="17"/>
        <v>9.8853733333333325E-3</v>
      </c>
      <c r="M50" s="12">
        <f t="shared" si="18"/>
        <v>1.0004001600640256E-2</v>
      </c>
      <c r="N50" s="15" t="str">
        <f t="shared" si="19"/>
        <v/>
      </c>
      <c r="O50" s="15" t="str">
        <f t="shared" si="20"/>
        <v/>
      </c>
      <c r="P50" s="15" t="str">
        <f t="shared" si="21"/>
        <v/>
      </c>
      <c r="Q50" s="15" t="str">
        <f t="shared" si="22"/>
        <v/>
      </c>
      <c r="R50" s="55" t="str">
        <f t="shared" si="23"/>
        <v/>
      </c>
      <c r="S50" s="33" t="str">
        <f t="shared" si="24"/>
        <v/>
      </c>
      <c r="T50" s="33" t="str">
        <f t="shared" si="25"/>
        <v/>
      </c>
      <c r="U50" s="15" t="str">
        <f t="shared" si="26"/>
        <v/>
      </c>
      <c r="V50" s="15" t="str">
        <f t="shared" si="27"/>
        <v/>
      </c>
      <c r="W50" s="62" t="str">
        <f t="shared" si="28"/>
        <v/>
      </c>
      <c r="X50" s="15"/>
      <c r="Y50" s="1">
        <f t="shared" si="29"/>
        <v>-1.1862826730692395E-4</v>
      </c>
      <c r="AA50" s="38" t="s">
        <v>19</v>
      </c>
      <c r="AB50" s="4">
        <f t="shared" si="42"/>
        <v>4.7664801999999992E-2</v>
      </c>
      <c r="AC50" s="4">
        <f t="shared" si="43"/>
        <v>-5.5312562666666669E-2</v>
      </c>
      <c r="AD50" s="4">
        <f t="shared" si="41"/>
        <v>-7.6477606666666767E-3</v>
      </c>
      <c r="AH50" s="35">
        <v>45714</v>
      </c>
      <c r="AI50" s="31" t="s">
        <v>289</v>
      </c>
      <c r="AJ50" s="32">
        <v>0.01</v>
      </c>
      <c r="AK50" s="28">
        <f t="shared" si="12"/>
        <v>1.0004001600640256E-2</v>
      </c>
      <c r="AL50" s="28" t="s">
        <v>294</v>
      </c>
      <c r="AM50" s="28" t="s">
        <v>289</v>
      </c>
      <c r="AN50" s="28" t="s">
        <v>662</v>
      </c>
      <c r="AO50" s="28" t="s">
        <v>295</v>
      </c>
      <c r="AP50" s="28" t="s">
        <v>296</v>
      </c>
      <c r="AQ50" s="28" t="s">
        <v>73</v>
      </c>
      <c r="AR50" s="28" t="s">
        <v>19</v>
      </c>
      <c r="AS50" s="73">
        <v>1962.5539878</v>
      </c>
      <c r="AT50" s="8">
        <v>150.78</v>
      </c>
      <c r="AU50" s="73" t="s">
        <v>289</v>
      </c>
      <c r="AV50" s="73" t="b">
        <f t="shared" si="30"/>
        <v>1</v>
      </c>
      <c r="AW50" s="79">
        <v>0</v>
      </c>
      <c r="AX50" s="45" t="str">
        <f t="shared" si="31"/>
        <v/>
      </c>
      <c r="AY50" s="29" t="str">
        <f t="shared" si="32"/>
        <v/>
      </c>
      <c r="AZ50" s="29" t="str">
        <f t="shared" si="33"/>
        <v/>
      </c>
      <c r="BA50" s="29" t="s">
        <v>699</v>
      </c>
      <c r="BB50" s="29">
        <f t="shared" si="34"/>
        <v>0</v>
      </c>
      <c r="BC50">
        <f t="shared" si="35"/>
        <v>0</v>
      </c>
      <c r="BD50" s="78" t="str" cm="1">
        <f t="array" ref="BD50">IF(BC50&lt;&gt;1, "", IF(AK50&gt;0, INT(AK50/SUMPRODUCT(($AK$3:$AK$1000&gt;0)*($AK$3:$AK$1000), ($BC$3:$BC$1000))*$AB$12/AT50), INT(AK50/SUMPRODUCT(($AK$3:$AK$1000&lt;0)*($AK$3:$AK$1000), ($BC$3:$BC$1000))*$AB$13/AT50)))</f>
        <v/>
      </c>
      <c r="BE50" t="str">
        <f t="shared" si="36"/>
        <v/>
      </c>
      <c r="BF50" s="65" t="str">
        <f t="shared" si="37"/>
        <v/>
      </c>
      <c r="BN50" s="75">
        <v>0.47000000000000025</v>
      </c>
      <c r="BO50" s="57">
        <v>1.0058610405677892</v>
      </c>
      <c r="BP50" s="57">
        <v>3.5290236153385246</v>
      </c>
      <c r="BQ50" s="57"/>
      <c r="BR50" s="26">
        <f t="shared" si="16"/>
        <v>1.267442327953157</v>
      </c>
      <c r="BT50" s="74">
        <v>0.47000000000000025</v>
      </c>
      <c r="BU50" s="74">
        <v>1.267442327953157</v>
      </c>
    </row>
    <row r="51" spans="2:73" x14ac:dyDescent="0.3">
      <c r="B51" s="18" t="s">
        <v>194</v>
      </c>
      <c r="C51" s="18" t="s">
        <v>197</v>
      </c>
      <c r="D51" s="18" t="s">
        <v>207</v>
      </c>
      <c r="E51" s="44" t="s">
        <v>199</v>
      </c>
      <c r="F51" s="18" t="s">
        <v>23</v>
      </c>
      <c r="G51" s="18" t="s">
        <v>10</v>
      </c>
      <c r="H51" s="19">
        <v>2133.3278112400003</v>
      </c>
      <c r="I51" s="18">
        <v>18022</v>
      </c>
      <c r="J51" s="20">
        <v>8.2100000000000009</v>
      </c>
      <c r="K51" s="19">
        <v>147960.62000000002</v>
      </c>
      <c r="L51" s="12">
        <f t="shared" si="17"/>
        <v>9.8640413333333354E-3</v>
      </c>
      <c r="M51" s="12">
        <f t="shared" si="18"/>
        <v>1.0004001600640256E-2</v>
      </c>
      <c r="N51" s="15" t="str">
        <f t="shared" si="19"/>
        <v/>
      </c>
      <c r="O51" s="15" t="str">
        <f t="shared" si="20"/>
        <v/>
      </c>
      <c r="P51" s="15" t="str">
        <f t="shared" si="21"/>
        <v/>
      </c>
      <c r="Q51" s="15" t="str">
        <f t="shared" si="22"/>
        <v/>
      </c>
      <c r="R51" s="55" t="str">
        <f t="shared" si="23"/>
        <v/>
      </c>
      <c r="S51" s="33" t="str">
        <f t="shared" si="24"/>
        <v/>
      </c>
      <c r="T51" s="33" t="str">
        <f t="shared" si="25"/>
        <v/>
      </c>
      <c r="U51" s="15" t="str">
        <f t="shared" si="26"/>
        <v/>
      </c>
      <c r="V51" s="15" t="str">
        <f t="shared" si="27"/>
        <v/>
      </c>
      <c r="W51" s="62" t="str">
        <f t="shared" si="28"/>
        <v/>
      </c>
      <c r="X51" s="15"/>
      <c r="Y51" s="1">
        <f t="shared" si="29"/>
        <v>-1.3996026730692113E-4</v>
      </c>
      <c r="AA51" s="39" t="s">
        <v>21</v>
      </c>
      <c r="AB51" s="5">
        <f t="shared" si="42"/>
        <v>1.9965863333333334E-2</v>
      </c>
      <c r="AC51" s="5">
        <f t="shared" si="43"/>
        <v>-2.8414370666666664E-2</v>
      </c>
      <c r="AD51" s="5">
        <f t="shared" si="41"/>
        <v>-8.4485073333333306E-3</v>
      </c>
      <c r="AH51" s="35">
        <v>45714</v>
      </c>
      <c r="AI51" s="31" t="s">
        <v>844</v>
      </c>
      <c r="AJ51" s="32">
        <v>0.01</v>
      </c>
      <c r="AK51" s="28">
        <f t="shared" si="12"/>
        <v>1.0004001600640256E-2</v>
      </c>
      <c r="AL51" s="28" t="s">
        <v>868</v>
      </c>
      <c r="AM51" s="28" t="s">
        <v>844</v>
      </c>
      <c r="AN51" s="28" t="s">
        <v>1667</v>
      </c>
      <c r="AO51" s="28" t="s">
        <v>869</v>
      </c>
      <c r="AP51" s="28" t="s">
        <v>870</v>
      </c>
      <c r="AQ51" s="28" t="s">
        <v>73</v>
      </c>
      <c r="AR51" s="28" t="s">
        <v>23</v>
      </c>
      <c r="AS51" s="73">
        <v>14423.97207132</v>
      </c>
      <c r="AT51" s="8">
        <v>104.58</v>
      </c>
      <c r="AU51" s="73" t="s">
        <v>844</v>
      </c>
      <c r="AV51" s="73" t="b">
        <f t="shared" si="30"/>
        <v>1</v>
      </c>
      <c r="AW51" s="79">
        <v>0</v>
      </c>
      <c r="AX51" s="45" t="str">
        <f t="shared" si="31"/>
        <v/>
      </c>
      <c r="AY51" s="29" t="str">
        <f t="shared" si="32"/>
        <v/>
      </c>
      <c r="AZ51" s="29" t="str">
        <f t="shared" si="33"/>
        <v/>
      </c>
      <c r="BA51" s="29" t="s">
        <v>699</v>
      </c>
      <c r="BB51" s="29">
        <f t="shared" si="34"/>
        <v>0</v>
      </c>
      <c r="BC51">
        <f t="shared" si="35"/>
        <v>0</v>
      </c>
      <c r="BD51" s="78" t="str" cm="1">
        <f t="array" ref="BD51">IF(BC51&lt;&gt;1, "", IF(AK51&gt;0, INT(AK51/SUMPRODUCT(($AK$3:$AK$1000&gt;0)*($AK$3:$AK$1000), ($BC$3:$BC$1000))*$AB$12/AT51), INT(AK51/SUMPRODUCT(($AK$3:$AK$1000&lt;0)*($AK$3:$AK$1000), ($BC$3:$BC$1000))*$AB$13/AT51)))</f>
        <v/>
      </c>
      <c r="BE51" t="str">
        <f t="shared" si="36"/>
        <v/>
      </c>
      <c r="BF51" s="65" t="str">
        <f t="shared" si="37"/>
        <v/>
      </c>
      <c r="BN51" s="75">
        <v>0.48000000000000026</v>
      </c>
      <c r="BO51" s="57">
        <v>1.0058610405677892</v>
      </c>
      <c r="BP51" s="57">
        <v>3.5290236153385246</v>
      </c>
      <c r="BQ51" s="57"/>
      <c r="BR51" s="26">
        <f t="shared" si="16"/>
        <v>1.267442327953157</v>
      </c>
      <c r="BT51" s="74">
        <v>0.48000000000000026</v>
      </c>
      <c r="BU51" s="74">
        <v>1.267442327953157</v>
      </c>
    </row>
    <row r="52" spans="2:73" x14ac:dyDescent="0.3">
      <c r="B52" s="18" t="s">
        <v>1323</v>
      </c>
      <c r="C52" s="18" t="s">
        <v>1351</v>
      </c>
      <c r="D52" s="18" t="s">
        <v>1390</v>
      </c>
      <c r="E52" s="44" t="s">
        <v>1354</v>
      </c>
      <c r="F52" s="18" t="s">
        <v>14</v>
      </c>
      <c r="G52" s="18" t="s">
        <v>10</v>
      </c>
      <c r="H52" s="19">
        <v>4856.5445098200007</v>
      </c>
      <c r="I52" s="18">
        <v>2805</v>
      </c>
      <c r="J52" s="20">
        <v>52.63</v>
      </c>
      <c r="K52" s="19">
        <v>147627.15</v>
      </c>
      <c r="L52" s="12">
        <f t="shared" si="17"/>
        <v>9.8418099999999994E-3</v>
      </c>
      <c r="M52" s="12">
        <f t="shared" si="18"/>
        <v>1.0004001600640256E-2</v>
      </c>
      <c r="N52" s="15" t="str">
        <f t="shared" si="19"/>
        <v/>
      </c>
      <c r="O52" s="15" t="str">
        <f t="shared" si="20"/>
        <v/>
      </c>
      <c r="P52" s="15" t="str">
        <f t="shared" si="21"/>
        <v/>
      </c>
      <c r="Q52" s="15" t="str">
        <f t="shared" si="22"/>
        <v/>
      </c>
      <c r="R52" s="55" t="str">
        <f t="shared" si="23"/>
        <v/>
      </c>
      <c r="S52" s="33" t="str">
        <f t="shared" si="24"/>
        <v/>
      </c>
      <c r="T52" s="33" t="str">
        <f t="shared" si="25"/>
        <v/>
      </c>
      <c r="U52" s="15" t="str">
        <f t="shared" si="26"/>
        <v/>
      </c>
      <c r="V52" s="15" t="str">
        <f t="shared" si="27"/>
        <v/>
      </c>
      <c r="W52" s="62" t="str">
        <f t="shared" si="28"/>
        <v/>
      </c>
      <c r="X52" s="15"/>
      <c r="Y52" s="1">
        <f t="shared" si="29"/>
        <v>-1.6219160064025705E-4</v>
      </c>
      <c r="AA52" s="38" t="e">
        <v>#N/A</v>
      </c>
      <c r="AB52" s="4">
        <f t="shared" si="42"/>
        <v>0</v>
      </c>
      <c r="AC52" s="4">
        <f t="shared" si="43"/>
        <v>0</v>
      </c>
      <c r="AD52" s="4">
        <f t="shared" si="41"/>
        <v>0</v>
      </c>
      <c r="AH52" s="35">
        <v>45714</v>
      </c>
      <c r="AI52" s="31" t="s">
        <v>308</v>
      </c>
      <c r="AJ52" s="32">
        <v>0.01</v>
      </c>
      <c r="AK52" s="28">
        <f t="shared" si="12"/>
        <v>1.0004001600640256E-2</v>
      </c>
      <c r="AL52" s="28" t="s">
        <v>310</v>
      </c>
      <c r="AM52" s="28" t="s">
        <v>308</v>
      </c>
      <c r="AN52" s="28" t="s">
        <v>450</v>
      </c>
      <c r="AO52" s="28" t="s">
        <v>311</v>
      </c>
      <c r="AP52" s="28" t="s">
        <v>312</v>
      </c>
      <c r="AQ52" s="28" t="s">
        <v>73</v>
      </c>
      <c r="AR52" s="28" t="s">
        <v>14</v>
      </c>
      <c r="AS52" s="73">
        <v>2003.9297136</v>
      </c>
      <c r="AT52" s="8">
        <v>28.32</v>
      </c>
      <c r="AU52" s="73" t="s">
        <v>308</v>
      </c>
      <c r="AV52" s="73" t="b">
        <f t="shared" si="30"/>
        <v>1</v>
      </c>
      <c r="AW52" s="79">
        <v>0</v>
      </c>
      <c r="AX52" s="45" t="str">
        <f t="shared" si="31"/>
        <v/>
      </c>
      <c r="AY52" s="29" t="str">
        <f t="shared" si="32"/>
        <v/>
      </c>
      <c r="AZ52" s="29" t="str">
        <f t="shared" si="33"/>
        <v/>
      </c>
      <c r="BA52" s="29" t="s">
        <v>699</v>
      </c>
      <c r="BB52" s="29">
        <f t="shared" si="34"/>
        <v>0</v>
      </c>
      <c r="BC52">
        <f t="shared" si="35"/>
        <v>0</v>
      </c>
      <c r="BD52" s="78" t="str" cm="1">
        <f t="array" ref="BD52">IF(BC52&lt;&gt;1, "", IF(AK52&gt;0, INT(AK52/SUMPRODUCT(($AK$3:$AK$1000&gt;0)*($AK$3:$AK$1000), ($BC$3:$BC$1000))*$AB$12/AT52), INT(AK52/SUMPRODUCT(($AK$3:$AK$1000&lt;0)*($AK$3:$AK$1000), ($BC$3:$BC$1000))*$AB$13/AT52)))</f>
        <v/>
      </c>
      <c r="BE52" t="str">
        <f t="shared" si="36"/>
        <v/>
      </c>
      <c r="BF52" s="65" t="str">
        <f t="shared" si="37"/>
        <v/>
      </c>
      <c r="BN52" s="75">
        <v>0.49000000000000027</v>
      </c>
      <c r="BO52" s="57">
        <v>1.0058610405677892</v>
      </c>
      <c r="BP52" s="57">
        <v>3.5290236153385246</v>
      </c>
      <c r="BQ52" s="57"/>
      <c r="BR52" s="26">
        <f t="shared" si="16"/>
        <v>1.267442327953157</v>
      </c>
      <c r="BT52" s="74">
        <v>0.49000000000000027</v>
      </c>
      <c r="BU52" s="74">
        <v>1.267442327953157</v>
      </c>
    </row>
    <row r="53" spans="2:73" x14ac:dyDescent="0.3">
      <c r="B53" s="18" t="s">
        <v>369</v>
      </c>
      <c r="C53" s="18" t="s">
        <v>372</v>
      </c>
      <c r="D53" s="18" t="s">
        <v>380</v>
      </c>
      <c r="E53" s="44" t="s">
        <v>374</v>
      </c>
      <c r="F53" s="18" t="s">
        <v>14</v>
      </c>
      <c r="G53" s="18" t="s">
        <v>10</v>
      </c>
      <c r="H53" s="19">
        <v>2909.2209501800003</v>
      </c>
      <c r="I53" s="18">
        <v>11448</v>
      </c>
      <c r="J53" s="20">
        <v>12.89</v>
      </c>
      <c r="K53" s="19">
        <v>147564.72</v>
      </c>
      <c r="L53" s="12">
        <f t="shared" si="17"/>
        <v>9.8376480000000009E-3</v>
      </c>
      <c r="M53" s="12">
        <f t="shared" si="18"/>
        <v>1.0004001600640256E-2</v>
      </c>
      <c r="N53" s="15" t="str">
        <f t="shared" si="19"/>
        <v/>
      </c>
      <c r="O53" s="15" t="str">
        <f t="shared" si="20"/>
        <v/>
      </c>
      <c r="P53" s="15" t="str">
        <f t="shared" si="21"/>
        <v/>
      </c>
      <c r="Q53" s="15" t="str">
        <f t="shared" si="22"/>
        <v/>
      </c>
      <c r="R53" s="55" t="str">
        <f t="shared" si="23"/>
        <v/>
      </c>
      <c r="S53" s="33" t="str">
        <f t="shared" si="24"/>
        <v/>
      </c>
      <c r="T53" s="33" t="str">
        <f t="shared" si="25"/>
        <v/>
      </c>
      <c r="U53" s="15" t="str">
        <f t="shared" si="26"/>
        <v/>
      </c>
      <c r="V53" s="15" t="str">
        <f t="shared" si="27"/>
        <v/>
      </c>
      <c r="W53" s="62" t="str">
        <f t="shared" si="28"/>
        <v/>
      </c>
      <c r="X53" s="15"/>
      <c r="Y53" s="1">
        <f t="shared" si="29"/>
        <v>-1.6635360064025558E-4</v>
      </c>
      <c r="AA53" s="39" t="s">
        <v>71</v>
      </c>
      <c r="AB53" s="5">
        <f>SUM(AB41:AB52)</f>
        <v>1.0022326476666665</v>
      </c>
      <c r="AC53" s="5">
        <f>SUM(AC41:AC52)</f>
        <v>-0.97530293633333343</v>
      </c>
      <c r="AD53" s="5">
        <f t="shared" si="41"/>
        <v>2.6929711333333106E-2</v>
      </c>
      <c r="AH53" s="35">
        <v>45714</v>
      </c>
      <c r="AI53" s="31" t="s">
        <v>243</v>
      </c>
      <c r="AJ53" s="32">
        <v>0.01</v>
      </c>
      <c r="AK53" s="28">
        <f t="shared" si="12"/>
        <v>1.0004001600640256E-2</v>
      </c>
      <c r="AL53" s="28" t="s">
        <v>248</v>
      </c>
      <c r="AM53" s="28" t="s">
        <v>243</v>
      </c>
      <c r="AN53" s="28" t="s">
        <v>855</v>
      </c>
      <c r="AO53" s="28" t="s">
        <v>249</v>
      </c>
      <c r="AP53" s="28" t="s">
        <v>325</v>
      </c>
      <c r="AQ53" s="28" t="s">
        <v>73</v>
      </c>
      <c r="AR53" s="28" t="s">
        <v>11</v>
      </c>
      <c r="AS53" s="73">
        <v>508.88413753999998</v>
      </c>
      <c r="AT53" s="8">
        <v>11.78</v>
      </c>
      <c r="AU53" s="73" t="s">
        <v>243</v>
      </c>
      <c r="AV53" s="73" t="b">
        <f t="shared" si="30"/>
        <v>1</v>
      </c>
      <c r="AW53" s="79">
        <v>0</v>
      </c>
      <c r="AX53" s="45" t="str">
        <f t="shared" si="31"/>
        <v/>
      </c>
      <c r="AY53" s="29" t="str">
        <f t="shared" si="32"/>
        <v/>
      </c>
      <c r="AZ53" s="29" t="str">
        <f t="shared" si="33"/>
        <v/>
      </c>
      <c r="BA53" s="29" t="s">
        <v>699</v>
      </c>
      <c r="BB53" s="29">
        <f t="shared" si="34"/>
        <v>0</v>
      </c>
      <c r="BC53">
        <f t="shared" si="35"/>
        <v>0</v>
      </c>
      <c r="BD53" s="78" t="str" cm="1">
        <f t="array" ref="BD53">IF(BC53&lt;&gt;1, "", IF(AK53&gt;0, INT(AK53/SUMPRODUCT(($AK$3:$AK$1000&gt;0)*($AK$3:$AK$1000), ($BC$3:$BC$1000))*$AB$12/AT53), INT(AK53/SUMPRODUCT(($AK$3:$AK$1000&lt;0)*($AK$3:$AK$1000), ($BC$3:$BC$1000))*$AB$13/AT53)))</f>
        <v/>
      </c>
      <c r="BE53" t="str">
        <f t="shared" si="36"/>
        <v/>
      </c>
      <c r="BF53" s="65" t="str">
        <f t="shared" si="37"/>
        <v/>
      </c>
      <c r="BN53" s="75">
        <v>0.50000000000000022</v>
      </c>
      <c r="BO53" s="57">
        <v>1.0058610405677892</v>
      </c>
      <c r="BP53" s="57">
        <v>3.5290236153385246</v>
      </c>
      <c r="BQ53" s="57"/>
      <c r="BR53" s="26">
        <f t="shared" si="16"/>
        <v>1.267442327953157</v>
      </c>
      <c r="BT53" s="74">
        <v>0.50000000000000022</v>
      </c>
      <c r="BU53" s="74">
        <v>1.267442327953157</v>
      </c>
    </row>
    <row r="54" spans="2:73" x14ac:dyDescent="0.3">
      <c r="B54" s="18" t="s">
        <v>532</v>
      </c>
      <c r="C54" s="18" t="s">
        <v>536</v>
      </c>
      <c r="D54" s="18" t="s">
        <v>550</v>
      </c>
      <c r="E54" s="44" t="s">
        <v>539</v>
      </c>
      <c r="F54" s="18" t="s">
        <v>24</v>
      </c>
      <c r="G54" s="18" t="s">
        <v>10</v>
      </c>
      <c r="H54" s="19">
        <v>11847.807722150001</v>
      </c>
      <c r="I54" s="18">
        <v>5294</v>
      </c>
      <c r="J54" s="20">
        <v>27.85</v>
      </c>
      <c r="K54" s="19">
        <v>147437.9</v>
      </c>
      <c r="L54" s="12">
        <f t="shared" si="17"/>
        <v>9.8291933333333331E-3</v>
      </c>
      <c r="M54" s="12">
        <f t="shared" si="18"/>
        <v>1.0004001600640256E-2</v>
      </c>
      <c r="N54" s="15" t="str">
        <f t="shared" si="19"/>
        <v/>
      </c>
      <c r="O54" s="15" t="str">
        <f t="shared" si="20"/>
        <v/>
      </c>
      <c r="P54" s="15" t="str">
        <f t="shared" si="21"/>
        <v/>
      </c>
      <c r="Q54" s="15" t="str">
        <f t="shared" si="22"/>
        <v/>
      </c>
      <c r="R54" s="55" t="str">
        <f t="shared" si="23"/>
        <v/>
      </c>
      <c r="S54" s="33" t="str">
        <f t="shared" si="24"/>
        <v/>
      </c>
      <c r="T54" s="33" t="str">
        <f t="shared" si="25"/>
        <v/>
      </c>
      <c r="U54" s="15" t="str">
        <f t="shared" si="26"/>
        <v/>
      </c>
      <c r="V54" s="15" t="str">
        <f t="shared" si="27"/>
        <v/>
      </c>
      <c r="W54" s="62" t="str">
        <f t="shared" si="28"/>
        <v/>
      </c>
      <c r="X54" s="15"/>
      <c r="Y54" s="1">
        <f t="shared" si="29"/>
        <v>-1.7480826730692338E-4</v>
      </c>
      <c r="AA54" s="38" t="s">
        <v>37</v>
      </c>
      <c r="AB54" s="10" cm="1">
        <f t="array" ref="AB54">SUMPRODUCT((L3:L500&gt;0) * H3:H500 * L3:L500)</f>
        <v>10456.294839970455</v>
      </c>
      <c r="AC54" s="10" cm="1">
        <f t="array" ref="AC54">-SUMPRODUCT((L3:L500&lt;0) * H3:H500 * L3:L500)</f>
        <v>9617.2895812819788</v>
      </c>
      <c r="AD54" s="10">
        <f>AB54-AC54</f>
        <v>839.00525868847581</v>
      </c>
      <c r="AH54" s="35">
        <v>45714</v>
      </c>
      <c r="AI54" s="31" t="s">
        <v>369</v>
      </c>
      <c r="AJ54" s="32">
        <v>0.01</v>
      </c>
      <c r="AK54" s="28">
        <f t="shared" si="12"/>
        <v>1.0004001600640256E-2</v>
      </c>
      <c r="AL54" s="28" t="s">
        <v>372</v>
      </c>
      <c r="AM54" s="28" t="s">
        <v>369</v>
      </c>
      <c r="AN54" s="28" t="s">
        <v>856</v>
      </c>
      <c r="AO54" s="28" t="s">
        <v>373</v>
      </c>
      <c r="AP54" s="28" t="s">
        <v>374</v>
      </c>
      <c r="AQ54" s="28" t="s">
        <v>73</v>
      </c>
      <c r="AR54" s="28" t="s">
        <v>14</v>
      </c>
      <c r="AS54" s="73">
        <v>2909.2209501799998</v>
      </c>
      <c r="AT54" s="8">
        <v>12.89</v>
      </c>
      <c r="AU54" s="73" t="s">
        <v>369</v>
      </c>
      <c r="AV54" s="73" t="b">
        <f t="shared" si="30"/>
        <v>1</v>
      </c>
      <c r="AW54" s="79">
        <v>0</v>
      </c>
      <c r="AX54" s="45" t="str">
        <f t="shared" si="31"/>
        <v/>
      </c>
      <c r="AY54" s="29" t="str">
        <f t="shared" si="32"/>
        <v/>
      </c>
      <c r="AZ54" s="29" t="str">
        <f t="shared" si="33"/>
        <v/>
      </c>
      <c r="BA54" s="29" t="s">
        <v>699</v>
      </c>
      <c r="BB54" s="29">
        <f t="shared" si="34"/>
        <v>0</v>
      </c>
      <c r="BC54">
        <f t="shared" si="35"/>
        <v>0</v>
      </c>
      <c r="BD54" s="78" t="str" cm="1">
        <f t="array" ref="BD54">IF(BC54&lt;&gt;1, "", IF(AK54&gt;0, INT(AK54/SUMPRODUCT(($AK$3:$AK$1000&gt;0)*($AK$3:$AK$1000), ($BC$3:$BC$1000))*$AB$12/AT54), INT(AK54/SUMPRODUCT(($AK$3:$AK$1000&lt;0)*($AK$3:$AK$1000), ($BC$3:$BC$1000))*$AB$13/AT54)))</f>
        <v/>
      </c>
      <c r="BE54" t="str">
        <f t="shared" si="36"/>
        <v/>
      </c>
      <c r="BF54" s="65" t="str">
        <f t="shared" si="37"/>
        <v/>
      </c>
      <c r="BN54" s="75">
        <v>0.51000000000000023</v>
      </c>
      <c r="BO54" s="57">
        <v>1.0058610405677892</v>
      </c>
      <c r="BP54" s="57">
        <v>3.5290236153385246</v>
      </c>
      <c r="BQ54" s="57"/>
      <c r="BR54" s="26">
        <f t="shared" si="16"/>
        <v>1.267442327953157</v>
      </c>
      <c r="BT54" s="74">
        <v>0.51000000000000023</v>
      </c>
      <c r="BU54" s="74">
        <v>1.267442327953157</v>
      </c>
    </row>
    <row r="55" spans="2:73" x14ac:dyDescent="0.3">
      <c r="B55" s="18" t="s">
        <v>1073</v>
      </c>
      <c r="C55" s="18" t="s">
        <v>1154</v>
      </c>
      <c r="D55" s="18" t="s">
        <v>1286</v>
      </c>
      <c r="E55" s="44" t="s">
        <v>1156</v>
      </c>
      <c r="F55" s="18" t="s">
        <v>22</v>
      </c>
      <c r="G55" s="18" t="s">
        <v>10</v>
      </c>
      <c r="H55" s="19">
        <v>3250.9618976100001</v>
      </c>
      <c r="I55" s="18">
        <v>614</v>
      </c>
      <c r="J55" s="20">
        <v>239.99</v>
      </c>
      <c r="K55" s="19">
        <v>147353.86000000002</v>
      </c>
      <c r="L55" s="12">
        <f t="shared" si="17"/>
        <v>9.8235906666666682E-3</v>
      </c>
      <c r="M55" s="12">
        <f t="shared" si="18"/>
        <v>9.3037214885954376E-3</v>
      </c>
      <c r="N55" s="15" t="str">
        <f t="shared" si="19"/>
        <v/>
      </c>
      <c r="O55" s="15" t="str">
        <f t="shared" si="20"/>
        <v/>
      </c>
      <c r="P55" s="15">
        <f t="shared" si="21"/>
        <v>1</v>
      </c>
      <c r="Q55" s="15" t="str">
        <f t="shared" si="22"/>
        <v>Sell</v>
      </c>
      <c r="R55" s="55">
        <f t="shared" si="23"/>
        <v>32</v>
      </c>
      <c r="S55" s="33">
        <f t="shared" si="24"/>
        <v>7679.68</v>
      </c>
      <c r="T55" s="33" t="str">
        <f t="shared" si="25"/>
        <v/>
      </c>
      <c r="U55" s="15" t="str">
        <f t="shared" si="26"/>
        <v/>
      </c>
      <c r="V55" s="15">
        <f t="shared" si="27"/>
        <v>0.32</v>
      </c>
      <c r="W55" s="62">
        <f t="shared" si="28"/>
        <v>4.1668402850118757E-5</v>
      </c>
      <c r="X55" s="15"/>
      <c r="Y55" s="1">
        <f t="shared" si="29"/>
        <v>5.1986917807123056E-4</v>
      </c>
      <c r="AA55" s="39" t="s">
        <v>35</v>
      </c>
      <c r="AB55" s="9">
        <f>AVERAGEIF(L3:L500, "&gt;0", H3:H500)</f>
        <v>9896.729085472969</v>
      </c>
      <c r="AC55" s="9">
        <f>AVERAGEIF(L3:L500, "&lt;0", H3:H500)</f>
        <v>8863.0729885266228</v>
      </c>
      <c r="AD55" s="9">
        <f>AB55-AC55</f>
        <v>1033.6560969463462</v>
      </c>
      <c r="AH55" s="35">
        <v>45714</v>
      </c>
      <c r="AI55" s="31" t="s">
        <v>1830</v>
      </c>
      <c r="AJ55" s="32">
        <v>0.01</v>
      </c>
      <c r="AK55" s="28">
        <f t="shared" si="12"/>
        <v>1.0004001600640256E-2</v>
      </c>
      <c r="AL55" s="28" t="s">
        <v>1857</v>
      </c>
      <c r="AM55" s="28" t="s">
        <v>1830</v>
      </c>
      <c r="AN55" s="28" t="s">
        <v>1858</v>
      </c>
      <c r="AO55" s="28" t="s">
        <v>1859</v>
      </c>
      <c r="AP55" s="28" t="s">
        <v>1860</v>
      </c>
      <c r="AQ55" s="28" t="s">
        <v>73</v>
      </c>
      <c r="AR55" s="28" t="s">
        <v>21</v>
      </c>
      <c r="AS55" s="73">
        <v>3272.3042351499998</v>
      </c>
      <c r="AT55" s="8">
        <v>9.5299999999999994</v>
      </c>
      <c r="AU55" s="73" t="s">
        <v>1830</v>
      </c>
      <c r="AV55" s="73" t="b">
        <f t="shared" si="30"/>
        <v>1</v>
      </c>
      <c r="AW55" s="79">
        <v>0</v>
      </c>
      <c r="AX55" s="45" t="str">
        <f t="shared" si="31"/>
        <v/>
      </c>
      <c r="AY55" s="29" t="str">
        <f t="shared" si="32"/>
        <v/>
      </c>
      <c r="AZ55" s="29" t="str">
        <f t="shared" si="33"/>
        <v/>
      </c>
      <c r="BA55" s="29" t="s">
        <v>699</v>
      </c>
      <c r="BB55" s="29">
        <f t="shared" si="34"/>
        <v>0</v>
      </c>
      <c r="BC55">
        <f t="shared" si="35"/>
        <v>1</v>
      </c>
      <c r="BD55" s="78" cm="1">
        <f t="array" ref="BD55">IF(BC55&lt;&gt;1, "", IF(AK55&gt;0, INT(AK55/SUMPRODUCT(($AK$3:$AK$1000&gt;0)*($AK$3:$AK$1000), ($BC$3:$BC$1000))*$AB$12/AT55), INT(AK55/SUMPRODUCT(($AK$3:$AK$1000&lt;0)*($AK$3:$AK$1000), ($BC$3:$BC$1000))*$AB$13/AT55)))</f>
        <v>15696</v>
      </c>
      <c r="BE55" t="str">
        <f t="shared" si="36"/>
        <v>Buy</v>
      </c>
      <c r="BF55" s="65">
        <f t="shared" si="37"/>
        <v>149582.87999999998</v>
      </c>
      <c r="BN55" s="75">
        <v>0.52000000000000024</v>
      </c>
      <c r="BO55" s="57">
        <v>1.0058610405677892</v>
      </c>
      <c r="BP55" s="57">
        <v>3.5290236153385246</v>
      </c>
      <c r="BQ55" s="57"/>
      <c r="BR55" s="26">
        <f t="shared" si="16"/>
        <v>1.267442327953157</v>
      </c>
      <c r="BT55" s="74">
        <v>0.52000000000000024</v>
      </c>
      <c r="BU55" s="74">
        <v>1.267442327953157</v>
      </c>
    </row>
    <row r="56" spans="2:73" x14ac:dyDescent="0.3">
      <c r="B56" s="18" t="s">
        <v>1327</v>
      </c>
      <c r="C56" s="18" t="s">
        <v>1364</v>
      </c>
      <c r="D56" s="18" t="s">
        <v>1396</v>
      </c>
      <c r="E56" s="44" t="s">
        <v>1367</v>
      </c>
      <c r="F56" s="18" t="s">
        <v>13</v>
      </c>
      <c r="G56" s="18" t="s">
        <v>10</v>
      </c>
      <c r="H56" s="19">
        <v>370.43444783999996</v>
      </c>
      <c r="I56" s="18">
        <v>10640</v>
      </c>
      <c r="J56" s="20">
        <v>13.83</v>
      </c>
      <c r="K56" s="19">
        <v>147151.20000000001</v>
      </c>
      <c r="L56" s="12">
        <f t="shared" si="17"/>
        <v>9.8100800000000005E-3</v>
      </c>
      <c r="M56" s="12">
        <f t="shared" si="18"/>
        <v>1.0004001600640256E-2</v>
      </c>
      <c r="N56" s="15" t="str">
        <f t="shared" si="19"/>
        <v/>
      </c>
      <c r="O56" s="15" t="str">
        <f t="shared" si="20"/>
        <v/>
      </c>
      <c r="P56" s="15" t="str">
        <f t="shared" si="21"/>
        <v/>
      </c>
      <c r="Q56" s="15" t="str">
        <f t="shared" si="22"/>
        <v/>
      </c>
      <c r="R56" s="55" t="str">
        <f t="shared" si="23"/>
        <v/>
      </c>
      <c r="S56" s="33" t="str">
        <f t="shared" si="24"/>
        <v/>
      </c>
      <c r="T56" s="33" t="str">
        <f t="shared" si="25"/>
        <v/>
      </c>
      <c r="U56" s="15" t="str">
        <f t="shared" si="26"/>
        <v/>
      </c>
      <c r="V56" s="15" t="str">
        <f t="shared" si="27"/>
        <v/>
      </c>
      <c r="W56" s="62" t="str">
        <f t="shared" si="28"/>
        <v/>
      </c>
      <c r="X56" s="15"/>
      <c r="Y56" s="1">
        <f t="shared" si="29"/>
        <v>-1.9392160064025596E-4</v>
      </c>
      <c r="AA56" s="38" t="s">
        <v>36</v>
      </c>
      <c r="AB56" s="10" cm="1">
        <f t="array" ref="AB56">MEDIAN(IF(L3:L500&gt;0, H3:H500))</f>
        <v>2102.1420819999998</v>
      </c>
      <c r="AC56" s="10" cm="1">
        <f t="array" ref="AC56">MEDIAN(IF(L3:L500&lt;0, H3:H500))</f>
        <v>1863.9415860050001</v>
      </c>
      <c r="AD56" s="10">
        <f>AB56-AC56</f>
        <v>238.20049599499976</v>
      </c>
      <c r="AH56" s="35">
        <v>45714</v>
      </c>
      <c r="AI56" s="31" t="s">
        <v>1321</v>
      </c>
      <c r="AJ56" s="32">
        <v>0.01</v>
      </c>
      <c r="AK56" s="28">
        <f t="shared" si="12"/>
        <v>1.0004001600640256E-2</v>
      </c>
      <c r="AL56" s="28" t="s">
        <v>1341</v>
      </c>
      <c r="AM56" s="28" t="s">
        <v>1321</v>
      </c>
      <c r="AN56" s="28" t="s">
        <v>1342</v>
      </c>
      <c r="AO56" s="28" t="s">
        <v>1343</v>
      </c>
      <c r="AP56" s="28" t="s">
        <v>1344</v>
      </c>
      <c r="AQ56" s="28" t="s">
        <v>73</v>
      </c>
      <c r="AR56" s="28" t="s">
        <v>25</v>
      </c>
      <c r="AS56" s="73">
        <v>28292.803762204599</v>
      </c>
      <c r="AT56" s="8">
        <v>21.25</v>
      </c>
      <c r="AU56" s="73" t="s">
        <v>1321</v>
      </c>
      <c r="AV56" s="73" t="b">
        <f t="shared" si="30"/>
        <v>1</v>
      </c>
      <c r="AW56" s="79">
        <v>0</v>
      </c>
      <c r="AX56" s="45" t="str">
        <f t="shared" si="31"/>
        <v/>
      </c>
      <c r="AY56" s="29" t="str">
        <f t="shared" si="32"/>
        <v/>
      </c>
      <c r="AZ56" s="29" t="str">
        <f t="shared" si="33"/>
        <v/>
      </c>
      <c r="BA56" s="29" t="s">
        <v>699</v>
      </c>
      <c r="BB56" s="29">
        <f t="shared" si="34"/>
        <v>0</v>
      </c>
      <c r="BC56">
        <f t="shared" si="35"/>
        <v>0</v>
      </c>
      <c r="BD56" s="78" t="str" cm="1">
        <f t="array" ref="BD56">IF(BC56&lt;&gt;1, "", IF(AK56&gt;0, INT(AK56/SUMPRODUCT(($AK$3:$AK$1000&gt;0)*($AK$3:$AK$1000), ($BC$3:$BC$1000))*$AB$12/AT56), INT(AK56/SUMPRODUCT(($AK$3:$AK$1000&lt;0)*($AK$3:$AK$1000), ($BC$3:$BC$1000))*$AB$13/AT56)))</f>
        <v/>
      </c>
      <c r="BE56" t="str">
        <f t="shared" si="36"/>
        <v/>
      </c>
      <c r="BF56" s="65" t="str">
        <f t="shared" si="37"/>
        <v/>
      </c>
      <c r="BN56" s="75">
        <v>0.53000000000000025</v>
      </c>
      <c r="BO56" s="57">
        <v>1.0058610405677892</v>
      </c>
      <c r="BP56" s="57">
        <v>3.5290236153385246</v>
      </c>
      <c r="BQ56" s="57"/>
      <c r="BR56" s="26">
        <f t="shared" si="16"/>
        <v>1.267442327953157</v>
      </c>
      <c r="BT56" s="74">
        <v>0.53000000000000025</v>
      </c>
      <c r="BU56" s="74">
        <v>1.267442327953157</v>
      </c>
    </row>
    <row r="57" spans="2:73" x14ac:dyDescent="0.3">
      <c r="B57" s="18" t="s">
        <v>1006</v>
      </c>
      <c r="C57" s="18" t="s">
        <v>1028</v>
      </c>
      <c r="D57" s="18" t="s">
        <v>1053</v>
      </c>
      <c r="E57" s="44" t="s">
        <v>1030</v>
      </c>
      <c r="F57" s="18" t="s">
        <v>11</v>
      </c>
      <c r="G57" s="18" t="s">
        <v>10</v>
      </c>
      <c r="H57" s="19">
        <v>10660.58125182</v>
      </c>
      <c r="I57" s="18">
        <v>1429</v>
      </c>
      <c r="J57" s="20">
        <v>102.87</v>
      </c>
      <c r="K57" s="19">
        <v>147001.23000000001</v>
      </c>
      <c r="L57" s="12">
        <f t="shared" si="17"/>
        <v>9.8000819999999999E-3</v>
      </c>
      <c r="M57" s="12">
        <f t="shared" si="18"/>
        <v>9.9039615846338545E-3</v>
      </c>
      <c r="N57" s="15" t="str">
        <f t="shared" si="19"/>
        <v/>
      </c>
      <c r="O57" s="15" t="str">
        <f t="shared" si="20"/>
        <v/>
      </c>
      <c r="P57" s="15" t="str">
        <f t="shared" si="21"/>
        <v/>
      </c>
      <c r="Q57" s="15" t="str">
        <f t="shared" si="22"/>
        <v/>
      </c>
      <c r="R57" s="55" t="str">
        <f t="shared" si="23"/>
        <v/>
      </c>
      <c r="S57" s="33" t="str">
        <f t="shared" si="24"/>
        <v/>
      </c>
      <c r="T57" s="33" t="str">
        <f t="shared" si="25"/>
        <v/>
      </c>
      <c r="U57" s="15" t="str">
        <f t="shared" si="26"/>
        <v/>
      </c>
      <c r="V57" s="15" t="str">
        <f t="shared" si="27"/>
        <v/>
      </c>
      <c r="W57" s="62" t="str">
        <f t="shared" si="28"/>
        <v/>
      </c>
      <c r="X57" s="15"/>
      <c r="Y57" s="1">
        <f t="shared" si="29"/>
        <v>-1.0387958463385465E-4</v>
      </c>
      <c r="AA57" s="39" t="s">
        <v>38</v>
      </c>
      <c r="AB57" s="9" cm="1">
        <f t="array" ref="AB57">PERCENTILE(IF($L$3:$L$500&gt;0, $H$3:$H$500), 0.75)</f>
        <v>6845.7686678500004</v>
      </c>
      <c r="AC57" s="9" cm="1">
        <f t="array" ref="AC57">PERCENTILE(IF($L$3:$L$500&lt;0, $H$3:$H$500), 0.75)</f>
        <v>6634.9835175600001</v>
      </c>
      <c r="AD57" s="9">
        <f t="shared" ref="AD57:AD58" si="44">AB57-AC57</f>
        <v>210.78515029000027</v>
      </c>
      <c r="AH57" s="35">
        <v>45714</v>
      </c>
      <c r="AI57" s="31" t="s">
        <v>335</v>
      </c>
      <c r="AJ57" s="32">
        <v>0.01</v>
      </c>
      <c r="AK57" s="28">
        <f t="shared" si="12"/>
        <v>1.0004001600640256E-2</v>
      </c>
      <c r="AL57" s="28" t="s">
        <v>341</v>
      </c>
      <c r="AM57" s="28" t="s">
        <v>335</v>
      </c>
      <c r="AN57" s="28" t="s">
        <v>876</v>
      </c>
      <c r="AO57" s="28" t="s">
        <v>342</v>
      </c>
      <c r="AP57" s="28" t="s">
        <v>343</v>
      </c>
      <c r="AQ57" s="28" t="s">
        <v>73</v>
      </c>
      <c r="AR57" s="28" t="s">
        <v>23</v>
      </c>
      <c r="AS57" s="73">
        <v>922.49220749999995</v>
      </c>
      <c r="AT57" s="8">
        <v>10.7</v>
      </c>
      <c r="AU57" s="73" t="s">
        <v>335</v>
      </c>
      <c r="AV57" s="73" t="b">
        <f t="shared" si="30"/>
        <v>1</v>
      </c>
      <c r="AW57" s="79">
        <v>0</v>
      </c>
      <c r="AX57" s="45" t="str">
        <f t="shared" si="31"/>
        <v/>
      </c>
      <c r="AY57" s="29" t="str">
        <f t="shared" si="32"/>
        <v/>
      </c>
      <c r="AZ57" s="29" t="str">
        <f t="shared" si="33"/>
        <v/>
      </c>
      <c r="BA57" s="29" t="s">
        <v>699</v>
      </c>
      <c r="BB57" s="29">
        <f t="shared" si="34"/>
        <v>0</v>
      </c>
      <c r="BC57">
        <f t="shared" si="35"/>
        <v>0</v>
      </c>
      <c r="BD57" s="78" t="str" cm="1">
        <f t="array" ref="BD57">IF(BC57&lt;&gt;1, "", IF(AK57&gt;0, INT(AK57/SUMPRODUCT(($AK$3:$AK$1000&gt;0)*($AK$3:$AK$1000), ($BC$3:$BC$1000))*$AB$12/AT57), INT(AK57/SUMPRODUCT(($AK$3:$AK$1000&lt;0)*($AK$3:$AK$1000), ($BC$3:$BC$1000))*$AB$13/AT57)))</f>
        <v/>
      </c>
      <c r="BE57" t="str">
        <f t="shared" si="36"/>
        <v/>
      </c>
      <c r="BF57" s="65" t="str">
        <f t="shared" si="37"/>
        <v/>
      </c>
      <c r="BN57" s="75">
        <v>0.54000000000000026</v>
      </c>
      <c r="BO57" s="57">
        <v>1.0058610405677892</v>
      </c>
      <c r="BP57" s="57">
        <v>3.5290236153385246</v>
      </c>
      <c r="BQ57" s="57"/>
      <c r="BR57" s="26">
        <f t="shared" si="16"/>
        <v>1.267442327953157</v>
      </c>
      <c r="BT57" s="74">
        <v>0.54000000000000026</v>
      </c>
      <c r="BU57" s="74">
        <v>1.267442327953157</v>
      </c>
    </row>
    <row r="58" spans="2:73" x14ac:dyDescent="0.3">
      <c r="B58" s="18" t="s">
        <v>166</v>
      </c>
      <c r="C58" s="18" t="s">
        <v>167</v>
      </c>
      <c r="D58" s="18" t="s">
        <v>170</v>
      </c>
      <c r="E58" s="44" t="s">
        <v>1850</v>
      </c>
      <c r="F58" s="18" t="s">
        <v>13</v>
      </c>
      <c r="G58" s="18" t="s">
        <v>10</v>
      </c>
      <c r="H58" s="19">
        <v>4301.4784993599997</v>
      </c>
      <c r="I58" s="18">
        <v>1912</v>
      </c>
      <c r="J58" s="20">
        <v>76.72</v>
      </c>
      <c r="K58" s="19">
        <v>146688.63999999998</v>
      </c>
      <c r="L58" s="12">
        <f t="shared" si="17"/>
        <v>9.7792426666666651E-3</v>
      </c>
      <c r="M58" s="12">
        <f t="shared" si="18"/>
        <v>2.2008803521408565E-3</v>
      </c>
      <c r="N58" s="15" t="str">
        <f t="shared" si="19"/>
        <v/>
      </c>
      <c r="O58" s="15" t="str">
        <f t="shared" si="20"/>
        <v/>
      </c>
      <c r="P58" s="15">
        <f t="shared" si="21"/>
        <v>1</v>
      </c>
      <c r="Q58" s="15" t="str">
        <f t="shared" si="22"/>
        <v>Sell</v>
      </c>
      <c r="R58" s="55">
        <f t="shared" si="23"/>
        <v>1481</v>
      </c>
      <c r="S58" s="33">
        <f t="shared" si="24"/>
        <v>113622.31999999999</v>
      </c>
      <c r="T58" s="33" t="str">
        <f t="shared" si="25"/>
        <v/>
      </c>
      <c r="U58" s="15" t="str">
        <f t="shared" si="26"/>
        <v/>
      </c>
      <c r="V58" s="15">
        <f t="shared" si="27"/>
        <v>14.81</v>
      </c>
      <c r="W58" s="62">
        <f t="shared" si="28"/>
        <v>1.3034410844629823E-4</v>
      </c>
      <c r="X58" s="15"/>
      <c r="Y58" s="1">
        <f t="shared" si="29"/>
        <v>7.5783623145258081E-3</v>
      </c>
      <c r="AA58" s="40" t="s">
        <v>39</v>
      </c>
      <c r="AB58" s="16" cm="1">
        <f t="array" ref="AB58">PERCENTILE(IF($L$3:$L$500&gt;0, $H$3:$H$500), 0.25)</f>
        <v>914.09837040000002</v>
      </c>
      <c r="AC58" s="16" cm="1">
        <f t="array" ref="AC58">PERCENTILE(IF($L$3:$L$500&lt;0, $H$3:$H$500), 0.25)</f>
        <v>644.28666690750003</v>
      </c>
      <c r="AD58" s="16">
        <f t="shared" si="44"/>
        <v>269.81170349249999</v>
      </c>
      <c r="AH58" s="35">
        <v>45714</v>
      </c>
      <c r="AI58" s="31" t="s">
        <v>498</v>
      </c>
      <c r="AJ58" s="32">
        <v>0.01</v>
      </c>
      <c r="AK58" s="28">
        <f t="shared" si="12"/>
        <v>1.0004001600640256E-2</v>
      </c>
      <c r="AL58" s="28" t="s">
        <v>505</v>
      </c>
      <c r="AM58" s="28" t="s">
        <v>498</v>
      </c>
      <c r="AN58" s="28" t="s">
        <v>860</v>
      </c>
      <c r="AO58" s="28" t="s">
        <v>506</v>
      </c>
      <c r="AP58" s="28" t="s">
        <v>507</v>
      </c>
      <c r="AQ58" s="28" t="s">
        <v>73</v>
      </c>
      <c r="AR58" s="28" t="s">
        <v>20</v>
      </c>
      <c r="AS58" s="73">
        <v>429.13855464</v>
      </c>
      <c r="AT58" s="8">
        <v>13.84</v>
      </c>
      <c r="AU58" s="73" t="s">
        <v>498</v>
      </c>
      <c r="AV58" s="73" t="b">
        <f t="shared" si="30"/>
        <v>1</v>
      </c>
      <c r="AW58" s="79">
        <v>0</v>
      </c>
      <c r="AX58" s="45" t="str">
        <f t="shared" si="31"/>
        <v/>
      </c>
      <c r="AY58" s="29" t="str">
        <f t="shared" si="32"/>
        <v/>
      </c>
      <c r="AZ58" s="29" t="str">
        <f t="shared" si="33"/>
        <v/>
      </c>
      <c r="BA58" s="29" t="s">
        <v>699</v>
      </c>
      <c r="BB58" s="29">
        <f t="shared" si="34"/>
        <v>0</v>
      </c>
      <c r="BC58">
        <f t="shared" si="35"/>
        <v>0</v>
      </c>
      <c r="BD58" s="78" t="str" cm="1">
        <f t="array" ref="BD58">IF(BC58&lt;&gt;1, "", IF(AK58&gt;0, INT(AK58/SUMPRODUCT(($AK$3:$AK$1000&gt;0)*($AK$3:$AK$1000), ($BC$3:$BC$1000))*$AB$12/AT58), INT(AK58/SUMPRODUCT(($AK$3:$AK$1000&lt;0)*($AK$3:$AK$1000), ($BC$3:$BC$1000))*$AB$13/AT58)))</f>
        <v/>
      </c>
      <c r="BE58" t="str">
        <f t="shared" si="36"/>
        <v/>
      </c>
      <c r="BF58" s="65" t="str">
        <f t="shared" si="37"/>
        <v/>
      </c>
      <c r="BN58" s="75">
        <v>0.55000000000000027</v>
      </c>
      <c r="BO58" s="57">
        <v>1.0058610405677892</v>
      </c>
      <c r="BP58" s="57">
        <v>3.5290236153385246</v>
      </c>
      <c r="BQ58" s="57"/>
      <c r="BR58" s="26">
        <f t="shared" si="16"/>
        <v>1.267442327953157</v>
      </c>
      <c r="BT58" s="74">
        <v>0.55000000000000027</v>
      </c>
      <c r="BU58" s="74">
        <v>1.267442327953157</v>
      </c>
    </row>
    <row r="59" spans="2:73" x14ac:dyDescent="0.3">
      <c r="B59" s="18" t="s">
        <v>289</v>
      </c>
      <c r="C59" s="18" t="s">
        <v>294</v>
      </c>
      <c r="D59" s="18" t="s">
        <v>405</v>
      </c>
      <c r="E59" s="44" t="s">
        <v>296</v>
      </c>
      <c r="F59" s="18" t="s">
        <v>19</v>
      </c>
      <c r="G59" s="18" t="s">
        <v>10</v>
      </c>
      <c r="H59" s="19">
        <v>1962.5539878</v>
      </c>
      <c r="I59" s="18">
        <v>968</v>
      </c>
      <c r="J59" s="20">
        <v>150.78</v>
      </c>
      <c r="K59" s="19">
        <v>145955.04</v>
      </c>
      <c r="L59" s="12">
        <f t="shared" si="17"/>
        <v>9.7303360000000009E-3</v>
      </c>
      <c r="M59" s="12">
        <f t="shared" si="18"/>
        <v>1.0004001600640256E-2</v>
      </c>
      <c r="N59" s="15" t="str">
        <f t="shared" si="19"/>
        <v/>
      </c>
      <c r="O59" s="15" t="str">
        <f t="shared" si="20"/>
        <v/>
      </c>
      <c r="P59" s="15">
        <f t="shared" si="21"/>
        <v>1</v>
      </c>
      <c r="Q59" s="15" t="str">
        <f t="shared" si="22"/>
        <v>Buy</v>
      </c>
      <c r="R59" s="55">
        <f t="shared" si="23"/>
        <v>27</v>
      </c>
      <c r="S59" s="33">
        <f t="shared" si="24"/>
        <v>4071.06</v>
      </c>
      <c r="T59" s="33" t="str">
        <f t="shared" si="25"/>
        <v/>
      </c>
      <c r="U59" s="15" t="str">
        <f t="shared" si="26"/>
        <v/>
      </c>
      <c r="V59" s="15">
        <f t="shared" si="27"/>
        <v>0.27</v>
      </c>
      <c r="W59" s="62">
        <f t="shared" si="28"/>
        <v>6.6321793341291956E-5</v>
      </c>
      <c r="X59" s="15"/>
      <c r="Y59" s="1">
        <f t="shared" si="29"/>
        <v>-2.7366560064025561E-4</v>
      </c>
      <c r="AH59" s="35">
        <v>45714</v>
      </c>
      <c r="AI59" s="31" t="s">
        <v>27</v>
      </c>
      <c r="AJ59" s="32">
        <v>0.01</v>
      </c>
      <c r="AK59" s="28">
        <f t="shared" si="12"/>
        <v>1.0004001600640256E-2</v>
      </c>
      <c r="AL59" s="28" t="s">
        <v>48</v>
      </c>
      <c r="AM59" s="28" t="s">
        <v>27</v>
      </c>
      <c r="AN59" s="28" t="s">
        <v>1014</v>
      </c>
      <c r="AO59" s="28" t="s">
        <v>1015</v>
      </c>
      <c r="AP59" s="28" t="s">
        <v>59</v>
      </c>
      <c r="AQ59" s="28" t="s">
        <v>73</v>
      </c>
      <c r="AR59" s="28" t="s">
        <v>23</v>
      </c>
      <c r="AS59" s="73">
        <v>3297.8044209599998</v>
      </c>
      <c r="AT59" s="8">
        <v>26.46</v>
      </c>
      <c r="AU59" s="73" t="s">
        <v>27</v>
      </c>
      <c r="AV59" s="73" t="b">
        <f t="shared" si="30"/>
        <v>1</v>
      </c>
      <c r="AW59" s="79">
        <v>0</v>
      </c>
      <c r="AX59" s="45" t="str">
        <f t="shared" si="31"/>
        <v/>
      </c>
      <c r="AY59" s="29" t="str">
        <f t="shared" si="32"/>
        <v/>
      </c>
      <c r="AZ59" s="29" t="str">
        <f t="shared" si="33"/>
        <v/>
      </c>
      <c r="BA59" s="29" t="s">
        <v>699</v>
      </c>
      <c r="BB59" s="29">
        <f t="shared" si="34"/>
        <v>0</v>
      </c>
      <c r="BC59">
        <f t="shared" si="35"/>
        <v>0</v>
      </c>
      <c r="BD59" s="78" t="str" cm="1">
        <f t="array" ref="BD59">IF(BC59&lt;&gt;1, "", IF(AK59&gt;0, INT(AK59/SUMPRODUCT(($AK$3:$AK$1000&gt;0)*($AK$3:$AK$1000), ($BC$3:$BC$1000))*$AB$12/AT59), INT(AK59/SUMPRODUCT(($AK$3:$AK$1000&lt;0)*($AK$3:$AK$1000), ($BC$3:$BC$1000))*$AB$13/AT59)))</f>
        <v/>
      </c>
      <c r="BE59" t="str">
        <f t="shared" si="36"/>
        <v/>
      </c>
      <c r="BF59" s="65" t="str">
        <f t="shared" si="37"/>
        <v/>
      </c>
      <c r="BN59" s="75">
        <v>0.56000000000000028</v>
      </c>
      <c r="BO59" s="57">
        <v>1.0058610405677892</v>
      </c>
      <c r="BP59" s="57">
        <v>3.5290236153385246</v>
      </c>
      <c r="BQ59" s="57"/>
      <c r="BR59" s="26">
        <f t="shared" si="16"/>
        <v>1.267442327953157</v>
      </c>
      <c r="BT59" s="74">
        <v>0.56000000000000028</v>
      </c>
      <c r="BU59" s="74">
        <v>1.267442327953157</v>
      </c>
    </row>
    <row r="60" spans="2:73" x14ac:dyDescent="0.3">
      <c r="B60" s="18" t="s">
        <v>628</v>
      </c>
      <c r="C60" s="18" t="s">
        <v>640</v>
      </c>
      <c r="D60" s="18" t="s">
        <v>648</v>
      </c>
      <c r="E60" s="44" t="s">
        <v>633</v>
      </c>
      <c r="F60" s="18" t="s">
        <v>20</v>
      </c>
      <c r="G60" s="18" t="s">
        <v>10</v>
      </c>
      <c r="H60" s="19">
        <v>6750.1028624300006</v>
      </c>
      <c r="I60" s="18">
        <v>470</v>
      </c>
      <c r="J60" s="20">
        <v>309.49</v>
      </c>
      <c r="K60" s="19">
        <v>145460.30000000002</v>
      </c>
      <c r="L60" s="12">
        <f t="shared" si="17"/>
        <v>9.6973533333333337E-3</v>
      </c>
      <c r="M60" s="12">
        <f t="shared" si="18"/>
        <v>1.0004001600640256E-2</v>
      </c>
      <c r="N60" s="15" t="str">
        <f t="shared" si="19"/>
        <v/>
      </c>
      <c r="O60" s="15" t="str">
        <f t="shared" si="20"/>
        <v/>
      </c>
      <c r="P60" s="15">
        <f t="shared" si="21"/>
        <v>1</v>
      </c>
      <c r="Q60" s="15" t="str">
        <f t="shared" si="22"/>
        <v>Buy</v>
      </c>
      <c r="R60" s="55">
        <f t="shared" si="23"/>
        <v>14</v>
      </c>
      <c r="S60" s="33">
        <f t="shared" si="24"/>
        <v>4332.8600000000006</v>
      </c>
      <c r="T60" s="33" t="str">
        <f t="shared" si="25"/>
        <v/>
      </c>
      <c r="U60" s="15" t="str">
        <f t="shared" si="26"/>
        <v/>
      </c>
      <c r="V60" s="15">
        <f t="shared" si="27"/>
        <v>0.14000000000000001</v>
      </c>
      <c r="W60" s="62">
        <f t="shared" si="28"/>
        <v>3.2311221687291994E-5</v>
      </c>
      <c r="X60" s="15"/>
      <c r="Y60" s="1">
        <f t="shared" si="29"/>
        <v>-3.0664826730692277E-4</v>
      </c>
      <c r="AH60" s="35">
        <v>45714</v>
      </c>
      <c r="AI60" s="31" t="s">
        <v>769</v>
      </c>
      <c r="AJ60" s="32">
        <v>0.01</v>
      </c>
      <c r="AK60" s="28">
        <f t="shared" si="12"/>
        <v>1.0004001600640256E-2</v>
      </c>
      <c r="AL60" s="28" t="s">
        <v>796</v>
      </c>
      <c r="AM60" s="28" t="s">
        <v>769</v>
      </c>
      <c r="AN60" s="28" t="s">
        <v>882</v>
      </c>
      <c r="AO60" s="28" t="s">
        <v>797</v>
      </c>
      <c r="AP60" s="28" t="s">
        <v>798</v>
      </c>
      <c r="AQ60" s="28" t="s">
        <v>73</v>
      </c>
      <c r="AR60" s="28" t="s">
        <v>13</v>
      </c>
      <c r="AS60" s="73">
        <v>1377.1225752</v>
      </c>
      <c r="AT60" s="8">
        <v>15.42</v>
      </c>
      <c r="AU60" s="73" t="s">
        <v>769</v>
      </c>
      <c r="AV60" s="73" t="b">
        <f t="shared" si="30"/>
        <v>1</v>
      </c>
      <c r="AW60" s="79">
        <v>0</v>
      </c>
      <c r="AX60" s="45" t="str">
        <f t="shared" si="31"/>
        <v/>
      </c>
      <c r="AY60" s="29" t="str">
        <f t="shared" si="32"/>
        <v/>
      </c>
      <c r="AZ60" s="29" t="str">
        <f t="shared" si="33"/>
        <v/>
      </c>
      <c r="BA60" s="29" t="s">
        <v>699</v>
      </c>
      <c r="BB60" s="29">
        <f t="shared" si="34"/>
        <v>0</v>
      </c>
      <c r="BC60">
        <f t="shared" si="35"/>
        <v>0</v>
      </c>
      <c r="BD60" s="78" t="str" cm="1">
        <f t="array" ref="BD60">IF(BC60&lt;&gt;1, "", IF(AK60&gt;0, INT(AK60/SUMPRODUCT(($AK$3:$AK$1000&gt;0)*($AK$3:$AK$1000), ($BC$3:$BC$1000))*$AB$12/AT60), INT(AK60/SUMPRODUCT(($AK$3:$AK$1000&lt;0)*($AK$3:$AK$1000), ($BC$3:$BC$1000))*$AB$13/AT60)))</f>
        <v/>
      </c>
      <c r="BE60" t="str">
        <f t="shared" si="36"/>
        <v/>
      </c>
      <c r="BF60" s="65" t="str">
        <f t="shared" si="37"/>
        <v/>
      </c>
      <c r="BN60" s="75">
        <v>0.57000000000000028</v>
      </c>
      <c r="BO60" s="57">
        <v>1.0058610405677892</v>
      </c>
      <c r="BP60" s="57">
        <v>3.5290236153385246</v>
      </c>
      <c r="BQ60" s="57"/>
      <c r="BR60" s="26">
        <f t="shared" si="16"/>
        <v>1.267442327953157</v>
      </c>
      <c r="BT60" s="74">
        <v>0.57000000000000028</v>
      </c>
      <c r="BU60" s="74">
        <v>1.267442327953157</v>
      </c>
    </row>
    <row r="61" spans="2:73" x14ac:dyDescent="0.3">
      <c r="B61" s="18" t="s">
        <v>308</v>
      </c>
      <c r="C61" s="18" t="s">
        <v>310</v>
      </c>
      <c r="D61" s="18" t="s">
        <v>315</v>
      </c>
      <c r="E61" s="44" t="s">
        <v>312</v>
      </c>
      <c r="F61" s="18" t="s">
        <v>14</v>
      </c>
      <c r="G61" s="18" t="s">
        <v>10</v>
      </c>
      <c r="H61" s="19">
        <v>2003.9297136</v>
      </c>
      <c r="I61" s="18">
        <v>5095</v>
      </c>
      <c r="J61" s="20">
        <v>28.32</v>
      </c>
      <c r="K61" s="19">
        <v>144290.4</v>
      </c>
      <c r="L61" s="12">
        <f t="shared" si="17"/>
        <v>9.6193600000000004E-3</v>
      </c>
      <c r="M61" s="12">
        <f t="shared" si="18"/>
        <v>1.0004001600640256E-2</v>
      </c>
      <c r="N61" s="15" t="str">
        <f t="shared" si="19"/>
        <v/>
      </c>
      <c r="O61" s="15" t="str">
        <f t="shared" si="20"/>
        <v/>
      </c>
      <c r="P61" s="15">
        <f t="shared" si="21"/>
        <v>1</v>
      </c>
      <c r="Q61" s="15" t="str">
        <f t="shared" si="22"/>
        <v>Buy</v>
      </c>
      <c r="R61" s="55">
        <f t="shared" si="23"/>
        <v>203</v>
      </c>
      <c r="S61" s="33">
        <f t="shared" si="24"/>
        <v>5748.96</v>
      </c>
      <c r="T61" s="33" t="str">
        <f t="shared" si="25"/>
        <v/>
      </c>
      <c r="U61" s="15" t="str">
        <f t="shared" si="26"/>
        <v/>
      </c>
      <c r="V61" s="15">
        <f t="shared" si="27"/>
        <v>2.0300000000000002</v>
      </c>
      <c r="W61" s="62">
        <f t="shared" si="28"/>
        <v>3.5310734463276841E-4</v>
      </c>
      <c r="X61" s="15"/>
      <c r="Y61" s="1">
        <f t="shared" si="29"/>
        <v>-3.8464160064025608E-4</v>
      </c>
      <c r="AH61" s="35">
        <v>45714</v>
      </c>
      <c r="AI61" s="31" t="s">
        <v>1514</v>
      </c>
      <c r="AJ61" s="32">
        <v>0.01</v>
      </c>
      <c r="AK61" s="28">
        <f t="shared" si="12"/>
        <v>1.0004001600640256E-2</v>
      </c>
      <c r="AL61" s="28" t="s">
        <v>1573</v>
      </c>
      <c r="AM61" s="28" t="s">
        <v>1514</v>
      </c>
      <c r="AN61" s="28" t="s">
        <v>1706</v>
      </c>
      <c r="AO61" s="28" t="s">
        <v>1574</v>
      </c>
      <c r="AP61" s="28" t="s">
        <v>1575</v>
      </c>
      <c r="AQ61" s="28" t="s">
        <v>73</v>
      </c>
      <c r="AR61" s="28" t="s">
        <v>22</v>
      </c>
      <c r="AS61" s="73">
        <v>12531.32717328</v>
      </c>
      <c r="AT61" s="8">
        <v>48.78</v>
      </c>
      <c r="AU61" s="73" t="s">
        <v>1514</v>
      </c>
      <c r="AV61" s="73" t="b">
        <f t="shared" si="30"/>
        <v>1</v>
      </c>
      <c r="AW61" s="79">
        <v>0</v>
      </c>
      <c r="AX61" s="45" t="str">
        <f t="shared" si="31"/>
        <v/>
      </c>
      <c r="AY61" s="29" t="str">
        <f t="shared" si="32"/>
        <v/>
      </c>
      <c r="AZ61" s="29" t="str">
        <f t="shared" si="33"/>
        <v/>
      </c>
      <c r="BA61" s="29" t="s">
        <v>699</v>
      </c>
      <c r="BB61" s="29">
        <f t="shared" si="34"/>
        <v>0</v>
      </c>
      <c r="BC61">
        <f t="shared" si="35"/>
        <v>0</v>
      </c>
      <c r="BD61" s="78" t="str" cm="1">
        <f t="array" ref="BD61">IF(BC61&lt;&gt;1, "", IF(AK61&gt;0, INT(AK61/SUMPRODUCT(($AK$3:$AK$1000&gt;0)*($AK$3:$AK$1000), ($BC$3:$BC$1000))*$AB$12/AT61), INT(AK61/SUMPRODUCT(($AK$3:$AK$1000&lt;0)*($AK$3:$AK$1000), ($BC$3:$BC$1000))*$AB$13/AT61)))</f>
        <v/>
      </c>
      <c r="BE61" t="str">
        <f t="shared" si="36"/>
        <v/>
      </c>
      <c r="BF61" s="65" t="str">
        <f t="shared" si="37"/>
        <v/>
      </c>
      <c r="BN61" s="75">
        <v>0.58000000000000029</v>
      </c>
      <c r="BO61" s="57">
        <v>1.0058610405677892</v>
      </c>
      <c r="BP61" s="57">
        <v>3.5290236153385246</v>
      </c>
      <c r="BQ61" s="57"/>
      <c r="BR61" s="26">
        <f t="shared" si="16"/>
        <v>1.267442327953157</v>
      </c>
      <c r="BT61" s="74">
        <v>0.58000000000000029</v>
      </c>
      <c r="BU61" s="74">
        <v>1.267442327953157</v>
      </c>
    </row>
    <row r="62" spans="2:73" x14ac:dyDescent="0.3">
      <c r="B62" s="18" t="s">
        <v>243</v>
      </c>
      <c r="C62" s="18" t="s">
        <v>248</v>
      </c>
      <c r="D62" s="18" t="s">
        <v>259</v>
      </c>
      <c r="E62" s="44" t="s">
        <v>325</v>
      </c>
      <c r="F62" s="18" t="s">
        <v>11</v>
      </c>
      <c r="G62" s="18" t="s">
        <v>10</v>
      </c>
      <c r="H62" s="19">
        <v>508.88413753999998</v>
      </c>
      <c r="I62" s="18">
        <v>12215</v>
      </c>
      <c r="J62" s="20">
        <v>11.78</v>
      </c>
      <c r="K62" s="19">
        <v>143892.69999999998</v>
      </c>
      <c r="L62" s="12">
        <f t="shared" si="17"/>
        <v>9.5928466666666649E-3</v>
      </c>
      <c r="M62" s="12">
        <f t="shared" si="18"/>
        <v>1.0004001600640256E-2</v>
      </c>
      <c r="N62" s="15" t="str">
        <f t="shared" si="19"/>
        <v/>
      </c>
      <c r="O62" s="15" t="str">
        <f t="shared" si="20"/>
        <v/>
      </c>
      <c r="P62" s="15">
        <f t="shared" si="21"/>
        <v>1</v>
      </c>
      <c r="Q62" s="15" t="str">
        <f t="shared" si="22"/>
        <v>Buy</v>
      </c>
      <c r="R62" s="55">
        <f t="shared" si="23"/>
        <v>523</v>
      </c>
      <c r="S62" s="33">
        <f t="shared" si="24"/>
        <v>6160.94</v>
      </c>
      <c r="T62" s="33" t="str">
        <f t="shared" si="25"/>
        <v/>
      </c>
      <c r="U62" s="15" t="str">
        <f t="shared" si="26"/>
        <v/>
      </c>
      <c r="V62" s="15">
        <f t="shared" si="27"/>
        <v>5.23</v>
      </c>
      <c r="W62" s="62">
        <f t="shared" si="28"/>
        <v>8.4889643463497463E-4</v>
      </c>
      <c r="X62" s="15"/>
      <c r="Y62" s="1">
        <f t="shared" si="29"/>
        <v>-4.1115493397359155E-4</v>
      </c>
      <c r="AH62" s="35">
        <v>45714</v>
      </c>
      <c r="AI62" s="31" t="s">
        <v>1006</v>
      </c>
      <c r="AJ62" s="32">
        <v>9.9000000000000008E-3</v>
      </c>
      <c r="AK62" s="28">
        <f t="shared" si="12"/>
        <v>9.9039615846338545E-3</v>
      </c>
      <c r="AL62" s="28" t="s">
        <v>1028</v>
      </c>
      <c r="AM62" s="28" t="s">
        <v>1006</v>
      </c>
      <c r="AN62" s="28" t="s">
        <v>1669</v>
      </c>
      <c r="AO62" s="28" t="s">
        <v>1029</v>
      </c>
      <c r="AP62" s="28" t="s">
        <v>1030</v>
      </c>
      <c r="AQ62" s="28" t="s">
        <v>73</v>
      </c>
      <c r="AR62" s="28" t="s">
        <v>11</v>
      </c>
      <c r="AS62" s="73">
        <v>10660.58125182</v>
      </c>
      <c r="AT62" s="8">
        <v>102.87</v>
      </c>
      <c r="AU62" s="73" t="s">
        <v>1006</v>
      </c>
      <c r="AV62" s="73" t="b">
        <f t="shared" si="30"/>
        <v>1</v>
      </c>
      <c r="AW62" s="79">
        <v>0</v>
      </c>
      <c r="AX62" s="45" t="str">
        <f t="shared" si="31"/>
        <v/>
      </c>
      <c r="AY62" s="29" t="str">
        <f t="shared" si="32"/>
        <v/>
      </c>
      <c r="AZ62" s="29" t="str">
        <f t="shared" si="33"/>
        <v/>
      </c>
      <c r="BA62" s="29" t="s">
        <v>699</v>
      </c>
      <c r="BB62" s="29">
        <f t="shared" si="34"/>
        <v>0</v>
      </c>
      <c r="BC62">
        <f t="shared" si="35"/>
        <v>0</v>
      </c>
      <c r="BD62" s="78" t="str" cm="1">
        <f t="array" ref="BD62">IF(BC62&lt;&gt;1, "", IF(AK62&gt;0, INT(AK62/SUMPRODUCT(($AK$3:$AK$1000&gt;0)*($AK$3:$AK$1000), ($BC$3:$BC$1000))*$AB$12/AT62), INT(AK62/SUMPRODUCT(($AK$3:$AK$1000&lt;0)*($AK$3:$AK$1000), ($BC$3:$BC$1000))*$AB$13/AT62)))</f>
        <v/>
      </c>
      <c r="BE62" t="str">
        <f t="shared" si="36"/>
        <v/>
      </c>
      <c r="BF62" s="65" t="str">
        <f t="shared" si="37"/>
        <v/>
      </c>
      <c r="BN62" s="75">
        <v>0.5900000000000003</v>
      </c>
      <c r="BO62" s="57">
        <v>1.0058610405677892</v>
      </c>
      <c r="BP62" s="57">
        <v>3.5290236153385246</v>
      </c>
      <c r="BQ62" s="57"/>
      <c r="BR62" s="26">
        <f t="shared" si="16"/>
        <v>1.267442327953157</v>
      </c>
      <c r="BT62" s="74">
        <v>0.5900000000000003</v>
      </c>
      <c r="BU62" s="74">
        <v>1.267442327953157</v>
      </c>
    </row>
    <row r="63" spans="2:73" x14ac:dyDescent="0.3">
      <c r="B63" s="18" t="s">
        <v>844</v>
      </c>
      <c r="C63" s="18" t="s">
        <v>868</v>
      </c>
      <c r="D63" s="18" t="s">
        <v>894</v>
      </c>
      <c r="E63" s="44" t="s">
        <v>870</v>
      </c>
      <c r="F63" s="18" t="s">
        <v>23</v>
      </c>
      <c r="G63" s="18" t="s">
        <v>10</v>
      </c>
      <c r="H63" s="19">
        <v>14423.97207132</v>
      </c>
      <c r="I63" s="18">
        <v>1373</v>
      </c>
      <c r="J63" s="20">
        <v>104.58</v>
      </c>
      <c r="K63" s="19">
        <v>143588.34</v>
      </c>
      <c r="L63" s="12">
        <f t="shared" si="17"/>
        <v>9.5725559999999994E-3</v>
      </c>
      <c r="M63" s="12">
        <f t="shared" si="18"/>
        <v>1.0004001600640256E-2</v>
      </c>
      <c r="N63" s="15" t="str">
        <f t="shared" si="19"/>
        <v/>
      </c>
      <c r="O63" s="15" t="str">
        <f t="shared" si="20"/>
        <v/>
      </c>
      <c r="P63" s="15">
        <f t="shared" si="21"/>
        <v>1</v>
      </c>
      <c r="Q63" s="15" t="str">
        <f t="shared" si="22"/>
        <v>Buy</v>
      </c>
      <c r="R63" s="55">
        <f t="shared" si="23"/>
        <v>61</v>
      </c>
      <c r="S63" s="33">
        <f t="shared" si="24"/>
        <v>6379.38</v>
      </c>
      <c r="T63" s="33" t="str">
        <f t="shared" si="25"/>
        <v/>
      </c>
      <c r="U63" s="15" t="str">
        <f t="shared" si="26"/>
        <v/>
      </c>
      <c r="V63" s="15">
        <f t="shared" si="27"/>
        <v>0.61</v>
      </c>
      <c r="W63" s="62">
        <f t="shared" si="28"/>
        <v>9.5620577548288392E-5</v>
      </c>
      <c r="X63" s="15"/>
      <c r="Y63" s="1">
        <f t="shared" si="29"/>
        <v>-4.3144560064025707E-4</v>
      </c>
      <c r="AH63" s="35">
        <v>45714</v>
      </c>
      <c r="AI63" s="31" t="s">
        <v>445</v>
      </c>
      <c r="AJ63" s="32">
        <v>9.5999999999999992E-3</v>
      </c>
      <c r="AK63" s="28">
        <f t="shared" si="12"/>
        <v>9.6038415366146452E-3</v>
      </c>
      <c r="AL63" s="28" t="s">
        <v>453</v>
      </c>
      <c r="AM63" s="28" t="s">
        <v>445</v>
      </c>
      <c r="AN63" s="28" t="s">
        <v>867</v>
      </c>
      <c r="AO63" s="28" t="s">
        <v>454</v>
      </c>
      <c r="AP63" s="28" t="s">
        <v>455</v>
      </c>
      <c r="AQ63" s="28" t="s">
        <v>73</v>
      </c>
      <c r="AR63" s="28" t="s">
        <v>20</v>
      </c>
      <c r="AS63" s="73">
        <v>1026.2786160000001</v>
      </c>
      <c r="AT63" s="8">
        <v>10.56</v>
      </c>
      <c r="AU63" s="73" t="s">
        <v>445</v>
      </c>
      <c r="AV63" s="73" t="b">
        <f t="shared" si="30"/>
        <v>1</v>
      </c>
      <c r="AW63" s="79">
        <v>0</v>
      </c>
      <c r="AX63" s="45" t="str">
        <f t="shared" si="31"/>
        <v/>
      </c>
      <c r="AY63" s="29" t="str">
        <f t="shared" si="32"/>
        <v/>
      </c>
      <c r="AZ63" s="29" t="str">
        <f t="shared" si="33"/>
        <v/>
      </c>
      <c r="BA63" s="29" t="s">
        <v>699</v>
      </c>
      <c r="BB63" s="29">
        <f t="shared" si="34"/>
        <v>0</v>
      </c>
      <c r="BC63">
        <f t="shared" si="35"/>
        <v>0</v>
      </c>
      <c r="BD63" s="78" t="str" cm="1">
        <f t="array" ref="BD63">IF(BC63&lt;&gt;1, "", IF(AK63&gt;0, INT(AK63/SUMPRODUCT(($AK$3:$AK$1000&gt;0)*($AK$3:$AK$1000), ($BC$3:$BC$1000))*$AB$12/AT63), INT(AK63/SUMPRODUCT(($AK$3:$AK$1000&lt;0)*($AK$3:$AK$1000), ($BC$3:$BC$1000))*$AB$13/AT63)))</f>
        <v/>
      </c>
      <c r="BE63" t="str">
        <f t="shared" si="36"/>
        <v/>
      </c>
      <c r="BF63" s="65" t="str">
        <f t="shared" si="37"/>
        <v/>
      </c>
      <c r="BN63" s="75">
        <v>0.60000000000000031</v>
      </c>
      <c r="BO63" s="57">
        <v>1.0058610405677892</v>
      </c>
      <c r="BP63" s="57">
        <v>3.5290236153385246</v>
      </c>
      <c r="BQ63" s="57"/>
      <c r="BR63" s="26">
        <f t="shared" si="16"/>
        <v>1.267442327953157</v>
      </c>
      <c r="BT63" s="74">
        <v>0.60000000000000031</v>
      </c>
      <c r="BU63" s="74">
        <v>1.267442327953157</v>
      </c>
    </row>
    <row r="64" spans="2:73" x14ac:dyDescent="0.3">
      <c r="B64" s="18" t="s">
        <v>28</v>
      </c>
      <c r="C64" s="18" t="s">
        <v>49</v>
      </c>
      <c r="D64" s="18" t="s">
        <v>85</v>
      </c>
      <c r="E64" s="44" t="s">
        <v>106</v>
      </c>
      <c r="F64" s="18" t="s">
        <v>23</v>
      </c>
      <c r="G64" s="18" t="s">
        <v>10</v>
      </c>
      <c r="H64" s="19">
        <v>1634.1139889600001</v>
      </c>
      <c r="I64" s="18">
        <v>490</v>
      </c>
      <c r="J64" s="20">
        <v>291.44</v>
      </c>
      <c r="K64" s="19">
        <v>142805.6</v>
      </c>
      <c r="L64" s="12">
        <f t="shared" si="17"/>
        <v>9.5203733333333335E-3</v>
      </c>
      <c r="M64" s="12">
        <f t="shared" si="18"/>
        <v>9.2036814725890356E-3</v>
      </c>
      <c r="N64" s="15" t="str">
        <f t="shared" si="19"/>
        <v/>
      </c>
      <c r="O64" s="15" t="str">
        <f t="shared" si="20"/>
        <v/>
      </c>
      <c r="P64" s="15">
        <f t="shared" si="21"/>
        <v>1</v>
      </c>
      <c r="Q64" s="15" t="str">
        <f t="shared" si="22"/>
        <v>Sell</v>
      </c>
      <c r="R64" s="55">
        <f t="shared" si="23"/>
        <v>16</v>
      </c>
      <c r="S64" s="33">
        <f t="shared" si="24"/>
        <v>4663.04</v>
      </c>
      <c r="T64" s="33" t="str">
        <f t="shared" si="25"/>
        <v/>
      </c>
      <c r="U64" s="15" t="str">
        <f t="shared" si="26"/>
        <v/>
      </c>
      <c r="V64" s="15">
        <f t="shared" si="27"/>
        <v>0.16</v>
      </c>
      <c r="W64" s="62">
        <f t="shared" si="28"/>
        <v>3.4312379906670331E-5</v>
      </c>
      <c r="X64" s="15"/>
      <c r="Y64" s="1">
        <f t="shared" si="29"/>
        <v>3.1669186074429791E-4</v>
      </c>
      <c r="AH64" s="35">
        <v>45714</v>
      </c>
      <c r="AI64" s="31" t="s">
        <v>1073</v>
      </c>
      <c r="AJ64" s="32">
        <v>9.2999999999999992E-3</v>
      </c>
      <c r="AK64" s="28">
        <f t="shared" si="12"/>
        <v>9.3037214885954376E-3</v>
      </c>
      <c r="AL64" s="28" t="s">
        <v>1154</v>
      </c>
      <c r="AM64" s="28" t="s">
        <v>1073</v>
      </c>
      <c r="AN64" s="28" t="s">
        <v>1670</v>
      </c>
      <c r="AO64" s="28" t="s">
        <v>1155</v>
      </c>
      <c r="AP64" s="28" t="s">
        <v>1156</v>
      </c>
      <c r="AQ64" s="28" t="s">
        <v>73</v>
      </c>
      <c r="AR64" s="28" t="s">
        <v>22</v>
      </c>
      <c r="AS64" s="73">
        <v>3250.9618976100001</v>
      </c>
      <c r="AT64" s="8">
        <v>239.99</v>
      </c>
      <c r="AU64" s="73" t="s">
        <v>1073</v>
      </c>
      <c r="AV64" s="73" t="b">
        <f t="shared" si="30"/>
        <v>1</v>
      </c>
      <c r="AW64" s="79">
        <v>0</v>
      </c>
      <c r="AX64" s="45" t="str">
        <f t="shared" si="31"/>
        <v/>
      </c>
      <c r="AY64" s="29" t="str">
        <f t="shared" si="32"/>
        <v/>
      </c>
      <c r="AZ64" s="29" t="str">
        <f t="shared" si="33"/>
        <v/>
      </c>
      <c r="BA64" s="29" t="s">
        <v>699</v>
      </c>
      <c r="BB64" s="29">
        <f t="shared" si="34"/>
        <v>0</v>
      </c>
      <c r="BC64">
        <f t="shared" si="35"/>
        <v>0</v>
      </c>
      <c r="BD64" s="78" t="str" cm="1">
        <f t="array" ref="BD64">IF(BC64&lt;&gt;1, "", IF(AK64&gt;0, INT(AK64/SUMPRODUCT(($AK$3:$AK$1000&gt;0)*($AK$3:$AK$1000), ($BC$3:$BC$1000))*$AB$12/AT64), INT(AK64/SUMPRODUCT(($AK$3:$AK$1000&lt;0)*($AK$3:$AK$1000), ($BC$3:$BC$1000))*$AB$13/AT64)))</f>
        <v/>
      </c>
      <c r="BE64" t="str">
        <f t="shared" si="36"/>
        <v/>
      </c>
      <c r="BF64" s="65" t="str">
        <f t="shared" si="37"/>
        <v/>
      </c>
      <c r="BN64" s="75">
        <v>0.61000000000000032</v>
      </c>
      <c r="BO64" s="57">
        <v>1.0058610405677892</v>
      </c>
      <c r="BP64" s="57">
        <v>3.5290236153385246</v>
      </c>
      <c r="BQ64" s="57"/>
      <c r="BR64" s="26">
        <f t="shared" si="16"/>
        <v>1.267442327953157</v>
      </c>
      <c r="BT64" s="74">
        <v>0.61000000000000032</v>
      </c>
      <c r="BU64" s="74">
        <v>1.267442327953157</v>
      </c>
    </row>
    <row r="65" spans="2:73" x14ac:dyDescent="0.3">
      <c r="B65" s="18" t="s">
        <v>27</v>
      </c>
      <c r="C65" s="18" t="s">
        <v>48</v>
      </c>
      <c r="D65" s="18" t="s">
        <v>1050</v>
      </c>
      <c r="E65" s="44" t="s">
        <v>59</v>
      </c>
      <c r="F65" s="18" t="s">
        <v>23</v>
      </c>
      <c r="G65" s="18" t="s">
        <v>10</v>
      </c>
      <c r="H65" s="19">
        <v>3297.8044209600002</v>
      </c>
      <c r="I65" s="18">
        <v>5383</v>
      </c>
      <c r="J65" s="20">
        <v>26.46</v>
      </c>
      <c r="K65" s="19">
        <v>142434.18</v>
      </c>
      <c r="L65" s="12">
        <f t="shared" si="17"/>
        <v>9.4956119999999988E-3</v>
      </c>
      <c r="M65" s="12">
        <f t="shared" si="18"/>
        <v>1.0004001600640256E-2</v>
      </c>
      <c r="N65" s="15" t="str">
        <f t="shared" si="19"/>
        <v/>
      </c>
      <c r="O65" s="15" t="str">
        <f t="shared" si="20"/>
        <v/>
      </c>
      <c r="P65" s="15">
        <f t="shared" si="21"/>
        <v>1</v>
      </c>
      <c r="Q65" s="15" t="str">
        <f t="shared" si="22"/>
        <v>Buy</v>
      </c>
      <c r="R65" s="55">
        <f t="shared" si="23"/>
        <v>288</v>
      </c>
      <c r="S65" s="33">
        <f t="shared" si="24"/>
        <v>7620.4800000000005</v>
      </c>
      <c r="T65" s="33" t="str">
        <f t="shared" si="25"/>
        <v/>
      </c>
      <c r="U65" s="15" t="str">
        <f t="shared" si="26"/>
        <v/>
      </c>
      <c r="V65" s="15">
        <f t="shared" si="27"/>
        <v>2.88</v>
      </c>
      <c r="W65" s="62">
        <f t="shared" si="28"/>
        <v>3.7792894935752074E-4</v>
      </c>
      <c r="X65" s="15"/>
      <c r="Y65" s="1">
        <f t="shared" si="29"/>
        <v>-5.0838960064025773E-4</v>
      </c>
      <c r="AH65" s="35">
        <v>45714</v>
      </c>
      <c r="AI65" s="31" t="s">
        <v>1831</v>
      </c>
      <c r="AJ65" s="32">
        <v>9.2999999999999992E-3</v>
      </c>
      <c r="AK65" s="28">
        <f t="shared" si="12"/>
        <v>9.3037214885954376E-3</v>
      </c>
      <c r="AL65" s="28" t="s">
        <v>1861</v>
      </c>
      <c r="AM65" s="28" t="s">
        <v>1831</v>
      </c>
      <c r="AN65" s="28" t="s">
        <v>1862</v>
      </c>
      <c r="AO65" s="28" t="s">
        <v>1863</v>
      </c>
      <c r="AP65" s="28" t="s">
        <v>1864</v>
      </c>
      <c r="AQ65" s="28" t="s">
        <v>73</v>
      </c>
      <c r="AR65" s="28" t="s">
        <v>13</v>
      </c>
      <c r="AS65" s="73">
        <v>2223.46862629</v>
      </c>
      <c r="AT65" s="8">
        <v>125.33</v>
      </c>
      <c r="AU65" s="73" t="s">
        <v>1831</v>
      </c>
      <c r="AV65" s="73" t="b">
        <f t="shared" si="30"/>
        <v>1</v>
      </c>
      <c r="AW65" s="79">
        <v>0</v>
      </c>
      <c r="AX65" s="45" t="str">
        <f t="shared" si="31"/>
        <v/>
      </c>
      <c r="AY65" s="29" t="str">
        <f t="shared" si="32"/>
        <v/>
      </c>
      <c r="AZ65" s="29" t="str">
        <f t="shared" si="33"/>
        <v/>
      </c>
      <c r="BA65" s="29" t="s">
        <v>699</v>
      </c>
      <c r="BB65" s="29">
        <f t="shared" si="34"/>
        <v>0</v>
      </c>
      <c r="BC65">
        <f t="shared" si="35"/>
        <v>1</v>
      </c>
      <c r="BD65" s="78" cm="1">
        <f t="array" ref="BD65">IF(BC65&lt;&gt;1, "", IF(AK65&gt;0, INT(AK65/SUMPRODUCT(($AK$3:$AK$1000&gt;0)*($AK$3:$AK$1000), ($BC$3:$BC$1000))*$AB$12/AT65), INT(AK65/SUMPRODUCT(($AK$3:$AK$1000&lt;0)*($AK$3:$AK$1000), ($BC$3:$BC$1000))*$AB$13/AT65)))</f>
        <v>1109</v>
      </c>
      <c r="BE65" t="str">
        <f t="shared" si="36"/>
        <v>Buy</v>
      </c>
      <c r="BF65" s="65">
        <f t="shared" si="37"/>
        <v>138990.97</v>
      </c>
      <c r="BN65" s="75">
        <v>0.62000000000000033</v>
      </c>
      <c r="BO65" s="57">
        <v>1.0058610405677892</v>
      </c>
      <c r="BP65" s="57">
        <v>3.6450894705468579</v>
      </c>
      <c r="BQ65" s="57"/>
      <c r="BR65" s="26">
        <f t="shared" si="16"/>
        <v>1.3254752555573237</v>
      </c>
      <c r="BT65" s="74">
        <v>0.62000000000000033</v>
      </c>
      <c r="BU65" s="74">
        <v>1.3254752555573237</v>
      </c>
    </row>
    <row r="66" spans="2:73" x14ac:dyDescent="0.3">
      <c r="B66" s="18" t="s">
        <v>181</v>
      </c>
      <c r="C66" s="18" t="s">
        <v>188</v>
      </c>
      <c r="D66" s="18" t="s">
        <v>193</v>
      </c>
      <c r="E66" s="44" t="s">
        <v>848</v>
      </c>
      <c r="F66" s="18" t="s">
        <v>14</v>
      </c>
      <c r="G66" s="18" t="s">
        <v>10</v>
      </c>
      <c r="H66" s="19">
        <v>252.05140968000001</v>
      </c>
      <c r="I66" s="18">
        <v>40608</v>
      </c>
      <c r="J66" s="20">
        <v>3.48</v>
      </c>
      <c r="K66" s="19">
        <v>141315.84</v>
      </c>
      <c r="L66" s="12">
        <f t="shared" si="17"/>
        <v>9.4210560000000006E-3</v>
      </c>
      <c r="M66" s="12">
        <f t="shared" si="18"/>
        <v>0</v>
      </c>
      <c r="N66" s="15" t="str">
        <f t="shared" si="19"/>
        <v/>
      </c>
      <c r="O66" s="15">
        <f t="shared" si="20"/>
        <v>1</v>
      </c>
      <c r="P66" s="15" t="str">
        <f t="shared" si="21"/>
        <v/>
      </c>
      <c r="Q66" s="15" t="str">
        <f t="shared" si="22"/>
        <v/>
      </c>
      <c r="R66" s="55" t="str">
        <f t="shared" si="23"/>
        <v/>
      </c>
      <c r="S66" s="33" t="str">
        <f t="shared" si="24"/>
        <v/>
      </c>
      <c r="T66" s="33" t="str">
        <f t="shared" si="25"/>
        <v>Sell</v>
      </c>
      <c r="U66" s="15">
        <f t="shared" si="26"/>
        <v>40608</v>
      </c>
      <c r="V66" s="15" t="str">
        <f t="shared" si="27"/>
        <v/>
      </c>
      <c r="W66" s="62" t="str">
        <f t="shared" si="28"/>
        <v/>
      </c>
      <c r="X66" s="15"/>
      <c r="Y66" s="1">
        <f t="shared" si="29"/>
        <v>9.4210560000000006E-3</v>
      </c>
      <c r="AH66" s="35">
        <v>45714</v>
      </c>
      <c r="AI66" s="31" t="s">
        <v>555</v>
      </c>
      <c r="AJ66" s="32">
        <v>9.1999999999999998E-3</v>
      </c>
      <c r="AK66" s="28">
        <f t="shared" si="12"/>
        <v>9.2036814725890356E-3</v>
      </c>
      <c r="AL66" s="28" t="s">
        <v>563</v>
      </c>
      <c r="AM66" s="28" t="s">
        <v>555</v>
      </c>
      <c r="AN66" s="28" t="s">
        <v>874</v>
      </c>
      <c r="AO66" s="28" t="s">
        <v>564</v>
      </c>
      <c r="AP66" s="28" t="s">
        <v>565</v>
      </c>
      <c r="AQ66" s="28" t="s">
        <v>73</v>
      </c>
      <c r="AR66" s="28" t="s">
        <v>14</v>
      </c>
      <c r="AS66" s="73">
        <v>308.40450550000003</v>
      </c>
      <c r="AT66" s="8">
        <v>8.5</v>
      </c>
      <c r="AU66" s="73" t="s">
        <v>555</v>
      </c>
      <c r="AV66" s="73" t="b">
        <f t="shared" si="30"/>
        <v>1</v>
      </c>
      <c r="AW66" s="79">
        <v>0</v>
      </c>
      <c r="AX66" s="45" t="str">
        <f t="shared" si="31"/>
        <v/>
      </c>
      <c r="AY66" s="29" t="str">
        <f t="shared" si="32"/>
        <v/>
      </c>
      <c r="AZ66" s="29" t="str">
        <f t="shared" si="33"/>
        <v/>
      </c>
      <c r="BA66" s="29" t="s">
        <v>699</v>
      </c>
      <c r="BB66" s="29">
        <f t="shared" si="34"/>
        <v>0</v>
      </c>
      <c r="BC66">
        <f t="shared" si="35"/>
        <v>0</v>
      </c>
      <c r="BD66" s="78" t="str" cm="1">
        <f t="array" ref="BD66">IF(BC66&lt;&gt;1, "", IF(AK66&gt;0, INT(AK66/SUMPRODUCT(($AK$3:$AK$1000&gt;0)*($AK$3:$AK$1000), ($BC$3:$BC$1000))*$AB$12/AT66), INT(AK66/SUMPRODUCT(($AK$3:$AK$1000&lt;0)*($AK$3:$AK$1000), ($BC$3:$BC$1000))*$AB$13/AT66)))</f>
        <v/>
      </c>
      <c r="BE66" t="str">
        <f t="shared" si="36"/>
        <v/>
      </c>
      <c r="BF66" s="65" t="str">
        <f t="shared" si="37"/>
        <v/>
      </c>
      <c r="BN66" s="75">
        <v>0.63000000000000034</v>
      </c>
      <c r="BO66" s="57">
        <v>1.0058610405677892</v>
      </c>
      <c r="BP66" s="57">
        <v>3.6450894705468579</v>
      </c>
      <c r="BQ66" s="57"/>
      <c r="BR66" s="26">
        <f t="shared" si="16"/>
        <v>1.3254752555573237</v>
      </c>
      <c r="BT66" s="74">
        <v>0.63000000000000034</v>
      </c>
      <c r="BU66" s="74">
        <v>1.3254752555573237</v>
      </c>
    </row>
    <row r="67" spans="2:73" x14ac:dyDescent="0.3">
      <c r="B67" s="18" t="s">
        <v>445</v>
      </c>
      <c r="C67" s="18" t="s">
        <v>453</v>
      </c>
      <c r="D67" s="18" t="s">
        <v>484</v>
      </c>
      <c r="E67" s="44" t="s">
        <v>455</v>
      </c>
      <c r="F67" s="18" t="s">
        <v>20</v>
      </c>
      <c r="G67" s="18" t="s">
        <v>10</v>
      </c>
      <c r="H67" s="19">
        <v>1026.2786160000001</v>
      </c>
      <c r="I67" s="18">
        <v>12867</v>
      </c>
      <c r="J67" s="20">
        <v>10.56</v>
      </c>
      <c r="K67" s="19">
        <v>135875.52000000002</v>
      </c>
      <c r="L67" s="12">
        <f t="shared" si="17"/>
        <v>9.0583680000000007E-3</v>
      </c>
      <c r="M67" s="12">
        <f t="shared" si="18"/>
        <v>9.6038415366146452E-3</v>
      </c>
      <c r="N67" s="15" t="str">
        <f t="shared" si="19"/>
        <v/>
      </c>
      <c r="O67" s="15" t="str">
        <f t="shared" si="20"/>
        <v/>
      </c>
      <c r="P67" s="15">
        <f t="shared" si="21"/>
        <v>1</v>
      </c>
      <c r="Q67" s="15" t="str">
        <f t="shared" si="22"/>
        <v>Buy</v>
      </c>
      <c r="R67" s="55">
        <f t="shared" si="23"/>
        <v>774</v>
      </c>
      <c r="S67" s="33">
        <f t="shared" si="24"/>
        <v>8173.4400000000005</v>
      </c>
      <c r="T67" s="33" t="str">
        <f t="shared" si="25"/>
        <v/>
      </c>
      <c r="U67" s="15" t="str">
        <f t="shared" si="26"/>
        <v/>
      </c>
      <c r="V67" s="15">
        <f t="shared" si="27"/>
        <v>7.74</v>
      </c>
      <c r="W67" s="62">
        <f t="shared" si="28"/>
        <v>9.4696969696969689E-4</v>
      </c>
      <c r="X67" s="15"/>
      <c r="Y67" s="1">
        <f t="shared" si="29"/>
        <v>-5.4547353661464452E-4</v>
      </c>
      <c r="AH67" s="35">
        <v>45714</v>
      </c>
      <c r="AI67" s="31" t="s">
        <v>28</v>
      </c>
      <c r="AJ67" s="32">
        <v>9.1999999999999998E-3</v>
      </c>
      <c r="AK67" s="28">
        <f t="shared" ref="AK67:AK130" si="45">IF(BB67=1, 0, IF(AJ67&gt;0, AJ67/SUMIFS($AJ$3:$AJ$501, $BB$3:$BB$501, "&lt;&gt;1", $AJ$3:$AJ$501, "&gt;0"), AJ67/-SUMIFS($AJ$3:$AJ$501, $BB$3:$BB$501, "&lt;&gt;1", $AJ$3:$AJ$501, "&lt;0")))</f>
        <v>9.2036814725890356E-3</v>
      </c>
      <c r="AL67" s="28" t="s">
        <v>49</v>
      </c>
      <c r="AM67" s="28" t="s">
        <v>28</v>
      </c>
      <c r="AN67" s="28" t="s">
        <v>857</v>
      </c>
      <c r="AO67" s="28" t="s">
        <v>76</v>
      </c>
      <c r="AP67" s="28" t="s">
        <v>106</v>
      </c>
      <c r="AQ67" s="28" t="s">
        <v>73</v>
      </c>
      <c r="AR67" s="28" t="s">
        <v>23</v>
      </c>
      <c r="AS67" s="73">
        <v>1634.1139889599999</v>
      </c>
      <c r="AT67" s="8">
        <v>291.44</v>
      </c>
      <c r="AU67" s="73" t="s">
        <v>28</v>
      </c>
      <c r="AV67" s="73" t="b">
        <f t="shared" si="30"/>
        <v>1</v>
      </c>
      <c r="AW67" s="79">
        <v>0</v>
      </c>
      <c r="AX67" s="45" t="str">
        <f t="shared" si="31"/>
        <v/>
      </c>
      <c r="AY67" s="29" t="str">
        <f t="shared" si="32"/>
        <v/>
      </c>
      <c r="AZ67" s="29" t="str">
        <f t="shared" si="33"/>
        <v/>
      </c>
      <c r="BA67" s="29" t="s">
        <v>699</v>
      </c>
      <c r="BB67" s="29">
        <f t="shared" si="34"/>
        <v>0</v>
      </c>
      <c r="BC67">
        <f t="shared" si="35"/>
        <v>0</v>
      </c>
      <c r="BD67" s="78" t="str" cm="1">
        <f t="array" ref="BD67">IF(BC67&lt;&gt;1, "", IF(AK67&gt;0, INT(AK67/SUMPRODUCT(($AK$3:$AK$1000&gt;0)*($AK$3:$AK$1000), ($BC$3:$BC$1000))*$AB$12/AT67), INT(AK67/SUMPRODUCT(($AK$3:$AK$1000&lt;0)*($AK$3:$AK$1000), ($BC$3:$BC$1000))*$AB$13/AT67)))</f>
        <v/>
      </c>
      <c r="BE67" t="str">
        <f t="shared" si="36"/>
        <v/>
      </c>
      <c r="BF67" s="65" t="str">
        <f t="shared" si="37"/>
        <v/>
      </c>
      <c r="BN67" s="75">
        <v>0.64000000000000035</v>
      </c>
      <c r="BO67" s="57">
        <v>1.0058610405677892</v>
      </c>
      <c r="BP67" s="57">
        <v>3.6450894705468579</v>
      </c>
      <c r="BQ67" s="57"/>
      <c r="BR67" s="26">
        <f t="shared" ref="BR67:BR102" si="46">(ABS(BO67-1)+ABS(BP67-1))/2</f>
        <v>1.3254752555573237</v>
      </c>
      <c r="BT67" s="74">
        <v>0.64000000000000035</v>
      </c>
      <c r="BU67" s="74">
        <v>1.3254752555573237</v>
      </c>
    </row>
    <row r="68" spans="2:73" x14ac:dyDescent="0.3">
      <c r="B68" s="18" t="s">
        <v>1410</v>
      </c>
      <c r="C68" s="18" t="s">
        <v>1443</v>
      </c>
      <c r="D68" s="18" t="s">
        <v>1490</v>
      </c>
      <c r="E68" s="44" t="s">
        <v>1446</v>
      </c>
      <c r="F68" s="18" t="s">
        <v>14</v>
      </c>
      <c r="G68" s="18" t="s">
        <v>10</v>
      </c>
      <c r="H68" s="19">
        <v>2245.1789210399998</v>
      </c>
      <c r="I68" s="18">
        <v>8770</v>
      </c>
      <c r="J68" s="20">
        <v>15.48</v>
      </c>
      <c r="K68" s="19">
        <v>135759.6</v>
      </c>
      <c r="L68" s="12">
        <f t="shared" ref="L68:L131" si="47">IF(K68&gt;0,K68/$AB$22,K68/$AB$23)</f>
        <v>9.0506400000000004E-3</v>
      </c>
      <c r="M68" s="12">
        <f t="shared" ref="M68:M131" si="48">IFERROR(VLOOKUP(B68,$AI$3:$AK$501,3,FALSE),0)</f>
        <v>8.903561424569828E-3</v>
      </c>
      <c r="N68" s="15" t="str">
        <f t="shared" ref="N68:N131" si="49">IF(OR(AND(L68&lt;0,M68&gt;0),AND(L68&gt;0,M68&lt;0)),1,"")</f>
        <v/>
      </c>
      <c r="O68" s="15" t="str">
        <f t="shared" ref="O68:O131" si="50">IF(M68=0,1,"")</f>
        <v/>
      </c>
      <c r="P68" s="15" t="str">
        <f t="shared" ref="P68:P131" si="51">IFERROR(IF(ABS(L68/M68-1)&gt;$Q$2,1,""),"")</f>
        <v/>
      </c>
      <c r="Q68" s="15" t="str">
        <f t="shared" ref="Q68:Q131" si="52">IF(P68&lt;&gt;1, "", IF(AND(L68&gt;0, M68&gt;L68), "Buy", IF(AND(L68&gt;0, M68&lt;L68), "Sell", IF(AND(L68&lt;0, M68&gt;L68), "BuyToCover", IF(AND(L68&lt;0, M68&lt;L68), "SellShort", "")))))</f>
        <v/>
      </c>
      <c r="R68" s="55" t="str">
        <f t="shared" ref="R68:R131" si="53">IFERROR(IF(INT(P68*(ABS(ABS(L68-M68)/ABS(L68)*I68)))=0,1,INT(P68*(ABS(ABS(L68-M68)/ABS(L68)*I68)))),"")</f>
        <v/>
      </c>
      <c r="S68" s="33" t="str">
        <f t="shared" ref="S68:S131" si="54">IFERROR(R68*J68,"")</f>
        <v/>
      </c>
      <c r="T68" s="33" t="str">
        <f t="shared" ref="T68:T131" si="55">IF(O68&lt;&gt;1,"",IF(K68&gt;0,"Sell","BuyToCover"))</f>
        <v/>
      </c>
      <c r="U68" s="15" t="str">
        <f t="shared" ref="U68:U131" si="56">IFERROR(INT(ABS(O68*I68)),"")</f>
        <v/>
      </c>
      <c r="V68" s="15" t="str">
        <f t="shared" ref="V68:V131" si="57">IFERROR(R68*0.01,"")</f>
        <v/>
      </c>
      <c r="W68" s="62" t="str">
        <f t="shared" ref="W68:W131" si="58">IFERROR(V68/S68,"")</f>
        <v/>
      </c>
      <c r="X68" s="15"/>
      <c r="Y68" s="1">
        <f t="shared" ref="Y68:Y131" si="59">L68-M68</f>
        <v>1.470785754301724E-4</v>
      </c>
      <c r="AH68" s="35">
        <v>45714</v>
      </c>
      <c r="AI68" s="31" t="s">
        <v>316</v>
      </c>
      <c r="AJ68" s="32">
        <v>9.1000000000000004E-3</v>
      </c>
      <c r="AK68" s="28">
        <f t="shared" si="45"/>
        <v>9.1036414565826337E-3</v>
      </c>
      <c r="AL68" s="28" t="s">
        <v>318</v>
      </c>
      <c r="AM68" s="28" t="s">
        <v>316</v>
      </c>
      <c r="AN68" s="28" t="s">
        <v>1673</v>
      </c>
      <c r="AO68" s="28" t="s">
        <v>319</v>
      </c>
      <c r="AP68" s="28" t="s">
        <v>549</v>
      </c>
      <c r="AQ68" s="28" t="s">
        <v>73</v>
      </c>
      <c r="AR68" s="28" t="s">
        <v>14</v>
      </c>
      <c r="AS68" s="73">
        <v>738.30922310000005</v>
      </c>
      <c r="AT68" s="8">
        <v>18.02</v>
      </c>
      <c r="AU68" s="73" t="s">
        <v>316</v>
      </c>
      <c r="AV68" s="73" t="b">
        <f t="shared" ref="AV68:AV131" si="60">AU68=AI68</f>
        <v>1</v>
      </c>
      <c r="AW68" s="79">
        <v>0</v>
      </c>
      <c r="AX68" s="45" t="str">
        <f t="shared" ref="AX68:AX131" si="61">IF(OR(AND(ISNUMBER(AW68), AW68 &gt; 0, AJ68 &gt; 0), AND(ISNUMBER(AW68), AW68 &lt; 0, AJ68 &lt; 0)), 1, "")</f>
        <v/>
      </c>
      <c r="AY68" s="29" t="str">
        <f t="shared" ref="AY68:AY131" si="62">IF(OR(AND(AW68&gt;0,AJ68&lt;0),AND(AW68&lt;0,AJ68&gt;0)),1,"")</f>
        <v/>
      </c>
      <c r="AZ68" s="29" t="str">
        <f t="shared" ref="AZ68:AZ131" si="63">IF(AQ68="United States of America","", 1)</f>
        <v/>
      </c>
      <c r="BA68" s="29" t="s">
        <v>699</v>
      </c>
      <c r="BB68" s="29">
        <f t="shared" ref="BB68:BB131" si="64">MAX(AZ68,AY68,BA68)</f>
        <v>0</v>
      </c>
      <c r="BC68">
        <f t="shared" ref="BC68:BC131" si="65">IF(AND(ISNA(VLOOKUP(AI68,$B$3:$Y$500,3,FALSE)),BB68=0),1,0)</f>
        <v>0</v>
      </c>
      <c r="BD68" s="78" t="str" cm="1">
        <f t="array" ref="BD68">IF(BC68&lt;&gt;1, "", IF(AK68&gt;0, INT(AK68/SUMPRODUCT(($AK$3:$AK$1000&gt;0)*($AK$3:$AK$1000), ($BC$3:$BC$1000))*$AB$12/AT68), INT(AK68/SUMPRODUCT(($AK$3:$AK$1000&lt;0)*($AK$3:$AK$1000), ($BC$3:$BC$1000))*$AB$13/AT68)))</f>
        <v/>
      </c>
      <c r="BE68" t="str">
        <f t="shared" ref="BE68:BE131" si="66">IF(BC68&lt;&gt;1,"",IF(AK68&gt;0,"Buy","SellShort"))</f>
        <v/>
      </c>
      <c r="BF68" s="65" t="str">
        <f t="shared" ref="BF68:BF131" si="67">IFERROR(BD68*AT68,"")</f>
        <v/>
      </c>
      <c r="BN68" s="75">
        <v>0.65000000000000036</v>
      </c>
      <c r="BO68" s="57">
        <v>1.0058610405677892</v>
      </c>
      <c r="BP68" s="57">
        <v>3.6450894705468579</v>
      </c>
      <c r="BQ68" s="57"/>
      <c r="BR68" s="26">
        <f t="shared" si="46"/>
        <v>1.3254752555573237</v>
      </c>
      <c r="BT68" s="74">
        <v>0.65000000000000036</v>
      </c>
      <c r="BU68" s="74">
        <v>1.3254752555573237</v>
      </c>
    </row>
    <row r="69" spans="2:73" x14ac:dyDescent="0.3">
      <c r="B69" s="18" t="s">
        <v>946</v>
      </c>
      <c r="C69" s="18" t="s">
        <v>957</v>
      </c>
      <c r="D69" s="18" t="s">
        <v>992</v>
      </c>
      <c r="E69" s="44" t="s">
        <v>960</v>
      </c>
      <c r="F69" s="18" t="s">
        <v>22</v>
      </c>
      <c r="G69" s="18" t="s">
        <v>10</v>
      </c>
      <c r="H69" s="19">
        <v>85018.792583360002</v>
      </c>
      <c r="I69" s="18">
        <v>3500</v>
      </c>
      <c r="J69" s="20">
        <v>38.56</v>
      </c>
      <c r="K69" s="19">
        <v>134960</v>
      </c>
      <c r="L69" s="12">
        <f t="shared" si="47"/>
        <v>8.9973333333333329E-3</v>
      </c>
      <c r="M69" s="12">
        <f t="shared" si="48"/>
        <v>8.8035214085634261E-3</v>
      </c>
      <c r="N69" s="15" t="str">
        <f t="shared" si="49"/>
        <v/>
      </c>
      <c r="O69" s="15" t="str">
        <f t="shared" si="50"/>
        <v/>
      </c>
      <c r="P69" s="15">
        <f t="shared" si="51"/>
        <v>1</v>
      </c>
      <c r="Q69" s="15" t="str">
        <f t="shared" si="52"/>
        <v>Sell</v>
      </c>
      <c r="R69" s="55">
        <f t="shared" si="53"/>
        <v>75</v>
      </c>
      <c r="S69" s="33">
        <f t="shared" si="54"/>
        <v>2892</v>
      </c>
      <c r="T69" s="33" t="str">
        <f t="shared" si="55"/>
        <v/>
      </c>
      <c r="U69" s="15" t="str">
        <f t="shared" si="56"/>
        <v/>
      </c>
      <c r="V69" s="15">
        <f t="shared" si="57"/>
        <v>0.75</v>
      </c>
      <c r="W69" s="62">
        <f t="shared" si="58"/>
        <v>2.5933609958506224E-4</v>
      </c>
      <c r="X69" s="15"/>
      <c r="Y69" s="1">
        <f t="shared" si="59"/>
        <v>1.9381192476990682E-4</v>
      </c>
      <c r="AH69" s="35">
        <v>45714</v>
      </c>
      <c r="AI69" s="31" t="s">
        <v>413</v>
      </c>
      <c r="AJ69" s="32">
        <v>8.9999999999999993E-3</v>
      </c>
      <c r="AK69" s="28">
        <f t="shared" si="45"/>
        <v>9.00360144057623E-3</v>
      </c>
      <c r="AL69" s="28" t="s">
        <v>661</v>
      </c>
      <c r="AM69" s="28" t="s">
        <v>413</v>
      </c>
      <c r="AN69" s="28" t="s">
        <v>1668</v>
      </c>
      <c r="AO69" s="28" t="s">
        <v>424</v>
      </c>
      <c r="AP69" s="28" t="s">
        <v>425</v>
      </c>
      <c r="AQ69" s="28" t="s">
        <v>73</v>
      </c>
      <c r="AR69" s="28" t="s">
        <v>20</v>
      </c>
      <c r="AS69" s="73">
        <v>381.54577482000002</v>
      </c>
      <c r="AT69" s="73">
        <v>5.58</v>
      </c>
      <c r="AU69" s="73" t="s">
        <v>413</v>
      </c>
      <c r="AV69" s="73" t="b">
        <f t="shared" si="60"/>
        <v>1</v>
      </c>
      <c r="AW69" s="79">
        <v>0</v>
      </c>
      <c r="AX69" s="45" t="str">
        <f t="shared" si="61"/>
        <v/>
      </c>
      <c r="AY69" s="29" t="str">
        <f t="shared" si="62"/>
        <v/>
      </c>
      <c r="AZ69" s="29" t="str">
        <f t="shared" si="63"/>
        <v/>
      </c>
      <c r="BA69" s="29" t="s">
        <v>699</v>
      </c>
      <c r="BB69" s="29">
        <f t="shared" si="64"/>
        <v>0</v>
      </c>
      <c r="BC69">
        <f t="shared" si="65"/>
        <v>0</v>
      </c>
      <c r="BD69" s="78" t="str" cm="1">
        <f t="array" ref="BD69">IF(BC69&lt;&gt;1, "", IF(AK69&gt;0, INT(AK69/SUMPRODUCT(($AK$3:$AK$1000&gt;0)*($AK$3:$AK$1000), ($BC$3:$BC$1000))*$AB$12/AT69), INT(AK69/SUMPRODUCT(($AK$3:$AK$1000&lt;0)*($AK$3:$AK$1000), ($BC$3:$BC$1000))*$AB$13/AT69)))</f>
        <v/>
      </c>
      <c r="BE69" t="str">
        <f t="shared" si="66"/>
        <v/>
      </c>
      <c r="BF69" s="65" t="str">
        <f t="shared" si="67"/>
        <v/>
      </c>
      <c r="BN69" s="75">
        <v>0.66000000000000036</v>
      </c>
      <c r="BO69" s="57">
        <v>1.0058610405677892</v>
      </c>
      <c r="BP69" s="57">
        <v>3.6450894705468579</v>
      </c>
      <c r="BQ69" s="57"/>
      <c r="BR69" s="26">
        <f t="shared" si="46"/>
        <v>1.3254752555573237</v>
      </c>
      <c r="BT69" s="74">
        <v>0.66000000000000036</v>
      </c>
      <c r="BU69" s="74">
        <v>1.3254752555573237</v>
      </c>
    </row>
    <row r="70" spans="2:73" x14ac:dyDescent="0.3">
      <c r="B70" s="18" t="s">
        <v>1064</v>
      </c>
      <c r="C70" s="18" t="s">
        <v>1122</v>
      </c>
      <c r="D70" s="18" t="s">
        <v>1277</v>
      </c>
      <c r="E70" s="44" t="s">
        <v>1125</v>
      </c>
      <c r="F70" s="18" t="s">
        <v>13</v>
      </c>
      <c r="G70" s="18" t="s">
        <v>10</v>
      </c>
      <c r="H70" s="19">
        <v>1100.1883847700001</v>
      </c>
      <c r="I70" s="18">
        <v>7107</v>
      </c>
      <c r="J70" s="20">
        <v>18.87</v>
      </c>
      <c r="K70" s="19">
        <v>134109.09</v>
      </c>
      <c r="L70" s="12">
        <f t="shared" si="47"/>
        <v>8.9406060000000002E-3</v>
      </c>
      <c r="M70" s="12">
        <f t="shared" si="48"/>
        <v>1.0004001600640256E-2</v>
      </c>
      <c r="N70" s="15" t="str">
        <f t="shared" si="49"/>
        <v/>
      </c>
      <c r="O70" s="15" t="str">
        <f t="shared" si="50"/>
        <v/>
      </c>
      <c r="P70" s="15">
        <f t="shared" si="51"/>
        <v>1</v>
      </c>
      <c r="Q70" s="15" t="str">
        <f t="shared" si="52"/>
        <v>Buy</v>
      </c>
      <c r="R70" s="55">
        <f t="shared" si="53"/>
        <v>845</v>
      </c>
      <c r="S70" s="33">
        <f t="shared" si="54"/>
        <v>15945.150000000001</v>
      </c>
      <c r="T70" s="33" t="str">
        <f t="shared" si="55"/>
        <v/>
      </c>
      <c r="U70" s="15" t="str">
        <f t="shared" si="56"/>
        <v/>
      </c>
      <c r="V70" s="15">
        <f t="shared" si="57"/>
        <v>8.4499999999999993</v>
      </c>
      <c r="W70" s="62">
        <f t="shared" si="58"/>
        <v>5.2994170641229457E-4</v>
      </c>
      <c r="X70" s="15"/>
      <c r="Y70" s="1">
        <f t="shared" si="59"/>
        <v>-1.0633956006402562E-3</v>
      </c>
      <c r="AH70" s="35">
        <v>45714</v>
      </c>
      <c r="AI70" s="31" t="s">
        <v>1410</v>
      </c>
      <c r="AJ70" s="32">
        <v>8.8999999999999999E-3</v>
      </c>
      <c r="AK70" s="28">
        <f t="shared" si="45"/>
        <v>8.903561424569828E-3</v>
      </c>
      <c r="AL70" s="28" t="s">
        <v>1443</v>
      </c>
      <c r="AM70" s="28" t="s">
        <v>1410</v>
      </c>
      <c r="AN70" s="28" t="s">
        <v>1444</v>
      </c>
      <c r="AO70" s="28" t="s">
        <v>1445</v>
      </c>
      <c r="AP70" s="28" t="s">
        <v>1446</v>
      </c>
      <c r="AQ70" s="28" t="s">
        <v>73</v>
      </c>
      <c r="AR70" s="28" t="s">
        <v>14</v>
      </c>
      <c r="AS70" s="73">
        <v>2245.1789210400002</v>
      </c>
      <c r="AT70" s="8">
        <v>15.48</v>
      </c>
      <c r="AU70" s="73" t="s">
        <v>1410</v>
      </c>
      <c r="AV70" s="73" t="b">
        <f t="shared" si="60"/>
        <v>1</v>
      </c>
      <c r="AW70" s="79">
        <v>0</v>
      </c>
      <c r="AX70" s="45" t="str">
        <f t="shared" si="61"/>
        <v/>
      </c>
      <c r="AY70" s="29" t="str">
        <f t="shared" si="62"/>
        <v/>
      </c>
      <c r="AZ70" s="29" t="str">
        <f t="shared" si="63"/>
        <v/>
      </c>
      <c r="BA70" s="29" t="s">
        <v>699</v>
      </c>
      <c r="BB70" s="29">
        <f t="shared" si="64"/>
        <v>0</v>
      </c>
      <c r="BC70">
        <f t="shared" si="65"/>
        <v>0</v>
      </c>
      <c r="BD70" s="78" t="str" cm="1">
        <f t="array" ref="BD70">IF(BC70&lt;&gt;1, "", IF(AK70&gt;0, INT(AK70/SUMPRODUCT(($AK$3:$AK$1000&gt;0)*($AK$3:$AK$1000), ($BC$3:$BC$1000))*$AB$12/AT70), INT(AK70/SUMPRODUCT(($AK$3:$AK$1000&lt;0)*($AK$3:$AK$1000), ($BC$3:$BC$1000))*$AB$13/AT70)))</f>
        <v/>
      </c>
      <c r="BE70" t="str">
        <f t="shared" si="66"/>
        <v/>
      </c>
      <c r="BF70" s="65" t="str">
        <f t="shared" si="67"/>
        <v/>
      </c>
      <c r="BN70" s="75">
        <v>0.67000000000000037</v>
      </c>
      <c r="BO70" s="57">
        <v>1.0058610405677892</v>
      </c>
      <c r="BP70" s="57">
        <v>3.6450894705468579</v>
      </c>
      <c r="BQ70" s="57"/>
      <c r="BR70" s="26">
        <f t="shared" si="46"/>
        <v>1.3254752555573237</v>
      </c>
      <c r="BT70" s="74">
        <v>0.67000000000000037</v>
      </c>
      <c r="BU70" s="74">
        <v>1.3254752555573237</v>
      </c>
    </row>
    <row r="71" spans="2:73" x14ac:dyDescent="0.3">
      <c r="B71" s="18" t="s">
        <v>580</v>
      </c>
      <c r="C71" s="18" t="s">
        <v>649</v>
      </c>
      <c r="D71" s="18" t="s">
        <v>650</v>
      </c>
      <c r="E71" s="44" t="s">
        <v>594</v>
      </c>
      <c r="F71" s="18" t="s">
        <v>24</v>
      </c>
      <c r="G71" s="18" t="s">
        <v>10</v>
      </c>
      <c r="H71" s="19">
        <v>48320.687274639997</v>
      </c>
      <c r="I71" s="18">
        <v>614</v>
      </c>
      <c r="J71" s="20">
        <v>216.04</v>
      </c>
      <c r="K71" s="19">
        <v>132648.56</v>
      </c>
      <c r="L71" s="12">
        <f t="shared" si="47"/>
        <v>8.8432373333333335E-3</v>
      </c>
      <c r="M71" s="12">
        <f t="shared" si="48"/>
        <v>7.5030012004801919E-3</v>
      </c>
      <c r="N71" s="15" t="str">
        <f t="shared" si="49"/>
        <v/>
      </c>
      <c r="O71" s="15" t="str">
        <f t="shared" si="50"/>
        <v/>
      </c>
      <c r="P71" s="15">
        <f t="shared" si="51"/>
        <v>1</v>
      </c>
      <c r="Q71" s="15" t="str">
        <f t="shared" si="52"/>
        <v>Sell</v>
      </c>
      <c r="R71" s="55">
        <f t="shared" si="53"/>
        <v>93</v>
      </c>
      <c r="S71" s="33">
        <f t="shared" si="54"/>
        <v>20091.719999999998</v>
      </c>
      <c r="T71" s="33" t="str">
        <f t="shared" si="55"/>
        <v/>
      </c>
      <c r="U71" s="15" t="str">
        <f t="shared" si="56"/>
        <v/>
      </c>
      <c r="V71" s="15">
        <f t="shared" si="57"/>
        <v>0.93</v>
      </c>
      <c r="W71" s="62">
        <f t="shared" si="58"/>
        <v>4.6287724495463811E-5</v>
      </c>
      <c r="X71" s="15"/>
      <c r="Y71" s="1">
        <f t="shared" si="59"/>
        <v>1.3402361328531415E-3</v>
      </c>
      <c r="AH71" s="35">
        <v>45714</v>
      </c>
      <c r="AI71" s="31" t="s">
        <v>946</v>
      </c>
      <c r="AJ71" s="32">
        <v>8.8000000000000005E-3</v>
      </c>
      <c r="AK71" s="28">
        <f t="shared" si="45"/>
        <v>8.8035214085634261E-3</v>
      </c>
      <c r="AL71" s="28" t="s">
        <v>957</v>
      </c>
      <c r="AM71" s="28" t="s">
        <v>946</v>
      </c>
      <c r="AN71" s="28" t="s">
        <v>958</v>
      </c>
      <c r="AO71" s="28" t="s">
        <v>959</v>
      </c>
      <c r="AP71" s="28" t="s">
        <v>960</v>
      </c>
      <c r="AQ71" s="28" t="s">
        <v>73</v>
      </c>
      <c r="AR71" s="28" t="s">
        <v>22</v>
      </c>
      <c r="AS71" s="73">
        <v>84380.720208348095</v>
      </c>
      <c r="AT71" s="8">
        <v>38.56</v>
      </c>
      <c r="AU71" s="73" t="s">
        <v>946</v>
      </c>
      <c r="AV71" s="73" t="b">
        <f t="shared" si="60"/>
        <v>1</v>
      </c>
      <c r="AW71" s="79">
        <v>0</v>
      </c>
      <c r="AX71" s="45" t="str">
        <f t="shared" si="61"/>
        <v/>
      </c>
      <c r="AY71" s="29" t="str">
        <f t="shared" si="62"/>
        <v/>
      </c>
      <c r="AZ71" s="29" t="str">
        <f t="shared" si="63"/>
        <v/>
      </c>
      <c r="BA71" s="29" t="s">
        <v>699</v>
      </c>
      <c r="BB71" s="29">
        <f t="shared" si="64"/>
        <v>0</v>
      </c>
      <c r="BC71">
        <f t="shared" si="65"/>
        <v>0</v>
      </c>
      <c r="BD71" s="78" t="str" cm="1">
        <f t="array" ref="BD71">IF(BC71&lt;&gt;1, "", IF(AK71&gt;0, INT(AK71/SUMPRODUCT(($AK$3:$AK$1000&gt;0)*($AK$3:$AK$1000), ($BC$3:$BC$1000))*$AB$12/AT71), INT(AK71/SUMPRODUCT(($AK$3:$AK$1000&lt;0)*($AK$3:$AK$1000), ($BC$3:$BC$1000))*$AB$13/AT71)))</f>
        <v/>
      </c>
      <c r="BE71" t="str">
        <f t="shared" si="66"/>
        <v/>
      </c>
      <c r="BF71" s="65" t="str">
        <f t="shared" si="67"/>
        <v/>
      </c>
      <c r="BN71" s="75">
        <v>0.68000000000000038</v>
      </c>
      <c r="BO71" s="57">
        <v>1.0198099085486505</v>
      </c>
      <c r="BP71" s="57">
        <v>4.1706781158593582</v>
      </c>
      <c r="BQ71" s="57"/>
      <c r="BR71" s="26">
        <f t="shared" si="46"/>
        <v>1.5952440122040044</v>
      </c>
      <c r="BT71" s="74">
        <v>0.96000000000000063</v>
      </c>
      <c r="BU71" s="74">
        <v>1.5028012062748775</v>
      </c>
    </row>
    <row r="72" spans="2:73" x14ac:dyDescent="0.3">
      <c r="B72" s="18" t="s">
        <v>845</v>
      </c>
      <c r="C72" s="18" t="s">
        <v>871</v>
      </c>
      <c r="D72" s="18" t="s">
        <v>895</v>
      </c>
      <c r="E72" s="44" t="s">
        <v>872</v>
      </c>
      <c r="F72" s="18" t="s">
        <v>14</v>
      </c>
      <c r="G72" s="18" t="s">
        <v>10</v>
      </c>
      <c r="H72" s="19">
        <v>4112.4509817600001</v>
      </c>
      <c r="I72" s="18">
        <v>1757</v>
      </c>
      <c r="J72" s="20">
        <v>74.58</v>
      </c>
      <c r="K72" s="19">
        <v>131037.06</v>
      </c>
      <c r="L72" s="12">
        <f t="shared" si="47"/>
        <v>8.7358039999999998E-3</v>
      </c>
      <c r="M72" s="12">
        <f t="shared" si="48"/>
        <v>0</v>
      </c>
      <c r="N72" s="15" t="str">
        <f t="shared" si="49"/>
        <v/>
      </c>
      <c r="O72" s="15">
        <f t="shared" si="50"/>
        <v>1</v>
      </c>
      <c r="P72" s="15" t="str">
        <f t="shared" si="51"/>
        <v/>
      </c>
      <c r="Q72" s="15" t="str">
        <f t="shared" si="52"/>
        <v/>
      </c>
      <c r="R72" s="55" t="str">
        <f t="shared" si="53"/>
        <v/>
      </c>
      <c r="S72" s="33" t="str">
        <f t="shared" si="54"/>
        <v/>
      </c>
      <c r="T72" s="33" t="str">
        <f t="shared" si="55"/>
        <v>Sell</v>
      </c>
      <c r="U72" s="15">
        <f t="shared" si="56"/>
        <v>1757</v>
      </c>
      <c r="V72" s="15" t="str">
        <f t="shared" si="57"/>
        <v/>
      </c>
      <c r="W72" s="62" t="str">
        <f t="shared" si="58"/>
        <v/>
      </c>
      <c r="X72" s="15"/>
      <c r="Y72" s="1">
        <f t="shared" si="59"/>
        <v>8.7358039999999998E-3</v>
      </c>
      <c r="AH72" s="35">
        <v>45714</v>
      </c>
      <c r="AI72" s="31" t="s">
        <v>901</v>
      </c>
      <c r="AJ72" s="32">
        <v>8.6E-3</v>
      </c>
      <c r="AK72" s="28">
        <f t="shared" si="45"/>
        <v>8.6034413765506204E-3</v>
      </c>
      <c r="AL72" s="28" t="s">
        <v>914</v>
      </c>
      <c r="AM72" s="28" t="s">
        <v>901</v>
      </c>
      <c r="AN72" s="28" t="s">
        <v>915</v>
      </c>
      <c r="AO72" s="28" t="s">
        <v>916</v>
      </c>
      <c r="AP72" s="28" t="s">
        <v>917</v>
      </c>
      <c r="AQ72" s="28" t="s">
        <v>73</v>
      </c>
      <c r="AR72" s="28" t="s">
        <v>11</v>
      </c>
      <c r="AS72" s="73">
        <v>421.27902232000002</v>
      </c>
      <c r="AT72" s="8">
        <v>8.84</v>
      </c>
      <c r="AU72" s="73" t="s">
        <v>901</v>
      </c>
      <c r="AV72" s="73" t="b">
        <f t="shared" si="60"/>
        <v>1</v>
      </c>
      <c r="AW72" s="79">
        <v>0</v>
      </c>
      <c r="AX72" s="45" t="str">
        <f t="shared" si="61"/>
        <v/>
      </c>
      <c r="AY72" s="29" t="str">
        <f t="shared" si="62"/>
        <v/>
      </c>
      <c r="AZ72" s="29" t="str">
        <f t="shared" si="63"/>
        <v/>
      </c>
      <c r="BA72" s="29" t="s">
        <v>699</v>
      </c>
      <c r="BB72" s="29">
        <f t="shared" si="64"/>
        <v>0</v>
      </c>
      <c r="BC72">
        <f t="shared" si="65"/>
        <v>0</v>
      </c>
      <c r="BD72" s="78" t="str" cm="1">
        <f t="array" ref="BD72">IF(BC72&lt;&gt;1, "", IF(AK72&gt;0, INT(AK72/SUMPRODUCT(($AK$3:$AK$1000&gt;0)*($AK$3:$AK$1000), ($BC$3:$BC$1000))*$AB$12/AT72), INT(AK72/SUMPRODUCT(($AK$3:$AK$1000&lt;0)*($AK$3:$AK$1000), ($BC$3:$BC$1000))*$AB$13/AT72)))</f>
        <v/>
      </c>
      <c r="BE72" t="str">
        <f t="shared" si="66"/>
        <v/>
      </c>
      <c r="BF72" s="65" t="str">
        <f t="shared" si="67"/>
        <v/>
      </c>
      <c r="BN72" s="75">
        <v>0.69000000000000039</v>
      </c>
      <c r="BO72" s="57">
        <v>1.0198099085486505</v>
      </c>
      <c r="BP72" s="57">
        <v>4.1706781158593582</v>
      </c>
      <c r="BQ72" s="57"/>
      <c r="BR72" s="26">
        <f t="shared" si="46"/>
        <v>1.5952440122040044</v>
      </c>
      <c r="BT72" s="74">
        <v>0.97000000000000064</v>
      </c>
      <c r="BU72" s="74">
        <v>1.5028012062748775</v>
      </c>
    </row>
    <row r="73" spans="2:73" x14ac:dyDescent="0.3">
      <c r="B73" s="18" t="s">
        <v>316</v>
      </c>
      <c r="C73" s="18" t="s">
        <v>318</v>
      </c>
      <c r="D73" s="18" t="s">
        <v>323</v>
      </c>
      <c r="E73" s="44" t="s">
        <v>549</v>
      </c>
      <c r="F73" s="18" t="s">
        <v>14</v>
      </c>
      <c r="G73" s="18" t="s">
        <v>10</v>
      </c>
      <c r="H73" s="19">
        <v>738.30922310000005</v>
      </c>
      <c r="I73" s="18">
        <v>7148</v>
      </c>
      <c r="J73" s="20">
        <v>18.02</v>
      </c>
      <c r="K73" s="19">
        <v>128806.95999999999</v>
      </c>
      <c r="L73" s="12">
        <f t="shared" si="47"/>
        <v>8.5871306666666664E-3</v>
      </c>
      <c r="M73" s="12">
        <f t="shared" si="48"/>
        <v>9.1036414565826337E-3</v>
      </c>
      <c r="N73" s="15" t="str">
        <f t="shared" si="49"/>
        <v/>
      </c>
      <c r="O73" s="15" t="str">
        <f t="shared" si="50"/>
        <v/>
      </c>
      <c r="P73" s="15">
        <f t="shared" si="51"/>
        <v>1</v>
      </c>
      <c r="Q73" s="15" t="str">
        <f t="shared" si="52"/>
        <v>Buy</v>
      </c>
      <c r="R73" s="55">
        <f t="shared" si="53"/>
        <v>429</v>
      </c>
      <c r="S73" s="33">
        <f t="shared" si="54"/>
        <v>7730.58</v>
      </c>
      <c r="T73" s="33" t="str">
        <f t="shared" si="55"/>
        <v/>
      </c>
      <c r="U73" s="15" t="str">
        <f t="shared" si="56"/>
        <v/>
      </c>
      <c r="V73" s="15">
        <f t="shared" si="57"/>
        <v>4.29</v>
      </c>
      <c r="W73" s="62">
        <f t="shared" si="58"/>
        <v>5.5493895671476139E-4</v>
      </c>
      <c r="X73" s="15"/>
      <c r="Y73" s="1">
        <f t="shared" si="59"/>
        <v>-5.1651078991596724E-4</v>
      </c>
      <c r="AH73" s="35">
        <v>45714</v>
      </c>
      <c r="AI73" s="31" t="s">
        <v>767</v>
      </c>
      <c r="AJ73" s="32">
        <v>8.5000000000000006E-3</v>
      </c>
      <c r="AK73" s="28">
        <f t="shared" si="45"/>
        <v>8.5034013605442185E-3</v>
      </c>
      <c r="AL73" s="28" t="s">
        <v>789</v>
      </c>
      <c r="AM73" s="28" t="s">
        <v>767</v>
      </c>
      <c r="AN73" s="28" t="s">
        <v>1672</v>
      </c>
      <c r="AO73" s="28" t="s">
        <v>790</v>
      </c>
      <c r="AP73" s="28" t="s">
        <v>791</v>
      </c>
      <c r="AQ73" s="28" t="s">
        <v>73</v>
      </c>
      <c r="AR73" s="28" t="s">
        <v>13</v>
      </c>
      <c r="AS73" s="73">
        <v>37871.934500399999</v>
      </c>
      <c r="AT73" s="8">
        <v>496.65</v>
      </c>
      <c r="AU73" s="73" t="s">
        <v>767</v>
      </c>
      <c r="AV73" s="73" t="b">
        <f t="shared" si="60"/>
        <v>1</v>
      </c>
      <c r="AW73" s="79">
        <v>0</v>
      </c>
      <c r="AX73" s="45" t="str">
        <f t="shared" si="61"/>
        <v/>
      </c>
      <c r="AY73" s="29" t="str">
        <f t="shared" si="62"/>
        <v/>
      </c>
      <c r="AZ73" s="29" t="str">
        <f t="shared" si="63"/>
        <v/>
      </c>
      <c r="BA73" s="29" t="s">
        <v>699</v>
      </c>
      <c r="BB73" s="29">
        <f t="shared" si="64"/>
        <v>0</v>
      </c>
      <c r="BC73">
        <f t="shared" si="65"/>
        <v>0</v>
      </c>
      <c r="BD73" s="78" t="str" cm="1">
        <f t="array" ref="BD73">IF(BC73&lt;&gt;1, "", IF(AK73&gt;0, INT(AK73/SUMPRODUCT(($AK$3:$AK$1000&gt;0)*($AK$3:$AK$1000), ($BC$3:$BC$1000))*$AB$12/AT73), INT(AK73/SUMPRODUCT(($AK$3:$AK$1000&lt;0)*($AK$3:$AK$1000), ($BC$3:$BC$1000))*$AB$13/AT73)))</f>
        <v/>
      </c>
      <c r="BE73" t="str">
        <f t="shared" si="66"/>
        <v/>
      </c>
      <c r="BF73" s="65" t="str">
        <f t="shared" si="67"/>
        <v/>
      </c>
      <c r="BN73" s="75">
        <v>0.7000000000000004</v>
      </c>
      <c r="BO73" s="57">
        <v>1.0198099085486505</v>
      </c>
      <c r="BP73" s="57">
        <v>4.1706781158593582</v>
      </c>
      <c r="BQ73" s="57"/>
      <c r="BR73" s="26">
        <f t="shared" si="46"/>
        <v>1.5952440122040044</v>
      </c>
      <c r="BT73" s="74">
        <v>0.98000000000000065</v>
      </c>
      <c r="BU73" s="74">
        <v>1.5028012062748775</v>
      </c>
    </row>
    <row r="74" spans="2:73" x14ac:dyDescent="0.3">
      <c r="B74" s="18" t="s">
        <v>767</v>
      </c>
      <c r="C74" s="18" t="s">
        <v>789</v>
      </c>
      <c r="D74" s="18" t="s">
        <v>831</v>
      </c>
      <c r="E74" s="44" t="s">
        <v>791</v>
      </c>
      <c r="F74" s="18" t="s">
        <v>13</v>
      </c>
      <c r="G74" s="18" t="s">
        <v>10</v>
      </c>
      <c r="H74" s="19">
        <v>37871.934500399999</v>
      </c>
      <c r="I74" s="18">
        <v>257</v>
      </c>
      <c r="J74" s="20">
        <v>496.65</v>
      </c>
      <c r="K74" s="19">
        <v>127639.04999999999</v>
      </c>
      <c r="L74" s="12">
        <f t="shared" si="47"/>
        <v>8.5092699999999993E-3</v>
      </c>
      <c r="M74" s="12">
        <f t="shared" si="48"/>
        <v>8.5034013605442185E-3</v>
      </c>
      <c r="N74" s="15" t="str">
        <f t="shared" si="49"/>
        <v/>
      </c>
      <c r="O74" s="15" t="str">
        <f t="shared" si="50"/>
        <v/>
      </c>
      <c r="P74" s="15" t="str">
        <f t="shared" si="51"/>
        <v/>
      </c>
      <c r="Q74" s="15" t="str">
        <f t="shared" si="52"/>
        <v/>
      </c>
      <c r="R74" s="55" t="str">
        <f t="shared" si="53"/>
        <v/>
      </c>
      <c r="S74" s="33" t="str">
        <f t="shared" si="54"/>
        <v/>
      </c>
      <c r="T74" s="33" t="str">
        <f t="shared" si="55"/>
        <v/>
      </c>
      <c r="U74" s="15" t="str">
        <f t="shared" si="56"/>
        <v/>
      </c>
      <c r="V74" s="15" t="str">
        <f t="shared" si="57"/>
        <v/>
      </c>
      <c r="W74" s="62" t="str">
        <f t="shared" si="58"/>
        <v/>
      </c>
      <c r="X74" s="15"/>
      <c r="Y74" s="1">
        <f t="shared" si="59"/>
        <v>5.8686394557808802E-6</v>
      </c>
      <c r="AH74" s="35">
        <v>45714</v>
      </c>
      <c r="AI74" s="31" t="s">
        <v>1404</v>
      </c>
      <c r="AJ74" s="32">
        <v>8.3999999999999995E-3</v>
      </c>
      <c r="AK74" s="28">
        <f t="shared" si="45"/>
        <v>8.4033613445378148E-3</v>
      </c>
      <c r="AL74" s="28" t="s">
        <v>1422</v>
      </c>
      <c r="AM74" s="28" t="s">
        <v>1404</v>
      </c>
      <c r="AN74" s="28" t="s">
        <v>1674</v>
      </c>
      <c r="AO74" s="28" t="s">
        <v>1423</v>
      </c>
      <c r="AP74" s="28" t="s">
        <v>1424</v>
      </c>
      <c r="AQ74" s="28" t="s">
        <v>73</v>
      </c>
      <c r="AR74" s="28" t="s">
        <v>11</v>
      </c>
      <c r="AS74" s="73">
        <v>5303.1697395199999</v>
      </c>
      <c r="AT74" s="8">
        <v>50.56</v>
      </c>
      <c r="AU74" s="73" t="s">
        <v>1404</v>
      </c>
      <c r="AV74" s="73" t="b">
        <f t="shared" si="60"/>
        <v>1</v>
      </c>
      <c r="AW74" s="79">
        <v>0</v>
      </c>
      <c r="AX74" s="45" t="str">
        <f t="shared" si="61"/>
        <v/>
      </c>
      <c r="AY74" s="29" t="str">
        <f t="shared" si="62"/>
        <v/>
      </c>
      <c r="AZ74" s="29" t="str">
        <f t="shared" si="63"/>
        <v/>
      </c>
      <c r="BA74" s="29" t="s">
        <v>699</v>
      </c>
      <c r="BB74" s="29">
        <f t="shared" si="64"/>
        <v>0</v>
      </c>
      <c r="BC74">
        <f t="shared" si="65"/>
        <v>0</v>
      </c>
      <c r="BD74" s="78" t="str" cm="1">
        <f t="array" ref="BD74">IF(BC74&lt;&gt;1, "", IF(AK74&gt;0, INT(AK74/SUMPRODUCT(($AK$3:$AK$1000&gt;0)*($AK$3:$AK$1000), ($BC$3:$BC$1000))*$AB$12/AT74), INT(AK74/SUMPRODUCT(($AK$3:$AK$1000&lt;0)*($AK$3:$AK$1000), ($BC$3:$BC$1000))*$AB$13/AT74)))</f>
        <v/>
      </c>
      <c r="BE74" t="str">
        <f t="shared" si="66"/>
        <v/>
      </c>
      <c r="BF74" s="65" t="str">
        <f t="shared" si="67"/>
        <v/>
      </c>
      <c r="BN74" s="75">
        <v>0.71000000000000041</v>
      </c>
      <c r="BO74" s="57">
        <v>1.0198099085486505</v>
      </c>
      <c r="BP74" s="57">
        <v>4.1706781158593582</v>
      </c>
      <c r="BQ74" s="57"/>
      <c r="BR74" s="26">
        <f t="shared" si="46"/>
        <v>1.5952440122040044</v>
      </c>
      <c r="BT74" s="74">
        <v>0.99000000000000066</v>
      </c>
      <c r="BU74" s="74">
        <v>1.5028012062748775</v>
      </c>
    </row>
    <row r="75" spans="2:73" x14ac:dyDescent="0.3">
      <c r="B75" s="18" t="s">
        <v>1404</v>
      </c>
      <c r="C75" s="18" t="s">
        <v>1422</v>
      </c>
      <c r="D75" s="18" t="s">
        <v>1484</v>
      </c>
      <c r="E75" s="44" t="s">
        <v>1424</v>
      </c>
      <c r="F75" s="18" t="s">
        <v>11</v>
      </c>
      <c r="G75" s="18" t="s">
        <v>10</v>
      </c>
      <c r="H75" s="19">
        <v>5303.1697395200008</v>
      </c>
      <c r="I75" s="18">
        <v>2519</v>
      </c>
      <c r="J75" s="20">
        <v>50.56</v>
      </c>
      <c r="K75" s="19">
        <v>127360.64</v>
      </c>
      <c r="L75" s="12">
        <f t="shared" si="47"/>
        <v>8.490709333333334E-3</v>
      </c>
      <c r="M75" s="12">
        <f t="shared" si="48"/>
        <v>8.4033613445378148E-3</v>
      </c>
      <c r="N75" s="15" t="str">
        <f t="shared" si="49"/>
        <v/>
      </c>
      <c r="O75" s="15" t="str">
        <f t="shared" si="50"/>
        <v/>
      </c>
      <c r="P75" s="15" t="str">
        <f t="shared" si="51"/>
        <v/>
      </c>
      <c r="Q75" s="15" t="str">
        <f t="shared" si="52"/>
        <v/>
      </c>
      <c r="R75" s="55" t="str">
        <f t="shared" si="53"/>
        <v/>
      </c>
      <c r="S75" s="33" t="str">
        <f t="shared" si="54"/>
        <v/>
      </c>
      <c r="T75" s="33" t="str">
        <f t="shared" si="55"/>
        <v/>
      </c>
      <c r="U75" s="15" t="str">
        <f t="shared" si="56"/>
        <v/>
      </c>
      <c r="V75" s="15" t="str">
        <f t="shared" si="57"/>
        <v/>
      </c>
      <c r="W75" s="62" t="str">
        <f t="shared" si="58"/>
        <v/>
      </c>
      <c r="X75" s="15"/>
      <c r="Y75" s="1">
        <f t="shared" si="59"/>
        <v>8.7347988795519194E-5</v>
      </c>
      <c r="AH75" s="35">
        <v>45714</v>
      </c>
      <c r="AI75" s="31" t="s">
        <v>1405</v>
      </c>
      <c r="AJ75" s="32">
        <v>8.3999999999999995E-3</v>
      </c>
      <c r="AK75" s="28">
        <f t="shared" si="45"/>
        <v>8.4033613445378148E-3</v>
      </c>
      <c r="AL75" s="28" t="s">
        <v>1425</v>
      </c>
      <c r="AM75" s="28" t="s">
        <v>1405</v>
      </c>
      <c r="AN75" s="28" t="s">
        <v>1426</v>
      </c>
      <c r="AO75" s="28" t="s">
        <v>1427</v>
      </c>
      <c r="AP75" s="28" t="s">
        <v>1428</v>
      </c>
      <c r="AQ75" s="28" t="s">
        <v>73</v>
      </c>
      <c r="AR75" s="28" t="s">
        <v>14</v>
      </c>
      <c r="AS75" s="73">
        <v>365.93099432000002</v>
      </c>
      <c r="AT75" s="8">
        <v>20.66</v>
      </c>
      <c r="AU75" s="73" t="s">
        <v>1405</v>
      </c>
      <c r="AV75" s="73" t="b">
        <f t="shared" si="60"/>
        <v>1</v>
      </c>
      <c r="AW75" s="79">
        <v>0</v>
      </c>
      <c r="AX75" s="45" t="str">
        <f t="shared" si="61"/>
        <v/>
      </c>
      <c r="AY75" s="29" t="str">
        <f t="shared" si="62"/>
        <v/>
      </c>
      <c r="AZ75" s="29" t="str">
        <f t="shared" si="63"/>
        <v/>
      </c>
      <c r="BA75" s="29" t="s">
        <v>699</v>
      </c>
      <c r="BB75" s="29">
        <f t="shared" si="64"/>
        <v>0</v>
      </c>
      <c r="BC75">
        <f t="shared" si="65"/>
        <v>0</v>
      </c>
      <c r="BD75" s="78" t="str" cm="1">
        <f t="array" ref="BD75">IF(BC75&lt;&gt;1, "", IF(AK75&gt;0, INT(AK75/SUMPRODUCT(($AK$3:$AK$1000&gt;0)*($AK$3:$AK$1000), ($BC$3:$BC$1000))*$AB$12/AT75), INT(AK75/SUMPRODUCT(($AK$3:$AK$1000&lt;0)*($AK$3:$AK$1000), ($BC$3:$BC$1000))*$AB$13/AT75)))</f>
        <v/>
      </c>
      <c r="BE75" t="str">
        <f t="shared" si="66"/>
        <v/>
      </c>
      <c r="BF75" s="65" t="str">
        <f t="shared" si="67"/>
        <v/>
      </c>
      <c r="BN75" s="75">
        <v>0.72000000000000042</v>
      </c>
      <c r="BO75" s="57">
        <v>1.0198099085486505</v>
      </c>
      <c r="BP75" s="57">
        <v>4.1706781158593582</v>
      </c>
      <c r="BQ75" s="57"/>
      <c r="BR75" s="26">
        <f t="shared" si="46"/>
        <v>1.5952440122040044</v>
      </c>
      <c r="BT75" s="74">
        <v>0.68000000000000038</v>
      </c>
      <c r="BU75" s="74">
        <v>1.5952440122040044</v>
      </c>
    </row>
    <row r="76" spans="2:73" x14ac:dyDescent="0.3">
      <c r="B76" s="18" t="s">
        <v>901</v>
      </c>
      <c r="C76" s="18" t="s">
        <v>914</v>
      </c>
      <c r="D76" s="18" t="s">
        <v>939</v>
      </c>
      <c r="E76" s="44" t="s">
        <v>917</v>
      </c>
      <c r="F76" s="18" t="s">
        <v>11</v>
      </c>
      <c r="G76" s="18" t="s">
        <v>10</v>
      </c>
      <c r="H76" s="19">
        <v>421.27902231999997</v>
      </c>
      <c r="I76" s="18">
        <v>14067</v>
      </c>
      <c r="J76" s="20">
        <v>8.84</v>
      </c>
      <c r="K76" s="19">
        <v>124352.28</v>
      </c>
      <c r="L76" s="12">
        <f t="shared" si="47"/>
        <v>8.2901520000000003E-3</v>
      </c>
      <c r="M76" s="12">
        <f t="shared" si="48"/>
        <v>8.6034413765506204E-3</v>
      </c>
      <c r="N76" s="15" t="str">
        <f t="shared" si="49"/>
        <v/>
      </c>
      <c r="O76" s="15" t="str">
        <f t="shared" si="50"/>
        <v/>
      </c>
      <c r="P76" s="15">
        <f t="shared" si="51"/>
        <v>1</v>
      </c>
      <c r="Q76" s="15" t="str">
        <f t="shared" si="52"/>
        <v>Buy</v>
      </c>
      <c r="R76" s="55">
        <f t="shared" si="53"/>
        <v>531</v>
      </c>
      <c r="S76" s="33">
        <f t="shared" si="54"/>
        <v>4694.04</v>
      </c>
      <c r="T76" s="33" t="str">
        <f t="shared" si="55"/>
        <v/>
      </c>
      <c r="U76" s="15" t="str">
        <f t="shared" si="56"/>
        <v/>
      </c>
      <c r="V76" s="15">
        <f t="shared" si="57"/>
        <v>5.3100000000000005</v>
      </c>
      <c r="W76" s="62">
        <f t="shared" si="58"/>
        <v>1.1312217194570137E-3</v>
      </c>
      <c r="X76" s="15"/>
      <c r="Y76" s="1">
        <f t="shared" si="59"/>
        <v>-3.1328937655062013E-4</v>
      </c>
      <c r="AH76" s="35">
        <v>45714</v>
      </c>
      <c r="AI76" s="31" t="s">
        <v>497</v>
      </c>
      <c r="AJ76" s="32">
        <v>7.9000000000000008E-3</v>
      </c>
      <c r="AK76" s="28">
        <f t="shared" si="45"/>
        <v>7.9031612645058032E-3</v>
      </c>
      <c r="AL76" s="28" t="s">
        <v>502</v>
      </c>
      <c r="AM76" s="28" t="s">
        <v>497</v>
      </c>
      <c r="AN76" s="28" t="s">
        <v>858</v>
      </c>
      <c r="AO76" s="28" t="s">
        <v>503</v>
      </c>
      <c r="AP76" s="28" t="s">
        <v>504</v>
      </c>
      <c r="AQ76" s="28" t="s">
        <v>73</v>
      </c>
      <c r="AR76" s="28" t="s">
        <v>19</v>
      </c>
      <c r="AS76" s="73">
        <v>104617.10852622001</v>
      </c>
      <c r="AT76" s="8">
        <v>62.11</v>
      </c>
      <c r="AU76" s="73" t="s">
        <v>497</v>
      </c>
      <c r="AV76" s="73" t="b">
        <f t="shared" si="60"/>
        <v>1</v>
      </c>
      <c r="AW76" s="79">
        <v>0</v>
      </c>
      <c r="AX76" s="45" t="str">
        <f t="shared" si="61"/>
        <v/>
      </c>
      <c r="AY76" s="29" t="str">
        <f t="shared" si="62"/>
        <v/>
      </c>
      <c r="AZ76" s="29" t="str">
        <f t="shared" si="63"/>
        <v/>
      </c>
      <c r="BA76" s="29" t="s">
        <v>699</v>
      </c>
      <c r="BB76" s="29">
        <f t="shared" si="64"/>
        <v>0</v>
      </c>
      <c r="BC76">
        <f t="shared" si="65"/>
        <v>0</v>
      </c>
      <c r="BD76" s="78" t="str" cm="1">
        <f t="array" ref="BD76">IF(BC76&lt;&gt;1, "", IF(AK76&gt;0, INT(AK76/SUMPRODUCT(($AK$3:$AK$1000&gt;0)*($AK$3:$AK$1000), ($BC$3:$BC$1000))*$AB$12/AT76), INT(AK76/SUMPRODUCT(($AK$3:$AK$1000&lt;0)*($AK$3:$AK$1000), ($BC$3:$BC$1000))*$AB$13/AT76)))</f>
        <v/>
      </c>
      <c r="BE76" t="str">
        <f t="shared" si="66"/>
        <v/>
      </c>
      <c r="BF76" s="65" t="str">
        <f t="shared" si="67"/>
        <v/>
      </c>
      <c r="BN76" s="75">
        <v>0.73000000000000043</v>
      </c>
      <c r="BO76" s="57">
        <v>1.0198099085486505</v>
      </c>
      <c r="BP76" s="57">
        <v>4.1706781158593582</v>
      </c>
      <c r="BQ76" s="57"/>
      <c r="BR76" s="26">
        <f t="shared" si="46"/>
        <v>1.5952440122040044</v>
      </c>
      <c r="BT76" s="74">
        <v>0.69000000000000039</v>
      </c>
      <c r="BU76" s="74">
        <v>1.5952440122040044</v>
      </c>
    </row>
    <row r="77" spans="2:73" x14ac:dyDescent="0.3">
      <c r="B77" s="18" t="s">
        <v>1405</v>
      </c>
      <c r="C77" s="18" t="s">
        <v>1425</v>
      </c>
      <c r="D77" s="18" t="s">
        <v>1485</v>
      </c>
      <c r="E77" s="44" t="s">
        <v>1428</v>
      </c>
      <c r="F77" s="18" t="s">
        <v>14</v>
      </c>
      <c r="G77" s="18" t="s">
        <v>10</v>
      </c>
      <c r="H77" s="19">
        <v>365.93099431999997</v>
      </c>
      <c r="I77" s="18">
        <v>5820</v>
      </c>
      <c r="J77" s="20">
        <v>20.66</v>
      </c>
      <c r="K77" s="19">
        <v>120241.2</v>
      </c>
      <c r="L77" s="12">
        <f t="shared" si="47"/>
        <v>8.0160800000000001E-3</v>
      </c>
      <c r="M77" s="12">
        <f t="shared" si="48"/>
        <v>8.4033613445378148E-3</v>
      </c>
      <c r="N77" s="15" t="str">
        <f t="shared" si="49"/>
        <v/>
      </c>
      <c r="O77" s="15" t="str">
        <f t="shared" si="50"/>
        <v/>
      </c>
      <c r="P77" s="15">
        <f t="shared" si="51"/>
        <v>1</v>
      </c>
      <c r="Q77" s="15" t="str">
        <f t="shared" si="52"/>
        <v>Buy</v>
      </c>
      <c r="R77" s="55">
        <f t="shared" si="53"/>
        <v>281</v>
      </c>
      <c r="S77" s="33">
        <f t="shared" si="54"/>
        <v>5805.46</v>
      </c>
      <c r="T77" s="33" t="str">
        <f t="shared" si="55"/>
        <v/>
      </c>
      <c r="U77" s="15" t="str">
        <f t="shared" si="56"/>
        <v/>
      </c>
      <c r="V77" s="15">
        <f t="shared" si="57"/>
        <v>2.81</v>
      </c>
      <c r="W77" s="62">
        <f t="shared" si="58"/>
        <v>4.8402710551790902E-4</v>
      </c>
      <c r="X77" s="15"/>
      <c r="Y77" s="1">
        <f t="shared" si="59"/>
        <v>-3.8728134453781468E-4</v>
      </c>
      <c r="AH77" s="35">
        <v>45714</v>
      </c>
      <c r="AI77" s="31" t="s">
        <v>947</v>
      </c>
      <c r="AJ77" s="32">
        <v>7.7000000000000002E-3</v>
      </c>
      <c r="AK77" s="28">
        <f t="shared" si="45"/>
        <v>7.7030812324929976E-3</v>
      </c>
      <c r="AL77" s="28" t="s">
        <v>961</v>
      </c>
      <c r="AM77" s="28" t="s">
        <v>947</v>
      </c>
      <c r="AN77" s="28" t="s">
        <v>962</v>
      </c>
      <c r="AO77" s="28" t="s">
        <v>963</v>
      </c>
      <c r="AP77" s="28" t="s">
        <v>964</v>
      </c>
      <c r="AQ77" s="28" t="s">
        <v>73</v>
      </c>
      <c r="AR77" s="28" t="s">
        <v>13</v>
      </c>
      <c r="AS77" s="73">
        <v>4532.3419285600003</v>
      </c>
      <c r="AT77" s="8">
        <v>92.92</v>
      </c>
      <c r="AU77" s="73" t="s">
        <v>947</v>
      </c>
      <c r="AV77" s="73" t="b">
        <f t="shared" si="60"/>
        <v>1</v>
      </c>
      <c r="AW77" s="79">
        <v>0</v>
      </c>
      <c r="AX77" s="45" t="str">
        <f t="shared" si="61"/>
        <v/>
      </c>
      <c r="AY77" s="29" t="str">
        <f t="shared" si="62"/>
        <v/>
      </c>
      <c r="AZ77" s="29" t="str">
        <f t="shared" si="63"/>
        <v/>
      </c>
      <c r="BA77" s="29" t="s">
        <v>699</v>
      </c>
      <c r="BB77" s="29">
        <f t="shared" si="64"/>
        <v>0</v>
      </c>
      <c r="BC77">
        <f t="shared" si="65"/>
        <v>0</v>
      </c>
      <c r="BD77" s="78" t="str" cm="1">
        <f t="array" ref="BD77">IF(BC77&lt;&gt;1, "", IF(AK77&gt;0, INT(AK77/SUMPRODUCT(($AK$3:$AK$1000&gt;0)*($AK$3:$AK$1000), ($BC$3:$BC$1000))*$AB$12/AT77), INT(AK77/SUMPRODUCT(($AK$3:$AK$1000&lt;0)*($AK$3:$AK$1000), ($BC$3:$BC$1000))*$AB$13/AT77)))</f>
        <v/>
      </c>
      <c r="BE77" t="str">
        <f t="shared" si="66"/>
        <v/>
      </c>
      <c r="BF77" s="65" t="str">
        <f t="shared" si="67"/>
        <v/>
      </c>
      <c r="BN77" s="75">
        <v>0.74000000000000044</v>
      </c>
      <c r="BO77" s="57">
        <v>1.0198099085486505</v>
      </c>
      <c r="BP77" s="57">
        <v>4.1706781158593582</v>
      </c>
      <c r="BQ77" s="57"/>
      <c r="BR77" s="26">
        <f t="shared" si="46"/>
        <v>1.5952440122040044</v>
      </c>
      <c r="BT77" s="74">
        <v>0.7000000000000004</v>
      </c>
      <c r="BU77" s="74">
        <v>1.5952440122040044</v>
      </c>
    </row>
    <row r="78" spans="2:73" x14ac:dyDescent="0.3">
      <c r="B78" s="18" t="s">
        <v>497</v>
      </c>
      <c r="C78" s="18" t="s">
        <v>502</v>
      </c>
      <c r="D78" s="18" t="s">
        <v>520</v>
      </c>
      <c r="E78" s="44" t="s">
        <v>504</v>
      </c>
      <c r="F78" s="18" t="s">
        <v>19</v>
      </c>
      <c r="G78" s="18" t="s">
        <v>10</v>
      </c>
      <c r="H78" s="19">
        <v>77827.040403789986</v>
      </c>
      <c r="I78" s="18">
        <v>1908</v>
      </c>
      <c r="J78" s="20">
        <v>62.11</v>
      </c>
      <c r="K78" s="19">
        <v>118505.88</v>
      </c>
      <c r="L78" s="12">
        <f t="shared" si="47"/>
        <v>7.9003920000000009E-3</v>
      </c>
      <c r="M78" s="12">
        <f t="shared" si="48"/>
        <v>7.9031612645058032E-3</v>
      </c>
      <c r="N78" s="15" t="str">
        <f t="shared" si="49"/>
        <v/>
      </c>
      <c r="O78" s="15" t="str">
        <f t="shared" si="50"/>
        <v/>
      </c>
      <c r="P78" s="15" t="str">
        <f t="shared" si="51"/>
        <v/>
      </c>
      <c r="Q78" s="15" t="str">
        <f t="shared" si="52"/>
        <v/>
      </c>
      <c r="R78" s="55" t="str">
        <f t="shared" si="53"/>
        <v/>
      </c>
      <c r="S78" s="33" t="str">
        <f t="shared" si="54"/>
        <v/>
      </c>
      <c r="T78" s="33" t="str">
        <f t="shared" si="55"/>
        <v/>
      </c>
      <c r="U78" s="15" t="str">
        <f t="shared" si="56"/>
        <v/>
      </c>
      <c r="V78" s="15" t="str">
        <f t="shared" si="57"/>
        <v/>
      </c>
      <c r="W78" s="62" t="str">
        <f t="shared" si="58"/>
        <v/>
      </c>
      <c r="X78" s="15"/>
      <c r="Y78" s="1">
        <f t="shared" si="59"/>
        <v>-2.7692645058023657E-6</v>
      </c>
      <c r="AH78" s="35">
        <v>45714</v>
      </c>
      <c r="AI78" s="31" t="s">
        <v>1832</v>
      </c>
      <c r="AJ78" s="32">
        <v>7.4999999999999997E-3</v>
      </c>
      <c r="AK78" s="28">
        <f t="shared" si="45"/>
        <v>7.5030012004801919E-3</v>
      </c>
      <c r="AL78" s="28" t="s">
        <v>1865</v>
      </c>
      <c r="AM78" s="28" t="s">
        <v>1832</v>
      </c>
      <c r="AN78" s="28" t="s">
        <v>1866</v>
      </c>
      <c r="AO78" s="28" t="s">
        <v>1867</v>
      </c>
      <c r="AP78" s="28" t="s">
        <v>1868</v>
      </c>
      <c r="AQ78" s="28" t="s">
        <v>73</v>
      </c>
      <c r="AR78" s="28" t="s">
        <v>22</v>
      </c>
      <c r="AS78" s="73">
        <v>18400.2294179362</v>
      </c>
      <c r="AT78" s="8">
        <v>87.73</v>
      </c>
      <c r="AU78" s="73" t="s">
        <v>1832</v>
      </c>
      <c r="AV78" s="73" t="b">
        <f t="shared" si="60"/>
        <v>1</v>
      </c>
      <c r="AW78" s="79">
        <v>0</v>
      </c>
      <c r="AX78" s="45" t="str">
        <f t="shared" si="61"/>
        <v/>
      </c>
      <c r="AY78" s="29" t="str">
        <f t="shared" si="62"/>
        <v/>
      </c>
      <c r="AZ78" s="29" t="str">
        <f t="shared" si="63"/>
        <v/>
      </c>
      <c r="BA78" s="29" t="s">
        <v>699</v>
      </c>
      <c r="BB78" s="29">
        <f t="shared" si="64"/>
        <v>0</v>
      </c>
      <c r="BC78">
        <f t="shared" si="65"/>
        <v>1</v>
      </c>
      <c r="BD78" s="78" cm="1">
        <f t="array" ref="BD78">IF(BC78&lt;&gt;1, "", IF(AK78&gt;0, INT(AK78/SUMPRODUCT(($AK$3:$AK$1000&gt;0)*($AK$3:$AK$1000), ($BC$3:$BC$1000))*$AB$12/AT78), INT(AK78/SUMPRODUCT(($AK$3:$AK$1000&lt;0)*($AK$3:$AK$1000), ($BC$3:$BC$1000))*$AB$13/AT78)))</f>
        <v>1278</v>
      </c>
      <c r="BE78" t="str">
        <f t="shared" si="66"/>
        <v>Buy</v>
      </c>
      <c r="BF78" s="65">
        <f t="shared" si="67"/>
        <v>112118.94</v>
      </c>
      <c r="BN78" s="75">
        <v>0.75000000000000044</v>
      </c>
      <c r="BO78" s="57">
        <v>1.0198099085486505</v>
      </c>
      <c r="BP78" s="57">
        <v>4.1706781158593582</v>
      </c>
      <c r="BQ78" s="57"/>
      <c r="BR78" s="26">
        <f t="shared" si="46"/>
        <v>1.5952440122040044</v>
      </c>
      <c r="BT78" s="74">
        <v>0.71000000000000041</v>
      </c>
      <c r="BU78" s="74">
        <v>1.5952440122040044</v>
      </c>
    </row>
    <row r="79" spans="2:73" x14ac:dyDescent="0.3">
      <c r="B79" s="18" t="s">
        <v>578</v>
      </c>
      <c r="C79" s="18" t="s">
        <v>590</v>
      </c>
      <c r="D79" s="18" t="s">
        <v>619</v>
      </c>
      <c r="E79" s="44" t="s">
        <v>591</v>
      </c>
      <c r="F79" s="18" t="s">
        <v>26</v>
      </c>
      <c r="G79" s="18" t="s">
        <v>10</v>
      </c>
      <c r="H79" s="19">
        <v>3414.3905433600003</v>
      </c>
      <c r="I79" s="18">
        <v>4312</v>
      </c>
      <c r="J79" s="20">
        <v>27.36</v>
      </c>
      <c r="K79" s="19">
        <v>117976.31999999999</v>
      </c>
      <c r="L79" s="12">
        <f t="shared" si="47"/>
        <v>7.8650879999999992E-3</v>
      </c>
      <c r="M79" s="12">
        <f t="shared" si="48"/>
        <v>0</v>
      </c>
      <c r="N79" s="15" t="str">
        <f t="shared" si="49"/>
        <v/>
      </c>
      <c r="O79" s="15">
        <f t="shared" si="50"/>
        <v>1</v>
      </c>
      <c r="P79" s="15" t="str">
        <f t="shared" si="51"/>
        <v/>
      </c>
      <c r="Q79" s="15" t="str">
        <f t="shared" si="52"/>
        <v/>
      </c>
      <c r="R79" s="55" t="str">
        <f t="shared" si="53"/>
        <v/>
      </c>
      <c r="S79" s="33" t="str">
        <f t="shared" si="54"/>
        <v/>
      </c>
      <c r="T79" s="33" t="str">
        <f t="shared" si="55"/>
        <v>Sell</v>
      </c>
      <c r="U79" s="15">
        <f t="shared" si="56"/>
        <v>4312</v>
      </c>
      <c r="V79" s="15" t="str">
        <f t="shared" si="57"/>
        <v/>
      </c>
      <c r="W79" s="62" t="str">
        <f t="shared" si="58"/>
        <v/>
      </c>
      <c r="X79" s="15"/>
      <c r="Y79" s="1">
        <f t="shared" si="59"/>
        <v>7.8650879999999992E-3</v>
      </c>
      <c r="AH79" s="35">
        <v>45714</v>
      </c>
      <c r="AI79" s="31" t="s">
        <v>580</v>
      </c>
      <c r="AJ79" s="32">
        <v>7.4999999999999997E-3</v>
      </c>
      <c r="AK79" s="28">
        <f t="shared" si="45"/>
        <v>7.5030012004801919E-3</v>
      </c>
      <c r="AL79" s="28" t="s">
        <v>649</v>
      </c>
      <c r="AM79" s="28" t="s">
        <v>580</v>
      </c>
      <c r="AN79" s="28" t="s">
        <v>1671</v>
      </c>
      <c r="AO79" s="28" t="s">
        <v>593</v>
      </c>
      <c r="AP79" s="28" t="s">
        <v>594</v>
      </c>
      <c r="AQ79" s="28" t="s">
        <v>73</v>
      </c>
      <c r="AR79" s="28" t="s">
        <v>24</v>
      </c>
      <c r="AS79" s="73">
        <v>48320.687274639997</v>
      </c>
      <c r="AT79" s="8">
        <v>216.04</v>
      </c>
      <c r="AU79" s="73" t="s">
        <v>580</v>
      </c>
      <c r="AV79" s="73" t="b">
        <f t="shared" si="60"/>
        <v>1</v>
      </c>
      <c r="AW79" s="79">
        <v>0</v>
      </c>
      <c r="AX79" s="45" t="str">
        <f t="shared" si="61"/>
        <v/>
      </c>
      <c r="AY79" s="29" t="str">
        <f t="shared" si="62"/>
        <v/>
      </c>
      <c r="AZ79" s="29" t="str">
        <f t="shared" si="63"/>
        <v/>
      </c>
      <c r="BA79" s="29" t="s">
        <v>699</v>
      </c>
      <c r="BB79" s="29">
        <f t="shared" si="64"/>
        <v>0</v>
      </c>
      <c r="BC79">
        <f t="shared" si="65"/>
        <v>0</v>
      </c>
      <c r="BD79" s="78" t="str" cm="1">
        <f t="array" ref="BD79">IF(BC79&lt;&gt;1, "", IF(AK79&gt;0, INT(AK79/SUMPRODUCT(($AK$3:$AK$1000&gt;0)*($AK$3:$AK$1000), ($BC$3:$BC$1000))*$AB$12/AT79), INT(AK79/SUMPRODUCT(($AK$3:$AK$1000&lt;0)*($AK$3:$AK$1000), ($BC$3:$BC$1000))*$AB$13/AT79)))</f>
        <v/>
      </c>
      <c r="BE79" t="str">
        <f t="shared" si="66"/>
        <v/>
      </c>
      <c r="BF79" s="65" t="str">
        <f t="shared" si="67"/>
        <v/>
      </c>
      <c r="BN79" s="75">
        <v>0.76000000000000045</v>
      </c>
      <c r="BO79" s="57">
        <v>1.0198099085486505</v>
      </c>
      <c r="BP79" s="57">
        <v>4.1706781158593582</v>
      </c>
      <c r="BQ79" s="57"/>
      <c r="BR79" s="26">
        <f t="shared" si="46"/>
        <v>1.5952440122040044</v>
      </c>
      <c r="BT79" s="74">
        <v>0.72000000000000042</v>
      </c>
      <c r="BU79" s="74">
        <v>1.5952440122040044</v>
      </c>
    </row>
    <row r="80" spans="2:73" x14ac:dyDescent="0.3">
      <c r="B80" s="18" t="s">
        <v>1004</v>
      </c>
      <c r="C80" s="18" t="s">
        <v>1021</v>
      </c>
      <c r="D80" s="18" t="s">
        <v>1052</v>
      </c>
      <c r="E80" s="44" t="s">
        <v>1023</v>
      </c>
      <c r="F80" s="18" t="s">
        <v>13</v>
      </c>
      <c r="G80" s="18" t="s">
        <v>10</v>
      </c>
      <c r="H80" s="19">
        <v>4919.4357702399993</v>
      </c>
      <c r="I80" s="18">
        <v>1133</v>
      </c>
      <c r="J80" s="20">
        <v>100.64</v>
      </c>
      <c r="K80" s="19">
        <v>114025.12</v>
      </c>
      <c r="L80" s="12">
        <f t="shared" si="47"/>
        <v>7.6016746666666664E-3</v>
      </c>
      <c r="M80" s="12">
        <f t="shared" si="48"/>
        <v>7.40296118447379E-3</v>
      </c>
      <c r="N80" s="15" t="str">
        <f t="shared" si="49"/>
        <v/>
      </c>
      <c r="O80" s="15" t="str">
        <f t="shared" si="50"/>
        <v/>
      </c>
      <c r="P80" s="15">
        <f t="shared" si="51"/>
        <v>1</v>
      </c>
      <c r="Q80" s="15" t="str">
        <f t="shared" si="52"/>
        <v>Sell</v>
      </c>
      <c r="R80" s="55">
        <f t="shared" si="53"/>
        <v>29</v>
      </c>
      <c r="S80" s="33">
        <f t="shared" si="54"/>
        <v>2918.56</v>
      </c>
      <c r="T80" s="33" t="str">
        <f t="shared" si="55"/>
        <v/>
      </c>
      <c r="U80" s="15" t="str">
        <f t="shared" si="56"/>
        <v/>
      </c>
      <c r="V80" s="15">
        <f t="shared" si="57"/>
        <v>0.28999999999999998</v>
      </c>
      <c r="W80" s="62">
        <f t="shared" si="58"/>
        <v>9.9364069952305239E-5</v>
      </c>
      <c r="X80" s="15"/>
      <c r="Y80" s="1">
        <f t="shared" si="59"/>
        <v>1.9871348219287644E-4</v>
      </c>
      <c r="AH80" s="35">
        <v>45714</v>
      </c>
      <c r="AI80" s="31" t="s">
        <v>1004</v>
      </c>
      <c r="AJ80" s="32">
        <v>7.4000000000000003E-3</v>
      </c>
      <c r="AK80" s="28">
        <f t="shared" si="45"/>
        <v>7.40296118447379E-3</v>
      </c>
      <c r="AL80" s="28" t="s">
        <v>1021</v>
      </c>
      <c r="AM80" s="28" t="s">
        <v>1004</v>
      </c>
      <c r="AN80" s="28" t="s">
        <v>1675</v>
      </c>
      <c r="AO80" s="28" t="s">
        <v>1022</v>
      </c>
      <c r="AP80" s="28" t="s">
        <v>1023</v>
      </c>
      <c r="AQ80" s="28" t="s">
        <v>73</v>
      </c>
      <c r="AR80" s="28" t="s">
        <v>13</v>
      </c>
      <c r="AS80" s="73">
        <v>4919.4357702400002</v>
      </c>
      <c r="AT80" s="8">
        <v>100.64</v>
      </c>
      <c r="AU80" s="73" t="s">
        <v>1004</v>
      </c>
      <c r="AV80" s="73" t="b">
        <f t="shared" si="60"/>
        <v>1</v>
      </c>
      <c r="AW80" s="79">
        <v>0</v>
      </c>
      <c r="AX80" s="45" t="str">
        <f t="shared" si="61"/>
        <v/>
      </c>
      <c r="AY80" s="29" t="str">
        <f t="shared" si="62"/>
        <v/>
      </c>
      <c r="AZ80" s="29" t="str">
        <f t="shared" si="63"/>
        <v/>
      </c>
      <c r="BA80" s="29" t="s">
        <v>699</v>
      </c>
      <c r="BB80" s="29">
        <f t="shared" si="64"/>
        <v>0</v>
      </c>
      <c r="BC80">
        <f t="shared" si="65"/>
        <v>0</v>
      </c>
      <c r="BD80" s="78" t="str" cm="1">
        <f t="array" ref="BD80">IF(BC80&lt;&gt;1, "", IF(AK80&gt;0, INT(AK80/SUMPRODUCT(($AK$3:$AK$1000&gt;0)*($AK$3:$AK$1000), ($BC$3:$BC$1000))*$AB$12/AT80), INT(AK80/SUMPRODUCT(($AK$3:$AK$1000&lt;0)*($AK$3:$AK$1000), ($BC$3:$BC$1000))*$AB$13/AT80)))</f>
        <v/>
      </c>
      <c r="BE80" t="str">
        <f t="shared" si="66"/>
        <v/>
      </c>
      <c r="BF80" s="65" t="str">
        <f t="shared" si="67"/>
        <v/>
      </c>
      <c r="BN80" s="75">
        <v>0.77000000000000046</v>
      </c>
      <c r="BO80" s="57">
        <v>1.0198099085486505</v>
      </c>
      <c r="BP80" s="57">
        <v>4.1706781158593582</v>
      </c>
      <c r="BQ80" s="57"/>
      <c r="BR80" s="26">
        <f t="shared" si="46"/>
        <v>1.5952440122040044</v>
      </c>
      <c r="BT80" s="74">
        <v>0.73000000000000043</v>
      </c>
      <c r="BU80" s="74">
        <v>1.5952440122040044</v>
      </c>
    </row>
    <row r="81" spans="2:73" x14ac:dyDescent="0.3">
      <c r="B81" s="18" t="s">
        <v>1069</v>
      </c>
      <c r="C81" s="18" t="s">
        <v>1141</v>
      </c>
      <c r="D81" s="18" t="s">
        <v>1282</v>
      </c>
      <c r="E81" s="44" t="s">
        <v>1143</v>
      </c>
      <c r="F81" s="18" t="s">
        <v>20</v>
      </c>
      <c r="G81" s="18" t="s">
        <v>10</v>
      </c>
      <c r="H81" s="19">
        <v>1811.7443471300001</v>
      </c>
      <c r="I81" s="18">
        <v>3383</v>
      </c>
      <c r="J81" s="20">
        <v>32.81</v>
      </c>
      <c r="K81" s="19">
        <v>110996.23000000001</v>
      </c>
      <c r="L81" s="12">
        <f t="shared" si="47"/>
        <v>7.3997486666666674E-3</v>
      </c>
      <c r="M81" s="12">
        <f t="shared" si="48"/>
        <v>7.3029211684673872E-3</v>
      </c>
      <c r="N81" s="15" t="str">
        <f t="shared" si="49"/>
        <v/>
      </c>
      <c r="O81" s="15" t="str">
        <f t="shared" si="50"/>
        <v/>
      </c>
      <c r="P81" s="15" t="str">
        <f t="shared" si="51"/>
        <v/>
      </c>
      <c r="Q81" s="15" t="str">
        <f t="shared" si="52"/>
        <v/>
      </c>
      <c r="R81" s="55" t="str">
        <f t="shared" si="53"/>
        <v/>
      </c>
      <c r="S81" s="33" t="str">
        <f t="shared" si="54"/>
        <v/>
      </c>
      <c r="T81" s="33" t="str">
        <f t="shared" si="55"/>
        <v/>
      </c>
      <c r="U81" s="15" t="str">
        <f t="shared" si="56"/>
        <v/>
      </c>
      <c r="V81" s="15" t="str">
        <f t="shared" si="57"/>
        <v/>
      </c>
      <c r="W81" s="62" t="str">
        <f t="shared" si="58"/>
        <v/>
      </c>
      <c r="X81" s="15"/>
      <c r="Y81" s="1">
        <f t="shared" si="59"/>
        <v>9.6827498199280292E-5</v>
      </c>
      <c r="AH81" s="35">
        <v>45714</v>
      </c>
      <c r="AI81" s="31" t="s">
        <v>1069</v>
      </c>
      <c r="AJ81" s="32">
        <v>7.3000000000000001E-3</v>
      </c>
      <c r="AK81" s="28">
        <f t="shared" si="45"/>
        <v>7.3029211684673872E-3</v>
      </c>
      <c r="AL81" s="28" t="s">
        <v>1141</v>
      </c>
      <c r="AM81" s="28" t="s">
        <v>1069</v>
      </c>
      <c r="AN81" s="28" t="s">
        <v>1676</v>
      </c>
      <c r="AO81" s="28" t="s">
        <v>1142</v>
      </c>
      <c r="AP81" s="28" t="s">
        <v>1143</v>
      </c>
      <c r="AQ81" s="28" t="s">
        <v>73</v>
      </c>
      <c r="AR81" s="28" t="s">
        <v>20</v>
      </c>
      <c r="AS81" s="73">
        <v>1811.7443471300001</v>
      </c>
      <c r="AT81" s="8">
        <v>32.81</v>
      </c>
      <c r="AU81" s="73" t="s">
        <v>1069</v>
      </c>
      <c r="AV81" s="73" t="b">
        <f t="shared" si="60"/>
        <v>1</v>
      </c>
      <c r="AW81" s="79">
        <v>0</v>
      </c>
      <c r="AX81" s="45" t="str">
        <f t="shared" si="61"/>
        <v/>
      </c>
      <c r="AY81" s="29" t="str">
        <f t="shared" si="62"/>
        <v/>
      </c>
      <c r="AZ81" s="29" t="str">
        <f t="shared" si="63"/>
        <v/>
      </c>
      <c r="BA81" s="29" t="s">
        <v>699</v>
      </c>
      <c r="BB81" s="29">
        <f t="shared" si="64"/>
        <v>0</v>
      </c>
      <c r="BC81">
        <f t="shared" si="65"/>
        <v>0</v>
      </c>
      <c r="BD81" s="78" t="str" cm="1">
        <f t="array" ref="BD81">IF(BC81&lt;&gt;1, "", IF(AK81&gt;0, INT(AK81/SUMPRODUCT(($AK$3:$AK$1000&gt;0)*($AK$3:$AK$1000), ($BC$3:$BC$1000))*$AB$12/AT81), INT(AK81/SUMPRODUCT(($AK$3:$AK$1000&lt;0)*($AK$3:$AK$1000), ($BC$3:$BC$1000))*$AB$13/AT81)))</f>
        <v/>
      </c>
      <c r="BE81" t="str">
        <f t="shared" si="66"/>
        <v/>
      </c>
      <c r="BF81" s="65" t="str">
        <f t="shared" si="67"/>
        <v/>
      </c>
      <c r="BN81" s="75">
        <v>0.78000000000000047</v>
      </c>
      <c r="BO81" s="57">
        <v>1.0198099085486505</v>
      </c>
      <c r="BP81" s="57">
        <v>4.1706781158593582</v>
      </c>
      <c r="BQ81" s="57"/>
      <c r="BR81" s="26">
        <f t="shared" si="46"/>
        <v>1.5952440122040044</v>
      </c>
      <c r="BT81" s="74">
        <v>0.74000000000000044</v>
      </c>
      <c r="BU81" s="74">
        <v>1.5952440122040044</v>
      </c>
    </row>
    <row r="82" spans="2:73" x14ac:dyDescent="0.3">
      <c r="B82" s="18" t="s">
        <v>1409</v>
      </c>
      <c r="C82" s="18" t="s">
        <v>1439</v>
      </c>
      <c r="D82" s="18" t="s">
        <v>1489</v>
      </c>
      <c r="E82" s="44" t="s">
        <v>1442</v>
      </c>
      <c r="F82" s="18" t="s">
        <v>11</v>
      </c>
      <c r="G82" s="18" t="s">
        <v>10</v>
      </c>
      <c r="H82" s="19">
        <v>1564.125802</v>
      </c>
      <c r="I82" s="18">
        <v>4013</v>
      </c>
      <c r="J82" s="20">
        <v>27.25</v>
      </c>
      <c r="K82" s="19">
        <v>109354.25</v>
      </c>
      <c r="L82" s="12">
        <f t="shared" si="47"/>
        <v>7.290283333333333E-3</v>
      </c>
      <c r="M82" s="12">
        <f t="shared" si="48"/>
        <v>7.2028811524609843E-3</v>
      </c>
      <c r="N82" s="15" t="str">
        <f t="shared" si="49"/>
        <v/>
      </c>
      <c r="O82" s="15" t="str">
        <f t="shared" si="50"/>
        <v/>
      </c>
      <c r="P82" s="15" t="str">
        <f t="shared" si="51"/>
        <v/>
      </c>
      <c r="Q82" s="15" t="str">
        <f t="shared" si="52"/>
        <v/>
      </c>
      <c r="R82" s="55" t="str">
        <f t="shared" si="53"/>
        <v/>
      </c>
      <c r="S82" s="33" t="str">
        <f t="shared" si="54"/>
        <v/>
      </c>
      <c r="T82" s="33" t="str">
        <f t="shared" si="55"/>
        <v/>
      </c>
      <c r="U82" s="15" t="str">
        <f t="shared" si="56"/>
        <v/>
      </c>
      <c r="V82" s="15" t="str">
        <f t="shared" si="57"/>
        <v/>
      </c>
      <c r="W82" s="62" t="str">
        <f t="shared" si="58"/>
        <v/>
      </c>
      <c r="X82" s="15"/>
      <c r="Y82" s="1">
        <f t="shared" si="59"/>
        <v>8.7402180872348662E-5</v>
      </c>
      <c r="AH82" s="35">
        <v>45714</v>
      </c>
      <c r="AI82" s="31" t="s">
        <v>846</v>
      </c>
      <c r="AJ82" s="32">
        <v>7.1999999999999998E-3</v>
      </c>
      <c r="AK82" s="28">
        <f t="shared" si="45"/>
        <v>7.2028811524609843E-3</v>
      </c>
      <c r="AL82" s="28" t="s">
        <v>877</v>
      </c>
      <c r="AM82" s="28" t="s">
        <v>846</v>
      </c>
      <c r="AN82" s="28" t="s">
        <v>878</v>
      </c>
      <c r="AO82" s="28" t="s">
        <v>879</v>
      </c>
      <c r="AP82" s="28" t="s">
        <v>880</v>
      </c>
      <c r="AQ82" s="28" t="s">
        <v>73</v>
      </c>
      <c r="AR82" s="28" t="s">
        <v>25</v>
      </c>
      <c r="AS82" s="73">
        <v>1097.3626564434001</v>
      </c>
      <c r="AT82" s="8">
        <v>13.46</v>
      </c>
      <c r="AU82" s="73" t="s">
        <v>846</v>
      </c>
      <c r="AV82" s="73" t="b">
        <f t="shared" si="60"/>
        <v>1</v>
      </c>
      <c r="AW82" s="79">
        <v>0</v>
      </c>
      <c r="AX82" s="45" t="str">
        <f t="shared" si="61"/>
        <v/>
      </c>
      <c r="AY82" s="29" t="str">
        <f t="shared" si="62"/>
        <v/>
      </c>
      <c r="AZ82" s="29" t="str">
        <f t="shared" si="63"/>
        <v/>
      </c>
      <c r="BA82" s="29" t="s">
        <v>699</v>
      </c>
      <c r="BB82" s="29">
        <f t="shared" si="64"/>
        <v>0</v>
      </c>
      <c r="BC82">
        <f t="shared" si="65"/>
        <v>0</v>
      </c>
      <c r="BD82" s="78" t="str" cm="1">
        <f t="array" ref="BD82">IF(BC82&lt;&gt;1, "", IF(AK82&gt;0, INT(AK82/SUMPRODUCT(($AK$3:$AK$1000&gt;0)*($AK$3:$AK$1000), ($BC$3:$BC$1000))*$AB$12/AT82), INT(AK82/SUMPRODUCT(($AK$3:$AK$1000&lt;0)*($AK$3:$AK$1000), ($BC$3:$BC$1000))*$AB$13/AT82)))</f>
        <v/>
      </c>
      <c r="BE82" t="str">
        <f t="shared" si="66"/>
        <v/>
      </c>
      <c r="BF82" s="65" t="str">
        <f t="shared" si="67"/>
        <v/>
      </c>
      <c r="BN82" s="75">
        <v>0.79000000000000048</v>
      </c>
      <c r="BO82" s="57">
        <v>1.0198099085486505</v>
      </c>
      <c r="BP82" s="57">
        <v>4.1706781158593582</v>
      </c>
      <c r="BQ82" s="57"/>
      <c r="BR82" s="26">
        <f t="shared" si="46"/>
        <v>1.5952440122040044</v>
      </c>
      <c r="BT82" s="74">
        <v>0.75000000000000044</v>
      </c>
      <c r="BU82" s="74">
        <v>1.5952440122040044</v>
      </c>
    </row>
    <row r="83" spans="2:73" x14ac:dyDescent="0.3">
      <c r="B83" s="18" t="s">
        <v>1072</v>
      </c>
      <c r="C83" s="18" t="s">
        <v>1151</v>
      </c>
      <c r="D83" s="18" t="s">
        <v>1285</v>
      </c>
      <c r="E83" s="44" t="s">
        <v>1153</v>
      </c>
      <c r="F83" s="18" t="s">
        <v>13</v>
      </c>
      <c r="G83" s="18" t="s">
        <v>10</v>
      </c>
      <c r="H83" s="19">
        <v>5016.4982281000002</v>
      </c>
      <c r="I83" s="18">
        <v>619</v>
      </c>
      <c r="J83" s="20">
        <v>171.94</v>
      </c>
      <c r="K83" s="19">
        <v>106430.86</v>
      </c>
      <c r="L83" s="12">
        <f t="shared" si="47"/>
        <v>7.0953906666666663E-3</v>
      </c>
      <c r="M83" s="12">
        <f t="shared" si="48"/>
        <v>6.9027611044417767E-3</v>
      </c>
      <c r="N83" s="15" t="str">
        <f t="shared" si="49"/>
        <v/>
      </c>
      <c r="O83" s="15" t="str">
        <f t="shared" si="50"/>
        <v/>
      </c>
      <c r="P83" s="15">
        <f t="shared" si="51"/>
        <v>1</v>
      </c>
      <c r="Q83" s="15" t="str">
        <f t="shared" si="52"/>
        <v>Sell</v>
      </c>
      <c r="R83" s="55">
        <f t="shared" si="53"/>
        <v>16</v>
      </c>
      <c r="S83" s="33">
        <f t="shared" si="54"/>
        <v>2751.04</v>
      </c>
      <c r="T83" s="33" t="str">
        <f t="shared" si="55"/>
        <v/>
      </c>
      <c r="U83" s="15" t="str">
        <f t="shared" si="56"/>
        <v/>
      </c>
      <c r="V83" s="15">
        <f t="shared" si="57"/>
        <v>0.16</v>
      </c>
      <c r="W83" s="62">
        <f t="shared" si="58"/>
        <v>5.8159823194137493E-5</v>
      </c>
      <c r="X83" s="15"/>
      <c r="Y83" s="1">
        <f t="shared" si="59"/>
        <v>1.9262956222488962E-4</v>
      </c>
      <c r="AH83" s="35">
        <v>45714</v>
      </c>
      <c r="AI83" s="31" t="s">
        <v>770</v>
      </c>
      <c r="AJ83" s="32">
        <v>7.1999999999999998E-3</v>
      </c>
      <c r="AK83" s="28">
        <f t="shared" si="45"/>
        <v>7.2028811524609843E-3</v>
      </c>
      <c r="AL83" s="28" t="s">
        <v>799</v>
      </c>
      <c r="AM83" s="28" t="s">
        <v>770</v>
      </c>
      <c r="AN83" s="28" t="s">
        <v>800</v>
      </c>
      <c r="AO83" s="28" t="s">
        <v>801</v>
      </c>
      <c r="AP83" s="28" t="s">
        <v>802</v>
      </c>
      <c r="AQ83" s="28" t="s">
        <v>73</v>
      </c>
      <c r="AR83" s="28" t="s">
        <v>13</v>
      </c>
      <c r="AS83" s="73">
        <v>1536.43071844</v>
      </c>
      <c r="AT83" s="8">
        <v>48.67</v>
      </c>
      <c r="AU83" s="73" t="s">
        <v>770</v>
      </c>
      <c r="AV83" s="73" t="b">
        <f t="shared" si="60"/>
        <v>1</v>
      </c>
      <c r="AW83" s="79">
        <v>0</v>
      </c>
      <c r="AX83" s="45" t="str">
        <f t="shared" si="61"/>
        <v/>
      </c>
      <c r="AY83" s="29" t="str">
        <f t="shared" si="62"/>
        <v/>
      </c>
      <c r="AZ83" s="29" t="str">
        <f t="shared" si="63"/>
        <v/>
      </c>
      <c r="BA83" s="29" t="s">
        <v>699</v>
      </c>
      <c r="BB83" s="29">
        <f t="shared" si="64"/>
        <v>0</v>
      </c>
      <c r="BC83">
        <f t="shared" si="65"/>
        <v>0</v>
      </c>
      <c r="BD83" s="78" t="str" cm="1">
        <f t="array" ref="BD83">IF(BC83&lt;&gt;1, "", IF(AK83&gt;0, INT(AK83/SUMPRODUCT(($AK$3:$AK$1000&gt;0)*($AK$3:$AK$1000), ($BC$3:$BC$1000))*$AB$12/AT83), INT(AK83/SUMPRODUCT(($AK$3:$AK$1000&lt;0)*($AK$3:$AK$1000), ($BC$3:$BC$1000))*$AB$13/AT83)))</f>
        <v/>
      </c>
      <c r="BE83" t="str">
        <f t="shared" si="66"/>
        <v/>
      </c>
      <c r="BF83" s="65" t="str">
        <f t="shared" si="67"/>
        <v/>
      </c>
      <c r="BN83" s="75">
        <v>0.80000000000000049</v>
      </c>
      <c r="BO83" s="57">
        <v>1.0198099085486505</v>
      </c>
      <c r="BP83" s="57">
        <v>4.1706781158593582</v>
      </c>
      <c r="BQ83" s="57"/>
      <c r="BR83" s="26">
        <f t="shared" si="46"/>
        <v>1.5952440122040044</v>
      </c>
      <c r="BT83" s="74">
        <v>0.76000000000000045</v>
      </c>
      <c r="BU83" s="74">
        <v>1.5952440122040044</v>
      </c>
    </row>
    <row r="84" spans="2:73" x14ac:dyDescent="0.3">
      <c r="B84" s="18" t="s">
        <v>772</v>
      </c>
      <c r="C84" s="18" t="s">
        <v>807</v>
      </c>
      <c r="D84" s="18" t="s">
        <v>836</v>
      </c>
      <c r="E84" s="44" t="s">
        <v>808</v>
      </c>
      <c r="F84" s="18" t="s">
        <v>14</v>
      </c>
      <c r="G84" s="18" t="s">
        <v>10</v>
      </c>
      <c r="H84" s="19">
        <v>555.92208921999998</v>
      </c>
      <c r="I84" s="18">
        <v>5961</v>
      </c>
      <c r="J84" s="20">
        <v>17.66</v>
      </c>
      <c r="K84" s="19">
        <v>105271.26</v>
      </c>
      <c r="L84" s="12">
        <f t="shared" si="47"/>
        <v>7.018084E-3</v>
      </c>
      <c r="M84" s="12">
        <f t="shared" si="48"/>
        <v>0</v>
      </c>
      <c r="N84" s="15" t="str">
        <f t="shared" si="49"/>
        <v/>
      </c>
      <c r="O84" s="15">
        <f t="shared" si="50"/>
        <v>1</v>
      </c>
      <c r="P84" s="15" t="str">
        <f t="shared" si="51"/>
        <v/>
      </c>
      <c r="Q84" s="15" t="str">
        <f t="shared" si="52"/>
        <v/>
      </c>
      <c r="R84" s="55" t="str">
        <f t="shared" si="53"/>
        <v/>
      </c>
      <c r="S84" s="33" t="str">
        <f t="shared" si="54"/>
        <v/>
      </c>
      <c r="T84" s="33" t="str">
        <f t="shared" si="55"/>
        <v>Sell</v>
      </c>
      <c r="U84" s="15">
        <f t="shared" si="56"/>
        <v>5961</v>
      </c>
      <c r="V84" s="15" t="str">
        <f t="shared" si="57"/>
        <v/>
      </c>
      <c r="W84" s="62" t="str">
        <f t="shared" si="58"/>
        <v/>
      </c>
      <c r="X84" s="15"/>
      <c r="Y84" s="1">
        <f t="shared" si="59"/>
        <v>7.018084E-3</v>
      </c>
      <c r="AH84" s="35">
        <v>45714</v>
      </c>
      <c r="AI84" s="31" t="s">
        <v>1409</v>
      </c>
      <c r="AJ84" s="32">
        <v>7.1999999999999998E-3</v>
      </c>
      <c r="AK84" s="28">
        <f t="shared" si="45"/>
        <v>7.2028811524609843E-3</v>
      </c>
      <c r="AL84" s="28" t="s">
        <v>1439</v>
      </c>
      <c r="AM84" s="28" t="s">
        <v>1409</v>
      </c>
      <c r="AN84" s="28" t="s">
        <v>1440</v>
      </c>
      <c r="AO84" s="28" t="s">
        <v>1441</v>
      </c>
      <c r="AP84" s="28" t="s">
        <v>1442</v>
      </c>
      <c r="AQ84" s="28" t="s">
        <v>73</v>
      </c>
      <c r="AR84" s="28" t="s">
        <v>11</v>
      </c>
      <c r="AS84" s="73">
        <v>1564.125802</v>
      </c>
      <c r="AT84" s="8">
        <v>27.25</v>
      </c>
      <c r="AU84" s="73" t="s">
        <v>1409</v>
      </c>
      <c r="AV84" s="73" t="b">
        <f t="shared" si="60"/>
        <v>1</v>
      </c>
      <c r="AW84" s="79">
        <v>0</v>
      </c>
      <c r="AX84" s="45" t="str">
        <f t="shared" si="61"/>
        <v/>
      </c>
      <c r="AY84" s="29" t="str">
        <f t="shared" si="62"/>
        <v/>
      </c>
      <c r="AZ84" s="29" t="str">
        <f t="shared" si="63"/>
        <v/>
      </c>
      <c r="BA84" s="29" t="s">
        <v>699</v>
      </c>
      <c r="BB84" s="29">
        <f t="shared" si="64"/>
        <v>0</v>
      </c>
      <c r="BC84">
        <f t="shared" si="65"/>
        <v>0</v>
      </c>
      <c r="BD84" s="78" t="str" cm="1">
        <f t="array" ref="BD84">IF(BC84&lt;&gt;1, "", IF(AK84&gt;0, INT(AK84/SUMPRODUCT(($AK$3:$AK$1000&gt;0)*($AK$3:$AK$1000), ($BC$3:$BC$1000))*$AB$12/AT84), INT(AK84/SUMPRODUCT(($AK$3:$AK$1000&lt;0)*($AK$3:$AK$1000), ($BC$3:$BC$1000))*$AB$13/AT84)))</f>
        <v/>
      </c>
      <c r="BE84" t="str">
        <f t="shared" si="66"/>
        <v/>
      </c>
      <c r="BF84" s="65" t="str">
        <f t="shared" si="67"/>
        <v/>
      </c>
      <c r="BN84" s="75">
        <v>0.8100000000000005</v>
      </c>
      <c r="BO84" s="57">
        <v>1.0198099085486505</v>
      </c>
      <c r="BP84" s="57">
        <v>4.1706781158593582</v>
      </c>
      <c r="BQ84" s="57"/>
      <c r="BR84" s="26">
        <f t="shared" si="46"/>
        <v>1.5952440122040044</v>
      </c>
      <c r="BT84" s="74">
        <v>0.77000000000000046</v>
      </c>
      <c r="BU84" s="74">
        <v>1.5952440122040044</v>
      </c>
    </row>
    <row r="85" spans="2:73" x14ac:dyDescent="0.3">
      <c r="B85" s="18" t="s">
        <v>182</v>
      </c>
      <c r="C85" s="18" t="s">
        <v>189</v>
      </c>
      <c r="D85" s="18" t="s">
        <v>192</v>
      </c>
      <c r="E85" s="44" t="s">
        <v>191</v>
      </c>
      <c r="F85" s="18" t="s">
        <v>20</v>
      </c>
      <c r="G85" s="18" t="s">
        <v>10</v>
      </c>
      <c r="H85" s="19">
        <v>702.70318209000004</v>
      </c>
      <c r="I85" s="18">
        <v>4180</v>
      </c>
      <c r="J85" s="20">
        <v>25.09</v>
      </c>
      <c r="K85" s="19">
        <v>104876.2</v>
      </c>
      <c r="L85" s="12">
        <f t="shared" si="47"/>
        <v>6.9917466666666664E-3</v>
      </c>
      <c r="M85" s="12">
        <f t="shared" si="48"/>
        <v>7.0028011204481795E-3</v>
      </c>
      <c r="N85" s="15" t="str">
        <f t="shared" si="49"/>
        <v/>
      </c>
      <c r="O85" s="15" t="str">
        <f t="shared" si="50"/>
        <v/>
      </c>
      <c r="P85" s="15" t="str">
        <f t="shared" si="51"/>
        <v/>
      </c>
      <c r="Q85" s="15" t="str">
        <f t="shared" si="52"/>
        <v/>
      </c>
      <c r="R85" s="55" t="str">
        <f t="shared" si="53"/>
        <v/>
      </c>
      <c r="S85" s="33" t="str">
        <f t="shared" si="54"/>
        <v/>
      </c>
      <c r="T85" s="33" t="str">
        <f t="shared" si="55"/>
        <v/>
      </c>
      <c r="U85" s="15" t="str">
        <f t="shared" si="56"/>
        <v/>
      </c>
      <c r="V85" s="15" t="str">
        <f t="shared" si="57"/>
        <v/>
      </c>
      <c r="W85" s="62" t="str">
        <f t="shared" si="58"/>
        <v/>
      </c>
      <c r="X85" s="15"/>
      <c r="Y85" s="1">
        <f t="shared" si="59"/>
        <v>-1.1054453781513159E-5</v>
      </c>
      <c r="AH85" s="35">
        <v>45714</v>
      </c>
      <c r="AI85" s="31" t="s">
        <v>1071</v>
      </c>
      <c r="AJ85" s="32">
        <v>7.1000000000000004E-3</v>
      </c>
      <c r="AK85" s="28">
        <f t="shared" si="45"/>
        <v>7.1028411364545824E-3</v>
      </c>
      <c r="AL85" s="28" t="s">
        <v>1148</v>
      </c>
      <c r="AM85" s="28" t="s">
        <v>1071</v>
      </c>
      <c r="AN85" s="28" t="s">
        <v>1679</v>
      </c>
      <c r="AO85" s="28" t="s">
        <v>1149</v>
      </c>
      <c r="AP85" s="28" t="s">
        <v>1150</v>
      </c>
      <c r="AQ85" s="28" t="s">
        <v>73</v>
      </c>
      <c r="AR85" s="28" t="s">
        <v>23</v>
      </c>
      <c r="AS85" s="73">
        <v>2102.1420819999998</v>
      </c>
      <c r="AT85" s="8">
        <v>29</v>
      </c>
      <c r="AU85" s="73" t="s">
        <v>1071</v>
      </c>
      <c r="AV85" s="73" t="b">
        <f t="shared" si="60"/>
        <v>1</v>
      </c>
      <c r="AW85" s="79">
        <v>0</v>
      </c>
      <c r="AX85" s="45" t="str">
        <f t="shared" si="61"/>
        <v/>
      </c>
      <c r="AY85" s="29" t="str">
        <f t="shared" si="62"/>
        <v/>
      </c>
      <c r="AZ85" s="29" t="str">
        <f t="shared" si="63"/>
        <v/>
      </c>
      <c r="BA85" s="29" t="s">
        <v>699</v>
      </c>
      <c r="BB85" s="29">
        <f t="shared" si="64"/>
        <v>0</v>
      </c>
      <c r="BC85">
        <f t="shared" si="65"/>
        <v>0</v>
      </c>
      <c r="BD85" s="78" t="str" cm="1">
        <f t="array" ref="BD85">IF(BC85&lt;&gt;1, "", IF(AK85&gt;0, INT(AK85/SUMPRODUCT(($AK$3:$AK$1000&gt;0)*($AK$3:$AK$1000), ($BC$3:$BC$1000))*$AB$12/AT85), INT(AK85/SUMPRODUCT(($AK$3:$AK$1000&lt;0)*($AK$3:$AK$1000), ($BC$3:$BC$1000))*$AB$13/AT85)))</f>
        <v/>
      </c>
      <c r="BE85" t="str">
        <f t="shared" si="66"/>
        <v/>
      </c>
      <c r="BF85" s="65" t="str">
        <f t="shared" si="67"/>
        <v/>
      </c>
      <c r="BN85" s="75">
        <v>0.82000000000000051</v>
      </c>
      <c r="BO85" s="57">
        <v>1.0198099085486505</v>
      </c>
      <c r="BP85" s="57">
        <v>4.1706781158593582</v>
      </c>
      <c r="BQ85" s="57"/>
      <c r="BR85" s="26">
        <f t="shared" si="46"/>
        <v>1.5952440122040044</v>
      </c>
      <c r="BT85" s="74">
        <v>0.78000000000000047</v>
      </c>
      <c r="BU85" s="74">
        <v>1.5952440122040044</v>
      </c>
    </row>
    <row r="86" spans="2:73" x14ac:dyDescent="0.3">
      <c r="B86" s="18" t="s">
        <v>770</v>
      </c>
      <c r="C86" s="18" t="s">
        <v>799</v>
      </c>
      <c r="D86" s="18" t="s">
        <v>834</v>
      </c>
      <c r="E86" s="44" t="s">
        <v>802</v>
      </c>
      <c r="F86" s="18" t="s">
        <v>13</v>
      </c>
      <c r="G86" s="18" t="s">
        <v>10</v>
      </c>
      <c r="H86" s="19">
        <v>1536.43071844</v>
      </c>
      <c r="I86" s="18">
        <v>2089</v>
      </c>
      <c r="J86" s="20">
        <v>48.67</v>
      </c>
      <c r="K86" s="19">
        <v>101671.63</v>
      </c>
      <c r="L86" s="12">
        <f t="shared" si="47"/>
        <v>6.7781086666666669E-3</v>
      </c>
      <c r="M86" s="12">
        <f t="shared" si="48"/>
        <v>7.2028811524609843E-3</v>
      </c>
      <c r="N86" s="15" t="str">
        <f t="shared" si="49"/>
        <v/>
      </c>
      <c r="O86" s="15" t="str">
        <f t="shared" si="50"/>
        <v/>
      </c>
      <c r="P86" s="15">
        <f t="shared" si="51"/>
        <v>1</v>
      </c>
      <c r="Q86" s="15" t="str">
        <f t="shared" si="52"/>
        <v>Buy</v>
      </c>
      <c r="R86" s="55">
        <f t="shared" si="53"/>
        <v>130</v>
      </c>
      <c r="S86" s="33">
        <f t="shared" si="54"/>
        <v>6327.1</v>
      </c>
      <c r="T86" s="33" t="str">
        <f t="shared" si="55"/>
        <v/>
      </c>
      <c r="U86" s="15" t="str">
        <f t="shared" si="56"/>
        <v/>
      </c>
      <c r="V86" s="15">
        <f t="shared" si="57"/>
        <v>1.3</v>
      </c>
      <c r="W86" s="62">
        <f t="shared" si="58"/>
        <v>2.0546537908362441E-4</v>
      </c>
      <c r="X86" s="15"/>
      <c r="Y86" s="1">
        <f t="shared" si="59"/>
        <v>-4.2477248579431744E-4</v>
      </c>
      <c r="AH86" s="35">
        <v>45714</v>
      </c>
      <c r="AI86" s="31" t="s">
        <v>182</v>
      </c>
      <c r="AJ86" s="32">
        <v>7.0000000000000001E-3</v>
      </c>
      <c r="AK86" s="28">
        <f t="shared" si="45"/>
        <v>7.0028011204481795E-3</v>
      </c>
      <c r="AL86" s="28" t="s">
        <v>189</v>
      </c>
      <c r="AM86" s="28" t="s">
        <v>182</v>
      </c>
      <c r="AN86" s="28" t="s">
        <v>451</v>
      </c>
      <c r="AO86" s="28" t="s">
        <v>190</v>
      </c>
      <c r="AP86" s="28" t="s">
        <v>191</v>
      </c>
      <c r="AQ86" s="28" t="s">
        <v>73</v>
      </c>
      <c r="AR86" s="28" t="s">
        <v>20</v>
      </c>
      <c r="AS86" s="73">
        <v>702.70318209000004</v>
      </c>
      <c r="AT86" s="8">
        <v>25.09</v>
      </c>
      <c r="AU86" s="73" t="s">
        <v>182</v>
      </c>
      <c r="AV86" s="73" t="b">
        <f t="shared" si="60"/>
        <v>1</v>
      </c>
      <c r="AW86" s="79">
        <v>0</v>
      </c>
      <c r="AX86" s="45" t="str">
        <f t="shared" si="61"/>
        <v/>
      </c>
      <c r="AY86" s="29" t="str">
        <f t="shared" si="62"/>
        <v/>
      </c>
      <c r="AZ86" s="29" t="str">
        <f t="shared" si="63"/>
        <v/>
      </c>
      <c r="BA86" s="29" t="s">
        <v>699</v>
      </c>
      <c r="BB86" s="29">
        <f t="shared" si="64"/>
        <v>0</v>
      </c>
      <c r="BC86">
        <f t="shared" si="65"/>
        <v>0</v>
      </c>
      <c r="BD86" s="78" t="str" cm="1">
        <f t="array" ref="BD86">IF(BC86&lt;&gt;1, "", IF(AK86&gt;0, INT(AK86/SUMPRODUCT(($AK$3:$AK$1000&gt;0)*($AK$3:$AK$1000), ($BC$3:$BC$1000))*$AB$12/AT86), INT(AK86/SUMPRODUCT(($AK$3:$AK$1000&lt;0)*($AK$3:$AK$1000), ($BC$3:$BC$1000))*$AB$13/AT86)))</f>
        <v/>
      </c>
      <c r="BE86" t="str">
        <f t="shared" si="66"/>
        <v/>
      </c>
      <c r="BF86" s="65" t="str">
        <f t="shared" si="67"/>
        <v/>
      </c>
      <c r="BN86" s="75">
        <v>0.83000000000000052</v>
      </c>
      <c r="BO86" s="57">
        <v>1.150667401065397</v>
      </c>
      <c r="BP86" s="57">
        <v>4.1706781158593582</v>
      </c>
      <c r="BQ86" s="57"/>
      <c r="BR86" s="26">
        <f t="shared" si="46"/>
        <v>1.6606727584623777</v>
      </c>
      <c r="BT86" s="74">
        <v>0.79000000000000048</v>
      </c>
      <c r="BU86" s="74">
        <v>1.5952440122040044</v>
      </c>
    </row>
    <row r="87" spans="2:73" x14ac:dyDescent="0.3">
      <c r="B87" s="18" t="s">
        <v>1071</v>
      </c>
      <c r="C87" s="18" t="s">
        <v>1148</v>
      </c>
      <c r="D87" s="18" t="s">
        <v>1284</v>
      </c>
      <c r="E87" s="44" t="s">
        <v>1150</v>
      </c>
      <c r="F87" s="18" t="s">
        <v>23</v>
      </c>
      <c r="G87" s="18" t="s">
        <v>10</v>
      </c>
      <c r="H87" s="19">
        <v>2102.1420819999998</v>
      </c>
      <c r="I87" s="18">
        <v>3428</v>
      </c>
      <c r="J87" s="20">
        <v>29</v>
      </c>
      <c r="K87" s="19">
        <v>99412</v>
      </c>
      <c r="L87" s="12">
        <f t="shared" si="47"/>
        <v>6.6274666666666666E-3</v>
      </c>
      <c r="M87" s="12">
        <f t="shared" si="48"/>
        <v>7.1028411364545824E-3</v>
      </c>
      <c r="N87" s="15" t="str">
        <f t="shared" si="49"/>
        <v/>
      </c>
      <c r="O87" s="15" t="str">
        <f t="shared" si="50"/>
        <v/>
      </c>
      <c r="P87" s="15">
        <f t="shared" si="51"/>
        <v>1</v>
      </c>
      <c r="Q87" s="15" t="str">
        <f t="shared" si="52"/>
        <v>Buy</v>
      </c>
      <c r="R87" s="55">
        <f t="shared" si="53"/>
        <v>245</v>
      </c>
      <c r="S87" s="33">
        <f t="shared" si="54"/>
        <v>7105</v>
      </c>
      <c r="T87" s="33" t="str">
        <f t="shared" si="55"/>
        <v/>
      </c>
      <c r="U87" s="15" t="str">
        <f t="shared" si="56"/>
        <v/>
      </c>
      <c r="V87" s="15">
        <f t="shared" si="57"/>
        <v>2.4500000000000002</v>
      </c>
      <c r="W87" s="62">
        <f t="shared" si="58"/>
        <v>3.4482758620689658E-4</v>
      </c>
      <c r="X87" s="15"/>
      <c r="Y87" s="1">
        <f t="shared" si="59"/>
        <v>-4.753744697879158E-4</v>
      </c>
      <c r="AH87" s="35">
        <v>45714</v>
      </c>
      <c r="AI87" s="31" t="s">
        <v>1072</v>
      </c>
      <c r="AJ87" s="32">
        <v>6.8999999999999999E-3</v>
      </c>
      <c r="AK87" s="28">
        <f t="shared" si="45"/>
        <v>6.9027611044417767E-3</v>
      </c>
      <c r="AL87" s="28" t="s">
        <v>1151</v>
      </c>
      <c r="AM87" s="28" t="s">
        <v>1072</v>
      </c>
      <c r="AN87" s="28" t="s">
        <v>1677</v>
      </c>
      <c r="AO87" s="28" t="s">
        <v>1152</v>
      </c>
      <c r="AP87" s="28" t="s">
        <v>1153</v>
      </c>
      <c r="AQ87" s="28" t="s">
        <v>73</v>
      </c>
      <c r="AR87" s="28" t="s">
        <v>13</v>
      </c>
      <c r="AS87" s="73">
        <v>5016.4982281000002</v>
      </c>
      <c r="AT87" s="8">
        <v>171.94</v>
      </c>
      <c r="AU87" s="73" t="s">
        <v>1072</v>
      </c>
      <c r="AV87" s="73" t="b">
        <f t="shared" si="60"/>
        <v>1</v>
      </c>
      <c r="AW87" s="79">
        <v>0</v>
      </c>
      <c r="AX87" s="45" t="str">
        <f t="shared" si="61"/>
        <v/>
      </c>
      <c r="AY87" s="29" t="str">
        <f t="shared" si="62"/>
        <v/>
      </c>
      <c r="AZ87" s="29" t="str">
        <f t="shared" si="63"/>
        <v/>
      </c>
      <c r="BA87" s="29" t="s">
        <v>699</v>
      </c>
      <c r="BB87" s="29">
        <f t="shared" si="64"/>
        <v>0</v>
      </c>
      <c r="BC87">
        <f t="shared" si="65"/>
        <v>0</v>
      </c>
      <c r="BD87" s="78" t="str" cm="1">
        <f t="array" ref="BD87">IF(BC87&lt;&gt;1, "", IF(AK87&gt;0, INT(AK87/SUMPRODUCT(($AK$3:$AK$1000&gt;0)*($AK$3:$AK$1000), ($BC$3:$BC$1000))*$AB$12/AT87), INT(AK87/SUMPRODUCT(($AK$3:$AK$1000&lt;0)*($AK$3:$AK$1000), ($BC$3:$BC$1000))*$AB$13/AT87)))</f>
        <v/>
      </c>
      <c r="BE87" t="str">
        <f t="shared" si="66"/>
        <v/>
      </c>
      <c r="BF87" s="65" t="str">
        <f t="shared" si="67"/>
        <v/>
      </c>
      <c r="BN87" s="75">
        <v>0.84000000000000052</v>
      </c>
      <c r="BO87" s="57">
        <v>1.150667401065397</v>
      </c>
      <c r="BP87" s="57">
        <v>4.1706781158593582</v>
      </c>
      <c r="BQ87" s="57"/>
      <c r="BR87" s="26">
        <f t="shared" si="46"/>
        <v>1.6606727584623777</v>
      </c>
      <c r="BT87" s="74">
        <v>0.80000000000000049</v>
      </c>
      <c r="BU87" s="74">
        <v>1.5952440122040044</v>
      </c>
    </row>
    <row r="88" spans="2:73" x14ac:dyDescent="0.3">
      <c r="B88" s="18" t="s">
        <v>1326</v>
      </c>
      <c r="C88" s="18" t="s">
        <v>1362</v>
      </c>
      <c r="D88" s="18" t="s">
        <v>1393</v>
      </c>
      <c r="E88" s="44" t="s">
        <v>1363</v>
      </c>
      <c r="F88" s="18" t="s">
        <v>20</v>
      </c>
      <c r="G88" s="18" t="s">
        <v>10</v>
      </c>
      <c r="H88" s="19">
        <v>3390.7039261899999</v>
      </c>
      <c r="I88" s="18">
        <v>1557</v>
      </c>
      <c r="J88" s="20">
        <v>62.71</v>
      </c>
      <c r="K88" s="19">
        <v>97639.47</v>
      </c>
      <c r="L88" s="12">
        <f t="shared" si="47"/>
        <v>6.5092980000000002E-3</v>
      </c>
      <c r="M88" s="12">
        <f t="shared" si="48"/>
        <v>0</v>
      </c>
      <c r="N88" s="15" t="str">
        <f t="shared" si="49"/>
        <v/>
      </c>
      <c r="O88" s="15">
        <f t="shared" si="50"/>
        <v>1</v>
      </c>
      <c r="P88" s="15" t="str">
        <f t="shared" si="51"/>
        <v/>
      </c>
      <c r="Q88" s="15" t="str">
        <f t="shared" si="52"/>
        <v/>
      </c>
      <c r="R88" s="55" t="str">
        <f t="shared" si="53"/>
        <v/>
      </c>
      <c r="S88" s="33" t="str">
        <f t="shared" si="54"/>
        <v/>
      </c>
      <c r="T88" s="33" t="str">
        <f t="shared" si="55"/>
        <v>Sell</v>
      </c>
      <c r="U88" s="15">
        <f t="shared" si="56"/>
        <v>1557</v>
      </c>
      <c r="V88" s="15" t="str">
        <f t="shared" si="57"/>
        <v/>
      </c>
      <c r="W88" s="62" t="str">
        <f t="shared" si="58"/>
        <v/>
      </c>
      <c r="X88" s="15"/>
      <c r="Y88" s="1">
        <f t="shared" si="59"/>
        <v>6.5092980000000002E-3</v>
      </c>
      <c r="AH88" s="35">
        <v>45714</v>
      </c>
      <c r="AI88" s="31" t="s">
        <v>364</v>
      </c>
      <c r="AJ88" s="32">
        <v>6.7999999999999996E-3</v>
      </c>
      <c r="AK88" s="28">
        <f t="shared" si="45"/>
        <v>6.8027210884353739E-3</v>
      </c>
      <c r="AL88" s="28" t="s">
        <v>365</v>
      </c>
      <c r="AM88" s="28" t="s">
        <v>364</v>
      </c>
      <c r="AN88" s="28" t="s">
        <v>1678</v>
      </c>
      <c r="AO88" s="28" t="s">
        <v>366</v>
      </c>
      <c r="AP88" s="28" t="s">
        <v>367</v>
      </c>
      <c r="AQ88" s="28" t="s">
        <v>73</v>
      </c>
      <c r="AR88" s="28" t="s">
        <v>13</v>
      </c>
      <c r="AS88" s="73">
        <v>1409.358965355</v>
      </c>
      <c r="AT88" s="8">
        <v>28.434999999999999</v>
      </c>
      <c r="AU88" s="73" t="s">
        <v>364</v>
      </c>
      <c r="AV88" s="73" t="b">
        <f t="shared" si="60"/>
        <v>1</v>
      </c>
      <c r="AW88" s="79">
        <v>0</v>
      </c>
      <c r="AX88" s="45" t="str">
        <f t="shared" si="61"/>
        <v/>
      </c>
      <c r="AY88" s="29" t="str">
        <f t="shared" si="62"/>
        <v/>
      </c>
      <c r="AZ88" s="29" t="str">
        <f t="shared" si="63"/>
        <v/>
      </c>
      <c r="BA88" s="29" t="s">
        <v>699</v>
      </c>
      <c r="BB88" s="29">
        <f t="shared" si="64"/>
        <v>0</v>
      </c>
      <c r="BC88">
        <f t="shared" si="65"/>
        <v>0</v>
      </c>
      <c r="BD88" s="78" t="str" cm="1">
        <f t="array" ref="BD88">IF(BC88&lt;&gt;1, "", IF(AK88&gt;0, INT(AK88/SUMPRODUCT(($AK$3:$AK$1000&gt;0)*($AK$3:$AK$1000), ($BC$3:$BC$1000))*$AB$12/AT88), INT(AK88/SUMPRODUCT(($AK$3:$AK$1000&lt;0)*($AK$3:$AK$1000), ($BC$3:$BC$1000))*$AB$13/AT88)))</f>
        <v/>
      </c>
      <c r="BE88" t="str">
        <f t="shared" si="66"/>
        <v/>
      </c>
      <c r="BF88" s="65" t="str">
        <f t="shared" si="67"/>
        <v/>
      </c>
      <c r="BN88" s="75">
        <v>0.85000000000000053</v>
      </c>
      <c r="BO88" s="57">
        <v>1.150667401065397</v>
      </c>
      <c r="BP88" s="57">
        <v>4.1706781158593582</v>
      </c>
      <c r="BQ88" s="57"/>
      <c r="BR88" s="26">
        <f t="shared" si="46"/>
        <v>1.6606727584623777</v>
      </c>
      <c r="BT88" s="74">
        <v>0.8100000000000005</v>
      </c>
      <c r="BU88" s="74">
        <v>1.5952440122040044</v>
      </c>
    </row>
    <row r="89" spans="2:73" x14ac:dyDescent="0.3">
      <c r="B89" s="18" t="s">
        <v>1407</v>
      </c>
      <c r="C89" s="18" t="s">
        <v>1433</v>
      </c>
      <c r="D89" s="18" t="s">
        <v>1487</v>
      </c>
      <c r="E89" s="44" t="s">
        <v>1434</v>
      </c>
      <c r="F89" s="18" t="s">
        <v>20</v>
      </c>
      <c r="G89" s="18" t="s">
        <v>10</v>
      </c>
      <c r="H89" s="19">
        <v>1192.0031950799998</v>
      </c>
      <c r="I89" s="18">
        <v>8207</v>
      </c>
      <c r="J89" s="20">
        <v>11.82</v>
      </c>
      <c r="K89" s="19">
        <v>97006.74</v>
      </c>
      <c r="L89" s="12">
        <f t="shared" si="47"/>
        <v>6.4671160000000002E-3</v>
      </c>
      <c r="M89" s="12">
        <f t="shared" si="48"/>
        <v>0</v>
      </c>
      <c r="N89" s="15" t="str">
        <f t="shared" si="49"/>
        <v/>
      </c>
      <c r="O89" s="15">
        <f t="shared" si="50"/>
        <v>1</v>
      </c>
      <c r="P89" s="15" t="str">
        <f t="shared" si="51"/>
        <v/>
      </c>
      <c r="Q89" s="15" t="str">
        <f t="shared" si="52"/>
        <v/>
      </c>
      <c r="R89" s="55" t="str">
        <f t="shared" si="53"/>
        <v/>
      </c>
      <c r="S89" s="33" t="str">
        <f t="shared" si="54"/>
        <v/>
      </c>
      <c r="T89" s="33" t="str">
        <f t="shared" si="55"/>
        <v>Sell</v>
      </c>
      <c r="U89" s="15">
        <f t="shared" si="56"/>
        <v>8207</v>
      </c>
      <c r="V89" s="15" t="str">
        <f t="shared" si="57"/>
        <v/>
      </c>
      <c r="W89" s="62" t="str">
        <f t="shared" si="58"/>
        <v/>
      </c>
      <c r="X89" s="15"/>
      <c r="Y89" s="1">
        <f t="shared" si="59"/>
        <v>6.4671160000000002E-3</v>
      </c>
      <c r="AA89" s="48" t="s">
        <v>120</v>
      </c>
      <c r="AB89" s="47" t="s">
        <v>121</v>
      </c>
      <c r="AC89" s="47"/>
      <c r="AD89" s="47"/>
      <c r="AE89" s="47"/>
      <c r="AH89" s="35">
        <v>45714</v>
      </c>
      <c r="AI89" s="31" t="s">
        <v>702</v>
      </c>
      <c r="AJ89" s="32">
        <v>6.4999999999999997E-3</v>
      </c>
      <c r="AK89" s="28">
        <f t="shared" si="45"/>
        <v>6.5026010404161663E-3</v>
      </c>
      <c r="AL89" s="28" t="s">
        <v>716</v>
      </c>
      <c r="AM89" s="28" t="s">
        <v>702</v>
      </c>
      <c r="AN89" s="28" t="s">
        <v>875</v>
      </c>
      <c r="AO89" s="28" t="s">
        <v>717</v>
      </c>
      <c r="AP89" s="28" t="s">
        <v>849</v>
      </c>
      <c r="AQ89" s="28" t="s">
        <v>73</v>
      </c>
      <c r="AR89" s="28" t="s">
        <v>22</v>
      </c>
      <c r="AS89" s="73">
        <v>1403.8960828199999</v>
      </c>
      <c r="AT89" s="8">
        <v>32.06</v>
      </c>
      <c r="AU89" s="73" t="s">
        <v>702</v>
      </c>
      <c r="AV89" s="73" t="b">
        <f t="shared" si="60"/>
        <v>1</v>
      </c>
      <c r="AW89" s="79">
        <v>0</v>
      </c>
      <c r="AX89" s="45" t="str">
        <f t="shared" si="61"/>
        <v/>
      </c>
      <c r="AY89" s="29" t="str">
        <f t="shared" si="62"/>
        <v/>
      </c>
      <c r="AZ89" s="29" t="str">
        <f t="shared" si="63"/>
        <v/>
      </c>
      <c r="BA89" s="29" t="s">
        <v>699</v>
      </c>
      <c r="BB89" s="29">
        <f t="shared" si="64"/>
        <v>0</v>
      </c>
      <c r="BC89">
        <f t="shared" si="65"/>
        <v>0</v>
      </c>
      <c r="BD89" s="78" t="str" cm="1">
        <f t="array" ref="BD89">IF(BC89&lt;&gt;1, "", IF(AK89&gt;0, INT(AK89/SUMPRODUCT(($AK$3:$AK$1000&gt;0)*($AK$3:$AK$1000), ($BC$3:$BC$1000))*$AB$12/AT89), INT(AK89/SUMPRODUCT(($AK$3:$AK$1000&lt;0)*($AK$3:$AK$1000), ($BC$3:$BC$1000))*$AB$13/AT89)))</f>
        <v/>
      </c>
      <c r="BE89" t="str">
        <f t="shared" si="66"/>
        <v/>
      </c>
      <c r="BF89" s="65" t="str">
        <f t="shared" si="67"/>
        <v/>
      </c>
      <c r="BN89" s="75">
        <v>0.86000000000000054</v>
      </c>
      <c r="BO89" s="57">
        <v>1.150667401065397</v>
      </c>
      <c r="BP89" s="57">
        <v>4.1706781158593582</v>
      </c>
      <c r="BQ89" s="57"/>
      <c r="BR89" s="26">
        <f t="shared" si="46"/>
        <v>1.6606727584623777</v>
      </c>
      <c r="BT89" s="74">
        <v>0.82000000000000051</v>
      </c>
      <c r="BU89" s="74">
        <v>1.5952440122040044</v>
      </c>
    </row>
    <row r="90" spans="2:73" x14ac:dyDescent="0.3">
      <c r="B90" s="18" t="s">
        <v>846</v>
      </c>
      <c r="C90" s="18" t="s">
        <v>877</v>
      </c>
      <c r="D90" s="18" t="s">
        <v>896</v>
      </c>
      <c r="E90" s="44" t="s">
        <v>880</v>
      </c>
      <c r="F90" s="18" t="s">
        <v>25</v>
      </c>
      <c r="G90" s="18" t="s">
        <v>10</v>
      </c>
      <c r="H90" s="19">
        <v>1029.31859822</v>
      </c>
      <c r="I90" s="18">
        <v>7124</v>
      </c>
      <c r="J90" s="20">
        <v>13.46</v>
      </c>
      <c r="K90" s="19">
        <v>95889.040000000008</v>
      </c>
      <c r="L90" s="12">
        <f t="shared" si="47"/>
        <v>6.392602666666667E-3</v>
      </c>
      <c r="M90" s="12">
        <f t="shared" si="48"/>
        <v>7.2028811524609843E-3</v>
      </c>
      <c r="N90" s="15" t="str">
        <f t="shared" si="49"/>
        <v/>
      </c>
      <c r="O90" s="15" t="str">
        <f t="shared" si="50"/>
        <v/>
      </c>
      <c r="P90" s="15">
        <f t="shared" si="51"/>
        <v>1</v>
      </c>
      <c r="Q90" s="15" t="str">
        <f t="shared" si="52"/>
        <v>Buy</v>
      </c>
      <c r="R90" s="55">
        <f t="shared" si="53"/>
        <v>902</v>
      </c>
      <c r="S90" s="33">
        <f t="shared" si="54"/>
        <v>12140.92</v>
      </c>
      <c r="T90" s="33" t="str">
        <f t="shared" si="55"/>
        <v/>
      </c>
      <c r="U90" s="15" t="str">
        <f t="shared" si="56"/>
        <v/>
      </c>
      <c r="V90" s="15">
        <f t="shared" si="57"/>
        <v>9.02</v>
      </c>
      <c r="W90" s="62">
        <f t="shared" si="58"/>
        <v>7.429420505200594E-4</v>
      </c>
      <c r="X90" s="15"/>
      <c r="Y90" s="1">
        <f t="shared" si="59"/>
        <v>-8.1027848579431731E-4</v>
      </c>
      <c r="AA90" s="48" t="s">
        <v>122</v>
      </c>
      <c r="AB90" s="47" t="s">
        <v>123</v>
      </c>
      <c r="AC90" s="47"/>
      <c r="AD90" s="47"/>
      <c r="AE90" s="47"/>
      <c r="AH90" s="35">
        <v>45714</v>
      </c>
      <c r="AI90" s="31" t="s">
        <v>1413</v>
      </c>
      <c r="AJ90" s="32">
        <v>6.3E-3</v>
      </c>
      <c r="AK90" s="28">
        <f t="shared" si="45"/>
        <v>6.3025210084033615E-3</v>
      </c>
      <c r="AL90" s="28" t="s">
        <v>1455</v>
      </c>
      <c r="AM90" s="28" t="s">
        <v>1413</v>
      </c>
      <c r="AN90" s="28" t="s">
        <v>1680</v>
      </c>
      <c r="AO90" s="28" t="s">
        <v>1456</v>
      </c>
      <c r="AP90" s="28" t="s">
        <v>1457</v>
      </c>
      <c r="AQ90" s="28" t="s">
        <v>73</v>
      </c>
      <c r="AR90" s="28" t="s">
        <v>11</v>
      </c>
      <c r="AS90" s="73">
        <v>6941.4344732700001</v>
      </c>
      <c r="AT90" s="8">
        <v>12.63</v>
      </c>
      <c r="AU90" s="73" t="s">
        <v>1413</v>
      </c>
      <c r="AV90" s="73" t="b">
        <f t="shared" si="60"/>
        <v>1</v>
      </c>
      <c r="AW90" s="79">
        <v>0</v>
      </c>
      <c r="AX90" s="45" t="str">
        <f t="shared" si="61"/>
        <v/>
      </c>
      <c r="AY90" s="29" t="str">
        <f t="shared" si="62"/>
        <v/>
      </c>
      <c r="AZ90" s="29" t="str">
        <f t="shared" si="63"/>
        <v/>
      </c>
      <c r="BA90" s="29" t="s">
        <v>699</v>
      </c>
      <c r="BB90" s="29">
        <f t="shared" si="64"/>
        <v>0</v>
      </c>
      <c r="BC90">
        <f t="shared" si="65"/>
        <v>0</v>
      </c>
      <c r="BD90" s="78" t="str" cm="1">
        <f t="array" ref="BD90">IF(BC90&lt;&gt;1, "", IF(AK90&gt;0, INT(AK90/SUMPRODUCT(($AK$3:$AK$1000&gt;0)*($AK$3:$AK$1000), ($BC$3:$BC$1000))*$AB$12/AT90), INT(AK90/SUMPRODUCT(($AK$3:$AK$1000&lt;0)*($AK$3:$AK$1000), ($BC$3:$BC$1000))*$AB$13/AT90)))</f>
        <v/>
      </c>
      <c r="BE90" t="str">
        <f t="shared" si="66"/>
        <v/>
      </c>
      <c r="BF90" s="65" t="str">
        <f t="shared" si="67"/>
        <v/>
      </c>
      <c r="BN90" s="75">
        <v>0.87000000000000055</v>
      </c>
      <c r="BO90" s="57">
        <v>1.150667401065397</v>
      </c>
      <c r="BP90" s="57">
        <v>4.1706781158593582</v>
      </c>
      <c r="BQ90" s="57"/>
      <c r="BR90" s="26">
        <f t="shared" si="46"/>
        <v>1.6606727584623777</v>
      </c>
      <c r="BT90" s="74">
        <v>0.83000000000000052</v>
      </c>
      <c r="BU90" s="74">
        <v>1.6606727584623777</v>
      </c>
    </row>
    <row r="91" spans="2:73" x14ac:dyDescent="0.3">
      <c r="B91" s="18" t="s">
        <v>1503</v>
      </c>
      <c r="C91" s="18" t="s">
        <v>1534</v>
      </c>
      <c r="D91" s="18" t="s">
        <v>1611</v>
      </c>
      <c r="E91" s="44" t="s">
        <v>1537</v>
      </c>
      <c r="F91" s="18" t="s">
        <v>13</v>
      </c>
      <c r="G91" s="18" t="s">
        <v>10</v>
      </c>
      <c r="H91" s="19">
        <v>5545.4085224999999</v>
      </c>
      <c r="I91" s="18">
        <v>1034</v>
      </c>
      <c r="J91" s="20">
        <v>90.75</v>
      </c>
      <c r="K91" s="19">
        <v>93835.5</v>
      </c>
      <c r="L91" s="12">
        <f t="shared" si="47"/>
        <v>6.2557000000000003E-3</v>
      </c>
      <c r="M91" s="12">
        <f t="shared" si="48"/>
        <v>6.2024809923969587E-3</v>
      </c>
      <c r="N91" s="15" t="str">
        <f t="shared" si="49"/>
        <v/>
      </c>
      <c r="O91" s="15" t="str">
        <f t="shared" si="50"/>
        <v/>
      </c>
      <c r="P91" s="15" t="str">
        <f t="shared" si="51"/>
        <v/>
      </c>
      <c r="Q91" s="15" t="str">
        <f t="shared" si="52"/>
        <v/>
      </c>
      <c r="R91" s="55" t="str">
        <f t="shared" si="53"/>
        <v/>
      </c>
      <c r="S91" s="33" t="str">
        <f t="shared" si="54"/>
        <v/>
      </c>
      <c r="T91" s="33" t="str">
        <f t="shared" si="55"/>
        <v/>
      </c>
      <c r="U91" s="15" t="str">
        <f t="shared" si="56"/>
        <v/>
      </c>
      <c r="V91" s="15" t="str">
        <f t="shared" si="57"/>
        <v/>
      </c>
      <c r="W91" s="62" t="str">
        <f t="shared" si="58"/>
        <v/>
      </c>
      <c r="X91" s="15"/>
      <c r="Y91" s="1">
        <f t="shared" si="59"/>
        <v>5.3219007603041643E-5</v>
      </c>
      <c r="AA91" s="48" t="s">
        <v>122</v>
      </c>
      <c r="AB91" s="47" t="s">
        <v>124</v>
      </c>
      <c r="AC91" s="47"/>
      <c r="AD91" s="47"/>
      <c r="AE91" s="47"/>
      <c r="AH91" s="35">
        <v>45714</v>
      </c>
      <c r="AI91" s="31" t="s">
        <v>1503</v>
      </c>
      <c r="AJ91" s="32">
        <v>6.1999999999999998E-3</v>
      </c>
      <c r="AK91" s="28">
        <f t="shared" si="45"/>
        <v>6.2024809923969587E-3</v>
      </c>
      <c r="AL91" s="28" t="s">
        <v>1534</v>
      </c>
      <c r="AM91" s="28" t="s">
        <v>1503</v>
      </c>
      <c r="AN91" s="28" t="s">
        <v>1535</v>
      </c>
      <c r="AO91" s="28" t="s">
        <v>1536</v>
      </c>
      <c r="AP91" s="28" t="s">
        <v>1537</v>
      </c>
      <c r="AQ91" s="28" t="s">
        <v>73</v>
      </c>
      <c r="AR91" s="28" t="s">
        <v>13</v>
      </c>
      <c r="AS91" s="73">
        <v>5545.4085224999999</v>
      </c>
      <c r="AT91" s="8">
        <v>90.75</v>
      </c>
      <c r="AU91" s="73" t="s">
        <v>1503</v>
      </c>
      <c r="AV91" s="73" t="b">
        <f t="shared" si="60"/>
        <v>1</v>
      </c>
      <c r="AW91" s="79">
        <v>0</v>
      </c>
      <c r="AX91" s="45" t="str">
        <f t="shared" si="61"/>
        <v/>
      </c>
      <c r="AY91" s="29" t="str">
        <f t="shared" si="62"/>
        <v/>
      </c>
      <c r="AZ91" s="29" t="str">
        <f t="shared" si="63"/>
        <v/>
      </c>
      <c r="BA91" s="29" t="s">
        <v>699</v>
      </c>
      <c r="BB91" s="29">
        <f t="shared" si="64"/>
        <v>0</v>
      </c>
      <c r="BC91">
        <f t="shared" si="65"/>
        <v>0</v>
      </c>
      <c r="BD91" s="78" t="str" cm="1">
        <f t="array" ref="BD91">IF(BC91&lt;&gt;1, "", IF(AK91&gt;0, INT(AK91/SUMPRODUCT(($AK$3:$AK$1000&gt;0)*($AK$3:$AK$1000), ($BC$3:$BC$1000))*$AB$12/AT91), INT(AK91/SUMPRODUCT(($AK$3:$AK$1000&lt;0)*($AK$3:$AK$1000), ($BC$3:$BC$1000))*$AB$13/AT91)))</f>
        <v/>
      </c>
      <c r="BE91" t="str">
        <f t="shared" si="66"/>
        <v/>
      </c>
      <c r="BF91" s="65" t="str">
        <f t="shared" si="67"/>
        <v/>
      </c>
      <c r="BN91" s="75">
        <v>0.88000000000000056</v>
      </c>
      <c r="BO91" s="57">
        <v>1.150667401065397</v>
      </c>
      <c r="BP91" s="57">
        <v>4.1706781158593582</v>
      </c>
      <c r="BQ91" s="57"/>
      <c r="BR91" s="26">
        <f t="shared" si="46"/>
        <v>1.6606727584623777</v>
      </c>
      <c r="BT91" s="74">
        <v>0.84000000000000052</v>
      </c>
      <c r="BU91" s="74">
        <v>1.6606727584623777</v>
      </c>
    </row>
    <row r="92" spans="2:73" x14ac:dyDescent="0.3">
      <c r="B92" s="18" t="s">
        <v>364</v>
      </c>
      <c r="C92" s="18" t="s">
        <v>365</v>
      </c>
      <c r="D92" s="18" t="s">
        <v>368</v>
      </c>
      <c r="E92" s="44" t="s">
        <v>367</v>
      </c>
      <c r="F92" s="18" t="s">
        <v>13</v>
      </c>
      <c r="G92" s="18" t="s">
        <v>10</v>
      </c>
      <c r="H92" s="19">
        <v>1409.358965355</v>
      </c>
      <c r="I92" s="18">
        <v>3289</v>
      </c>
      <c r="J92" s="20">
        <v>28.434999999999999</v>
      </c>
      <c r="K92" s="19">
        <v>93522.714999999997</v>
      </c>
      <c r="L92" s="12">
        <f t="shared" si="47"/>
        <v>6.2348476666666663E-3</v>
      </c>
      <c r="M92" s="12">
        <f t="shared" si="48"/>
        <v>6.8027210884353739E-3</v>
      </c>
      <c r="N92" s="15" t="str">
        <f t="shared" si="49"/>
        <v/>
      </c>
      <c r="O92" s="15" t="str">
        <f t="shared" si="50"/>
        <v/>
      </c>
      <c r="P92" s="15">
        <f t="shared" si="51"/>
        <v>1</v>
      </c>
      <c r="Q92" s="15" t="str">
        <f t="shared" si="52"/>
        <v>Buy</v>
      </c>
      <c r="R92" s="55">
        <f t="shared" si="53"/>
        <v>299</v>
      </c>
      <c r="S92" s="33">
        <f t="shared" si="54"/>
        <v>8502.0650000000005</v>
      </c>
      <c r="T92" s="33" t="str">
        <f t="shared" si="55"/>
        <v/>
      </c>
      <c r="U92" s="15" t="str">
        <f t="shared" si="56"/>
        <v/>
      </c>
      <c r="V92" s="15">
        <f t="shared" si="57"/>
        <v>2.99</v>
      </c>
      <c r="W92" s="62">
        <f t="shared" si="58"/>
        <v>3.5167926850712152E-4</v>
      </c>
      <c r="X92" s="15"/>
      <c r="Y92" s="1">
        <f t="shared" si="59"/>
        <v>-5.6787342176870762E-4</v>
      </c>
      <c r="AA92" s="48" t="s">
        <v>125</v>
      </c>
      <c r="AB92" s="47" t="s">
        <v>126</v>
      </c>
      <c r="AC92" s="47"/>
      <c r="AD92" s="47"/>
      <c r="AE92" s="47"/>
      <c r="AH92" s="35">
        <v>45714</v>
      </c>
      <c r="AI92" s="31" t="s">
        <v>1003</v>
      </c>
      <c r="AJ92" s="32">
        <v>6.1000000000000004E-3</v>
      </c>
      <c r="AK92" s="28">
        <f t="shared" si="45"/>
        <v>6.1024409763905567E-3</v>
      </c>
      <c r="AL92" s="28" t="s">
        <v>1018</v>
      </c>
      <c r="AM92" s="28" t="s">
        <v>1003</v>
      </c>
      <c r="AN92" s="28" t="s">
        <v>1681</v>
      </c>
      <c r="AO92" s="28" t="s">
        <v>1019</v>
      </c>
      <c r="AP92" s="28" t="s">
        <v>1020</v>
      </c>
      <c r="AQ92" s="28" t="s">
        <v>73</v>
      </c>
      <c r="AR92" s="28" t="s">
        <v>11</v>
      </c>
      <c r="AS92" s="73">
        <v>77201.034681549994</v>
      </c>
      <c r="AT92" s="8">
        <v>110.65</v>
      </c>
      <c r="AU92" s="73" t="s">
        <v>1003</v>
      </c>
      <c r="AV92" s="73" t="b">
        <f t="shared" si="60"/>
        <v>1</v>
      </c>
      <c r="AW92" s="79">
        <v>0</v>
      </c>
      <c r="AX92" s="45" t="str">
        <f t="shared" si="61"/>
        <v/>
      </c>
      <c r="AY92" s="29" t="str">
        <f t="shared" si="62"/>
        <v/>
      </c>
      <c r="AZ92" s="29" t="str">
        <f t="shared" si="63"/>
        <v/>
      </c>
      <c r="BA92" s="29" t="s">
        <v>699</v>
      </c>
      <c r="BB92" s="29">
        <f t="shared" si="64"/>
        <v>0</v>
      </c>
      <c r="BC92">
        <f t="shared" si="65"/>
        <v>0</v>
      </c>
      <c r="BD92" s="78" t="str" cm="1">
        <f t="array" ref="BD92">IF(BC92&lt;&gt;1, "", IF(AK92&gt;0, INT(AK92/SUMPRODUCT(($AK$3:$AK$1000&gt;0)*($AK$3:$AK$1000), ($BC$3:$BC$1000))*$AB$12/AT92), INT(AK92/SUMPRODUCT(($AK$3:$AK$1000&lt;0)*($AK$3:$AK$1000), ($BC$3:$BC$1000))*$AB$13/AT92)))</f>
        <v/>
      </c>
      <c r="BE92" t="str">
        <f t="shared" si="66"/>
        <v/>
      </c>
      <c r="BF92" s="65" t="str">
        <f t="shared" si="67"/>
        <v/>
      </c>
      <c r="BN92" s="75">
        <v>0.89000000000000057</v>
      </c>
      <c r="BO92" s="57">
        <v>1.150667401065397</v>
      </c>
      <c r="BP92" s="57">
        <v>4.1706781158593582</v>
      </c>
      <c r="BQ92" s="57"/>
      <c r="BR92" s="26">
        <f t="shared" si="46"/>
        <v>1.6606727584623777</v>
      </c>
      <c r="BT92" s="74">
        <v>0.85000000000000053</v>
      </c>
      <c r="BU92" s="74">
        <v>1.6606727584623777</v>
      </c>
    </row>
    <row r="93" spans="2:73" x14ac:dyDescent="0.3">
      <c r="B93" s="18" t="s">
        <v>947</v>
      </c>
      <c r="C93" s="18" t="s">
        <v>961</v>
      </c>
      <c r="D93" s="18" t="s">
        <v>993</v>
      </c>
      <c r="E93" s="44" t="s">
        <v>964</v>
      </c>
      <c r="F93" s="18" t="s">
        <v>13</v>
      </c>
      <c r="G93" s="18" t="s">
        <v>10</v>
      </c>
      <c r="H93" s="19">
        <v>4532.3419285600003</v>
      </c>
      <c r="I93" s="18">
        <v>986</v>
      </c>
      <c r="J93" s="20">
        <v>92.92</v>
      </c>
      <c r="K93" s="19">
        <v>91619.12</v>
      </c>
      <c r="L93" s="12">
        <f t="shared" si="47"/>
        <v>6.1079413333333327E-3</v>
      </c>
      <c r="M93" s="12">
        <f t="shared" si="48"/>
        <v>7.7030812324929976E-3</v>
      </c>
      <c r="N93" s="15" t="str">
        <f t="shared" si="49"/>
        <v/>
      </c>
      <c r="O93" s="15" t="str">
        <f t="shared" si="50"/>
        <v/>
      </c>
      <c r="P93" s="15">
        <f t="shared" si="51"/>
        <v>1</v>
      </c>
      <c r="Q93" s="15" t="str">
        <f t="shared" si="52"/>
        <v>Buy</v>
      </c>
      <c r="R93" s="55">
        <f t="shared" si="53"/>
        <v>257</v>
      </c>
      <c r="S93" s="33">
        <f t="shared" si="54"/>
        <v>23880.44</v>
      </c>
      <c r="T93" s="33" t="str">
        <f t="shared" si="55"/>
        <v/>
      </c>
      <c r="U93" s="15" t="str">
        <f t="shared" si="56"/>
        <v/>
      </c>
      <c r="V93" s="15">
        <f t="shared" si="57"/>
        <v>2.57</v>
      </c>
      <c r="W93" s="62">
        <f t="shared" si="58"/>
        <v>1.0761945759793371E-4</v>
      </c>
      <c r="X93" s="15"/>
      <c r="Y93" s="1">
        <f t="shared" si="59"/>
        <v>-1.5951398991596649E-3</v>
      </c>
      <c r="AA93" s="48" t="s">
        <v>127</v>
      </c>
      <c r="AB93" s="47" t="s">
        <v>128</v>
      </c>
      <c r="AC93" s="47"/>
      <c r="AD93" s="47"/>
      <c r="AE93" s="47"/>
      <c r="AH93" s="35">
        <v>45714</v>
      </c>
      <c r="AI93" s="31" t="s">
        <v>1408</v>
      </c>
      <c r="AJ93" s="32">
        <v>6.0000000000000001E-3</v>
      </c>
      <c r="AK93" s="28">
        <f t="shared" si="45"/>
        <v>6.0024009603841539E-3</v>
      </c>
      <c r="AL93" s="28" t="s">
        <v>1435</v>
      </c>
      <c r="AM93" s="28" t="s">
        <v>1408</v>
      </c>
      <c r="AN93" s="28" t="s">
        <v>1436</v>
      </c>
      <c r="AO93" s="28" t="s">
        <v>1437</v>
      </c>
      <c r="AP93" s="28" t="s">
        <v>1438</v>
      </c>
      <c r="AQ93" s="28" t="s">
        <v>73</v>
      </c>
      <c r="AR93" s="28" t="s">
        <v>19</v>
      </c>
      <c r="AS93" s="73">
        <v>371.93262263999998</v>
      </c>
      <c r="AT93" s="8">
        <v>13.21</v>
      </c>
      <c r="AU93" s="73" t="s">
        <v>1408</v>
      </c>
      <c r="AV93" s="73" t="b">
        <f t="shared" si="60"/>
        <v>1</v>
      </c>
      <c r="AW93" s="79">
        <v>0</v>
      </c>
      <c r="AX93" s="45" t="str">
        <f t="shared" si="61"/>
        <v/>
      </c>
      <c r="AY93" s="29" t="str">
        <f t="shared" si="62"/>
        <v/>
      </c>
      <c r="AZ93" s="29" t="str">
        <f t="shared" si="63"/>
        <v/>
      </c>
      <c r="BA93" s="29" t="s">
        <v>699</v>
      </c>
      <c r="BB93" s="29">
        <f t="shared" si="64"/>
        <v>0</v>
      </c>
      <c r="BC93">
        <f t="shared" si="65"/>
        <v>0</v>
      </c>
      <c r="BD93" s="78" t="str" cm="1">
        <f t="array" ref="BD93">IF(BC93&lt;&gt;1, "", IF(AK93&gt;0, INT(AK93/SUMPRODUCT(($AK$3:$AK$1000&gt;0)*($AK$3:$AK$1000), ($BC$3:$BC$1000))*$AB$12/AT93), INT(AK93/SUMPRODUCT(($AK$3:$AK$1000&lt;0)*($AK$3:$AK$1000), ($BC$3:$BC$1000))*$AB$13/AT93)))</f>
        <v/>
      </c>
      <c r="BE93" t="str">
        <f t="shared" si="66"/>
        <v/>
      </c>
      <c r="BF93" s="65" t="str">
        <f t="shared" si="67"/>
        <v/>
      </c>
      <c r="BN93" s="75">
        <v>0.90000000000000058</v>
      </c>
      <c r="BO93" s="57">
        <v>1.150667401065397</v>
      </c>
      <c r="BP93" s="57">
        <v>4.2334302046093581</v>
      </c>
      <c r="BQ93" s="57"/>
      <c r="BR93" s="26">
        <f t="shared" si="46"/>
        <v>1.6920488028373777</v>
      </c>
      <c r="BT93" s="74">
        <v>0.86000000000000054</v>
      </c>
      <c r="BU93" s="74">
        <v>1.6606727584623777</v>
      </c>
    </row>
    <row r="94" spans="2:73" x14ac:dyDescent="0.3">
      <c r="B94" s="18" t="s">
        <v>1413</v>
      </c>
      <c r="C94" s="18" t="s">
        <v>1455</v>
      </c>
      <c r="D94" s="18" t="s">
        <v>1493</v>
      </c>
      <c r="E94" s="44" t="s">
        <v>1457</v>
      </c>
      <c r="F94" s="18" t="s">
        <v>11</v>
      </c>
      <c r="G94" s="18" t="s">
        <v>10</v>
      </c>
      <c r="H94" s="19">
        <v>6941.4344732700001</v>
      </c>
      <c r="I94" s="18">
        <v>7207</v>
      </c>
      <c r="J94" s="20">
        <v>12.63</v>
      </c>
      <c r="K94" s="19">
        <v>91024.41</v>
      </c>
      <c r="L94" s="12">
        <f t="shared" si="47"/>
        <v>6.0682940000000001E-3</v>
      </c>
      <c r="M94" s="12">
        <f t="shared" si="48"/>
        <v>6.3025210084033615E-3</v>
      </c>
      <c r="N94" s="15" t="str">
        <f t="shared" si="49"/>
        <v/>
      </c>
      <c r="O94" s="15" t="str">
        <f t="shared" si="50"/>
        <v/>
      </c>
      <c r="P94" s="15">
        <f t="shared" si="51"/>
        <v>1</v>
      </c>
      <c r="Q94" s="15" t="str">
        <f t="shared" si="52"/>
        <v>Buy</v>
      </c>
      <c r="R94" s="55">
        <f t="shared" si="53"/>
        <v>278</v>
      </c>
      <c r="S94" s="33">
        <f t="shared" si="54"/>
        <v>3511.1400000000003</v>
      </c>
      <c r="T94" s="33" t="str">
        <f t="shared" si="55"/>
        <v/>
      </c>
      <c r="U94" s="15" t="str">
        <f t="shared" si="56"/>
        <v/>
      </c>
      <c r="V94" s="15">
        <f t="shared" si="57"/>
        <v>2.7800000000000002</v>
      </c>
      <c r="W94" s="62">
        <f t="shared" si="58"/>
        <v>7.9176563737133805E-4</v>
      </c>
      <c r="X94" s="15"/>
      <c r="Y94" s="1">
        <f t="shared" si="59"/>
        <v>-2.3422700840336139E-4</v>
      </c>
      <c r="AA94" s="48" t="s">
        <v>129</v>
      </c>
      <c r="AB94" s="47" t="s">
        <v>130</v>
      </c>
      <c r="AC94" s="47"/>
      <c r="AD94" s="47"/>
      <c r="AE94" s="47"/>
      <c r="AH94" s="35">
        <v>45714</v>
      </c>
      <c r="AI94" s="31" t="s">
        <v>1507</v>
      </c>
      <c r="AJ94" s="32">
        <v>5.8999999999999999E-3</v>
      </c>
      <c r="AK94" s="28">
        <f t="shared" si="45"/>
        <v>5.9023609443777511E-3</v>
      </c>
      <c r="AL94" s="28" t="s">
        <v>1549</v>
      </c>
      <c r="AM94" s="28" t="s">
        <v>1507</v>
      </c>
      <c r="AN94" s="28" t="s">
        <v>1684</v>
      </c>
      <c r="AO94" s="28" t="s">
        <v>1550</v>
      </c>
      <c r="AP94" s="28" t="s">
        <v>1551</v>
      </c>
      <c r="AQ94" s="28" t="s">
        <v>73</v>
      </c>
      <c r="AR94" s="28" t="s">
        <v>23</v>
      </c>
      <c r="AS94" s="73">
        <v>4688.9863020000003</v>
      </c>
      <c r="AT94" s="8">
        <v>92.12</v>
      </c>
      <c r="AU94" s="73" t="s">
        <v>1507</v>
      </c>
      <c r="AV94" s="73" t="b">
        <f t="shared" si="60"/>
        <v>1</v>
      </c>
      <c r="AW94" s="79">
        <v>0</v>
      </c>
      <c r="AX94" s="45" t="str">
        <f t="shared" si="61"/>
        <v/>
      </c>
      <c r="AY94" s="29" t="str">
        <f t="shared" si="62"/>
        <v/>
      </c>
      <c r="AZ94" s="29" t="str">
        <f t="shared" si="63"/>
        <v/>
      </c>
      <c r="BA94" s="29" t="s">
        <v>699</v>
      </c>
      <c r="BB94" s="29">
        <f t="shared" si="64"/>
        <v>0</v>
      </c>
      <c r="BC94">
        <f t="shared" si="65"/>
        <v>0</v>
      </c>
      <c r="BD94" s="78" t="str" cm="1">
        <f t="array" ref="BD94">IF(BC94&lt;&gt;1, "", IF(AK94&gt;0, INT(AK94/SUMPRODUCT(($AK$3:$AK$1000&gt;0)*($AK$3:$AK$1000), ($BC$3:$BC$1000))*$AB$12/AT94), INT(AK94/SUMPRODUCT(($AK$3:$AK$1000&lt;0)*($AK$3:$AK$1000), ($BC$3:$BC$1000))*$AB$13/AT94)))</f>
        <v/>
      </c>
      <c r="BE94" t="str">
        <f t="shared" si="66"/>
        <v/>
      </c>
      <c r="BF94" s="65" t="str">
        <f t="shared" si="67"/>
        <v/>
      </c>
      <c r="BN94" s="75">
        <v>0.91000000000000059</v>
      </c>
      <c r="BO94" s="57">
        <v>1.150667401065397</v>
      </c>
      <c r="BP94" s="57">
        <v>4.2334302046093581</v>
      </c>
      <c r="BQ94" s="57"/>
      <c r="BR94" s="26">
        <f t="shared" si="46"/>
        <v>1.6920488028373777</v>
      </c>
      <c r="BT94" s="74">
        <v>0.87000000000000055</v>
      </c>
      <c r="BU94" s="74">
        <v>1.6606727584623777</v>
      </c>
    </row>
    <row r="95" spans="2:73" x14ac:dyDescent="0.3">
      <c r="B95" s="18" t="s">
        <v>702</v>
      </c>
      <c r="C95" s="18" t="s">
        <v>716</v>
      </c>
      <c r="D95" s="18" t="s">
        <v>755</v>
      </c>
      <c r="E95" s="44" t="s">
        <v>849</v>
      </c>
      <c r="F95" s="18" t="s">
        <v>22</v>
      </c>
      <c r="G95" s="18" t="s">
        <v>10</v>
      </c>
      <c r="H95" s="19">
        <v>1403.8960828200002</v>
      </c>
      <c r="I95" s="18">
        <v>2811</v>
      </c>
      <c r="J95" s="20">
        <v>32.06</v>
      </c>
      <c r="K95" s="19">
        <v>90120.66</v>
      </c>
      <c r="L95" s="12">
        <f t="shared" si="47"/>
        <v>6.0080440000000006E-3</v>
      </c>
      <c r="M95" s="12">
        <f t="shared" si="48"/>
        <v>6.5026010404161663E-3</v>
      </c>
      <c r="N95" s="15" t="str">
        <f t="shared" si="49"/>
        <v/>
      </c>
      <c r="O95" s="15" t="str">
        <f t="shared" si="50"/>
        <v/>
      </c>
      <c r="P95" s="15">
        <f t="shared" si="51"/>
        <v>1</v>
      </c>
      <c r="Q95" s="15" t="str">
        <f t="shared" si="52"/>
        <v>Buy</v>
      </c>
      <c r="R95" s="55">
        <f t="shared" si="53"/>
        <v>231</v>
      </c>
      <c r="S95" s="33">
        <f t="shared" si="54"/>
        <v>7405.8600000000006</v>
      </c>
      <c r="T95" s="33" t="str">
        <f t="shared" si="55"/>
        <v/>
      </c>
      <c r="U95" s="15" t="str">
        <f t="shared" si="56"/>
        <v/>
      </c>
      <c r="V95" s="15">
        <f t="shared" si="57"/>
        <v>2.31</v>
      </c>
      <c r="W95" s="62">
        <f t="shared" si="58"/>
        <v>3.1191515907673113E-4</v>
      </c>
      <c r="X95" s="15"/>
      <c r="Y95" s="1">
        <f t="shared" si="59"/>
        <v>-4.9455704041616571E-4</v>
      </c>
      <c r="AA95" s="48" t="s">
        <v>129</v>
      </c>
      <c r="AB95" s="47" t="s">
        <v>131</v>
      </c>
      <c r="AC95" s="47"/>
      <c r="AD95" s="47"/>
      <c r="AE95" s="47"/>
      <c r="AH95" s="35">
        <v>45714</v>
      </c>
      <c r="AI95" s="31" t="s">
        <v>278</v>
      </c>
      <c r="AJ95" s="32">
        <v>5.4999999999999997E-3</v>
      </c>
      <c r="AK95" s="28">
        <f t="shared" si="45"/>
        <v>5.5022008803521406E-3</v>
      </c>
      <c r="AL95" s="28" t="s">
        <v>279</v>
      </c>
      <c r="AM95" s="28" t="s">
        <v>278</v>
      </c>
      <c r="AN95" s="28" t="s">
        <v>1869</v>
      </c>
      <c r="AO95" s="28" t="s">
        <v>1870</v>
      </c>
      <c r="AP95" s="28" t="s">
        <v>280</v>
      </c>
      <c r="AQ95" s="28" t="s">
        <v>73</v>
      </c>
      <c r="AR95" s="28" t="s">
        <v>19</v>
      </c>
      <c r="AS95" s="73">
        <v>1882.5632416999999</v>
      </c>
      <c r="AT95" s="8">
        <v>20.18</v>
      </c>
      <c r="AU95" s="73" t="s">
        <v>278</v>
      </c>
      <c r="AV95" s="73" t="b">
        <f t="shared" si="60"/>
        <v>1</v>
      </c>
      <c r="AW95" s="79">
        <v>0</v>
      </c>
      <c r="AX95" s="45" t="str">
        <f t="shared" si="61"/>
        <v/>
      </c>
      <c r="AY95" s="29" t="str">
        <f t="shared" si="62"/>
        <v/>
      </c>
      <c r="AZ95" s="29" t="str">
        <f t="shared" si="63"/>
        <v/>
      </c>
      <c r="BA95" s="29" t="s">
        <v>699</v>
      </c>
      <c r="BB95" s="29">
        <f t="shared" si="64"/>
        <v>0</v>
      </c>
      <c r="BC95">
        <f t="shared" si="65"/>
        <v>1</v>
      </c>
      <c r="BD95" s="78" cm="1">
        <f t="array" ref="BD95">IF(BC95&lt;&gt;1, "", IF(AK95&gt;0, INT(AK95/SUMPRODUCT(($AK$3:$AK$1000&gt;0)*($AK$3:$AK$1000), ($BC$3:$BC$1000))*$AB$12/AT95), INT(AK95/SUMPRODUCT(($AK$3:$AK$1000&lt;0)*($AK$3:$AK$1000), ($BC$3:$BC$1000))*$AB$13/AT95)))</f>
        <v>4076</v>
      </c>
      <c r="BE95" t="str">
        <f t="shared" si="66"/>
        <v>Buy</v>
      </c>
      <c r="BF95" s="65">
        <f t="shared" si="67"/>
        <v>82253.679999999993</v>
      </c>
      <c r="BN95" s="75">
        <v>0.9200000000000006</v>
      </c>
      <c r="BO95" s="57">
        <v>1.150667401065397</v>
      </c>
      <c r="BP95" s="57">
        <v>4.2334302046093581</v>
      </c>
      <c r="BQ95" s="57"/>
      <c r="BR95" s="26">
        <f t="shared" si="46"/>
        <v>1.6920488028373777</v>
      </c>
      <c r="BT95" s="74">
        <v>0.88000000000000056</v>
      </c>
      <c r="BU95" s="74">
        <v>1.6606727584623777</v>
      </c>
    </row>
    <row r="96" spans="2:73" x14ac:dyDescent="0.3">
      <c r="B96" s="18" t="s">
        <v>1003</v>
      </c>
      <c r="C96" s="18" t="s">
        <v>1018</v>
      </c>
      <c r="D96" s="18" t="s">
        <v>1051</v>
      </c>
      <c r="E96" s="44" t="s">
        <v>1020</v>
      </c>
      <c r="F96" s="18" t="s">
        <v>11</v>
      </c>
      <c r="G96" s="18" t="s">
        <v>10</v>
      </c>
      <c r="H96" s="19">
        <v>77201.034681550009</v>
      </c>
      <c r="I96" s="18">
        <v>809</v>
      </c>
      <c r="J96" s="20">
        <v>110.65</v>
      </c>
      <c r="K96" s="19">
        <v>89515.85</v>
      </c>
      <c r="L96" s="12">
        <f t="shared" si="47"/>
        <v>5.9677233333333335E-3</v>
      </c>
      <c r="M96" s="12">
        <f t="shared" si="48"/>
        <v>6.1024409763905567E-3</v>
      </c>
      <c r="N96" s="15" t="str">
        <f t="shared" si="49"/>
        <v/>
      </c>
      <c r="O96" s="15" t="str">
        <f t="shared" si="50"/>
        <v/>
      </c>
      <c r="P96" s="15">
        <f t="shared" si="51"/>
        <v>1</v>
      </c>
      <c r="Q96" s="15" t="str">
        <f t="shared" si="52"/>
        <v>Buy</v>
      </c>
      <c r="R96" s="55">
        <f t="shared" si="53"/>
        <v>18</v>
      </c>
      <c r="S96" s="33">
        <f t="shared" si="54"/>
        <v>1991.7</v>
      </c>
      <c r="T96" s="33" t="str">
        <f t="shared" si="55"/>
        <v/>
      </c>
      <c r="U96" s="15" t="str">
        <f t="shared" si="56"/>
        <v/>
      </c>
      <c r="V96" s="15">
        <f t="shared" si="57"/>
        <v>0.18</v>
      </c>
      <c r="W96" s="62">
        <f t="shared" si="58"/>
        <v>9.0375056484410303E-5</v>
      </c>
      <c r="X96" s="15"/>
      <c r="Y96" s="1">
        <f t="shared" si="59"/>
        <v>-1.3471764305722327E-4</v>
      </c>
      <c r="AA96" s="48" t="s">
        <v>132</v>
      </c>
      <c r="AB96" s="47" t="s">
        <v>133</v>
      </c>
      <c r="AC96" s="47"/>
      <c r="AD96" s="47"/>
      <c r="AE96" s="47"/>
      <c r="AH96" s="35">
        <v>45714</v>
      </c>
      <c r="AI96" s="31" t="s">
        <v>1833</v>
      </c>
      <c r="AJ96" s="32">
        <v>5.4999999999999997E-3</v>
      </c>
      <c r="AK96" s="28">
        <f t="shared" si="45"/>
        <v>5.5022008803521406E-3</v>
      </c>
      <c r="AL96" s="28" t="s">
        <v>1871</v>
      </c>
      <c r="AM96" s="28" t="s">
        <v>1833</v>
      </c>
      <c r="AN96" s="28" t="s">
        <v>1872</v>
      </c>
      <c r="AO96" s="28" t="s">
        <v>1873</v>
      </c>
      <c r="AP96" s="28" t="s">
        <v>1874</v>
      </c>
      <c r="AQ96" s="28" t="s">
        <v>73</v>
      </c>
      <c r="AR96" s="28" t="s">
        <v>24</v>
      </c>
      <c r="AS96" s="73">
        <v>2064.89850346</v>
      </c>
      <c r="AT96" s="8">
        <v>20.54</v>
      </c>
      <c r="AU96" s="73" t="s">
        <v>1833</v>
      </c>
      <c r="AV96" s="73" t="b">
        <f t="shared" si="60"/>
        <v>1</v>
      </c>
      <c r="AW96" s="79">
        <v>0</v>
      </c>
      <c r="AX96" s="45" t="str">
        <f t="shared" si="61"/>
        <v/>
      </c>
      <c r="AY96" s="29" t="str">
        <f t="shared" si="62"/>
        <v/>
      </c>
      <c r="AZ96" s="29" t="str">
        <f t="shared" si="63"/>
        <v/>
      </c>
      <c r="BA96" s="29" t="s">
        <v>699</v>
      </c>
      <c r="BB96" s="29">
        <f t="shared" si="64"/>
        <v>0</v>
      </c>
      <c r="BC96">
        <f t="shared" si="65"/>
        <v>1</v>
      </c>
      <c r="BD96" s="78" cm="1">
        <f t="array" ref="BD96">IF(BC96&lt;&gt;1, "", IF(AK96&gt;0, INT(AK96/SUMPRODUCT(($AK$3:$AK$1000&gt;0)*($AK$3:$AK$1000), ($BC$3:$BC$1000))*$AB$12/AT96), INT(AK96/SUMPRODUCT(($AK$3:$AK$1000&lt;0)*($AK$3:$AK$1000), ($BC$3:$BC$1000))*$AB$13/AT96)))</f>
        <v>4005</v>
      </c>
      <c r="BE96" t="str">
        <f t="shared" si="66"/>
        <v>Buy</v>
      </c>
      <c r="BF96" s="65">
        <f t="shared" si="67"/>
        <v>82262.7</v>
      </c>
      <c r="BN96" s="75">
        <v>0.9300000000000006</v>
      </c>
      <c r="BO96" s="57">
        <v>1.150667401065397</v>
      </c>
      <c r="BP96" s="57">
        <v>4.2334302046093581</v>
      </c>
      <c r="BQ96" s="57"/>
      <c r="BR96" s="26">
        <f t="shared" si="46"/>
        <v>1.6920488028373777</v>
      </c>
      <c r="BT96" s="74">
        <v>0.89000000000000057</v>
      </c>
      <c r="BU96" s="74">
        <v>1.6606727584623777</v>
      </c>
    </row>
    <row r="97" spans="2:73" x14ac:dyDescent="0.3">
      <c r="B97" s="18" t="s">
        <v>1077</v>
      </c>
      <c r="C97" s="18" t="s">
        <v>1168</v>
      </c>
      <c r="D97" s="18" t="s">
        <v>1290</v>
      </c>
      <c r="E97" s="44" t="s">
        <v>1851</v>
      </c>
      <c r="F97" s="18" t="s">
        <v>22</v>
      </c>
      <c r="G97" s="18" t="s">
        <v>10</v>
      </c>
      <c r="H97" s="19">
        <v>2416.5487828800001</v>
      </c>
      <c r="I97" s="18">
        <v>6068</v>
      </c>
      <c r="J97" s="20">
        <v>13.08</v>
      </c>
      <c r="K97" s="19">
        <v>79369.440000000002</v>
      </c>
      <c r="L97" s="12">
        <f t="shared" si="47"/>
        <v>5.291296E-3</v>
      </c>
      <c r="M97" s="12">
        <f t="shared" si="48"/>
        <v>5.5022008803521406E-3</v>
      </c>
      <c r="N97" s="15" t="str">
        <f t="shared" si="49"/>
        <v/>
      </c>
      <c r="O97" s="15" t="str">
        <f t="shared" si="50"/>
        <v/>
      </c>
      <c r="P97" s="15">
        <f t="shared" si="51"/>
        <v>1</v>
      </c>
      <c r="Q97" s="15" t="str">
        <f t="shared" si="52"/>
        <v>Buy</v>
      </c>
      <c r="R97" s="55">
        <f t="shared" si="53"/>
        <v>241</v>
      </c>
      <c r="S97" s="33">
        <f t="shared" si="54"/>
        <v>3152.28</v>
      </c>
      <c r="T97" s="33" t="str">
        <f t="shared" si="55"/>
        <v/>
      </c>
      <c r="U97" s="15" t="str">
        <f t="shared" si="56"/>
        <v/>
      </c>
      <c r="V97" s="15">
        <f t="shared" si="57"/>
        <v>2.41</v>
      </c>
      <c r="W97" s="62">
        <f t="shared" si="58"/>
        <v>7.6452599388379206E-4</v>
      </c>
      <c r="X97" s="15"/>
      <c r="Y97" s="1">
        <f t="shared" si="59"/>
        <v>-2.1090488035214062E-4</v>
      </c>
      <c r="AH97" s="35">
        <v>45714</v>
      </c>
      <c r="AI97" s="31" t="s">
        <v>1077</v>
      </c>
      <c r="AJ97" s="32">
        <v>5.4999999999999997E-3</v>
      </c>
      <c r="AK97" s="28">
        <f t="shared" si="45"/>
        <v>5.5022008803521406E-3</v>
      </c>
      <c r="AL97" s="28" t="s">
        <v>1168</v>
      </c>
      <c r="AM97" s="28" t="s">
        <v>1077</v>
      </c>
      <c r="AN97" s="28" t="s">
        <v>1169</v>
      </c>
      <c r="AO97" s="28" t="s">
        <v>1170</v>
      </c>
      <c r="AP97" s="28" t="s">
        <v>1851</v>
      </c>
      <c r="AQ97" s="28" t="s">
        <v>73</v>
      </c>
      <c r="AR97" s="28" t="s">
        <v>22</v>
      </c>
      <c r="AS97" s="73">
        <v>2405.35653085991</v>
      </c>
      <c r="AT97" s="8">
        <v>13.08</v>
      </c>
      <c r="AU97" s="73" t="s">
        <v>1077</v>
      </c>
      <c r="AV97" s="73" t="b">
        <f t="shared" si="60"/>
        <v>1</v>
      </c>
      <c r="AW97" s="79">
        <v>0</v>
      </c>
      <c r="AX97" s="45" t="str">
        <f t="shared" si="61"/>
        <v/>
      </c>
      <c r="AY97" s="29" t="str">
        <f t="shared" si="62"/>
        <v/>
      </c>
      <c r="AZ97" s="29" t="str">
        <f t="shared" si="63"/>
        <v/>
      </c>
      <c r="BA97" s="29" t="s">
        <v>699</v>
      </c>
      <c r="BB97" s="29">
        <f t="shared" si="64"/>
        <v>0</v>
      </c>
      <c r="BC97">
        <f t="shared" si="65"/>
        <v>0</v>
      </c>
      <c r="BD97" s="78" t="str" cm="1">
        <f t="array" ref="BD97">IF(BC97&lt;&gt;1, "", IF(AK97&gt;0, INT(AK97/SUMPRODUCT(($AK$3:$AK$1000&gt;0)*($AK$3:$AK$1000), ($BC$3:$BC$1000))*$AB$12/AT97), INT(AK97/SUMPRODUCT(($AK$3:$AK$1000&lt;0)*($AK$3:$AK$1000), ($BC$3:$BC$1000))*$AB$13/AT97)))</f>
        <v/>
      </c>
      <c r="BE97" t="str">
        <f t="shared" si="66"/>
        <v/>
      </c>
      <c r="BF97" s="65" t="str">
        <f t="shared" si="67"/>
        <v/>
      </c>
      <c r="BN97" s="75">
        <v>0.94000000000000061</v>
      </c>
      <c r="BO97" s="57">
        <v>1.150667401065397</v>
      </c>
      <c r="BP97" s="57">
        <v>4.2334302046093581</v>
      </c>
      <c r="BQ97" s="57"/>
      <c r="BR97" s="26">
        <f t="shared" si="46"/>
        <v>1.6920488028373777</v>
      </c>
      <c r="BT97" s="74">
        <v>0.90000000000000058</v>
      </c>
      <c r="BU97" s="74">
        <v>1.6920488028373777</v>
      </c>
    </row>
    <row r="98" spans="2:73" x14ac:dyDescent="0.3">
      <c r="B98" s="18" t="s">
        <v>1076</v>
      </c>
      <c r="C98" s="18" t="s">
        <v>1165</v>
      </c>
      <c r="D98" s="18" t="s">
        <v>1289</v>
      </c>
      <c r="E98" s="44" t="s">
        <v>1167</v>
      </c>
      <c r="F98" s="18" t="s">
        <v>11</v>
      </c>
      <c r="G98" s="18" t="s">
        <v>10</v>
      </c>
      <c r="H98" s="19">
        <v>80472.899999999994</v>
      </c>
      <c r="I98" s="18">
        <v>819</v>
      </c>
      <c r="J98" s="20">
        <v>93</v>
      </c>
      <c r="K98" s="19">
        <v>76167</v>
      </c>
      <c r="L98" s="12">
        <f t="shared" si="47"/>
        <v>5.0778000000000004E-3</v>
      </c>
      <c r="M98" s="12">
        <f t="shared" si="48"/>
        <v>5.3021208483393359E-3</v>
      </c>
      <c r="N98" s="15" t="str">
        <f t="shared" si="49"/>
        <v/>
      </c>
      <c r="O98" s="15" t="str">
        <f t="shared" si="50"/>
        <v/>
      </c>
      <c r="P98" s="15">
        <f t="shared" si="51"/>
        <v>1</v>
      </c>
      <c r="Q98" s="15" t="str">
        <f t="shared" si="52"/>
        <v>Buy</v>
      </c>
      <c r="R98" s="55">
        <f t="shared" si="53"/>
        <v>36</v>
      </c>
      <c r="S98" s="33">
        <f t="shared" si="54"/>
        <v>3348</v>
      </c>
      <c r="T98" s="33" t="str">
        <f t="shared" si="55"/>
        <v/>
      </c>
      <c r="U98" s="15" t="str">
        <f t="shared" si="56"/>
        <v/>
      </c>
      <c r="V98" s="15">
        <f t="shared" si="57"/>
        <v>0.36</v>
      </c>
      <c r="W98" s="62">
        <f t="shared" si="58"/>
        <v>1.0752688172043011E-4</v>
      </c>
      <c r="X98" s="15"/>
      <c r="Y98" s="1">
        <f t="shared" si="59"/>
        <v>-2.2432084833933549E-4</v>
      </c>
      <c r="AH98" s="35">
        <v>45714</v>
      </c>
      <c r="AI98" s="31" t="s">
        <v>766</v>
      </c>
      <c r="AJ98" s="32">
        <v>5.4000000000000003E-3</v>
      </c>
      <c r="AK98" s="28">
        <f t="shared" si="45"/>
        <v>5.4021608643457387E-3</v>
      </c>
      <c r="AL98" s="28" t="s">
        <v>786</v>
      </c>
      <c r="AM98" s="28" t="s">
        <v>766</v>
      </c>
      <c r="AN98" s="28" t="s">
        <v>873</v>
      </c>
      <c r="AO98" s="28" t="s">
        <v>787</v>
      </c>
      <c r="AP98" s="28" t="s">
        <v>788</v>
      </c>
      <c r="AQ98" s="28" t="s">
        <v>73</v>
      </c>
      <c r="AR98" s="28" t="s">
        <v>13</v>
      </c>
      <c r="AS98" s="73">
        <v>1565.79767552</v>
      </c>
      <c r="AT98" s="73">
        <v>30.08</v>
      </c>
      <c r="AU98" s="73" t="s">
        <v>766</v>
      </c>
      <c r="AV98" s="73" t="b">
        <f t="shared" si="60"/>
        <v>1</v>
      </c>
      <c r="AW98" s="79">
        <v>0</v>
      </c>
      <c r="AX98" s="45" t="str">
        <f t="shared" si="61"/>
        <v/>
      </c>
      <c r="AY98" s="29" t="str">
        <f t="shared" si="62"/>
        <v/>
      </c>
      <c r="AZ98" s="29" t="str">
        <f t="shared" si="63"/>
        <v/>
      </c>
      <c r="BA98" s="29" t="s">
        <v>699</v>
      </c>
      <c r="BB98" s="29">
        <f t="shared" si="64"/>
        <v>0</v>
      </c>
      <c r="BC98">
        <f t="shared" si="65"/>
        <v>0</v>
      </c>
      <c r="BD98" s="78" t="str" cm="1">
        <f t="array" ref="BD98">IF(BC98&lt;&gt;1, "", IF(AK98&gt;0, INT(AK98/SUMPRODUCT(($AK$3:$AK$1000&gt;0)*($AK$3:$AK$1000), ($BC$3:$BC$1000))*$AB$12/AT98), INT(AK98/SUMPRODUCT(($AK$3:$AK$1000&lt;0)*($AK$3:$AK$1000), ($BC$3:$BC$1000))*$AB$13/AT98)))</f>
        <v/>
      </c>
      <c r="BE98" t="str">
        <f t="shared" si="66"/>
        <v/>
      </c>
      <c r="BF98" s="65" t="str">
        <f t="shared" si="67"/>
        <v/>
      </c>
      <c r="BN98" s="75">
        <v>0.95000000000000062</v>
      </c>
      <c r="BO98" s="57">
        <v>1.150667401065397</v>
      </c>
      <c r="BP98" s="57">
        <v>4.2334302046093581</v>
      </c>
      <c r="BQ98" s="57"/>
      <c r="BR98" s="26">
        <f t="shared" si="46"/>
        <v>1.6920488028373777</v>
      </c>
      <c r="BT98" s="74">
        <v>0.91000000000000059</v>
      </c>
      <c r="BU98" s="74">
        <v>1.6920488028373777</v>
      </c>
    </row>
    <row r="99" spans="2:73" x14ac:dyDescent="0.3">
      <c r="B99" s="18" t="s">
        <v>1325</v>
      </c>
      <c r="C99" s="18" t="s">
        <v>1358</v>
      </c>
      <c r="D99" s="18" t="s">
        <v>1392</v>
      </c>
      <c r="E99" s="44" t="s">
        <v>1361</v>
      </c>
      <c r="F99" s="18" t="s">
        <v>14</v>
      </c>
      <c r="G99" s="18" t="s">
        <v>10</v>
      </c>
      <c r="H99" s="19">
        <v>622.77718463999997</v>
      </c>
      <c r="I99" s="18">
        <v>1860</v>
      </c>
      <c r="J99" s="20">
        <v>40.909999999999997</v>
      </c>
      <c r="K99" s="19">
        <v>76092.599999999991</v>
      </c>
      <c r="L99" s="12">
        <f t="shared" si="47"/>
        <v>5.0728399999999995E-3</v>
      </c>
      <c r="M99" s="12">
        <f t="shared" si="48"/>
        <v>5.0020008003201282E-3</v>
      </c>
      <c r="N99" s="15" t="str">
        <f t="shared" si="49"/>
        <v/>
      </c>
      <c r="O99" s="15" t="str">
        <f t="shared" si="50"/>
        <v/>
      </c>
      <c r="P99" s="15" t="str">
        <f t="shared" si="51"/>
        <v/>
      </c>
      <c r="Q99" s="15" t="str">
        <f t="shared" si="52"/>
        <v/>
      </c>
      <c r="R99" s="55" t="str">
        <f t="shared" si="53"/>
        <v/>
      </c>
      <c r="S99" s="33" t="str">
        <f t="shared" si="54"/>
        <v/>
      </c>
      <c r="T99" s="33" t="str">
        <f t="shared" si="55"/>
        <v/>
      </c>
      <c r="U99" s="15" t="str">
        <f t="shared" si="56"/>
        <v/>
      </c>
      <c r="V99" s="15" t="str">
        <f t="shared" si="57"/>
        <v/>
      </c>
      <c r="W99" s="62" t="str">
        <f t="shared" si="58"/>
        <v/>
      </c>
      <c r="X99" s="15"/>
      <c r="Y99" s="1">
        <f t="shared" si="59"/>
        <v>7.083919967987122E-5</v>
      </c>
      <c r="AH99" s="35">
        <v>45714</v>
      </c>
      <c r="AI99" s="31" t="s">
        <v>1076</v>
      </c>
      <c r="AJ99" s="32">
        <v>5.3E-3</v>
      </c>
      <c r="AK99" s="28">
        <f t="shared" si="45"/>
        <v>5.3021208483393359E-3</v>
      </c>
      <c r="AL99" s="28" t="s">
        <v>1165</v>
      </c>
      <c r="AM99" s="28" t="s">
        <v>1076</v>
      </c>
      <c r="AN99" s="28" t="s">
        <v>1682</v>
      </c>
      <c r="AO99" s="28" t="s">
        <v>1166</v>
      </c>
      <c r="AP99" s="28" t="s">
        <v>1167</v>
      </c>
      <c r="AQ99" s="28" t="s">
        <v>73</v>
      </c>
      <c r="AR99" s="28" t="s">
        <v>11</v>
      </c>
      <c r="AS99" s="73">
        <v>80472.899999999994</v>
      </c>
      <c r="AT99" s="8">
        <v>93</v>
      </c>
      <c r="AU99" s="73" t="s">
        <v>1076</v>
      </c>
      <c r="AV99" s="73" t="b">
        <f t="shared" si="60"/>
        <v>1</v>
      </c>
      <c r="AW99" s="79">
        <v>0</v>
      </c>
      <c r="AX99" s="45" t="str">
        <f t="shared" si="61"/>
        <v/>
      </c>
      <c r="AY99" s="29" t="str">
        <f t="shared" si="62"/>
        <v/>
      </c>
      <c r="AZ99" s="29" t="str">
        <f t="shared" si="63"/>
        <v/>
      </c>
      <c r="BA99" s="29" t="s">
        <v>699</v>
      </c>
      <c r="BB99" s="29">
        <f t="shared" si="64"/>
        <v>0</v>
      </c>
      <c r="BC99">
        <f t="shared" si="65"/>
        <v>0</v>
      </c>
      <c r="BD99" s="78" t="str" cm="1">
        <f t="array" ref="BD99">IF(BC99&lt;&gt;1, "", IF(AK99&gt;0, INT(AK99/SUMPRODUCT(($AK$3:$AK$1000&gt;0)*($AK$3:$AK$1000), ($BC$3:$BC$1000))*$AB$12/AT99), INT(AK99/SUMPRODUCT(($AK$3:$AK$1000&lt;0)*($AK$3:$AK$1000), ($BC$3:$BC$1000))*$AB$13/AT99)))</f>
        <v/>
      </c>
      <c r="BE99" t="str">
        <f t="shared" si="66"/>
        <v/>
      </c>
      <c r="BF99" s="65" t="str">
        <f t="shared" si="67"/>
        <v/>
      </c>
      <c r="BN99" s="75">
        <v>0.96000000000000063</v>
      </c>
      <c r="BO99" s="57">
        <v>1.150667401065397</v>
      </c>
      <c r="BP99" s="57">
        <v>3.8549350114843581</v>
      </c>
      <c r="BQ99" s="57"/>
      <c r="BR99" s="26">
        <f t="shared" si="46"/>
        <v>1.5028012062748775</v>
      </c>
      <c r="BT99" s="74">
        <v>0.9200000000000006</v>
      </c>
      <c r="BU99" s="74">
        <v>1.6920488028373777</v>
      </c>
    </row>
    <row r="100" spans="2:73" x14ac:dyDescent="0.3">
      <c r="B100" s="18" t="s">
        <v>1411</v>
      </c>
      <c r="C100" s="18" t="s">
        <v>1447</v>
      </c>
      <c r="D100" s="18" t="s">
        <v>1491</v>
      </c>
      <c r="E100" s="44" t="s">
        <v>1450</v>
      </c>
      <c r="F100" s="18" t="s">
        <v>22</v>
      </c>
      <c r="G100" s="18" t="s">
        <v>10</v>
      </c>
      <c r="H100" s="19">
        <v>2600.1445060000001</v>
      </c>
      <c r="I100" s="18">
        <v>1649</v>
      </c>
      <c r="J100" s="20">
        <v>45.52</v>
      </c>
      <c r="K100" s="19">
        <v>75062.48000000001</v>
      </c>
      <c r="L100" s="12">
        <f t="shared" si="47"/>
        <v>5.0041653333333337E-3</v>
      </c>
      <c r="M100" s="12">
        <f t="shared" si="48"/>
        <v>4.7018807523009206E-3</v>
      </c>
      <c r="N100" s="15" t="str">
        <f t="shared" si="49"/>
        <v/>
      </c>
      <c r="O100" s="15" t="str">
        <f t="shared" si="50"/>
        <v/>
      </c>
      <c r="P100" s="15">
        <f t="shared" si="51"/>
        <v>1</v>
      </c>
      <c r="Q100" s="15" t="str">
        <f t="shared" si="52"/>
        <v>Sell</v>
      </c>
      <c r="R100" s="55">
        <f t="shared" si="53"/>
        <v>99</v>
      </c>
      <c r="S100" s="33">
        <f t="shared" si="54"/>
        <v>4506.4800000000005</v>
      </c>
      <c r="T100" s="33" t="str">
        <f t="shared" si="55"/>
        <v/>
      </c>
      <c r="U100" s="15" t="str">
        <f t="shared" si="56"/>
        <v/>
      </c>
      <c r="V100" s="15">
        <f t="shared" si="57"/>
        <v>0.99</v>
      </c>
      <c r="W100" s="62">
        <f t="shared" si="58"/>
        <v>2.1968365553602811E-4</v>
      </c>
      <c r="X100" s="15"/>
      <c r="Y100" s="1">
        <f t="shared" si="59"/>
        <v>3.0228458103241304E-4</v>
      </c>
      <c r="AH100" s="35">
        <v>45714</v>
      </c>
      <c r="AI100" s="31" t="s">
        <v>1834</v>
      </c>
      <c r="AJ100" s="32">
        <v>5.0000000000000001E-3</v>
      </c>
      <c r="AK100" s="28">
        <f t="shared" si="45"/>
        <v>5.0020008003201282E-3</v>
      </c>
      <c r="AL100" s="28" t="s">
        <v>1875</v>
      </c>
      <c r="AM100" s="28" t="s">
        <v>1834</v>
      </c>
      <c r="AN100" s="28" t="s">
        <v>1876</v>
      </c>
      <c r="AO100" s="28" t="s">
        <v>1877</v>
      </c>
      <c r="AP100" s="28" t="s">
        <v>1878</v>
      </c>
      <c r="AQ100" s="28" t="s">
        <v>73</v>
      </c>
      <c r="AR100" s="28" t="s">
        <v>20</v>
      </c>
      <c r="AS100" s="73">
        <v>5946.2481002699997</v>
      </c>
      <c r="AT100" s="8">
        <v>102.03</v>
      </c>
      <c r="AU100" s="73" t="s">
        <v>1834</v>
      </c>
      <c r="AV100" s="73" t="b">
        <f t="shared" si="60"/>
        <v>1</v>
      </c>
      <c r="AW100" s="79">
        <v>0</v>
      </c>
      <c r="AX100" s="45" t="str">
        <f t="shared" si="61"/>
        <v/>
      </c>
      <c r="AY100" s="29" t="str">
        <f t="shared" si="62"/>
        <v/>
      </c>
      <c r="AZ100" s="29" t="str">
        <f t="shared" si="63"/>
        <v/>
      </c>
      <c r="BA100" s="29" t="s">
        <v>699</v>
      </c>
      <c r="BB100" s="29">
        <f t="shared" si="64"/>
        <v>0</v>
      </c>
      <c r="BC100">
        <f t="shared" si="65"/>
        <v>1</v>
      </c>
      <c r="BD100" s="78" cm="1">
        <f t="array" ref="BD100">IF(BC100&lt;&gt;1, "", IF(AK100&gt;0, INT(AK100/SUMPRODUCT(($AK$3:$AK$1000&gt;0)*($AK$3:$AK$1000), ($BC$3:$BC$1000))*$AB$12/AT100), INT(AK100/SUMPRODUCT(($AK$3:$AK$1000&lt;0)*($AK$3:$AK$1000), ($BC$3:$BC$1000))*$AB$13/AT100)))</f>
        <v>733</v>
      </c>
      <c r="BE100" t="str">
        <f t="shared" si="66"/>
        <v>Buy</v>
      </c>
      <c r="BF100" s="65">
        <f t="shared" si="67"/>
        <v>74787.990000000005</v>
      </c>
      <c r="BN100" s="75">
        <v>0.97000000000000064</v>
      </c>
      <c r="BO100" s="57">
        <v>1.150667401065397</v>
      </c>
      <c r="BP100" s="57">
        <v>3.8549350114843581</v>
      </c>
      <c r="BQ100" s="57"/>
      <c r="BR100" s="26">
        <f t="shared" si="46"/>
        <v>1.5028012062748775</v>
      </c>
      <c r="BT100" s="74">
        <v>0.9300000000000006</v>
      </c>
      <c r="BU100" s="74">
        <v>1.6920488028373777</v>
      </c>
    </row>
    <row r="101" spans="2:73" x14ac:dyDescent="0.3">
      <c r="B101" s="18" t="s">
        <v>1408</v>
      </c>
      <c r="C101" s="18" t="s">
        <v>1435</v>
      </c>
      <c r="D101" s="18" t="s">
        <v>1488</v>
      </c>
      <c r="E101" s="44" t="s">
        <v>1438</v>
      </c>
      <c r="F101" s="18" t="s">
        <v>19</v>
      </c>
      <c r="G101" s="18" t="s">
        <v>10</v>
      </c>
      <c r="H101" s="19">
        <v>371.93262264000003</v>
      </c>
      <c r="I101" s="18">
        <v>5614</v>
      </c>
      <c r="J101" s="20">
        <v>13.21</v>
      </c>
      <c r="K101" s="19">
        <v>74160.94</v>
      </c>
      <c r="L101" s="12">
        <f t="shared" si="47"/>
        <v>4.9440626666666671E-3</v>
      </c>
      <c r="M101" s="12">
        <f t="shared" si="48"/>
        <v>6.0024009603841539E-3</v>
      </c>
      <c r="N101" s="15" t="str">
        <f t="shared" si="49"/>
        <v/>
      </c>
      <c r="O101" s="15" t="str">
        <f t="shared" si="50"/>
        <v/>
      </c>
      <c r="P101" s="15">
        <f t="shared" si="51"/>
        <v>1</v>
      </c>
      <c r="Q101" s="15" t="str">
        <f t="shared" si="52"/>
        <v>Buy</v>
      </c>
      <c r="R101" s="55">
        <f t="shared" si="53"/>
        <v>1201</v>
      </c>
      <c r="S101" s="33">
        <f t="shared" si="54"/>
        <v>15865.210000000001</v>
      </c>
      <c r="T101" s="33" t="str">
        <f t="shared" si="55"/>
        <v/>
      </c>
      <c r="U101" s="15" t="str">
        <f t="shared" si="56"/>
        <v/>
      </c>
      <c r="V101" s="15">
        <f t="shared" si="57"/>
        <v>12.01</v>
      </c>
      <c r="W101" s="62">
        <f t="shared" si="58"/>
        <v>7.5700227100681291E-4</v>
      </c>
      <c r="X101" s="15"/>
      <c r="Y101" s="1">
        <f t="shared" si="59"/>
        <v>-1.0583382937174868E-3</v>
      </c>
      <c r="AH101" s="35">
        <v>45714</v>
      </c>
      <c r="AI101" s="31" t="s">
        <v>1325</v>
      </c>
      <c r="AJ101" s="32">
        <v>5.0000000000000001E-3</v>
      </c>
      <c r="AK101" s="28">
        <f t="shared" si="45"/>
        <v>5.0020008003201282E-3</v>
      </c>
      <c r="AL101" s="28" t="s">
        <v>1358</v>
      </c>
      <c r="AM101" s="28" t="s">
        <v>1325</v>
      </c>
      <c r="AN101" s="28" t="s">
        <v>1359</v>
      </c>
      <c r="AO101" s="28" t="s">
        <v>1360</v>
      </c>
      <c r="AP101" s="28" t="s">
        <v>1361</v>
      </c>
      <c r="AQ101" s="28" t="s">
        <v>73</v>
      </c>
      <c r="AR101" s="28" t="s">
        <v>14</v>
      </c>
      <c r="AS101" s="73">
        <v>622.77718463999997</v>
      </c>
      <c r="AT101" s="8">
        <v>40.909999999999997</v>
      </c>
      <c r="AU101" s="73" t="s">
        <v>1325</v>
      </c>
      <c r="AV101" s="73" t="b">
        <f t="shared" si="60"/>
        <v>1</v>
      </c>
      <c r="AW101" s="79">
        <v>0</v>
      </c>
      <c r="AX101" s="45" t="str">
        <f t="shared" si="61"/>
        <v/>
      </c>
      <c r="AY101" s="29" t="str">
        <f t="shared" si="62"/>
        <v/>
      </c>
      <c r="AZ101" s="29" t="str">
        <f t="shared" si="63"/>
        <v/>
      </c>
      <c r="BA101" s="29" t="s">
        <v>699</v>
      </c>
      <c r="BB101" s="29">
        <f t="shared" si="64"/>
        <v>0</v>
      </c>
      <c r="BC101">
        <f t="shared" si="65"/>
        <v>0</v>
      </c>
      <c r="BD101" s="78" t="str" cm="1">
        <f t="array" ref="BD101">IF(BC101&lt;&gt;1, "", IF(AK101&gt;0, INT(AK101/SUMPRODUCT(($AK$3:$AK$1000&gt;0)*($AK$3:$AK$1000), ($BC$3:$BC$1000))*$AB$12/AT101), INT(AK101/SUMPRODUCT(($AK$3:$AK$1000&lt;0)*($AK$3:$AK$1000), ($BC$3:$BC$1000))*$AB$13/AT101)))</f>
        <v/>
      </c>
      <c r="BE101" t="str">
        <f t="shared" si="66"/>
        <v/>
      </c>
      <c r="BF101" s="65" t="str">
        <f t="shared" si="67"/>
        <v/>
      </c>
      <c r="BN101" s="75">
        <v>0.98000000000000065</v>
      </c>
      <c r="BO101" s="57">
        <v>1.150667401065397</v>
      </c>
      <c r="BP101" s="57">
        <v>3.8549350114843581</v>
      </c>
      <c r="BQ101" s="57"/>
      <c r="BR101" s="26">
        <f t="shared" si="46"/>
        <v>1.5028012062748775</v>
      </c>
      <c r="BT101" s="74">
        <v>0.94000000000000061</v>
      </c>
      <c r="BU101" s="74">
        <v>1.6920488028373777</v>
      </c>
    </row>
    <row r="102" spans="2:73" x14ac:dyDescent="0.3">
      <c r="B102" s="18" t="s">
        <v>766</v>
      </c>
      <c r="C102" s="18" t="s">
        <v>786</v>
      </c>
      <c r="D102" s="18" t="s">
        <v>830</v>
      </c>
      <c r="E102" s="44" t="s">
        <v>788</v>
      </c>
      <c r="F102" s="18" t="s">
        <v>13</v>
      </c>
      <c r="G102" s="18" t="s">
        <v>10</v>
      </c>
      <c r="H102" s="19">
        <v>1565.79767552</v>
      </c>
      <c r="I102" s="18">
        <v>2361</v>
      </c>
      <c r="J102" s="20">
        <v>30.08</v>
      </c>
      <c r="K102" s="19">
        <v>71018.87999999999</v>
      </c>
      <c r="L102" s="12">
        <f t="shared" si="47"/>
        <v>4.7345919999999993E-3</v>
      </c>
      <c r="M102" s="12">
        <f t="shared" si="48"/>
        <v>5.4021608643457387E-3</v>
      </c>
      <c r="N102" s="15" t="str">
        <f t="shared" si="49"/>
        <v/>
      </c>
      <c r="O102" s="15" t="str">
        <f t="shared" si="50"/>
        <v/>
      </c>
      <c r="P102" s="15">
        <f t="shared" si="51"/>
        <v>1</v>
      </c>
      <c r="Q102" s="15" t="str">
        <f t="shared" si="52"/>
        <v>Buy</v>
      </c>
      <c r="R102" s="55">
        <f t="shared" si="53"/>
        <v>332</v>
      </c>
      <c r="S102" s="33">
        <f t="shared" si="54"/>
        <v>9986.56</v>
      </c>
      <c r="T102" s="33" t="str">
        <f t="shared" si="55"/>
        <v/>
      </c>
      <c r="U102" s="15" t="str">
        <f t="shared" si="56"/>
        <v/>
      </c>
      <c r="V102" s="15">
        <f t="shared" si="57"/>
        <v>3.3200000000000003</v>
      </c>
      <c r="W102" s="62">
        <f t="shared" si="58"/>
        <v>3.3244680851063834E-4</v>
      </c>
      <c r="X102" s="15"/>
      <c r="Y102" s="1">
        <f t="shared" si="59"/>
        <v>-6.6756886434573941E-4</v>
      </c>
      <c r="AH102" s="35">
        <v>45714</v>
      </c>
      <c r="AI102" s="31" t="s">
        <v>298</v>
      </c>
      <c r="AJ102" s="32">
        <v>4.7000000000000002E-3</v>
      </c>
      <c r="AK102" s="28">
        <f t="shared" si="45"/>
        <v>4.7018807523009206E-3</v>
      </c>
      <c r="AL102" s="28" t="s">
        <v>641</v>
      </c>
      <c r="AM102" s="28" t="s">
        <v>298</v>
      </c>
      <c r="AN102" s="28" t="s">
        <v>300</v>
      </c>
      <c r="AO102" s="28" t="s">
        <v>301</v>
      </c>
      <c r="AP102" s="28" t="s">
        <v>302</v>
      </c>
      <c r="AQ102" s="28" t="s">
        <v>73</v>
      </c>
      <c r="AR102" s="28" t="s">
        <v>22</v>
      </c>
      <c r="AS102" s="73">
        <v>838.92343673000005</v>
      </c>
      <c r="AT102" s="8">
        <v>8.2899999999999991</v>
      </c>
      <c r="AU102" s="73" t="s">
        <v>298</v>
      </c>
      <c r="AV102" s="73" t="b">
        <f t="shared" si="60"/>
        <v>1</v>
      </c>
      <c r="AW102" s="79">
        <v>0</v>
      </c>
      <c r="AX102" s="45" t="str">
        <f t="shared" si="61"/>
        <v/>
      </c>
      <c r="AY102" s="29" t="str">
        <f t="shared" si="62"/>
        <v/>
      </c>
      <c r="AZ102" s="29" t="str">
        <f t="shared" si="63"/>
        <v/>
      </c>
      <c r="BA102" s="29" t="s">
        <v>699</v>
      </c>
      <c r="BB102" s="29">
        <f t="shared" si="64"/>
        <v>0</v>
      </c>
      <c r="BC102">
        <f t="shared" si="65"/>
        <v>0</v>
      </c>
      <c r="BD102" s="78" t="str" cm="1">
        <f t="array" ref="BD102">IF(BC102&lt;&gt;1, "", IF(AK102&gt;0, INT(AK102/SUMPRODUCT(($AK$3:$AK$1000&gt;0)*($AK$3:$AK$1000), ($BC$3:$BC$1000))*$AB$12/AT102), INT(AK102/SUMPRODUCT(($AK$3:$AK$1000&lt;0)*($AK$3:$AK$1000), ($BC$3:$BC$1000))*$AB$13/AT102)))</f>
        <v/>
      </c>
      <c r="BE102" t="str">
        <f t="shared" si="66"/>
        <v/>
      </c>
      <c r="BF102" s="65" t="str">
        <f t="shared" si="67"/>
        <v/>
      </c>
      <c r="BN102" s="75">
        <v>0.99000000000000066</v>
      </c>
      <c r="BO102" s="57">
        <v>1.150667401065397</v>
      </c>
      <c r="BP102" s="57">
        <v>3.8549350114843581</v>
      </c>
      <c r="BQ102" s="57"/>
      <c r="BR102" s="26">
        <f t="shared" si="46"/>
        <v>1.5028012062748775</v>
      </c>
      <c r="BT102" s="74">
        <v>0.95000000000000062</v>
      </c>
      <c r="BU102" s="74">
        <v>1.6920488028373777</v>
      </c>
    </row>
    <row r="103" spans="2:73" x14ac:dyDescent="0.3">
      <c r="B103" s="18" t="s">
        <v>298</v>
      </c>
      <c r="C103" s="18" t="s">
        <v>641</v>
      </c>
      <c r="D103" s="18" t="s">
        <v>829</v>
      </c>
      <c r="E103" s="44" t="s">
        <v>302</v>
      </c>
      <c r="F103" s="18" t="s">
        <v>22</v>
      </c>
      <c r="G103" s="18" t="s">
        <v>10</v>
      </c>
      <c r="H103" s="19">
        <v>838.92343672999993</v>
      </c>
      <c r="I103" s="18">
        <v>8357</v>
      </c>
      <c r="J103" s="20">
        <v>8.2899999999999991</v>
      </c>
      <c r="K103" s="19">
        <v>69279.53</v>
      </c>
      <c r="L103" s="12">
        <f t="shared" si="47"/>
        <v>4.6186353333333334E-3</v>
      </c>
      <c r="M103" s="12">
        <f t="shared" si="48"/>
        <v>4.7018807523009206E-3</v>
      </c>
      <c r="N103" s="15" t="str">
        <f t="shared" si="49"/>
        <v/>
      </c>
      <c r="O103" s="15" t="str">
        <f t="shared" si="50"/>
        <v/>
      </c>
      <c r="P103" s="15" t="str">
        <f t="shared" si="51"/>
        <v/>
      </c>
      <c r="Q103" s="15" t="str">
        <f t="shared" si="52"/>
        <v/>
      </c>
      <c r="R103" s="55" t="str">
        <f t="shared" si="53"/>
        <v/>
      </c>
      <c r="S103" s="33" t="str">
        <f t="shared" si="54"/>
        <v/>
      </c>
      <c r="T103" s="33" t="str">
        <f t="shared" si="55"/>
        <v/>
      </c>
      <c r="U103" s="15" t="str">
        <f t="shared" si="56"/>
        <v/>
      </c>
      <c r="V103" s="15" t="str">
        <f t="shared" si="57"/>
        <v/>
      </c>
      <c r="W103" s="62" t="str">
        <f t="shared" si="58"/>
        <v/>
      </c>
      <c r="X103" s="15"/>
      <c r="Y103" s="1">
        <f t="shared" si="59"/>
        <v>-8.3245418967587206E-5</v>
      </c>
      <c r="AH103" s="35">
        <v>45714</v>
      </c>
      <c r="AI103" s="31" t="s">
        <v>1411</v>
      </c>
      <c r="AJ103" s="32">
        <v>4.7000000000000002E-3</v>
      </c>
      <c r="AK103" s="28">
        <f t="shared" si="45"/>
        <v>4.7018807523009206E-3</v>
      </c>
      <c r="AL103" s="28" t="s">
        <v>1447</v>
      </c>
      <c r="AM103" s="28" t="s">
        <v>1411</v>
      </c>
      <c r="AN103" s="28" t="s">
        <v>1448</v>
      </c>
      <c r="AO103" s="28" t="s">
        <v>1449</v>
      </c>
      <c r="AP103" s="28" t="s">
        <v>1450</v>
      </c>
      <c r="AQ103" s="28" t="s">
        <v>73</v>
      </c>
      <c r="AR103" s="28" t="s">
        <v>22</v>
      </c>
      <c r="AS103" s="73">
        <v>2600.1445060000001</v>
      </c>
      <c r="AT103" s="8">
        <v>45.52</v>
      </c>
      <c r="AU103" s="73" t="s">
        <v>1411</v>
      </c>
      <c r="AV103" s="73" t="b">
        <f t="shared" si="60"/>
        <v>1</v>
      </c>
      <c r="AW103" s="79">
        <v>0</v>
      </c>
      <c r="AX103" s="45" t="str">
        <f t="shared" si="61"/>
        <v/>
      </c>
      <c r="AY103" s="29" t="str">
        <f t="shared" si="62"/>
        <v/>
      </c>
      <c r="AZ103" s="29" t="str">
        <f t="shared" si="63"/>
        <v/>
      </c>
      <c r="BA103" s="29" t="s">
        <v>699</v>
      </c>
      <c r="BB103" s="29">
        <f t="shared" si="64"/>
        <v>0</v>
      </c>
      <c r="BC103">
        <f t="shared" si="65"/>
        <v>0</v>
      </c>
      <c r="BD103" s="78" t="str" cm="1">
        <f t="array" ref="BD103">IF(BC103&lt;&gt;1, "", IF(AK103&gt;0, INT(AK103/SUMPRODUCT(($AK$3:$AK$1000&gt;0)*($AK$3:$AK$1000), ($BC$3:$BC$1000))*$AB$12/AT103), INT(AK103/SUMPRODUCT(($AK$3:$AK$1000&lt;0)*($AK$3:$AK$1000), ($BC$3:$BC$1000))*$AB$13/AT103)))</f>
        <v/>
      </c>
      <c r="BE103" t="str">
        <f t="shared" si="66"/>
        <v/>
      </c>
      <c r="BF103" s="65" t="str">
        <f t="shared" si="67"/>
        <v/>
      </c>
    </row>
    <row r="104" spans="2:73" x14ac:dyDescent="0.3">
      <c r="B104" s="18" t="s">
        <v>899</v>
      </c>
      <c r="C104" s="18" t="s">
        <v>908</v>
      </c>
      <c r="D104" s="18" t="s">
        <v>937</v>
      </c>
      <c r="E104" s="44" t="s">
        <v>910</v>
      </c>
      <c r="F104" s="18" t="s">
        <v>14</v>
      </c>
      <c r="G104" s="18" t="s">
        <v>10</v>
      </c>
      <c r="H104" s="19">
        <v>5084.1155007700008</v>
      </c>
      <c r="I104" s="18">
        <v>683</v>
      </c>
      <c r="J104" s="20">
        <v>100.93</v>
      </c>
      <c r="K104" s="19">
        <v>68935.19</v>
      </c>
      <c r="L104" s="12">
        <f t="shared" si="47"/>
        <v>4.5956793333333332E-3</v>
      </c>
      <c r="M104" s="12">
        <f t="shared" si="48"/>
        <v>4.6018407362945178E-3</v>
      </c>
      <c r="N104" s="15" t="str">
        <f t="shared" si="49"/>
        <v/>
      </c>
      <c r="O104" s="15" t="str">
        <f t="shared" si="50"/>
        <v/>
      </c>
      <c r="P104" s="15" t="str">
        <f t="shared" si="51"/>
        <v/>
      </c>
      <c r="Q104" s="15" t="str">
        <f t="shared" si="52"/>
        <v/>
      </c>
      <c r="R104" s="55" t="str">
        <f t="shared" si="53"/>
        <v/>
      </c>
      <c r="S104" s="33" t="str">
        <f t="shared" si="54"/>
        <v/>
      </c>
      <c r="T104" s="33" t="str">
        <f t="shared" si="55"/>
        <v/>
      </c>
      <c r="U104" s="15" t="str">
        <f t="shared" si="56"/>
        <v/>
      </c>
      <c r="V104" s="15" t="str">
        <f t="shared" si="57"/>
        <v/>
      </c>
      <c r="W104" s="62" t="str">
        <f t="shared" si="58"/>
        <v/>
      </c>
      <c r="X104" s="15"/>
      <c r="Y104" s="1">
        <f t="shared" si="59"/>
        <v>-6.1614029611845728E-6</v>
      </c>
      <c r="AH104" s="35">
        <v>45714</v>
      </c>
      <c r="AI104" s="31" t="s">
        <v>899</v>
      </c>
      <c r="AJ104" s="32">
        <v>4.5999999999999999E-3</v>
      </c>
      <c r="AK104" s="28">
        <f t="shared" si="45"/>
        <v>4.6018407362945178E-3</v>
      </c>
      <c r="AL104" s="28" t="s">
        <v>908</v>
      </c>
      <c r="AM104" s="28" t="s">
        <v>899</v>
      </c>
      <c r="AN104" s="28" t="s">
        <v>1683</v>
      </c>
      <c r="AO104" s="28" t="s">
        <v>909</v>
      </c>
      <c r="AP104" s="28" t="s">
        <v>910</v>
      </c>
      <c r="AQ104" s="28" t="s">
        <v>73</v>
      </c>
      <c r="AR104" s="28" t="s">
        <v>14</v>
      </c>
      <c r="AS104" s="73">
        <v>5084.1155007699999</v>
      </c>
      <c r="AT104" s="8">
        <v>100.93</v>
      </c>
      <c r="AU104" s="73" t="s">
        <v>899</v>
      </c>
      <c r="AV104" s="73" t="b">
        <f t="shared" si="60"/>
        <v>1</v>
      </c>
      <c r="AW104" s="79">
        <v>0</v>
      </c>
      <c r="AX104" s="45" t="str">
        <f t="shared" si="61"/>
        <v/>
      </c>
      <c r="AY104" s="29" t="str">
        <f t="shared" si="62"/>
        <v/>
      </c>
      <c r="AZ104" s="29" t="str">
        <f t="shared" si="63"/>
        <v/>
      </c>
      <c r="BA104" s="29" t="s">
        <v>699</v>
      </c>
      <c r="BB104" s="29">
        <f t="shared" si="64"/>
        <v>0</v>
      </c>
      <c r="BC104">
        <f t="shared" si="65"/>
        <v>0</v>
      </c>
      <c r="BD104" s="78" t="str" cm="1">
        <f t="array" ref="BD104">IF(BC104&lt;&gt;1, "", IF(AK104&gt;0, INT(AK104/SUMPRODUCT(($AK$3:$AK$1000&gt;0)*($AK$3:$AK$1000), ($BC$3:$BC$1000))*$AB$12/AT104), INT(AK104/SUMPRODUCT(($AK$3:$AK$1000&lt;0)*($AK$3:$AK$1000), ($BC$3:$BC$1000))*$AB$13/AT104)))</f>
        <v/>
      </c>
      <c r="BE104" t="str">
        <f t="shared" si="66"/>
        <v/>
      </c>
      <c r="BF104" s="65" t="str">
        <f t="shared" si="67"/>
        <v/>
      </c>
    </row>
    <row r="105" spans="2:73" x14ac:dyDescent="0.3">
      <c r="B105" s="18" t="s">
        <v>350</v>
      </c>
      <c r="C105" s="18" t="s">
        <v>358</v>
      </c>
      <c r="D105" s="18" t="s">
        <v>363</v>
      </c>
      <c r="E105" s="44" t="s">
        <v>360</v>
      </c>
      <c r="F105" s="18" t="s">
        <v>20</v>
      </c>
      <c r="G105" s="18" t="s">
        <v>10</v>
      </c>
      <c r="H105" s="19">
        <v>2396.8687792599999</v>
      </c>
      <c r="I105" s="18">
        <v>1367</v>
      </c>
      <c r="J105" s="20">
        <v>49.93</v>
      </c>
      <c r="K105" s="19">
        <v>68254.31</v>
      </c>
      <c r="L105" s="12">
        <f t="shared" si="47"/>
        <v>4.5502873333333332E-3</v>
      </c>
      <c r="M105" s="12">
        <f t="shared" si="48"/>
        <v>4.6018407362945178E-3</v>
      </c>
      <c r="N105" s="15" t="str">
        <f t="shared" si="49"/>
        <v/>
      </c>
      <c r="O105" s="15" t="str">
        <f t="shared" si="50"/>
        <v/>
      </c>
      <c r="P105" s="15" t="str">
        <f t="shared" si="51"/>
        <v/>
      </c>
      <c r="Q105" s="15" t="str">
        <f t="shared" si="52"/>
        <v/>
      </c>
      <c r="R105" s="55" t="str">
        <f t="shared" si="53"/>
        <v/>
      </c>
      <c r="S105" s="33" t="str">
        <f t="shared" si="54"/>
        <v/>
      </c>
      <c r="T105" s="33" t="str">
        <f t="shared" si="55"/>
        <v/>
      </c>
      <c r="U105" s="15" t="str">
        <f t="shared" si="56"/>
        <v/>
      </c>
      <c r="V105" s="15" t="str">
        <f t="shared" si="57"/>
        <v/>
      </c>
      <c r="W105" s="62" t="str">
        <f t="shared" si="58"/>
        <v/>
      </c>
      <c r="X105" s="15"/>
      <c r="Y105" s="1">
        <f t="shared" si="59"/>
        <v>-5.1553402961184575E-5</v>
      </c>
      <c r="AH105" s="35">
        <v>45714</v>
      </c>
      <c r="AI105" s="31" t="s">
        <v>350</v>
      </c>
      <c r="AJ105" s="32">
        <v>4.5999999999999999E-3</v>
      </c>
      <c r="AK105" s="28">
        <f t="shared" si="45"/>
        <v>4.6018407362945178E-3</v>
      </c>
      <c r="AL105" s="28" t="s">
        <v>358</v>
      </c>
      <c r="AM105" s="28" t="s">
        <v>350</v>
      </c>
      <c r="AN105" s="28" t="s">
        <v>866</v>
      </c>
      <c r="AO105" s="28" t="s">
        <v>359</v>
      </c>
      <c r="AP105" s="28" t="s">
        <v>360</v>
      </c>
      <c r="AQ105" s="28" t="s">
        <v>73</v>
      </c>
      <c r="AR105" s="28" t="s">
        <v>20</v>
      </c>
      <c r="AS105" s="73">
        <v>2396.8687792599999</v>
      </c>
      <c r="AT105" s="8">
        <v>49.93</v>
      </c>
      <c r="AU105" s="73" t="s">
        <v>350</v>
      </c>
      <c r="AV105" s="73" t="b">
        <f t="shared" si="60"/>
        <v>1</v>
      </c>
      <c r="AW105" s="79">
        <v>0</v>
      </c>
      <c r="AX105" s="45" t="str">
        <f t="shared" si="61"/>
        <v/>
      </c>
      <c r="AY105" s="29" t="str">
        <f t="shared" si="62"/>
        <v/>
      </c>
      <c r="AZ105" s="29" t="str">
        <f t="shared" si="63"/>
        <v/>
      </c>
      <c r="BA105" s="29" t="s">
        <v>699</v>
      </c>
      <c r="BB105" s="29">
        <f t="shared" si="64"/>
        <v>0</v>
      </c>
      <c r="BC105">
        <f t="shared" si="65"/>
        <v>0</v>
      </c>
      <c r="BD105" s="78" t="str" cm="1">
        <f t="array" ref="BD105">IF(BC105&lt;&gt;1, "", IF(AK105&gt;0, INT(AK105/SUMPRODUCT(($AK$3:$AK$1000&gt;0)*($AK$3:$AK$1000), ($BC$3:$BC$1000))*$AB$12/AT105), INT(AK105/SUMPRODUCT(($AK$3:$AK$1000&lt;0)*($AK$3:$AK$1000), ($BC$3:$BC$1000))*$AB$13/AT105)))</f>
        <v/>
      </c>
      <c r="BE105" t="str">
        <f t="shared" si="66"/>
        <v/>
      </c>
      <c r="BF105" s="65" t="str">
        <f t="shared" si="67"/>
        <v/>
      </c>
    </row>
    <row r="106" spans="2:73" x14ac:dyDescent="0.3">
      <c r="B106" s="18" t="s">
        <v>1507</v>
      </c>
      <c r="C106" s="18" t="s">
        <v>1549</v>
      </c>
      <c r="D106" s="18" t="s">
        <v>1614</v>
      </c>
      <c r="E106" s="44" t="s">
        <v>1551</v>
      </c>
      <c r="F106" s="18" t="s">
        <v>23</v>
      </c>
      <c r="G106" s="18" t="s">
        <v>10</v>
      </c>
      <c r="H106" s="19">
        <v>4688.9863020000003</v>
      </c>
      <c r="I106" s="18">
        <v>717</v>
      </c>
      <c r="J106" s="20">
        <v>92.12</v>
      </c>
      <c r="K106" s="19">
        <v>66050.040000000008</v>
      </c>
      <c r="L106" s="12">
        <f t="shared" si="47"/>
        <v>4.4033360000000007E-3</v>
      </c>
      <c r="M106" s="12">
        <f t="shared" si="48"/>
        <v>5.9023609443777511E-3</v>
      </c>
      <c r="N106" s="15" t="str">
        <f t="shared" si="49"/>
        <v/>
      </c>
      <c r="O106" s="15" t="str">
        <f t="shared" si="50"/>
        <v/>
      </c>
      <c r="P106" s="15">
        <f t="shared" si="51"/>
        <v>1</v>
      </c>
      <c r="Q106" s="15" t="str">
        <f t="shared" si="52"/>
        <v>Buy</v>
      </c>
      <c r="R106" s="55">
        <f t="shared" si="53"/>
        <v>244</v>
      </c>
      <c r="S106" s="33">
        <f t="shared" si="54"/>
        <v>22477.280000000002</v>
      </c>
      <c r="T106" s="33" t="str">
        <f t="shared" si="55"/>
        <v/>
      </c>
      <c r="U106" s="15" t="str">
        <f t="shared" si="56"/>
        <v/>
      </c>
      <c r="V106" s="15">
        <f t="shared" si="57"/>
        <v>2.44</v>
      </c>
      <c r="W106" s="62">
        <f t="shared" si="58"/>
        <v>1.0855405992184107E-4</v>
      </c>
      <c r="X106" s="15"/>
      <c r="Y106" s="1">
        <f t="shared" si="59"/>
        <v>-1.4990249443777503E-3</v>
      </c>
      <c r="AH106" s="35">
        <v>45714</v>
      </c>
      <c r="AI106" s="31" t="s">
        <v>1406</v>
      </c>
      <c r="AJ106" s="32">
        <v>4.0000000000000001E-3</v>
      </c>
      <c r="AK106" s="28">
        <f t="shared" si="45"/>
        <v>4.0016006402561026E-3</v>
      </c>
      <c r="AL106" s="28" t="s">
        <v>1429</v>
      </c>
      <c r="AM106" s="28" t="s">
        <v>1406</v>
      </c>
      <c r="AN106" s="28" t="s">
        <v>1430</v>
      </c>
      <c r="AO106" s="28" t="s">
        <v>1431</v>
      </c>
      <c r="AP106" s="28" t="s">
        <v>1432</v>
      </c>
      <c r="AQ106" s="28" t="s">
        <v>73</v>
      </c>
      <c r="AR106" s="28" t="s">
        <v>22</v>
      </c>
      <c r="AS106" s="73">
        <v>157.39537369999999</v>
      </c>
      <c r="AT106" s="8">
        <v>14.39</v>
      </c>
      <c r="AU106" s="73" t="s">
        <v>1406</v>
      </c>
      <c r="AV106" s="73" t="b">
        <f t="shared" si="60"/>
        <v>1</v>
      </c>
      <c r="AW106" s="79">
        <v>0</v>
      </c>
      <c r="AX106" s="45" t="str">
        <f t="shared" si="61"/>
        <v/>
      </c>
      <c r="AY106" s="29" t="str">
        <f t="shared" si="62"/>
        <v/>
      </c>
      <c r="AZ106" s="29" t="str">
        <f t="shared" si="63"/>
        <v/>
      </c>
      <c r="BA106" s="29" t="s">
        <v>699</v>
      </c>
      <c r="BB106" s="29">
        <f t="shared" si="64"/>
        <v>0</v>
      </c>
      <c r="BC106">
        <f t="shared" si="65"/>
        <v>0</v>
      </c>
      <c r="BD106" s="78" t="str" cm="1">
        <f t="array" ref="BD106">IF(BC106&lt;&gt;1, "", IF(AK106&gt;0, INT(AK106/SUMPRODUCT(($AK$3:$AK$1000&gt;0)*($AK$3:$AK$1000), ($BC$3:$BC$1000))*$AB$12/AT106), INT(AK106/SUMPRODUCT(($AK$3:$AK$1000&lt;0)*($AK$3:$AK$1000), ($BC$3:$BC$1000))*$AB$13/AT106)))</f>
        <v/>
      </c>
      <c r="BE106" t="str">
        <f t="shared" si="66"/>
        <v/>
      </c>
      <c r="BF106" s="65" t="str">
        <f t="shared" si="67"/>
        <v/>
      </c>
    </row>
    <row r="107" spans="2:73" x14ac:dyDescent="0.3">
      <c r="B107" s="18" t="s">
        <v>1633</v>
      </c>
      <c r="C107" s="18" t="s">
        <v>1686</v>
      </c>
      <c r="D107" s="18" t="s">
        <v>1812</v>
      </c>
      <c r="E107" s="44" t="s">
        <v>1689</v>
      </c>
      <c r="F107" s="18" t="s">
        <v>25</v>
      </c>
      <c r="G107" s="18" t="s">
        <v>10</v>
      </c>
      <c r="H107" s="19">
        <v>10461.78944</v>
      </c>
      <c r="I107" s="18">
        <v>1660</v>
      </c>
      <c r="J107" s="20">
        <v>37.119999999999997</v>
      </c>
      <c r="K107" s="19">
        <v>61619.199999999997</v>
      </c>
      <c r="L107" s="12">
        <f t="shared" si="47"/>
        <v>4.1079466666666667E-3</v>
      </c>
      <c r="M107" s="12">
        <f t="shared" si="48"/>
        <v>3.9015606242496998E-3</v>
      </c>
      <c r="N107" s="15" t="str">
        <f t="shared" si="49"/>
        <v/>
      </c>
      <c r="O107" s="15" t="str">
        <f t="shared" si="50"/>
        <v/>
      </c>
      <c r="P107" s="15">
        <f t="shared" si="51"/>
        <v>1</v>
      </c>
      <c r="Q107" s="15" t="str">
        <f t="shared" si="52"/>
        <v>Sell</v>
      </c>
      <c r="R107" s="55">
        <f t="shared" si="53"/>
        <v>83</v>
      </c>
      <c r="S107" s="33">
        <f t="shared" si="54"/>
        <v>3080.9599999999996</v>
      </c>
      <c r="T107" s="33" t="str">
        <f t="shared" si="55"/>
        <v/>
      </c>
      <c r="U107" s="15" t="str">
        <f t="shared" si="56"/>
        <v/>
      </c>
      <c r="V107" s="15">
        <f t="shared" si="57"/>
        <v>0.83000000000000007</v>
      </c>
      <c r="W107" s="62">
        <f t="shared" si="58"/>
        <v>2.6939655172413798E-4</v>
      </c>
      <c r="X107" s="15"/>
      <c r="Y107" s="1">
        <f t="shared" si="59"/>
        <v>2.0638604241696688E-4</v>
      </c>
      <c r="AH107" s="35">
        <v>45714</v>
      </c>
      <c r="AI107" s="31" t="s">
        <v>1508</v>
      </c>
      <c r="AJ107" s="32">
        <v>4.0000000000000001E-3</v>
      </c>
      <c r="AK107" s="28">
        <f t="shared" si="45"/>
        <v>4.0016006402561026E-3</v>
      </c>
      <c r="AL107" s="28" t="s">
        <v>1552</v>
      </c>
      <c r="AM107" s="28" t="s">
        <v>1508</v>
      </c>
      <c r="AN107" s="28" t="s">
        <v>1685</v>
      </c>
      <c r="AO107" s="28" t="s">
        <v>1553</v>
      </c>
      <c r="AP107" s="28" t="s">
        <v>1554</v>
      </c>
      <c r="AQ107" s="28" t="s">
        <v>73</v>
      </c>
      <c r="AR107" s="28" t="s">
        <v>14</v>
      </c>
      <c r="AS107" s="73">
        <v>900.89731159999997</v>
      </c>
      <c r="AT107" s="8">
        <v>11.44</v>
      </c>
      <c r="AU107" s="73" t="s">
        <v>1508</v>
      </c>
      <c r="AV107" s="73" t="b">
        <f t="shared" si="60"/>
        <v>1</v>
      </c>
      <c r="AW107" s="79">
        <v>0</v>
      </c>
      <c r="AX107" s="45" t="str">
        <f t="shared" si="61"/>
        <v/>
      </c>
      <c r="AY107" s="29" t="str">
        <f t="shared" si="62"/>
        <v/>
      </c>
      <c r="AZ107" s="29" t="str">
        <f t="shared" si="63"/>
        <v/>
      </c>
      <c r="BA107" s="29" t="s">
        <v>699</v>
      </c>
      <c r="BB107" s="29">
        <f t="shared" si="64"/>
        <v>0</v>
      </c>
      <c r="BC107">
        <f t="shared" si="65"/>
        <v>0</v>
      </c>
      <c r="BD107" s="78" t="str" cm="1">
        <f t="array" ref="BD107">IF(BC107&lt;&gt;1, "", IF(AK107&gt;0, INT(AK107/SUMPRODUCT(($AK$3:$AK$1000&gt;0)*($AK$3:$AK$1000), ($BC$3:$BC$1000))*$AB$12/AT107), INT(AK107/SUMPRODUCT(($AK$3:$AK$1000&lt;0)*($AK$3:$AK$1000), ($BC$3:$BC$1000))*$AB$13/AT107)))</f>
        <v/>
      </c>
      <c r="BE107" t="str">
        <f t="shared" si="66"/>
        <v/>
      </c>
      <c r="BF107" s="65" t="str">
        <f t="shared" si="67"/>
        <v/>
      </c>
    </row>
    <row r="108" spans="2:73" x14ac:dyDescent="0.3">
      <c r="B108" s="18" t="s">
        <v>1508</v>
      </c>
      <c r="C108" s="18" t="s">
        <v>1552</v>
      </c>
      <c r="D108" s="18" t="s">
        <v>1616</v>
      </c>
      <c r="E108" s="44" t="s">
        <v>1554</v>
      </c>
      <c r="F108" s="18" t="s">
        <v>14</v>
      </c>
      <c r="G108" s="18" t="s">
        <v>10</v>
      </c>
      <c r="H108" s="19">
        <v>900.89731159999985</v>
      </c>
      <c r="I108" s="18">
        <v>5196</v>
      </c>
      <c r="J108" s="20">
        <v>11.44</v>
      </c>
      <c r="K108" s="19">
        <v>59442.239999999998</v>
      </c>
      <c r="L108" s="12">
        <f t="shared" si="47"/>
        <v>3.9628160000000001E-3</v>
      </c>
      <c r="M108" s="12">
        <f t="shared" si="48"/>
        <v>4.0016006402561026E-3</v>
      </c>
      <c r="N108" s="15" t="str">
        <f t="shared" si="49"/>
        <v/>
      </c>
      <c r="O108" s="15" t="str">
        <f t="shared" si="50"/>
        <v/>
      </c>
      <c r="P108" s="15" t="str">
        <f t="shared" si="51"/>
        <v/>
      </c>
      <c r="Q108" s="15" t="str">
        <f t="shared" si="52"/>
        <v/>
      </c>
      <c r="R108" s="55" t="str">
        <f t="shared" si="53"/>
        <v/>
      </c>
      <c r="S108" s="33" t="str">
        <f t="shared" si="54"/>
        <v/>
      </c>
      <c r="T108" s="33" t="str">
        <f t="shared" si="55"/>
        <v/>
      </c>
      <c r="U108" s="15" t="str">
        <f t="shared" si="56"/>
        <v/>
      </c>
      <c r="V108" s="15" t="str">
        <f t="shared" si="57"/>
        <v/>
      </c>
      <c r="W108" s="62" t="str">
        <f t="shared" si="58"/>
        <v/>
      </c>
      <c r="X108" s="15"/>
      <c r="Y108" s="1">
        <f t="shared" si="59"/>
        <v>-3.8784640256102516E-5</v>
      </c>
      <c r="AH108" s="35">
        <v>45714</v>
      </c>
      <c r="AI108" s="31" t="s">
        <v>1007</v>
      </c>
      <c r="AJ108" s="32">
        <v>3.8999999999999998E-3</v>
      </c>
      <c r="AK108" s="28">
        <f t="shared" si="45"/>
        <v>3.9015606242496998E-3</v>
      </c>
      <c r="AL108" s="28" t="s">
        <v>1031</v>
      </c>
      <c r="AM108" s="28" t="s">
        <v>1007</v>
      </c>
      <c r="AN108" s="28" t="s">
        <v>1032</v>
      </c>
      <c r="AO108" s="28" t="s">
        <v>1033</v>
      </c>
      <c r="AP108" s="28" t="s">
        <v>1034</v>
      </c>
      <c r="AQ108" s="28" t="s">
        <v>73</v>
      </c>
      <c r="AR108" s="28" t="s">
        <v>19</v>
      </c>
      <c r="AS108" s="73">
        <v>978.47981139179205</v>
      </c>
      <c r="AT108" s="8">
        <v>11.37</v>
      </c>
      <c r="AU108" s="73" t="s">
        <v>1007</v>
      </c>
      <c r="AV108" s="73" t="b">
        <f t="shared" si="60"/>
        <v>1</v>
      </c>
      <c r="AW108" s="79">
        <v>0</v>
      </c>
      <c r="AX108" s="45" t="str">
        <f t="shared" si="61"/>
        <v/>
      </c>
      <c r="AY108" s="29" t="str">
        <f t="shared" si="62"/>
        <v/>
      </c>
      <c r="AZ108" s="29" t="str">
        <f t="shared" si="63"/>
        <v/>
      </c>
      <c r="BA108" s="29" t="s">
        <v>699</v>
      </c>
      <c r="BB108" s="29">
        <f t="shared" si="64"/>
        <v>0</v>
      </c>
      <c r="BC108">
        <f t="shared" si="65"/>
        <v>0</v>
      </c>
      <c r="BD108" s="78" t="str" cm="1">
        <f t="array" ref="BD108">IF(BC108&lt;&gt;1, "", IF(AK108&gt;0, INT(AK108/SUMPRODUCT(($AK$3:$AK$1000&gt;0)*($AK$3:$AK$1000), ($BC$3:$BC$1000))*$AB$12/AT108), INT(AK108/SUMPRODUCT(($AK$3:$AK$1000&lt;0)*($AK$3:$AK$1000), ($BC$3:$BC$1000))*$AB$13/AT108)))</f>
        <v/>
      </c>
      <c r="BE108" t="str">
        <f t="shared" si="66"/>
        <v/>
      </c>
      <c r="BF108" s="65" t="str">
        <f t="shared" si="67"/>
        <v/>
      </c>
    </row>
    <row r="109" spans="2:73" x14ac:dyDescent="0.3">
      <c r="B109" s="18" t="s">
        <v>1007</v>
      </c>
      <c r="C109" s="18" t="s">
        <v>1031</v>
      </c>
      <c r="D109" s="18" t="s">
        <v>1055</v>
      </c>
      <c r="E109" s="44" t="s">
        <v>1034</v>
      </c>
      <c r="F109" s="18" t="s">
        <v>19</v>
      </c>
      <c r="G109" s="18" t="s">
        <v>10</v>
      </c>
      <c r="H109" s="19">
        <v>980.58906116999992</v>
      </c>
      <c r="I109" s="18">
        <v>5159</v>
      </c>
      <c r="J109" s="20">
        <v>11.37</v>
      </c>
      <c r="K109" s="19">
        <v>58657.829999999994</v>
      </c>
      <c r="L109" s="12">
        <f t="shared" si="47"/>
        <v>3.9105219999999996E-3</v>
      </c>
      <c r="M109" s="12">
        <f t="shared" si="48"/>
        <v>3.9015606242496998E-3</v>
      </c>
      <c r="N109" s="15" t="str">
        <f t="shared" si="49"/>
        <v/>
      </c>
      <c r="O109" s="15" t="str">
        <f t="shared" si="50"/>
        <v/>
      </c>
      <c r="P109" s="15" t="str">
        <f t="shared" si="51"/>
        <v/>
      </c>
      <c r="Q109" s="15" t="str">
        <f t="shared" si="52"/>
        <v/>
      </c>
      <c r="R109" s="55" t="str">
        <f t="shared" si="53"/>
        <v/>
      </c>
      <c r="S109" s="33" t="str">
        <f t="shared" si="54"/>
        <v/>
      </c>
      <c r="T109" s="33" t="str">
        <f t="shared" si="55"/>
        <v/>
      </c>
      <c r="U109" s="15" t="str">
        <f t="shared" si="56"/>
        <v/>
      </c>
      <c r="V109" s="15" t="str">
        <f t="shared" si="57"/>
        <v/>
      </c>
      <c r="W109" s="62" t="str">
        <f t="shared" si="58"/>
        <v/>
      </c>
      <c r="X109" s="15"/>
      <c r="Y109" s="1">
        <f t="shared" si="59"/>
        <v>8.9613757502998367E-6</v>
      </c>
      <c r="AH109" s="35">
        <v>45714</v>
      </c>
      <c r="AI109" s="31" t="s">
        <v>1633</v>
      </c>
      <c r="AJ109" s="32">
        <v>3.8999999999999998E-3</v>
      </c>
      <c r="AK109" s="28">
        <f t="shared" si="45"/>
        <v>3.9015606242496998E-3</v>
      </c>
      <c r="AL109" s="28" t="s">
        <v>1686</v>
      </c>
      <c r="AM109" s="28" t="s">
        <v>1633</v>
      </c>
      <c r="AN109" s="28" t="s">
        <v>1687</v>
      </c>
      <c r="AO109" s="28" t="s">
        <v>1688</v>
      </c>
      <c r="AP109" s="28" t="s">
        <v>1689</v>
      </c>
      <c r="AQ109" s="28" t="s">
        <v>73</v>
      </c>
      <c r="AR109" s="28" t="s">
        <v>25</v>
      </c>
      <c r="AS109" s="73">
        <v>10461.78944</v>
      </c>
      <c r="AT109" s="8">
        <v>37.119999999999997</v>
      </c>
      <c r="AU109" s="73" t="s">
        <v>1633</v>
      </c>
      <c r="AV109" s="73" t="b">
        <f t="shared" si="60"/>
        <v>1</v>
      </c>
      <c r="AW109" s="79">
        <v>0</v>
      </c>
      <c r="AX109" s="45" t="str">
        <f t="shared" si="61"/>
        <v/>
      </c>
      <c r="AY109" s="29" t="str">
        <f t="shared" si="62"/>
        <v/>
      </c>
      <c r="AZ109" s="29" t="str">
        <f t="shared" si="63"/>
        <v/>
      </c>
      <c r="BA109" s="29" t="s">
        <v>699</v>
      </c>
      <c r="BB109" s="29">
        <f t="shared" si="64"/>
        <v>0</v>
      </c>
      <c r="BC109">
        <f t="shared" si="65"/>
        <v>0</v>
      </c>
      <c r="BD109" s="78" t="str" cm="1">
        <f t="array" ref="BD109">IF(BC109&lt;&gt;1, "", IF(AK109&gt;0, INT(AK109/SUMPRODUCT(($AK$3:$AK$1000&gt;0)*($AK$3:$AK$1000), ($BC$3:$BC$1000))*$AB$12/AT109), INT(AK109/SUMPRODUCT(($AK$3:$AK$1000&lt;0)*($AK$3:$AK$1000), ($BC$3:$BC$1000))*$AB$13/AT109)))</f>
        <v/>
      </c>
      <c r="BE109" t="str">
        <f t="shared" si="66"/>
        <v/>
      </c>
      <c r="BF109" s="65" t="str">
        <f t="shared" si="67"/>
        <v/>
      </c>
    </row>
    <row r="110" spans="2:73" x14ac:dyDescent="0.3">
      <c r="B110" s="18" t="s">
        <v>1504</v>
      </c>
      <c r="C110" s="18" t="s">
        <v>1538</v>
      </c>
      <c r="D110" s="18" t="s">
        <v>1612</v>
      </c>
      <c r="E110" s="44" t="s">
        <v>1540</v>
      </c>
      <c r="F110" s="18" t="s">
        <v>13</v>
      </c>
      <c r="G110" s="18" t="s">
        <v>10</v>
      </c>
      <c r="H110" s="19">
        <v>4311.2767471199995</v>
      </c>
      <c r="I110" s="18">
        <v>2228</v>
      </c>
      <c r="J110" s="20">
        <v>26.16</v>
      </c>
      <c r="K110" s="19">
        <v>58284.480000000003</v>
      </c>
      <c r="L110" s="12">
        <f t="shared" si="47"/>
        <v>3.8856320000000004E-3</v>
      </c>
      <c r="M110" s="12">
        <f t="shared" si="48"/>
        <v>3.8015206082432974E-3</v>
      </c>
      <c r="N110" s="15" t="str">
        <f t="shared" si="49"/>
        <v/>
      </c>
      <c r="O110" s="15" t="str">
        <f t="shared" si="50"/>
        <v/>
      </c>
      <c r="P110" s="15">
        <f t="shared" si="51"/>
        <v>1</v>
      </c>
      <c r="Q110" s="15" t="str">
        <f t="shared" si="52"/>
        <v>Sell</v>
      </c>
      <c r="R110" s="55">
        <f t="shared" si="53"/>
        <v>48</v>
      </c>
      <c r="S110" s="33">
        <f t="shared" si="54"/>
        <v>1255.68</v>
      </c>
      <c r="T110" s="33" t="str">
        <f t="shared" si="55"/>
        <v/>
      </c>
      <c r="U110" s="15" t="str">
        <f t="shared" si="56"/>
        <v/>
      </c>
      <c r="V110" s="15">
        <f t="shared" si="57"/>
        <v>0.48</v>
      </c>
      <c r="W110" s="62">
        <f t="shared" si="58"/>
        <v>3.8226299694189597E-4</v>
      </c>
      <c r="X110" s="15"/>
      <c r="Y110" s="1">
        <f t="shared" si="59"/>
        <v>8.4111391756703027E-5</v>
      </c>
      <c r="AH110" s="35">
        <v>45714</v>
      </c>
      <c r="AI110" s="31" t="s">
        <v>1635</v>
      </c>
      <c r="AJ110" s="32">
        <v>3.8E-3</v>
      </c>
      <c r="AK110" s="28">
        <f t="shared" si="45"/>
        <v>3.8015206082432974E-3</v>
      </c>
      <c r="AL110" s="28" t="s">
        <v>1696</v>
      </c>
      <c r="AM110" s="28" t="s">
        <v>1635</v>
      </c>
      <c r="AN110" s="28" t="s">
        <v>1697</v>
      </c>
      <c r="AO110" s="28" t="s">
        <v>1698</v>
      </c>
      <c r="AP110" s="28" t="s">
        <v>1699</v>
      </c>
      <c r="AQ110" s="28" t="s">
        <v>73</v>
      </c>
      <c r="AR110" s="28" t="s">
        <v>13</v>
      </c>
      <c r="AS110" s="73">
        <v>561.54526480000004</v>
      </c>
      <c r="AT110" s="8">
        <v>28.9</v>
      </c>
      <c r="AU110" s="73" t="s">
        <v>1635</v>
      </c>
      <c r="AV110" s="73" t="b">
        <f t="shared" si="60"/>
        <v>1</v>
      </c>
      <c r="AW110" s="79">
        <v>0</v>
      </c>
      <c r="AX110" s="45" t="str">
        <f t="shared" si="61"/>
        <v/>
      </c>
      <c r="AY110" s="29" t="str">
        <f t="shared" si="62"/>
        <v/>
      </c>
      <c r="AZ110" s="29" t="str">
        <f t="shared" si="63"/>
        <v/>
      </c>
      <c r="BA110" s="29" t="s">
        <v>699</v>
      </c>
      <c r="BB110" s="29">
        <f t="shared" si="64"/>
        <v>0</v>
      </c>
      <c r="BC110">
        <f t="shared" si="65"/>
        <v>0</v>
      </c>
      <c r="BD110" s="78" t="str" cm="1">
        <f t="array" ref="BD110">IF(BC110&lt;&gt;1, "", IF(AK110&gt;0, INT(AK110/SUMPRODUCT(($AK$3:$AK$1000&gt;0)*($AK$3:$AK$1000), ($BC$3:$BC$1000))*$AB$12/AT110), INT(AK110/SUMPRODUCT(($AK$3:$AK$1000&lt;0)*($AK$3:$AK$1000), ($BC$3:$BC$1000))*$AB$13/AT110)))</f>
        <v/>
      </c>
      <c r="BE110" t="str">
        <f t="shared" si="66"/>
        <v/>
      </c>
      <c r="BF110" s="65" t="str">
        <f t="shared" si="67"/>
        <v/>
      </c>
    </row>
    <row r="111" spans="2:73" x14ac:dyDescent="0.3">
      <c r="B111" s="18" t="s">
        <v>1511</v>
      </c>
      <c r="C111" s="18" t="s">
        <v>1563</v>
      </c>
      <c r="D111" s="18" t="s">
        <v>1619</v>
      </c>
      <c r="E111" s="44" t="s">
        <v>1565</v>
      </c>
      <c r="F111" s="18" t="s">
        <v>14</v>
      </c>
      <c r="G111" s="18" t="s">
        <v>10</v>
      </c>
      <c r="H111" s="19">
        <v>8799.7306823700001</v>
      </c>
      <c r="I111" s="18">
        <v>1367</v>
      </c>
      <c r="J111" s="20">
        <v>40.630000000000003</v>
      </c>
      <c r="K111" s="19">
        <v>55541.210000000006</v>
      </c>
      <c r="L111" s="12">
        <f t="shared" si="47"/>
        <v>3.7027473333333337E-3</v>
      </c>
      <c r="M111" s="12">
        <f t="shared" si="48"/>
        <v>3.6014405762304922E-3</v>
      </c>
      <c r="N111" s="15" t="str">
        <f t="shared" si="49"/>
        <v/>
      </c>
      <c r="O111" s="15" t="str">
        <f t="shared" si="50"/>
        <v/>
      </c>
      <c r="P111" s="15">
        <f t="shared" si="51"/>
        <v>1</v>
      </c>
      <c r="Q111" s="15" t="str">
        <f t="shared" si="52"/>
        <v>Sell</v>
      </c>
      <c r="R111" s="55">
        <f t="shared" si="53"/>
        <v>37</v>
      </c>
      <c r="S111" s="33">
        <f t="shared" si="54"/>
        <v>1503.3100000000002</v>
      </c>
      <c r="T111" s="33" t="str">
        <f t="shared" si="55"/>
        <v/>
      </c>
      <c r="U111" s="15" t="str">
        <f t="shared" si="56"/>
        <v/>
      </c>
      <c r="V111" s="15">
        <f t="shared" si="57"/>
        <v>0.37</v>
      </c>
      <c r="W111" s="62">
        <f t="shared" si="58"/>
        <v>2.4612355402412009E-4</v>
      </c>
      <c r="X111" s="15"/>
      <c r="Y111" s="1">
        <f t="shared" si="59"/>
        <v>1.0130675710284158E-4</v>
      </c>
      <c r="AH111" s="35">
        <v>45714</v>
      </c>
      <c r="AI111" s="31" t="s">
        <v>768</v>
      </c>
      <c r="AJ111" s="32">
        <v>3.8E-3</v>
      </c>
      <c r="AK111" s="28">
        <f t="shared" si="45"/>
        <v>3.8015206082432974E-3</v>
      </c>
      <c r="AL111" s="28" t="s">
        <v>792</v>
      </c>
      <c r="AM111" s="28" t="s">
        <v>768</v>
      </c>
      <c r="AN111" s="28" t="s">
        <v>793</v>
      </c>
      <c r="AO111" s="28" t="s">
        <v>794</v>
      </c>
      <c r="AP111" s="28" t="s">
        <v>795</v>
      </c>
      <c r="AQ111" s="28" t="s">
        <v>73</v>
      </c>
      <c r="AR111" s="28" t="s">
        <v>14</v>
      </c>
      <c r="AS111" s="73">
        <v>1019.24730272</v>
      </c>
      <c r="AT111" s="8">
        <v>45.79</v>
      </c>
      <c r="AU111" s="73" t="s">
        <v>768</v>
      </c>
      <c r="AV111" s="73" t="b">
        <f t="shared" si="60"/>
        <v>1</v>
      </c>
      <c r="AW111" s="79">
        <v>0</v>
      </c>
      <c r="AX111" s="45" t="str">
        <f t="shared" si="61"/>
        <v/>
      </c>
      <c r="AY111" s="29" t="str">
        <f t="shared" si="62"/>
        <v/>
      </c>
      <c r="AZ111" s="29" t="str">
        <f t="shared" si="63"/>
        <v/>
      </c>
      <c r="BA111" s="29" t="s">
        <v>699</v>
      </c>
      <c r="BB111" s="29">
        <f t="shared" si="64"/>
        <v>0</v>
      </c>
      <c r="BC111">
        <f t="shared" si="65"/>
        <v>0</v>
      </c>
      <c r="BD111" s="78" t="str" cm="1">
        <f t="array" ref="BD111">IF(BC111&lt;&gt;1, "", IF(AK111&gt;0, INT(AK111/SUMPRODUCT(($AK$3:$AK$1000&gt;0)*($AK$3:$AK$1000), ($BC$3:$BC$1000))*$AB$12/AT111), INT(AK111/SUMPRODUCT(($AK$3:$AK$1000&lt;0)*($AK$3:$AK$1000), ($BC$3:$BC$1000))*$AB$13/AT111)))</f>
        <v/>
      </c>
      <c r="BE111" t="str">
        <f t="shared" si="66"/>
        <v/>
      </c>
      <c r="BF111" s="65" t="str">
        <f t="shared" si="67"/>
        <v/>
      </c>
    </row>
    <row r="112" spans="2:73" x14ac:dyDescent="0.3">
      <c r="B112" s="18" t="s">
        <v>1634</v>
      </c>
      <c r="C112" s="18" t="s">
        <v>1692</v>
      </c>
      <c r="D112" s="18" t="s">
        <v>1813</v>
      </c>
      <c r="E112" s="44" t="s">
        <v>1695</v>
      </c>
      <c r="F112" s="18" t="s">
        <v>14</v>
      </c>
      <c r="G112" s="18" t="s">
        <v>10</v>
      </c>
      <c r="H112" s="19">
        <v>46476.538328610004</v>
      </c>
      <c r="I112" s="18">
        <v>1148</v>
      </c>
      <c r="J112" s="20">
        <v>46.71</v>
      </c>
      <c r="K112" s="19">
        <v>53623.08</v>
      </c>
      <c r="L112" s="12">
        <f t="shared" si="47"/>
        <v>3.5748720000000002E-3</v>
      </c>
      <c r="M112" s="12">
        <f t="shared" si="48"/>
        <v>3.5014005602240898E-3</v>
      </c>
      <c r="N112" s="15" t="str">
        <f t="shared" si="49"/>
        <v/>
      </c>
      <c r="O112" s="15" t="str">
        <f t="shared" si="50"/>
        <v/>
      </c>
      <c r="P112" s="15">
        <f t="shared" si="51"/>
        <v>1</v>
      </c>
      <c r="Q112" s="15" t="str">
        <f t="shared" si="52"/>
        <v>Sell</v>
      </c>
      <c r="R112" s="55">
        <f t="shared" si="53"/>
        <v>23</v>
      </c>
      <c r="S112" s="33">
        <f t="shared" si="54"/>
        <v>1074.33</v>
      </c>
      <c r="T112" s="33" t="str">
        <f t="shared" si="55"/>
        <v/>
      </c>
      <c r="U112" s="15" t="str">
        <f t="shared" si="56"/>
        <v/>
      </c>
      <c r="V112" s="15">
        <f t="shared" si="57"/>
        <v>0.23</v>
      </c>
      <c r="W112" s="62">
        <f t="shared" si="58"/>
        <v>2.1408691928923146E-4</v>
      </c>
      <c r="X112" s="15"/>
      <c r="Y112" s="1">
        <f t="shared" si="59"/>
        <v>7.3471439775910433E-5</v>
      </c>
      <c r="AH112" s="35">
        <v>45714</v>
      </c>
      <c r="AI112" s="31" t="s">
        <v>1504</v>
      </c>
      <c r="AJ112" s="32">
        <v>3.8E-3</v>
      </c>
      <c r="AK112" s="28">
        <f t="shared" si="45"/>
        <v>3.8015206082432974E-3</v>
      </c>
      <c r="AL112" s="28" t="s">
        <v>1538</v>
      </c>
      <c r="AM112" s="28" t="s">
        <v>1504</v>
      </c>
      <c r="AN112" s="28" t="s">
        <v>1690</v>
      </c>
      <c r="AO112" s="28" t="s">
        <v>1539</v>
      </c>
      <c r="AP112" s="28" t="s">
        <v>1540</v>
      </c>
      <c r="AQ112" s="28" t="s">
        <v>73</v>
      </c>
      <c r="AR112" s="28" t="s">
        <v>13</v>
      </c>
      <c r="AS112" s="73">
        <v>4311.2767471200004</v>
      </c>
      <c r="AT112" s="8">
        <v>26.16</v>
      </c>
      <c r="AU112" s="73" t="s">
        <v>1504</v>
      </c>
      <c r="AV112" s="73" t="b">
        <f t="shared" si="60"/>
        <v>1</v>
      </c>
      <c r="AW112" s="79">
        <v>0</v>
      </c>
      <c r="AX112" s="45" t="str">
        <f t="shared" si="61"/>
        <v/>
      </c>
      <c r="AY112" s="29" t="str">
        <f t="shared" si="62"/>
        <v/>
      </c>
      <c r="AZ112" s="29" t="str">
        <f t="shared" si="63"/>
        <v/>
      </c>
      <c r="BA112" s="29" t="s">
        <v>699</v>
      </c>
      <c r="BB112" s="29">
        <f t="shared" si="64"/>
        <v>0</v>
      </c>
      <c r="BC112">
        <f t="shared" si="65"/>
        <v>0</v>
      </c>
      <c r="BD112" s="78" t="str" cm="1">
        <f t="array" ref="BD112">IF(BC112&lt;&gt;1, "", IF(AK112&gt;0, INT(AK112/SUMPRODUCT(($AK$3:$AK$1000&gt;0)*($AK$3:$AK$1000), ($BC$3:$BC$1000))*$AB$12/AT112), INT(AK112/SUMPRODUCT(($AK$3:$AK$1000&lt;0)*($AK$3:$AK$1000), ($BC$3:$BC$1000))*$AB$13/AT112)))</f>
        <v/>
      </c>
      <c r="BE112" t="str">
        <f t="shared" si="66"/>
        <v/>
      </c>
      <c r="BF112" s="65" t="str">
        <f t="shared" si="67"/>
        <v/>
      </c>
    </row>
    <row r="113" spans="2:58" x14ac:dyDescent="0.3">
      <c r="B113" s="18" t="s">
        <v>1406</v>
      </c>
      <c r="C113" s="18" t="s">
        <v>1429</v>
      </c>
      <c r="D113" s="18" t="s">
        <v>1486</v>
      </c>
      <c r="E113" s="44" t="s">
        <v>1432</v>
      </c>
      <c r="F113" s="18" t="s">
        <v>22</v>
      </c>
      <c r="G113" s="18" t="s">
        <v>10</v>
      </c>
      <c r="H113" s="19">
        <v>157.39537370000002</v>
      </c>
      <c r="I113" s="18">
        <v>3691</v>
      </c>
      <c r="J113" s="20">
        <v>14.39</v>
      </c>
      <c r="K113" s="19">
        <v>53113.490000000005</v>
      </c>
      <c r="L113" s="12">
        <f t="shared" si="47"/>
        <v>3.5408993333333337E-3</v>
      </c>
      <c r="M113" s="12">
        <f t="shared" si="48"/>
        <v>4.0016006402561026E-3</v>
      </c>
      <c r="N113" s="15" t="str">
        <f t="shared" si="49"/>
        <v/>
      </c>
      <c r="O113" s="15" t="str">
        <f t="shared" si="50"/>
        <v/>
      </c>
      <c r="P113" s="15">
        <f t="shared" si="51"/>
        <v>1</v>
      </c>
      <c r="Q113" s="15" t="str">
        <f t="shared" si="52"/>
        <v>Buy</v>
      </c>
      <c r="R113" s="55">
        <f t="shared" si="53"/>
        <v>480</v>
      </c>
      <c r="S113" s="33">
        <f t="shared" si="54"/>
        <v>6907.2000000000007</v>
      </c>
      <c r="T113" s="33" t="str">
        <f t="shared" si="55"/>
        <v/>
      </c>
      <c r="U113" s="15" t="str">
        <f t="shared" si="56"/>
        <v/>
      </c>
      <c r="V113" s="15">
        <f t="shared" si="57"/>
        <v>4.8</v>
      </c>
      <c r="W113" s="62">
        <f t="shared" si="58"/>
        <v>6.9492703266157041E-4</v>
      </c>
      <c r="X113" s="15"/>
      <c r="Y113" s="1">
        <f t="shared" si="59"/>
        <v>-4.6070130692276888E-4</v>
      </c>
      <c r="AH113" s="35">
        <v>45714</v>
      </c>
      <c r="AI113" s="31" t="s">
        <v>1511</v>
      </c>
      <c r="AJ113" s="32">
        <v>3.5999999999999999E-3</v>
      </c>
      <c r="AK113" s="28">
        <f t="shared" si="45"/>
        <v>3.6014405762304922E-3</v>
      </c>
      <c r="AL113" s="28" t="s">
        <v>1563</v>
      </c>
      <c r="AM113" s="28" t="s">
        <v>1511</v>
      </c>
      <c r="AN113" s="28" t="s">
        <v>1691</v>
      </c>
      <c r="AO113" s="28" t="s">
        <v>1564</v>
      </c>
      <c r="AP113" s="28" t="s">
        <v>1565</v>
      </c>
      <c r="AQ113" s="28" t="s">
        <v>73</v>
      </c>
      <c r="AR113" s="28" t="s">
        <v>14</v>
      </c>
      <c r="AS113" s="73">
        <v>8799.7306823700001</v>
      </c>
      <c r="AT113" s="8">
        <v>40.630000000000003</v>
      </c>
      <c r="AU113" s="73" t="s">
        <v>1511</v>
      </c>
      <c r="AV113" s="73" t="b">
        <f t="shared" si="60"/>
        <v>1</v>
      </c>
      <c r="AW113" s="79">
        <v>0</v>
      </c>
      <c r="AX113" s="45" t="str">
        <f t="shared" si="61"/>
        <v/>
      </c>
      <c r="AY113" s="29" t="str">
        <f t="shared" si="62"/>
        <v/>
      </c>
      <c r="AZ113" s="29" t="str">
        <f t="shared" si="63"/>
        <v/>
      </c>
      <c r="BA113" s="29" t="s">
        <v>699</v>
      </c>
      <c r="BB113" s="29">
        <f t="shared" si="64"/>
        <v>0</v>
      </c>
      <c r="BC113">
        <f t="shared" si="65"/>
        <v>0</v>
      </c>
      <c r="BD113" s="78" t="str" cm="1">
        <f t="array" ref="BD113">IF(BC113&lt;&gt;1, "", IF(AK113&gt;0, INT(AK113/SUMPRODUCT(($AK$3:$AK$1000&gt;0)*($AK$3:$AK$1000), ($BC$3:$BC$1000))*$AB$12/AT113), INT(AK113/SUMPRODUCT(($AK$3:$AK$1000&lt;0)*($AK$3:$AK$1000), ($BC$3:$BC$1000))*$AB$13/AT113)))</f>
        <v/>
      </c>
      <c r="BE113" t="str">
        <f t="shared" si="66"/>
        <v/>
      </c>
      <c r="BF113" s="65" t="str">
        <f t="shared" si="67"/>
        <v/>
      </c>
    </row>
    <row r="114" spans="2:58" x14ac:dyDescent="0.3">
      <c r="B114" s="18" t="s">
        <v>1635</v>
      </c>
      <c r="C114" s="18" t="s">
        <v>1696</v>
      </c>
      <c r="D114" s="18" t="s">
        <v>1814</v>
      </c>
      <c r="E114" s="44" t="s">
        <v>1699</v>
      </c>
      <c r="F114" s="18" t="s">
        <v>13</v>
      </c>
      <c r="G114" s="18" t="s">
        <v>10</v>
      </c>
      <c r="H114" s="19">
        <v>561.54526479999993</v>
      </c>
      <c r="I114" s="18">
        <v>1750</v>
      </c>
      <c r="J114" s="20">
        <v>28.9</v>
      </c>
      <c r="K114" s="19">
        <v>50575</v>
      </c>
      <c r="L114" s="12">
        <f t="shared" si="47"/>
        <v>3.3716666666666665E-3</v>
      </c>
      <c r="M114" s="12">
        <f t="shared" si="48"/>
        <v>3.8015206082432974E-3</v>
      </c>
      <c r="N114" s="15" t="str">
        <f t="shared" si="49"/>
        <v/>
      </c>
      <c r="O114" s="15" t="str">
        <f t="shared" si="50"/>
        <v/>
      </c>
      <c r="P114" s="15">
        <f t="shared" si="51"/>
        <v>1</v>
      </c>
      <c r="Q114" s="15" t="str">
        <f t="shared" si="52"/>
        <v>Buy</v>
      </c>
      <c r="R114" s="55">
        <f t="shared" si="53"/>
        <v>223</v>
      </c>
      <c r="S114" s="33">
        <f t="shared" si="54"/>
        <v>6444.7</v>
      </c>
      <c r="T114" s="33" t="str">
        <f t="shared" si="55"/>
        <v/>
      </c>
      <c r="U114" s="15" t="str">
        <f t="shared" si="56"/>
        <v/>
      </c>
      <c r="V114" s="15">
        <f t="shared" si="57"/>
        <v>2.23</v>
      </c>
      <c r="W114" s="62">
        <f t="shared" si="58"/>
        <v>3.4602076124567473E-4</v>
      </c>
      <c r="X114" s="15"/>
      <c r="Y114" s="1">
        <f t="shared" si="59"/>
        <v>-4.2985394157663091E-4</v>
      </c>
      <c r="AH114" s="35">
        <v>45714</v>
      </c>
      <c r="AI114" s="31" t="s">
        <v>1414</v>
      </c>
      <c r="AJ114" s="32">
        <v>3.5999999999999999E-3</v>
      </c>
      <c r="AK114" s="28">
        <f t="shared" si="45"/>
        <v>3.6014405762304922E-3</v>
      </c>
      <c r="AL114" s="28" t="s">
        <v>1458</v>
      </c>
      <c r="AM114" s="28" t="s">
        <v>1414</v>
      </c>
      <c r="AN114" s="28" t="s">
        <v>1459</v>
      </c>
      <c r="AO114" s="28" t="s">
        <v>1460</v>
      </c>
      <c r="AP114" s="28" t="s">
        <v>1461</v>
      </c>
      <c r="AQ114" s="28" t="s">
        <v>73</v>
      </c>
      <c r="AR114" s="28" t="s">
        <v>11</v>
      </c>
      <c r="AS114" s="73">
        <v>297.99972150000002</v>
      </c>
      <c r="AT114" s="8">
        <v>7.62</v>
      </c>
      <c r="AU114" s="73" t="s">
        <v>1414</v>
      </c>
      <c r="AV114" s="73" t="b">
        <f t="shared" si="60"/>
        <v>1</v>
      </c>
      <c r="AW114" s="79">
        <v>0</v>
      </c>
      <c r="AX114" s="45" t="str">
        <f t="shared" si="61"/>
        <v/>
      </c>
      <c r="AY114" s="29" t="str">
        <f t="shared" si="62"/>
        <v/>
      </c>
      <c r="AZ114" s="29" t="str">
        <f t="shared" si="63"/>
        <v/>
      </c>
      <c r="BA114" s="29" t="s">
        <v>699</v>
      </c>
      <c r="BB114" s="29">
        <f t="shared" si="64"/>
        <v>0</v>
      </c>
      <c r="BC114">
        <f t="shared" si="65"/>
        <v>0</v>
      </c>
      <c r="BD114" s="78" t="str" cm="1">
        <f t="array" ref="BD114">IF(BC114&lt;&gt;1, "", IF(AK114&gt;0, INT(AK114/SUMPRODUCT(($AK$3:$AK$1000&gt;0)*($AK$3:$AK$1000), ($BC$3:$BC$1000))*$AB$12/AT114), INT(AK114/SUMPRODUCT(($AK$3:$AK$1000&lt;0)*($AK$3:$AK$1000), ($BC$3:$BC$1000))*$AB$13/AT114)))</f>
        <v/>
      </c>
      <c r="BE114" t="str">
        <f t="shared" si="66"/>
        <v/>
      </c>
      <c r="BF114" s="65" t="str">
        <f t="shared" si="67"/>
        <v/>
      </c>
    </row>
    <row r="115" spans="2:58" x14ac:dyDescent="0.3">
      <c r="B115" s="18" t="s">
        <v>771</v>
      </c>
      <c r="C115" s="18" t="s">
        <v>803</v>
      </c>
      <c r="D115" s="18" t="s">
        <v>835</v>
      </c>
      <c r="E115" s="44" t="s">
        <v>806</v>
      </c>
      <c r="F115" s="18" t="s">
        <v>21</v>
      </c>
      <c r="G115" s="18" t="s">
        <v>10</v>
      </c>
      <c r="H115" s="19">
        <v>527.07129384000007</v>
      </c>
      <c r="I115" s="18">
        <v>3363</v>
      </c>
      <c r="J115" s="20">
        <v>14.16</v>
      </c>
      <c r="K115" s="19">
        <v>47620.08</v>
      </c>
      <c r="L115" s="12">
        <f t="shared" si="47"/>
        <v>3.1746719999999999E-3</v>
      </c>
      <c r="M115" s="12">
        <f t="shared" si="48"/>
        <v>3.2012805122048822E-3</v>
      </c>
      <c r="N115" s="15" t="str">
        <f t="shared" si="49"/>
        <v/>
      </c>
      <c r="O115" s="15" t="str">
        <f t="shared" si="50"/>
        <v/>
      </c>
      <c r="P115" s="15" t="str">
        <f t="shared" si="51"/>
        <v/>
      </c>
      <c r="Q115" s="15" t="str">
        <f t="shared" si="52"/>
        <v/>
      </c>
      <c r="R115" s="55" t="str">
        <f t="shared" si="53"/>
        <v/>
      </c>
      <c r="S115" s="33" t="str">
        <f t="shared" si="54"/>
        <v/>
      </c>
      <c r="T115" s="33" t="str">
        <f t="shared" si="55"/>
        <v/>
      </c>
      <c r="U115" s="15" t="str">
        <f t="shared" si="56"/>
        <v/>
      </c>
      <c r="V115" s="15" t="str">
        <f t="shared" si="57"/>
        <v/>
      </c>
      <c r="W115" s="62" t="str">
        <f t="shared" si="58"/>
        <v/>
      </c>
      <c r="X115" s="15"/>
      <c r="Y115" s="1">
        <f t="shared" si="59"/>
        <v>-2.6608512204882254E-5</v>
      </c>
      <c r="AH115" s="35">
        <v>45714</v>
      </c>
      <c r="AI115" s="31" t="s">
        <v>1634</v>
      </c>
      <c r="AJ115" s="32">
        <v>3.5000000000000001E-3</v>
      </c>
      <c r="AK115" s="28">
        <f t="shared" si="45"/>
        <v>3.5014005602240898E-3</v>
      </c>
      <c r="AL115" s="28" t="s">
        <v>1692</v>
      </c>
      <c r="AM115" s="28" t="s">
        <v>1634</v>
      </c>
      <c r="AN115" s="28" t="s">
        <v>1693</v>
      </c>
      <c r="AO115" s="28" t="s">
        <v>1694</v>
      </c>
      <c r="AP115" s="28" t="s">
        <v>1695</v>
      </c>
      <c r="AQ115" s="28" t="s">
        <v>73</v>
      </c>
      <c r="AR115" s="28" t="s">
        <v>14</v>
      </c>
      <c r="AS115" s="73">
        <v>46476.538328609997</v>
      </c>
      <c r="AT115" s="8">
        <v>46.71</v>
      </c>
      <c r="AU115" s="73" t="s">
        <v>1634</v>
      </c>
      <c r="AV115" s="73" t="b">
        <f t="shared" si="60"/>
        <v>1</v>
      </c>
      <c r="AW115" s="79">
        <v>0</v>
      </c>
      <c r="AX115" s="45" t="str">
        <f t="shared" si="61"/>
        <v/>
      </c>
      <c r="AY115" s="29" t="str">
        <f t="shared" si="62"/>
        <v/>
      </c>
      <c r="AZ115" s="29" t="str">
        <f t="shared" si="63"/>
        <v/>
      </c>
      <c r="BA115" s="29" t="s">
        <v>699</v>
      </c>
      <c r="BB115" s="29">
        <f t="shared" si="64"/>
        <v>0</v>
      </c>
      <c r="BC115">
        <f t="shared" si="65"/>
        <v>0</v>
      </c>
      <c r="BD115" s="78" t="str" cm="1">
        <f t="array" ref="BD115">IF(BC115&lt;&gt;1, "", IF(AK115&gt;0, INT(AK115/SUMPRODUCT(($AK$3:$AK$1000&gt;0)*($AK$3:$AK$1000), ($BC$3:$BC$1000))*$AB$12/AT115), INT(AK115/SUMPRODUCT(($AK$3:$AK$1000&lt;0)*($AK$3:$AK$1000), ($BC$3:$BC$1000))*$AB$13/AT115)))</f>
        <v/>
      </c>
      <c r="BE115" t="str">
        <f t="shared" si="66"/>
        <v/>
      </c>
      <c r="BF115" s="65" t="str">
        <f t="shared" si="67"/>
        <v/>
      </c>
    </row>
    <row r="116" spans="2:58" x14ac:dyDescent="0.3">
      <c r="B116" s="18" t="s">
        <v>1513</v>
      </c>
      <c r="C116" s="18" t="s">
        <v>1570</v>
      </c>
      <c r="D116" s="18" t="s">
        <v>1621</v>
      </c>
      <c r="E116" s="44" t="s">
        <v>1572</v>
      </c>
      <c r="F116" s="18" t="s">
        <v>11</v>
      </c>
      <c r="G116" s="18" t="s">
        <v>10</v>
      </c>
      <c r="H116" s="19">
        <v>54202.42</v>
      </c>
      <c r="I116" s="18">
        <v>265</v>
      </c>
      <c r="J116" s="20">
        <v>164.2</v>
      </c>
      <c r="K116" s="19">
        <v>43513</v>
      </c>
      <c r="L116" s="12">
        <f t="shared" si="47"/>
        <v>2.9008666666666665E-3</v>
      </c>
      <c r="M116" s="12">
        <f t="shared" si="48"/>
        <v>3.0012004801920769E-3</v>
      </c>
      <c r="N116" s="15" t="str">
        <f t="shared" si="49"/>
        <v/>
      </c>
      <c r="O116" s="15" t="str">
        <f t="shared" si="50"/>
        <v/>
      </c>
      <c r="P116" s="15">
        <f t="shared" si="51"/>
        <v>1</v>
      </c>
      <c r="Q116" s="15" t="str">
        <f t="shared" si="52"/>
        <v>Buy</v>
      </c>
      <c r="R116" s="55">
        <f t="shared" si="53"/>
        <v>9</v>
      </c>
      <c r="S116" s="33">
        <f t="shared" si="54"/>
        <v>1477.8</v>
      </c>
      <c r="T116" s="33" t="str">
        <f t="shared" si="55"/>
        <v/>
      </c>
      <c r="U116" s="15" t="str">
        <f t="shared" si="56"/>
        <v/>
      </c>
      <c r="V116" s="15">
        <f t="shared" si="57"/>
        <v>0.09</v>
      </c>
      <c r="W116" s="62">
        <f t="shared" si="58"/>
        <v>6.0901339829476251E-5</v>
      </c>
      <c r="X116" s="15"/>
      <c r="Y116" s="1">
        <f t="shared" si="59"/>
        <v>-1.0033381352541042E-4</v>
      </c>
      <c r="AH116" s="35">
        <v>45714</v>
      </c>
      <c r="AI116" s="31" t="s">
        <v>771</v>
      </c>
      <c r="AJ116" s="32">
        <v>3.2000000000000002E-3</v>
      </c>
      <c r="AK116" s="28">
        <f t="shared" si="45"/>
        <v>3.2012805122048822E-3</v>
      </c>
      <c r="AL116" s="28" t="s">
        <v>803</v>
      </c>
      <c r="AM116" s="28" t="s">
        <v>771</v>
      </c>
      <c r="AN116" s="28" t="s">
        <v>804</v>
      </c>
      <c r="AO116" s="28" t="s">
        <v>805</v>
      </c>
      <c r="AP116" s="28" t="s">
        <v>806</v>
      </c>
      <c r="AQ116" s="28" t="s">
        <v>73</v>
      </c>
      <c r="AR116" s="28" t="s">
        <v>21</v>
      </c>
      <c r="AS116" s="73">
        <v>527.07129383999995</v>
      </c>
      <c r="AT116" s="8">
        <v>14.16</v>
      </c>
      <c r="AU116" s="73" t="s">
        <v>771</v>
      </c>
      <c r="AV116" s="73" t="b">
        <f t="shared" si="60"/>
        <v>1</v>
      </c>
      <c r="AW116" s="79">
        <v>0</v>
      </c>
      <c r="AX116" s="45" t="str">
        <f t="shared" si="61"/>
        <v/>
      </c>
      <c r="AY116" s="29" t="str">
        <f t="shared" si="62"/>
        <v/>
      </c>
      <c r="AZ116" s="29" t="str">
        <f t="shared" si="63"/>
        <v/>
      </c>
      <c r="BA116" s="29" t="s">
        <v>699</v>
      </c>
      <c r="BB116" s="29">
        <f t="shared" si="64"/>
        <v>0</v>
      </c>
      <c r="BC116">
        <f t="shared" si="65"/>
        <v>0</v>
      </c>
      <c r="BD116" s="78" t="str" cm="1">
        <f t="array" ref="BD116">IF(BC116&lt;&gt;1, "", IF(AK116&gt;0, INT(AK116/SUMPRODUCT(($AK$3:$AK$1000&gt;0)*($AK$3:$AK$1000), ($BC$3:$BC$1000))*$AB$12/AT116), INT(AK116/SUMPRODUCT(($AK$3:$AK$1000&lt;0)*($AK$3:$AK$1000), ($BC$3:$BC$1000))*$AB$13/AT116)))</f>
        <v/>
      </c>
      <c r="BE116" t="str">
        <f t="shared" si="66"/>
        <v/>
      </c>
      <c r="BF116" s="65" t="str">
        <f t="shared" si="67"/>
        <v/>
      </c>
    </row>
    <row r="117" spans="2:58" x14ac:dyDescent="0.3">
      <c r="B117" s="18" t="s">
        <v>768</v>
      </c>
      <c r="C117" s="18" t="s">
        <v>792</v>
      </c>
      <c r="D117" s="18" t="s">
        <v>832</v>
      </c>
      <c r="E117" s="44" t="s">
        <v>795</v>
      </c>
      <c r="F117" s="18" t="s">
        <v>14</v>
      </c>
      <c r="G117" s="18" t="s">
        <v>10</v>
      </c>
      <c r="H117" s="19">
        <v>1019.24730272</v>
      </c>
      <c r="I117" s="18">
        <v>944</v>
      </c>
      <c r="J117" s="20">
        <v>45.79</v>
      </c>
      <c r="K117" s="19">
        <v>43225.760000000002</v>
      </c>
      <c r="L117" s="12">
        <f t="shared" si="47"/>
        <v>2.8817173333333334E-3</v>
      </c>
      <c r="M117" s="12">
        <f t="shared" si="48"/>
        <v>3.8015206082432974E-3</v>
      </c>
      <c r="N117" s="15" t="str">
        <f t="shared" si="49"/>
        <v/>
      </c>
      <c r="O117" s="15" t="str">
        <f t="shared" si="50"/>
        <v/>
      </c>
      <c r="P117" s="15">
        <f t="shared" si="51"/>
        <v>1</v>
      </c>
      <c r="Q117" s="15" t="str">
        <f t="shared" si="52"/>
        <v>Buy</v>
      </c>
      <c r="R117" s="55">
        <f t="shared" si="53"/>
        <v>301</v>
      </c>
      <c r="S117" s="33">
        <f t="shared" si="54"/>
        <v>13782.789999999999</v>
      </c>
      <c r="T117" s="33" t="str">
        <f t="shared" si="55"/>
        <v/>
      </c>
      <c r="U117" s="15" t="str">
        <f t="shared" si="56"/>
        <v/>
      </c>
      <c r="V117" s="15">
        <f t="shared" si="57"/>
        <v>3.0100000000000002</v>
      </c>
      <c r="W117" s="62">
        <f t="shared" si="58"/>
        <v>2.1838829438742088E-4</v>
      </c>
      <c r="X117" s="15"/>
      <c r="Y117" s="1">
        <f t="shared" si="59"/>
        <v>-9.19803274909964E-4</v>
      </c>
      <c r="AH117" s="35">
        <v>45714</v>
      </c>
      <c r="AI117" s="31" t="s">
        <v>1516</v>
      </c>
      <c r="AJ117" s="32">
        <v>3.0999999999999999E-3</v>
      </c>
      <c r="AK117" s="28">
        <f t="shared" si="45"/>
        <v>3.1012404961984793E-3</v>
      </c>
      <c r="AL117" s="28" t="s">
        <v>1580</v>
      </c>
      <c r="AM117" s="28" t="s">
        <v>1516</v>
      </c>
      <c r="AN117" s="28" t="s">
        <v>1581</v>
      </c>
      <c r="AO117" s="28" t="s">
        <v>1582</v>
      </c>
      <c r="AP117" s="28" t="s">
        <v>1583</v>
      </c>
      <c r="AQ117" s="28" t="s">
        <v>73</v>
      </c>
      <c r="AR117" s="28" t="s">
        <v>13</v>
      </c>
      <c r="AS117" s="73">
        <v>1424.93582049</v>
      </c>
      <c r="AT117" s="8">
        <v>12.53</v>
      </c>
      <c r="AU117" s="73" t="s">
        <v>1516</v>
      </c>
      <c r="AV117" s="73" t="b">
        <f t="shared" si="60"/>
        <v>1</v>
      </c>
      <c r="AW117" s="79">
        <v>0</v>
      </c>
      <c r="AX117" s="45" t="str">
        <f t="shared" si="61"/>
        <v/>
      </c>
      <c r="AY117" s="29" t="str">
        <f t="shared" si="62"/>
        <v/>
      </c>
      <c r="AZ117" s="29" t="str">
        <f t="shared" si="63"/>
        <v/>
      </c>
      <c r="BA117" s="29" t="s">
        <v>699</v>
      </c>
      <c r="BB117" s="29">
        <f t="shared" si="64"/>
        <v>0</v>
      </c>
      <c r="BC117">
        <f t="shared" si="65"/>
        <v>0</v>
      </c>
      <c r="BD117" s="78" t="str" cm="1">
        <f t="array" ref="BD117">IF(BC117&lt;&gt;1, "", IF(AK117&gt;0, INT(AK117/SUMPRODUCT(($AK$3:$AK$1000&gt;0)*($AK$3:$AK$1000), ($BC$3:$BC$1000))*$AB$12/AT117), INT(AK117/SUMPRODUCT(($AK$3:$AK$1000&lt;0)*($AK$3:$AK$1000), ($BC$3:$BC$1000))*$AB$13/AT117)))</f>
        <v/>
      </c>
      <c r="BE117" t="str">
        <f t="shared" si="66"/>
        <v/>
      </c>
      <c r="BF117" s="65" t="str">
        <f t="shared" si="67"/>
        <v/>
      </c>
    </row>
    <row r="118" spans="2:58" x14ac:dyDescent="0.3">
      <c r="B118" s="18" t="s">
        <v>1324</v>
      </c>
      <c r="C118" s="18" t="s">
        <v>1355</v>
      </c>
      <c r="D118" s="18" t="s">
        <v>1391</v>
      </c>
      <c r="E118" s="44" t="s">
        <v>1357</v>
      </c>
      <c r="F118" s="18" t="s">
        <v>13</v>
      </c>
      <c r="G118" s="18" t="s">
        <v>10</v>
      </c>
      <c r="H118" s="19">
        <v>2727.8742400400001</v>
      </c>
      <c r="I118" s="18">
        <v>677</v>
      </c>
      <c r="J118" s="20">
        <v>60.44</v>
      </c>
      <c r="K118" s="19">
        <v>40917.879999999997</v>
      </c>
      <c r="L118" s="12">
        <f t="shared" si="47"/>
        <v>2.7278586666666664E-3</v>
      </c>
      <c r="M118" s="12">
        <f t="shared" si="48"/>
        <v>2.9011604641856741E-3</v>
      </c>
      <c r="N118" s="15" t="str">
        <f t="shared" si="49"/>
        <v/>
      </c>
      <c r="O118" s="15" t="str">
        <f t="shared" si="50"/>
        <v/>
      </c>
      <c r="P118" s="15">
        <f t="shared" si="51"/>
        <v>1</v>
      </c>
      <c r="Q118" s="15" t="str">
        <f t="shared" si="52"/>
        <v>Buy</v>
      </c>
      <c r="R118" s="55">
        <f t="shared" si="53"/>
        <v>43</v>
      </c>
      <c r="S118" s="33">
        <f t="shared" si="54"/>
        <v>2598.92</v>
      </c>
      <c r="T118" s="33" t="str">
        <f t="shared" si="55"/>
        <v/>
      </c>
      <c r="U118" s="15" t="str">
        <f t="shared" si="56"/>
        <v/>
      </c>
      <c r="V118" s="15">
        <f t="shared" si="57"/>
        <v>0.43</v>
      </c>
      <c r="W118" s="62">
        <f t="shared" si="58"/>
        <v>1.6545334215751158E-4</v>
      </c>
      <c r="X118" s="15"/>
      <c r="Y118" s="1">
        <f t="shared" si="59"/>
        <v>-1.733017975190077E-4</v>
      </c>
      <c r="AH118" s="35">
        <v>45714</v>
      </c>
      <c r="AI118" s="31" t="s">
        <v>1513</v>
      </c>
      <c r="AJ118" s="32">
        <v>3.0000000000000001E-3</v>
      </c>
      <c r="AK118" s="28">
        <f t="shared" si="45"/>
        <v>3.0012004801920769E-3</v>
      </c>
      <c r="AL118" s="28" t="s">
        <v>1570</v>
      </c>
      <c r="AM118" s="28" t="s">
        <v>1513</v>
      </c>
      <c r="AN118" s="28" t="s">
        <v>1700</v>
      </c>
      <c r="AO118" s="28" t="s">
        <v>1571</v>
      </c>
      <c r="AP118" s="28" t="s">
        <v>1572</v>
      </c>
      <c r="AQ118" s="28" t="s">
        <v>73</v>
      </c>
      <c r="AR118" s="28" t="s">
        <v>11</v>
      </c>
      <c r="AS118" s="73">
        <v>54202.42</v>
      </c>
      <c r="AT118" s="8">
        <v>164.2</v>
      </c>
      <c r="AU118" s="73" t="s">
        <v>1513</v>
      </c>
      <c r="AV118" s="73" t="b">
        <f t="shared" si="60"/>
        <v>1</v>
      </c>
      <c r="AW118" s="79">
        <v>0</v>
      </c>
      <c r="AX118" s="45" t="str">
        <f t="shared" si="61"/>
        <v/>
      </c>
      <c r="AY118" s="29" t="str">
        <f t="shared" si="62"/>
        <v/>
      </c>
      <c r="AZ118" s="29" t="str">
        <f t="shared" si="63"/>
        <v/>
      </c>
      <c r="BA118" s="29" t="s">
        <v>699</v>
      </c>
      <c r="BB118" s="29">
        <f t="shared" si="64"/>
        <v>0</v>
      </c>
      <c r="BC118">
        <f t="shared" si="65"/>
        <v>0</v>
      </c>
      <c r="BD118" s="78" t="str" cm="1">
        <f t="array" ref="BD118">IF(BC118&lt;&gt;1, "", IF(AK118&gt;0, INT(AK118/SUMPRODUCT(($AK$3:$AK$1000&gt;0)*($AK$3:$AK$1000), ($BC$3:$BC$1000))*$AB$12/AT118), INT(AK118/SUMPRODUCT(($AK$3:$AK$1000&lt;0)*($AK$3:$AK$1000), ($BC$3:$BC$1000))*$AB$13/AT118)))</f>
        <v/>
      </c>
      <c r="BE118" t="str">
        <f t="shared" si="66"/>
        <v/>
      </c>
      <c r="BF118" s="65" t="str">
        <f t="shared" si="67"/>
        <v/>
      </c>
    </row>
    <row r="119" spans="2:58" x14ac:dyDescent="0.3">
      <c r="B119" s="18" t="s">
        <v>1505</v>
      </c>
      <c r="C119" s="18" t="s">
        <v>1541</v>
      </c>
      <c r="D119" s="18" t="s">
        <v>1613</v>
      </c>
      <c r="E119" s="44" t="s">
        <v>1544</v>
      </c>
      <c r="F119" s="18" t="s">
        <v>22</v>
      </c>
      <c r="G119" s="18" t="s">
        <v>10</v>
      </c>
      <c r="H119" s="19">
        <v>16151.960165240002</v>
      </c>
      <c r="I119" s="18">
        <v>1348</v>
      </c>
      <c r="J119" s="20">
        <v>29.42</v>
      </c>
      <c r="K119" s="19">
        <v>39658.160000000003</v>
      </c>
      <c r="L119" s="12">
        <f t="shared" si="47"/>
        <v>2.6438773333333334E-3</v>
      </c>
      <c r="M119" s="12">
        <f t="shared" si="48"/>
        <v>2.6010404161664665E-3</v>
      </c>
      <c r="N119" s="15" t="str">
        <f t="shared" si="49"/>
        <v/>
      </c>
      <c r="O119" s="15" t="str">
        <f t="shared" si="50"/>
        <v/>
      </c>
      <c r="P119" s="15" t="str">
        <f t="shared" si="51"/>
        <v/>
      </c>
      <c r="Q119" s="15" t="str">
        <f t="shared" si="52"/>
        <v/>
      </c>
      <c r="R119" s="55" t="str">
        <f t="shared" si="53"/>
        <v/>
      </c>
      <c r="S119" s="33" t="str">
        <f t="shared" si="54"/>
        <v/>
      </c>
      <c r="T119" s="33" t="str">
        <f t="shared" si="55"/>
        <v/>
      </c>
      <c r="U119" s="15" t="str">
        <f t="shared" si="56"/>
        <v/>
      </c>
      <c r="V119" s="15" t="str">
        <f t="shared" si="57"/>
        <v/>
      </c>
      <c r="W119" s="62" t="str">
        <f t="shared" si="58"/>
        <v/>
      </c>
      <c r="X119" s="15"/>
      <c r="Y119" s="1">
        <f t="shared" si="59"/>
        <v>4.2836917166866849E-5</v>
      </c>
      <c r="AH119" s="35">
        <v>45714</v>
      </c>
      <c r="AI119" s="31" t="s">
        <v>1324</v>
      </c>
      <c r="AJ119" s="32">
        <v>2.8999999999999998E-3</v>
      </c>
      <c r="AK119" s="28">
        <f t="shared" si="45"/>
        <v>2.9011604641856741E-3</v>
      </c>
      <c r="AL119" s="28" t="s">
        <v>1355</v>
      </c>
      <c r="AM119" s="28" t="s">
        <v>1324</v>
      </c>
      <c r="AN119" s="28" t="s">
        <v>1701</v>
      </c>
      <c r="AO119" s="28" t="s">
        <v>1356</v>
      </c>
      <c r="AP119" s="28" t="s">
        <v>1357</v>
      </c>
      <c r="AQ119" s="28" t="s">
        <v>73</v>
      </c>
      <c r="AR119" s="28" t="s">
        <v>13</v>
      </c>
      <c r="AS119" s="73">
        <v>2727.8742400400001</v>
      </c>
      <c r="AT119" s="8">
        <v>60.44</v>
      </c>
      <c r="AU119" s="73" t="s">
        <v>1324</v>
      </c>
      <c r="AV119" s="73" t="b">
        <f t="shared" si="60"/>
        <v>1</v>
      </c>
      <c r="AW119" s="79">
        <v>0</v>
      </c>
      <c r="AX119" s="45" t="str">
        <f t="shared" si="61"/>
        <v/>
      </c>
      <c r="AY119" s="29" t="str">
        <f t="shared" si="62"/>
        <v/>
      </c>
      <c r="AZ119" s="29" t="str">
        <f t="shared" si="63"/>
        <v/>
      </c>
      <c r="BA119" s="29" t="s">
        <v>699</v>
      </c>
      <c r="BB119" s="29">
        <f t="shared" si="64"/>
        <v>0</v>
      </c>
      <c r="BC119">
        <f t="shared" si="65"/>
        <v>0</v>
      </c>
      <c r="BD119" s="78" t="str" cm="1">
        <f t="array" ref="BD119">IF(BC119&lt;&gt;1, "", IF(AK119&gt;0, INT(AK119/SUMPRODUCT(($AK$3:$AK$1000&gt;0)*($AK$3:$AK$1000), ($BC$3:$BC$1000))*$AB$12/AT119), INT(AK119/SUMPRODUCT(($AK$3:$AK$1000&lt;0)*($AK$3:$AK$1000), ($BC$3:$BC$1000))*$AB$13/AT119)))</f>
        <v/>
      </c>
      <c r="BE119" t="str">
        <f t="shared" si="66"/>
        <v/>
      </c>
      <c r="BF119" s="65" t="str">
        <f t="shared" si="67"/>
        <v/>
      </c>
    </row>
    <row r="120" spans="2:58" x14ac:dyDescent="0.3">
      <c r="B120" s="18" t="s">
        <v>1414</v>
      </c>
      <c r="C120" s="18" t="s">
        <v>1458</v>
      </c>
      <c r="D120" s="18" t="s">
        <v>1494</v>
      </c>
      <c r="E120" s="44" t="s">
        <v>1461</v>
      </c>
      <c r="F120" s="18" t="s">
        <v>11</v>
      </c>
      <c r="G120" s="18" t="s">
        <v>10</v>
      </c>
      <c r="H120" s="19">
        <v>297.99972150000002</v>
      </c>
      <c r="I120" s="18">
        <v>5176</v>
      </c>
      <c r="J120" s="20">
        <v>7.62</v>
      </c>
      <c r="K120" s="19">
        <v>39441.120000000003</v>
      </c>
      <c r="L120" s="12">
        <f t="shared" si="47"/>
        <v>2.6294080000000002E-3</v>
      </c>
      <c r="M120" s="12">
        <f t="shared" si="48"/>
        <v>3.6014405762304922E-3</v>
      </c>
      <c r="N120" s="15" t="str">
        <f t="shared" si="49"/>
        <v/>
      </c>
      <c r="O120" s="15" t="str">
        <f t="shared" si="50"/>
        <v/>
      </c>
      <c r="P120" s="15">
        <f t="shared" si="51"/>
        <v>1</v>
      </c>
      <c r="Q120" s="15" t="str">
        <f t="shared" si="52"/>
        <v>Buy</v>
      </c>
      <c r="R120" s="55">
        <f t="shared" si="53"/>
        <v>1913</v>
      </c>
      <c r="S120" s="33">
        <f t="shared" si="54"/>
        <v>14577.06</v>
      </c>
      <c r="T120" s="33" t="str">
        <f t="shared" si="55"/>
        <v/>
      </c>
      <c r="U120" s="15" t="str">
        <f t="shared" si="56"/>
        <v/>
      </c>
      <c r="V120" s="15">
        <f t="shared" si="57"/>
        <v>19.13</v>
      </c>
      <c r="W120" s="62">
        <f t="shared" si="58"/>
        <v>1.3123359580052493E-3</v>
      </c>
      <c r="X120" s="15"/>
      <c r="Y120" s="1">
        <f t="shared" si="59"/>
        <v>-9.7203257623049199E-4</v>
      </c>
      <c r="AH120" s="35">
        <v>45714</v>
      </c>
      <c r="AI120" s="31" t="s">
        <v>1505</v>
      </c>
      <c r="AJ120" s="32">
        <v>2.5999999999999999E-3</v>
      </c>
      <c r="AK120" s="28">
        <f t="shared" si="45"/>
        <v>2.6010404161664665E-3</v>
      </c>
      <c r="AL120" s="28" t="s">
        <v>1541</v>
      </c>
      <c r="AM120" s="28" t="s">
        <v>1505</v>
      </c>
      <c r="AN120" s="28" t="s">
        <v>1542</v>
      </c>
      <c r="AO120" s="28" t="s">
        <v>1543</v>
      </c>
      <c r="AP120" s="28" t="s">
        <v>1544</v>
      </c>
      <c r="AQ120" s="28" t="s">
        <v>73</v>
      </c>
      <c r="AR120" s="28" t="s">
        <v>22</v>
      </c>
      <c r="AS120" s="73">
        <v>16151.96016524</v>
      </c>
      <c r="AT120" s="8">
        <v>29.42</v>
      </c>
      <c r="AU120" s="73" t="s">
        <v>1505</v>
      </c>
      <c r="AV120" s="73" t="b">
        <f t="shared" si="60"/>
        <v>1</v>
      </c>
      <c r="AW120" s="79">
        <v>0</v>
      </c>
      <c r="AX120" s="45" t="str">
        <f t="shared" si="61"/>
        <v/>
      </c>
      <c r="AY120" s="29" t="str">
        <f t="shared" si="62"/>
        <v/>
      </c>
      <c r="AZ120" s="29" t="str">
        <f t="shared" si="63"/>
        <v/>
      </c>
      <c r="BA120" s="29" t="s">
        <v>699</v>
      </c>
      <c r="BB120" s="29">
        <f t="shared" si="64"/>
        <v>0</v>
      </c>
      <c r="BC120">
        <f t="shared" si="65"/>
        <v>0</v>
      </c>
      <c r="BD120" s="78" t="str" cm="1">
        <f t="array" ref="BD120">IF(BC120&lt;&gt;1, "", IF(AK120&gt;0, INT(AK120/SUMPRODUCT(($AK$3:$AK$1000&gt;0)*($AK$3:$AK$1000), ($BC$3:$BC$1000))*$AB$12/AT120), INT(AK120/SUMPRODUCT(($AK$3:$AK$1000&lt;0)*($AK$3:$AK$1000), ($BC$3:$BC$1000))*$AB$13/AT120)))</f>
        <v/>
      </c>
      <c r="BE120" t="str">
        <f t="shared" si="66"/>
        <v/>
      </c>
      <c r="BF120" s="65" t="str">
        <f t="shared" si="67"/>
        <v/>
      </c>
    </row>
    <row r="121" spans="2:58" x14ac:dyDescent="0.3">
      <c r="B121" s="18" t="s">
        <v>1636</v>
      </c>
      <c r="C121" s="18" t="s">
        <v>1702</v>
      </c>
      <c r="D121" s="18" t="s">
        <v>1815</v>
      </c>
      <c r="E121" s="44" t="s">
        <v>1705</v>
      </c>
      <c r="F121" s="18" t="s">
        <v>25</v>
      </c>
      <c r="G121" s="18" t="s">
        <v>10</v>
      </c>
      <c r="H121" s="19">
        <v>7501.3996185599981</v>
      </c>
      <c r="I121" s="18">
        <v>680</v>
      </c>
      <c r="J121" s="20">
        <v>56.66</v>
      </c>
      <c r="K121" s="19">
        <v>38528.799999999996</v>
      </c>
      <c r="L121" s="12">
        <f t="shared" si="47"/>
        <v>2.5685866666666662E-3</v>
      </c>
      <c r="M121" s="12">
        <f t="shared" si="48"/>
        <v>2.5010004001600641E-3</v>
      </c>
      <c r="N121" s="15" t="str">
        <f t="shared" si="49"/>
        <v/>
      </c>
      <c r="O121" s="15" t="str">
        <f t="shared" si="50"/>
        <v/>
      </c>
      <c r="P121" s="15">
        <f t="shared" si="51"/>
        <v>1</v>
      </c>
      <c r="Q121" s="15" t="str">
        <f t="shared" si="52"/>
        <v>Sell</v>
      </c>
      <c r="R121" s="55">
        <f t="shared" si="53"/>
        <v>17</v>
      </c>
      <c r="S121" s="33">
        <f t="shared" si="54"/>
        <v>963.21999999999991</v>
      </c>
      <c r="T121" s="33" t="str">
        <f t="shared" si="55"/>
        <v/>
      </c>
      <c r="U121" s="15" t="str">
        <f t="shared" si="56"/>
        <v/>
      </c>
      <c r="V121" s="15">
        <f t="shared" si="57"/>
        <v>0.17</v>
      </c>
      <c r="W121" s="62">
        <f t="shared" si="58"/>
        <v>1.7649135192375576E-4</v>
      </c>
      <c r="X121" s="15"/>
      <c r="Y121" s="1">
        <f t="shared" si="59"/>
        <v>6.7586266506602065E-5</v>
      </c>
      <c r="AH121" s="35">
        <v>45714</v>
      </c>
      <c r="AI121" s="31" t="s">
        <v>1835</v>
      </c>
      <c r="AJ121" s="32">
        <v>2.5000000000000001E-3</v>
      </c>
      <c r="AK121" s="28">
        <f t="shared" si="45"/>
        <v>2.5010004001600641E-3</v>
      </c>
      <c r="AL121" s="28" t="s">
        <v>1879</v>
      </c>
      <c r="AM121" s="28" t="s">
        <v>1835</v>
      </c>
      <c r="AN121" s="28" t="s">
        <v>1880</v>
      </c>
      <c r="AO121" s="28" t="s">
        <v>1881</v>
      </c>
      <c r="AP121" s="28" t="s">
        <v>1882</v>
      </c>
      <c r="AQ121" s="28" t="s">
        <v>73</v>
      </c>
      <c r="AR121" s="28" t="s">
        <v>23</v>
      </c>
      <c r="AS121" s="73">
        <v>981.07345499999997</v>
      </c>
      <c r="AT121" s="8">
        <v>51.5</v>
      </c>
      <c r="AU121" s="73" t="s">
        <v>1835</v>
      </c>
      <c r="AV121" s="73" t="b">
        <f t="shared" si="60"/>
        <v>1</v>
      </c>
      <c r="AW121" s="79">
        <v>0</v>
      </c>
      <c r="AX121" s="45" t="str">
        <f t="shared" si="61"/>
        <v/>
      </c>
      <c r="AY121" s="29" t="str">
        <f t="shared" si="62"/>
        <v/>
      </c>
      <c r="AZ121" s="29" t="str">
        <f t="shared" si="63"/>
        <v/>
      </c>
      <c r="BA121" s="29" t="s">
        <v>699</v>
      </c>
      <c r="BB121" s="29">
        <f t="shared" si="64"/>
        <v>0</v>
      </c>
      <c r="BC121">
        <f t="shared" si="65"/>
        <v>1</v>
      </c>
      <c r="BD121" s="78" cm="1">
        <f t="array" ref="BD121">IF(BC121&lt;&gt;1, "", IF(AK121&gt;0, INT(AK121/SUMPRODUCT(($AK$3:$AK$1000&gt;0)*($AK$3:$AK$1000), ($BC$3:$BC$1000))*$AB$12/AT121), INT(AK121/SUMPRODUCT(($AK$3:$AK$1000&lt;0)*($AK$3:$AK$1000), ($BC$3:$BC$1000))*$AB$13/AT121)))</f>
        <v>726</v>
      </c>
      <c r="BE121" t="str">
        <f t="shared" si="66"/>
        <v>Buy</v>
      </c>
      <c r="BF121" s="65">
        <f t="shared" si="67"/>
        <v>37389</v>
      </c>
    </row>
    <row r="122" spans="2:58" x14ac:dyDescent="0.3">
      <c r="B122" s="18" t="s">
        <v>1074</v>
      </c>
      <c r="C122" s="18" t="s">
        <v>1157</v>
      </c>
      <c r="D122" s="18" t="s">
        <v>1288</v>
      </c>
      <c r="E122" s="44" t="s">
        <v>1160</v>
      </c>
      <c r="F122" s="18" t="s">
        <v>20</v>
      </c>
      <c r="G122" s="18" t="s">
        <v>10</v>
      </c>
      <c r="H122" s="19">
        <v>885.00608849000002</v>
      </c>
      <c r="I122" s="18">
        <v>1767</v>
      </c>
      <c r="J122" s="20">
        <v>20.11</v>
      </c>
      <c r="K122" s="19">
        <v>35534.370000000003</v>
      </c>
      <c r="L122" s="12">
        <f t="shared" si="47"/>
        <v>2.368958E-3</v>
      </c>
      <c r="M122" s="12">
        <f t="shared" si="48"/>
        <v>2.1008403361344537E-3</v>
      </c>
      <c r="N122" s="15" t="str">
        <f t="shared" si="49"/>
        <v/>
      </c>
      <c r="O122" s="15" t="str">
        <f t="shared" si="50"/>
        <v/>
      </c>
      <c r="P122" s="15">
        <f t="shared" si="51"/>
        <v>1</v>
      </c>
      <c r="Q122" s="15" t="str">
        <f t="shared" si="52"/>
        <v>Sell</v>
      </c>
      <c r="R122" s="55">
        <f t="shared" si="53"/>
        <v>199</v>
      </c>
      <c r="S122" s="33">
        <f t="shared" si="54"/>
        <v>4001.89</v>
      </c>
      <c r="T122" s="33" t="str">
        <f t="shared" si="55"/>
        <v/>
      </c>
      <c r="U122" s="15" t="str">
        <f t="shared" si="56"/>
        <v/>
      </c>
      <c r="V122" s="15">
        <f t="shared" si="57"/>
        <v>1.99</v>
      </c>
      <c r="W122" s="62">
        <f t="shared" si="58"/>
        <v>4.9726504226752866E-4</v>
      </c>
      <c r="X122" s="15"/>
      <c r="Y122" s="1">
        <f t="shared" si="59"/>
        <v>2.6811766386554631E-4</v>
      </c>
      <c r="AH122" s="35">
        <v>45714</v>
      </c>
      <c r="AI122" s="31" t="s">
        <v>1636</v>
      </c>
      <c r="AJ122" s="32">
        <v>2.5000000000000001E-3</v>
      </c>
      <c r="AK122" s="28">
        <f t="shared" si="45"/>
        <v>2.5010004001600641E-3</v>
      </c>
      <c r="AL122" s="28" t="s">
        <v>1702</v>
      </c>
      <c r="AM122" s="28" t="s">
        <v>1636</v>
      </c>
      <c r="AN122" s="28" t="s">
        <v>1703</v>
      </c>
      <c r="AO122" s="28" t="s">
        <v>1704</v>
      </c>
      <c r="AP122" s="28" t="s">
        <v>1705</v>
      </c>
      <c r="AQ122" s="28" t="s">
        <v>73</v>
      </c>
      <c r="AR122" s="28" t="s">
        <v>25</v>
      </c>
      <c r="AS122" s="73">
        <v>7501.3996185599999</v>
      </c>
      <c r="AT122" s="8">
        <v>56.66</v>
      </c>
      <c r="AU122" s="73" t="s">
        <v>1636</v>
      </c>
      <c r="AV122" s="73" t="b">
        <f t="shared" si="60"/>
        <v>1</v>
      </c>
      <c r="AW122" s="79">
        <v>0</v>
      </c>
      <c r="AX122" s="45" t="str">
        <f t="shared" si="61"/>
        <v/>
      </c>
      <c r="AY122" s="29" t="str">
        <f t="shared" si="62"/>
        <v/>
      </c>
      <c r="AZ122" s="29" t="str">
        <f t="shared" si="63"/>
        <v/>
      </c>
      <c r="BA122" s="29" t="s">
        <v>699</v>
      </c>
      <c r="BB122" s="29">
        <f t="shared" si="64"/>
        <v>0</v>
      </c>
      <c r="BC122">
        <f t="shared" si="65"/>
        <v>0</v>
      </c>
      <c r="BD122" s="78" t="str" cm="1">
        <f t="array" ref="BD122">IF(BC122&lt;&gt;1, "", IF(AK122&gt;0, INT(AK122/SUMPRODUCT(($AK$3:$AK$1000&gt;0)*($AK$3:$AK$1000), ($BC$3:$BC$1000))*$AB$12/AT122), INT(AK122/SUMPRODUCT(($AK$3:$AK$1000&lt;0)*($AK$3:$AK$1000), ($BC$3:$BC$1000))*$AB$13/AT122)))</f>
        <v/>
      </c>
      <c r="BE122" t="str">
        <f t="shared" si="66"/>
        <v/>
      </c>
      <c r="BF122" s="65" t="str">
        <f t="shared" si="67"/>
        <v/>
      </c>
    </row>
    <row r="123" spans="2:58" x14ac:dyDescent="0.3">
      <c r="B123" s="18" t="s">
        <v>1506</v>
      </c>
      <c r="C123" s="18" t="s">
        <v>1545</v>
      </c>
      <c r="D123" s="18" t="s">
        <v>1615</v>
      </c>
      <c r="E123" s="44" t="s">
        <v>1548</v>
      </c>
      <c r="F123" s="18" t="s">
        <v>13</v>
      </c>
      <c r="G123" s="18" t="s">
        <v>10</v>
      </c>
      <c r="H123" s="19">
        <v>1452.3078429599998</v>
      </c>
      <c r="I123" s="18">
        <v>265</v>
      </c>
      <c r="J123" s="20">
        <v>133.63999999999999</v>
      </c>
      <c r="K123" s="19">
        <v>35414.6</v>
      </c>
      <c r="L123" s="12">
        <f t="shared" si="47"/>
        <v>2.3609733333333333E-3</v>
      </c>
      <c r="M123" s="12">
        <f t="shared" si="48"/>
        <v>2.3009203681472589E-3</v>
      </c>
      <c r="N123" s="15" t="str">
        <f t="shared" si="49"/>
        <v/>
      </c>
      <c r="O123" s="15" t="str">
        <f t="shared" si="50"/>
        <v/>
      </c>
      <c r="P123" s="15">
        <f t="shared" si="51"/>
        <v>1</v>
      </c>
      <c r="Q123" s="15" t="str">
        <f t="shared" si="52"/>
        <v>Sell</v>
      </c>
      <c r="R123" s="55">
        <f t="shared" si="53"/>
        <v>6</v>
      </c>
      <c r="S123" s="33">
        <f t="shared" si="54"/>
        <v>801.83999999999992</v>
      </c>
      <c r="T123" s="33" t="str">
        <f t="shared" si="55"/>
        <v/>
      </c>
      <c r="U123" s="15" t="str">
        <f t="shared" si="56"/>
        <v/>
      </c>
      <c r="V123" s="15">
        <f t="shared" si="57"/>
        <v>0.06</v>
      </c>
      <c r="W123" s="62">
        <f t="shared" si="58"/>
        <v>7.4827895839568997E-5</v>
      </c>
      <c r="X123" s="15"/>
      <c r="Y123" s="1">
        <f t="shared" si="59"/>
        <v>6.0052965186074402E-5</v>
      </c>
      <c r="AH123" s="35">
        <v>45714</v>
      </c>
      <c r="AI123" s="31" t="s">
        <v>1506</v>
      </c>
      <c r="AJ123" s="32">
        <v>2.3E-3</v>
      </c>
      <c r="AK123" s="28">
        <f t="shared" si="45"/>
        <v>2.3009203681472589E-3</v>
      </c>
      <c r="AL123" s="28" t="s">
        <v>1545</v>
      </c>
      <c r="AM123" s="28" t="s">
        <v>1506</v>
      </c>
      <c r="AN123" s="28" t="s">
        <v>1546</v>
      </c>
      <c r="AO123" s="28" t="s">
        <v>1547</v>
      </c>
      <c r="AP123" s="28" t="s">
        <v>1548</v>
      </c>
      <c r="AQ123" s="28" t="s">
        <v>73</v>
      </c>
      <c r="AR123" s="28" t="s">
        <v>13</v>
      </c>
      <c r="AS123" s="73">
        <v>1452.30784296</v>
      </c>
      <c r="AT123" s="8">
        <v>133.63999999999999</v>
      </c>
      <c r="AU123" s="73" t="s">
        <v>1506</v>
      </c>
      <c r="AV123" s="73" t="b">
        <f t="shared" si="60"/>
        <v>1</v>
      </c>
      <c r="AW123" s="79">
        <v>0</v>
      </c>
      <c r="AX123" s="45" t="str">
        <f t="shared" si="61"/>
        <v/>
      </c>
      <c r="AY123" s="29" t="str">
        <f t="shared" si="62"/>
        <v/>
      </c>
      <c r="AZ123" s="29" t="str">
        <f t="shared" si="63"/>
        <v/>
      </c>
      <c r="BA123" s="29" t="s">
        <v>699</v>
      </c>
      <c r="BB123" s="29">
        <f t="shared" si="64"/>
        <v>0</v>
      </c>
      <c r="BC123">
        <f t="shared" si="65"/>
        <v>0</v>
      </c>
      <c r="BD123" s="78" t="str" cm="1">
        <f t="array" ref="BD123">IF(BC123&lt;&gt;1, "", IF(AK123&gt;0, INT(AK123/SUMPRODUCT(($AK$3:$AK$1000&gt;0)*($AK$3:$AK$1000), ($BC$3:$BC$1000))*$AB$12/AT123), INT(AK123/SUMPRODUCT(($AK$3:$AK$1000&lt;0)*($AK$3:$AK$1000), ($BC$3:$BC$1000))*$AB$13/AT123)))</f>
        <v/>
      </c>
      <c r="BE123" t="str">
        <f t="shared" si="66"/>
        <v/>
      </c>
      <c r="BF123" s="65" t="str">
        <f t="shared" si="67"/>
        <v/>
      </c>
    </row>
    <row r="124" spans="2:58" x14ac:dyDescent="0.3">
      <c r="B124" s="18" t="s">
        <v>1075</v>
      </c>
      <c r="C124" s="18" t="s">
        <v>1161</v>
      </c>
      <c r="D124" s="18" t="s">
        <v>1287</v>
      </c>
      <c r="E124" s="44" t="s">
        <v>1164</v>
      </c>
      <c r="F124" s="18" t="s">
        <v>11</v>
      </c>
      <c r="G124" s="18" t="s">
        <v>10</v>
      </c>
      <c r="H124" s="19">
        <v>108.18579975</v>
      </c>
      <c r="I124" s="18">
        <v>865</v>
      </c>
      <c r="J124" s="20">
        <v>37.75</v>
      </c>
      <c r="K124" s="19">
        <v>32653.75</v>
      </c>
      <c r="L124" s="12">
        <f t="shared" si="47"/>
        <v>2.1769166666666668E-3</v>
      </c>
      <c r="M124" s="12">
        <f t="shared" si="48"/>
        <v>2.1008403361344537E-3</v>
      </c>
      <c r="N124" s="15" t="str">
        <f t="shared" si="49"/>
        <v/>
      </c>
      <c r="O124" s="15" t="str">
        <f t="shared" si="50"/>
        <v/>
      </c>
      <c r="P124" s="15">
        <f t="shared" si="51"/>
        <v>1</v>
      </c>
      <c r="Q124" s="15" t="str">
        <f t="shared" si="52"/>
        <v>Sell</v>
      </c>
      <c r="R124" s="55">
        <f t="shared" si="53"/>
        <v>30</v>
      </c>
      <c r="S124" s="33">
        <f t="shared" si="54"/>
        <v>1132.5</v>
      </c>
      <c r="T124" s="33" t="str">
        <f t="shared" si="55"/>
        <v/>
      </c>
      <c r="U124" s="15" t="str">
        <f t="shared" si="56"/>
        <v/>
      </c>
      <c r="V124" s="15">
        <f t="shared" si="57"/>
        <v>0.3</v>
      </c>
      <c r="W124" s="62">
        <f t="shared" si="58"/>
        <v>2.6490066225165563E-4</v>
      </c>
      <c r="X124" s="15"/>
      <c r="Y124" s="1">
        <f t="shared" si="59"/>
        <v>7.6076330532213153E-5</v>
      </c>
      <c r="AH124" s="35">
        <v>45714</v>
      </c>
      <c r="AI124" s="31" t="s">
        <v>1836</v>
      </c>
      <c r="AJ124" s="32">
        <v>2.3E-3</v>
      </c>
      <c r="AK124" s="28">
        <f t="shared" si="45"/>
        <v>2.3009203681472589E-3</v>
      </c>
      <c r="AL124" s="28" t="s">
        <v>1883</v>
      </c>
      <c r="AM124" s="28" t="s">
        <v>1836</v>
      </c>
      <c r="AN124" s="28" t="s">
        <v>1884</v>
      </c>
      <c r="AO124" s="28" t="s">
        <v>1885</v>
      </c>
      <c r="AP124" s="28" t="s">
        <v>1886</v>
      </c>
      <c r="AQ124" s="28" t="s">
        <v>73</v>
      </c>
      <c r="AR124" s="28" t="s">
        <v>11</v>
      </c>
      <c r="AS124" s="73">
        <v>850.65425249999998</v>
      </c>
      <c r="AT124" s="8">
        <v>16.25</v>
      </c>
      <c r="AU124" s="73" t="s">
        <v>1836</v>
      </c>
      <c r="AV124" s="73" t="b">
        <f t="shared" si="60"/>
        <v>1</v>
      </c>
      <c r="AW124" s="79">
        <v>0</v>
      </c>
      <c r="AX124" s="45" t="str">
        <f t="shared" si="61"/>
        <v/>
      </c>
      <c r="AY124" s="29" t="str">
        <f t="shared" si="62"/>
        <v/>
      </c>
      <c r="AZ124" s="29" t="str">
        <f t="shared" si="63"/>
        <v/>
      </c>
      <c r="BA124" s="29" t="s">
        <v>699</v>
      </c>
      <c r="BB124" s="29">
        <f t="shared" si="64"/>
        <v>0</v>
      </c>
      <c r="BC124">
        <f t="shared" si="65"/>
        <v>1</v>
      </c>
      <c r="BD124" s="78" cm="1">
        <f t="array" ref="BD124">IF(BC124&lt;&gt;1, "", IF(AK124&gt;0, INT(AK124/SUMPRODUCT(($AK$3:$AK$1000&gt;0)*($AK$3:$AK$1000), ($BC$3:$BC$1000))*$AB$12/AT124), INT(AK124/SUMPRODUCT(($AK$3:$AK$1000&lt;0)*($AK$3:$AK$1000), ($BC$3:$BC$1000))*$AB$13/AT124)))</f>
        <v>2117</v>
      </c>
      <c r="BE124" t="str">
        <f t="shared" si="66"/>
        <v>Buy</v>
      </c>
      <c r="BF124" s="65">
        <f t="shared" si="67"/>
        <v>34401.25</v>
      </c>
    </row>
    <row r="125" spans="2:58" x14ac:dyDescent="0.3">
      <c r="B125" s="18" t="s">
        <v>1516</v>
      </c>
      <c r="C125" s="18" t="s">
        <v>1580</v>
      </c>
      <c r="D125" s="18" t="s">
        <v>1624</v>
      </c>
      <c r="E125" s="44" t="s">
        <v>1583</v>
      </c>
      <c r="F125" s="18" t="s">
        <v>13</v>
      </c>
      <c r="G125" s="18" t="s">
        <v>10</v>
      </c>
      <c r="H125" s="19">
        <v>1424.93582049</v>
      </c>
      <c r="I125" s="18">
        <v>2581</v>
      </c>
      <c r="J125" s="20">
        <v>12.53</v>
      </c>
      <c r="K125" s="19">
        <v>32339.929999999997</v>
      </c>
      <c r="L125" s="12">
        <f t="shared" si="47"/>
        <v>2.1559953333333331E-3</v>
      </c>
      <c r="M125" s="12">
        <f t="shared" si="48"/>
        <v>3.1012404961984793E-3</v>
      </c>
      <c r="N125" s="15" t="str">
        <f t="shared" si="49"/>
        <v/>
      </c>
      <c r="O125" s="15" t="str">
        <f t="shared" si="50"/>
        <v/>
      </c>
      <c r="P125" s="15">
        <f t="shared" si="51"/>
        <v>1</v>
      </c>
      <c r="Q125" s="15" t="str">
        <f t="shared" si="52"/>
        <v>Buy</v>
      </c>
      <c r="R125" s="55">
        <f t="shared" si="53"/>
        <v>1131</v>
      </c>
      <c r="S125" s="33">
        <f t="shared" si="54"/>
        <v>14171.429999999998</v>
      </c>
      <c r="T125" s="33" t="str">
        <f t="shared" si="55"/>
        <v/>
      </c>
      <c r="U125" s="15" t="str">
        <f t="shared" si="56"/>
        <v/>
      </c>
      <c r="V125" s="15">
        <f t="shared" si="57"/>
        <v>11.31</v>
      </c>
      <c r="W125" s="62">
        <f t="shared" si="58"/>
        <v>7.9808459696727868E-4</v>
      </c>
      <c r="X125" s="15"/>
      <c r="Y125" s="1">
        <f t="shared" si="59"/>
        <v>-9.4524516286514622E-4</v>
      </c>
      <c r="AH125" s="35">
        <v>45714</v>
      </c>
      <c r="AI125" s="31" t="s">
        <v>166</v>
      </c>
      <c r="AJ125" s="32">
        <v>2.2000000000000001E-3</v>
      </c>
      <c r="AK125" s="28">
        <f t="shared" si="45"/>
        <v>2.2008803521408565E-3</v>
      </c>
      <c r="AL125" s="28" t="s">
        <v>167</v>
      </c>
      <c r="AM125" s="28" t="s">
        <v>166</v>
      </c>
      <c r="AN125" s="28" t="s">
        <v>862</v>
      </c>
      <c r="AO125" s="28" t="s">
        <v>168</v>
      </c>
      <c r="AP125" s="28" t="s">
        <v>1850</v>
      </c>
      <c r="AQ125" s="28" t="s">
        <v>73</v>
      </c>
      <c r="AR125" s="28" t="s">
        <v>13</v>
      </c>
      <c r="AS125" s="73">
        <v>3293.9631933938399</v>
      </c>
      <c r="AT125" s="8">
        <v>76.72</v>
      </c>
      <c r="AU125" s="73" t="s">
        <v>166</v>
      </c>
      <c r="AV125" s="73" t="b">
        <f t="shared" si="60"/>
        <v>1</v>
      </c>
      <c r="AW125" s="79">
        <v>0</v>
      </c>
      <c r="AX125" s="45" t="str">
        <f t="shared" si="61"/>
        <v/>
      </c>
      <c r="AY125" s="29" t="str">
        <f t="shared" si="62"/>
        <v/>
      </c>
      <c r="AZ125" s="29" t="str">
        <f t="shared" si="63"/>
        <v/>
      </c>
      <c r="BA125" s="29" t="s">
        <v>699</v>
      </c>
      <c r="BB125" s="29">
        <f t="shared" si="64"/>
        <v>0</v>
      </c>
      <c r="BC125">
        <f t="shared" si="65"/>
        <v>0</v>
      </c>
      <c r="BD125" s="78" t="str" cm="1">
        <f t="array" ref="BD125">IF(BC125&lt;&gt;1, "", IF(AK125&gt;0, INT(AK125/SUMPRODUCT(($AK$3:$AK$1000&gt;0)*($AK$3:$AK$1000), ($BC$3:$BC$1000))*$AB$12/AT125), INT(AK125/SUMPRODUCT(($AK$3:$AK$1000&lt;0)*($AK$3:$AK$1000), ($BC$3:$BC$1000))*$AB$13/AT125)))</f>
        <v/>
      </c>
      <c r="BE125" t="str">
        <f t="shared" si="66"/>
        <v/>
      </c>
      <c r="BF125" s="65" t="str">
        <f t="shared" si="67"/>
        <v/>
      </c>
    </row>
    <row r="126" spans="2:58" x14ac:dyDescent="0.3">
      <c r="B126" s="18" t="s">
        <v>1510</v>
      </c>
      <c r="C126" s="18" t="s">
        <v>1559</v>
      </c>
      <c r="D126" s="18" t="s">
        <v>1618</v>
      </c>
      <c r="E126" s="44" t="s">
        <v>1562</v>
      </c>
      <c r="F126" s="18" t="s">
        <v>11</v>
      </c>
      <c r="G126" s="18" t="s">
        <v>10</v>
      </c>
      <c r="H126" s="19">
        <v>621.15376560000004</v>
      </c>
      <c r="I126" s="18">
        <v>1866</v>
      </c>
      <c r="J126" s="20">
        <v>16.350000000000001</v>
      </c>
      <c r="K126" s="19">
        <v>30509.100000000002</v>
      </c>
      <c r="L126" s="12">
        <f t="shared" si="47"/>
        <v>2.0339400000000001E-3</v>
      </c>
      <c r="M126" s="12">
        <f t="shared" si="48"/>
        <v>2.1008403361344537E-3</v>
      </c>
      <c r="N126" s="15" t="str">
        <f t="shared" si="49"/>
        <v/>
      </c>
      <c r="O126" s="15" t="str">
        <f t="shared" si="50"/>
        <v/>
      </c>
      <c r="P126" s="15">
        <f t="shared" si="51"/>
        <v>1</v>
      </c>
      <c r="Q126" s="15" t="str">
        <f t="shared" si="52"/>
        <v>Buy</v>
      </c>
      <c r="R126" s="55">
        <f t="shared" si="53"/>
        <v>61</v>
      </c>
      <c r="S126" s="33">
        <f t="shared" si="54"/>
        <v>997.35000000000014</v>
      </c>
      <c r="T126" s="33" t="str">
        <f t="shared" si="55"/>
        <v/>
      </c>
      <c r="U126" s="15" t="str">
        <f t="shared" si="56"/>
        <v/>
      </c>
      <c r="V126" s="15">
        <f t="shared" si="57"/>
        <v>0.61</v>
      </c>
      <c r="W126" s="62">
        <f t="shared" si="58"/>
        <v>6.1162079510703349E-4</v>
      </c>
      <c r="X126" s="15"/>
      <c r="Y126" s="1">
        <f t="shared" si="59"/>
        <v>-6.690033613445355E-5</v>
      </c>
      <c r="AH126" s="35">
        <v>45714</v>
      </c>
      <c r="AI126" s="31" t="s">
        <v>1637</v>
      </c>
      <c r="AJ126" s="32">
        <v>2.2000000000000001E-3</v>
      </c>
      <c r="AK126" s="28">
        <f t="shared" si="45"/>
        <v>2.2008803521408565E-3</v>
      </c>
      <c r="AL126" s="28" t="s">
        <v>1707</v>
      </c>
      <c r="AM126" s="28" t="s">
        <v>1637</v>
      </c>
      <c r="AN126" s="28" t="s">
        <v>1708</v>
      </c>
      <c r="AO126" s="28" t="s">
        <v>1709</v>
      </c>
      <c r="AP126" s="28" t="s">
        <v>1710</v>
      </c>
      <c r="AQ126" s="28" t="s">
        <v>73</v>
      </c>
      <c r="AR126" s="28" t="s">
        <v>25</v>
      </c>
      <c r="AS126" s="73">
        <v>1618.4005425</v>
      </c>
      <c r="AT126" s="8">
        <v>10.5</v>
      </c>
      <c r="AU126" s="73" t="s">
        <v>1637</v>
      </c>
      <c r="AV126" s="73" t="b">
        <f t="shared" si="60"/>
        <v>1</v>
      </c>
      <c r="AW126" s="79">
        <v>0</v>
      </c>
      <c r="AX126" s="45" t="str">
        <f t="shared" si="61"/>
        <v/>
      </c>
      <c r="AY126" s="29" t="str">
        <f t="shared" si="62"/>
        <v/>
      </c>
      <c r="AZ126" s="29" t="str">
        <f t="shared" si="63"/>
        <v/>
      </c>
      <c r="BA126" s="29" t="s">
        <v>699</v>
      </c>
      <c r="BB126" s="29">
        <f t="shared" si="64"/>
        <v>0</v>
      </c>
      <c r="BC126">
        <f t="shared" si="65"/>
        <v>0</v>
      </c>
      <c r="BD126" s="78" t="str" cm="1">
        <f t="array" ref="BD126">IF(BC126&lt;&gt;1, "", IF(AK126&gt;0, INT(AK126/SUMPRODUCT(($AK$3:$AK$1000&gt;0)*($AK$3:$AK$1000), ($BC$3:$BC$1000))*$AB$12/AT126), INT(AK126/SUMPRODUCT(($AK$3:$AK$1000&lt;0)*($AK$3:$AK$1000), ($BC$3:$BC$1000))*$AB$13/AT126)))</f>
        <v/>
      </c>
      <c r="BE126" t="str">
        <f t="shared" si="66"/>
        <v/>
      </c>
      <c r="BF126" s="65" t="str">
        <f t="shared" si="67"/>
        <v/>
      </c>
    </row>
    <row r="127" spans="2:58" x14ac:dyDescent="0.3">
      <c r="B127" s="18" t="s">
        <v>773</v>
      </c>
      <c r="C127" s="18" t="s">
        <v>809</v>
      </c>
      <c r="D127" s="18" t="s">
        <v>837</v>
      </c>
      <c r="E127" s="44" t="s">
        <v>812</v>
      </c>
      <c r="F127" s="18" t="s">
        <v>14</v>
      </c>
      <c r="G127" s="18" t="s">
        <v>10</v>
      </c>
      <c r="H127" s="19">
        <v>8473.9284188999991</v>
      </c>
      <c r="I127" s="18">
        <v>1199</v>
      </c>
      <c r="J127" s="20">
        <v>22.47</v>
      </c>
      <c r="K127" s="19">
        <v>26941.53</v>
      </c>
      <c r="L127" s="12">
        <f t="shared" si="47"/>
        <v>1.7961019999999999E-3</v>
      </c>
      <c r="M127" s="12">
        <f t="shared" si="48"/>
        <v>1.8007202881152461E-3</v>
      </c>
      <c r="N127" s="15" t="str">
        <f t="shared" si="49"/>
        <v/>
      </c>
      <c r="O127" s="15" t="str">
        <f t="shared" si="50"/>
        <v/>
      </c>
      <c r="P127" s="15" t="str">
        <f t="shared" si="51"/>
        <v/>
      </c>
      <c r="Q127" s="15" t="str">
        <f t="shared" si="52"/>
        <v/>
      </c>
      <c r="R127" s="55" t="str">
        <f t="shared" si="53"/>
        <v/>
      </c>
      <c r="S127" s="33" t="str">
        <f t="shared" si="54"/>
        <v/>
      </c>
      <c r="T127" s="33" t="str">
        <f t="shared" si="55"/>
        <v/>
      </c>
      <c r="U127" s="15" t="str">
        <f t="shared" si="56"/>
        <v/>
      </c>
      <c r="V127" s="15" t="str">
        <f t="shared" si="57"/>
        <v/>
      </c>
      <c r="W127" s="62" t="str">
        <f t="shared" si="58"/>
        <v/>
      </c>
      <c r="X127" s="15"/>
      <c r="Y127" s="1">
        <f t="shared" si="59"/>
        <v>-4.6182881152461407E-6</v>
      </c>
      <c r="AH127" s="35">
        <v>45714</v>
      </c>
      <c r="AI127" s="31" t="s">
        <v>1074</v>
      </c>
      <c r="AJ127" s="32">
        <v>2.0999999999999999E-3</v>
      </c>
      <c r="AK127" s="28">
        <f t="shared" si="45"/>
        <v>2.1008403361344537E-3</v>
      </c>
      <c r="AL127" s="28" t="s">
        <v>1157</v>
      </c>
      <c r="AM127" s="28" t="s">
        <v>1074</v>
      </c>
      <c r="AN127" s="28" t="s">
        <v>1158</v>
      </c>
      <c r="AO127" s="28" t="s">
        <v>1159</v>
      </c>
      <c r="AP127" s="28" t="s">
        <v>1160</v>
      </c>
      <c r="AQ127" s="28" t="s">
        <v>73</v>
      </c>
      <c r="AR127" s="28" t="s">
        <v>20</v>
      </c>
      <c r="AS127" s="73">
        <v>885.00608849000002</v>
      </c>
      <c r="AT127" s="8">
        <v>20.11</v>
      </c>
      <c r="AU127" s="73" t="s">
        <v>1074</v>
      </c>
      <c r="AV127" s="73" t="b">
        <f t="shared" si="60"/>
        <v>1</v>
      </c>
      <c r="AW127" s="79">
        <v>0</v>
      </c>
      <c r="AX127" s="45" t="str">
        <f t="shared" si="61"/>
        <v/>
      </c>
      <c r="AY127" s="29" t="str">
        <f t="shared" si="62"/>
        <v/>
      </c>
      <c r="AZ127" s="29" t="str">
        <f t="shared" si="63"/>
        <v/>
      </c>
      <c r="BA127" s="29" t="s">
        <v>699</v>
      </c>
      <c r="BB127" s="29">
        <f t="shared" si="64"/>
        <v>0</v>
      </c>
      <c r="BC127">
        <f t="shared" si="65"/>
        <v>0</v>
      </c>
      <c r="BD127" s="78" t="str" cm="1">
        <f t="array" ref="BD127">IF(BC127&lt;&gt;1, "", IF(AK127&gt;0, INT(AK127/SUMPRODUCT(($AK$3:$AK$1000&gt;0)*($AK$3:$AK$1000), ($BC$3:$BC$1000))*$AB$12/AT127), INT(AK127/SUMPRODUCT(($AK$3:$AK$1000&lt;0)*($AK$3:$AK$1000), ($BC$3:$BC$1000))*$AB$13/AT127)))</f>
        <v/>
      </c>
      <c r="BE127" t="str">
        <f t="shared" si="66"/>
        <v/>
      </c>
      <c r="BF127" s="65" t="str">
        <f t="shared" si="67"/>
        <v/>
      </c>
    </row>
    <row r="128" spans="2:58" x14ac:dyDescent="0.3">
      <c r="B128" s="18" t="s">
        <v>1514</v>
      </c>
      <c r="C128" s="18" t="s">
        <v>1573</v>
      </c>
      <c r="D128" s="18" t="s">
        <v>1622</v>
      </c>
      <c r="E128" s="44" t="s">
        <v>1575</v>
      </c>
      <c r="F128" s="18" t="s">
        <v>22</v>
      </c>
      <c r="G128" s="18" t="s">
        <v>10</v>
      </c>
      <c r="H128" s="19">
        <v>12531.32717328</v>
      </c>
      <c r="I128" s="18">
        <v>552</v>
      </c>
      <c r="J128" s="20">
        <v>48.78</v>
      </c>
      <c r="K128" s="19">
        <v>26926.560000000001</v>
      </c>
      <c r="L128" s="12">
        <f t="shared" si="47"/>
        <v>1.7951040000000001E-3</v>
      </c>
      <c r="M128" s="12">
        <f t="shared" si="48"/>
        <v>1.0004001600640256E-2</v>
      </c>
      <c r="N128" s="15" t="str">
        <f t="shared" si="49"/>
        <v/>
      </c>
      <c r="O128" s="15" t="str">
        <f t="shared" si="50"/>
        <v/>
      </c>
      <c r="P128" s="15">
        <f t="shared" si="51"/>
        <v>1</v>
      </c>
      <c r="Q128" s="15" t="str">
        <f t="shared" si="52"/>
        <v>Buy</v>
      </c>
      <c r="R128" s="55">
        <f t="shared" si="53"/>
        <v>2524</v>
      </c>
      <c r="S128" s="33">
        <f t="shared" si="54"/>
        <v>123120.72</v>
      </c>
      <c r="T128" s="33" t="str">
        <f t="shared" si="55"/>
        <v/>
      </c>
      <c r="U128" s="15" t="str">
        <f t="shared" si="56"/>
        <v/>
      </c>
      <c r="V128" s="15">
        <f t="shared" si="57"/>
        <v>25.240000000000002</v>
      </c>
      <c r="W128" s="62">
        <f t="shared" si="58"/>
        <v>2.0500205002050022E-4</v>
      </c>
      <c r="X128" s="15"/>
      <c r="Y128" s="1">
        <f t="shared" si="59"/>
        <v>-8.208897600640256E-3</v>
      </c>
      <c r="AH128" s="35">
        <v>45714</v>
      </c>
      <c r="AI128" s="31" t="s">
        <v>1510</v>
      </c>
      <c r="AJ128" s="32">
        <v>2.0999999999999999E-3</v>
      </c>
      <c r="AK128" s="28">
        <f t="shared" si="45"/>
        <v>2.1008403361344537E-3</v>
      </c>
      <c r="AL128" s="28" t="s">
        <v>1559</v>
      </c>
      <c r="AM128" s="28" t="s">
        <v>1510</v>
      </c>
      <c r="AN128" s="28" t="s">
        <v>1560</v>
      </c>
      <c r="AO128" s="28" t="s">
        <v>1561</v>
      </c>
      <c r="AP128" s="28" t="s">
        <v>1562</v>
      </c>
      <c r="AQ128" s="28" t="s">
        <v>73</v>
      </c>
      <c r="AR128" s="28" t="s">
        <v>11</v>
      </c>
      <c r="AS128" s="73">
        <v>621.15376560000004</v>
      </c>
      <c r="AT128" s="8">
        <v>16.350000000000001</v>
      </c>
      <c r="AU128" s="73" t="s">
        <v>1510</v>
      </c>
      <c r="AV128" s="73" t="b">
        <f t="shared" si="60"/>
        <v>1</v>
      </c>
      <c r="AW128" s="79">
        <v>0</v>
      </c>
      <c r="AX128" s="45" t="str">
        <f t="shared" si="61"/>
        <v/>
      </c>
      <c r="AY128" s="29" t="str">
        <f t="shared" si="62"/>
        <v/>
      </c>
      <c r="AZ128" s="29" t="str">
        <f t="shared" si="63"/>
        <v/>
      </c>
      <c r="BA128" s="29" t="s">
        <v>699</v>
      </c>
      <c r="BB128" s="29">
        <f t="shared" si="64"/>
        <v>0</v>
      </c>
      <c r="BC128">
        <f t="shared" si="65"/>
        <v>0</v>
      </c>
      <c r="BD128" s="78" t="str" cm="1">
        <f t="array" ref="BD128">IF(BC128&lt;&gt;1, "", IF(AK128&gt;0, INT(AK128/SUMPRODUCT(($AK$3:$AK$1000&gt;0)*($AK$3:$AK$1000), ($BC$3:$BC$1000))*$AB$12/AT128), INT(AK128/SUMPRODUCT(($AK$3:$AK$1000&lt;0)*($AK$3:$AK$1000), ($BC$3:$BC$1000))*$AB$13/AT128)))</f>
        <v/>
      </c>
      <c r="BE128" t="str">
        <f t="shared" si="66"/>
        <v/>
      </c>
      <c r="BF128" s="65" t="str">
        <f t="shared" si="67"/>
        <v/>
      </c>
    </row>
    <row r="129" spans="2:58" x14ac:dyDescent="0.3">
      <c r="B129" s="18" t="s">
        <v>1637</v>
      </c>
      <c r="C129" s="18" t="s">
        <v>1707</v>
      </c>
      <c r="D129" s="18" t="s">
        <v>1816</v>
      </c>
      <c r="E129" s="44" t="s">
        <v>1710</v>
      </c>
      <c r="F129" s="18" t="s">
        <v>25</v>
      </c>
      <c r="G129" s="18" t="s">
        <v>10</v>
      </c>
      <c r="H129" s="19">
        <v>1618.4005425</v>
      </c>
      <c r="I129" s="18">
        <v>2547</v>
      </c>
      <c r="J129" s="20">
        <v>10.5</v>
      </c>
      <c r="K129" s="19">
        <v>26743.5</v>
      </c>
      <c r="L129" s="12">
        <f t="shared" si="47"/>
        <v>1.7829E-3</v>
      </c>
      <c r="M129" s="12">
        <f t="shared" si="48"/>
        <v>2.2008803521408565E-3</v>
      </c>
      <c r="N129" s="15" t="str">
        <f t="shared" si="49"/>
        <v/>
      </c>
      <c r="O129" s="15" t="str">
        <f t="shared" si="50"/>
        <v/>
      </c>
      <c r="P129" s="15">
        <f t="shared" si="51"/>
        <v>1</v>
      </c>
      <c r="Q129" s="15" t="str">
        <f t="shared" si="52"/>
        <v>Buy</v>
      </c>
      <c r="R129" s="55">
        <f t="shared" si="53"/>
        <v>597</v>
      </c>
      <c r="S129" s="33">
        <f t="shared" si="54"/>
        <v>6268.5</v>
      </c>
      <c r="T129" s="33" t="str">
        <f t="shared" si="55"/>
        <v/>
      </c>
      <c r="U129" s="15" t="str">
        <f t="shared" si="56"/>
        <v/>
      </c>
      <c r="V129" s="15">
        <f t="shared" si="57"/>
        <v>5.97</v>
      </c>
      <c r="W129" s="62">
        <f t="shared" si="58"/>
        <v>9.5238095238095238E-4</v>
      </c>
      <c r="X129" s="15"/>
      <c r="Y129" s="1">
        <f t="shared" si="59"/>
        <v>-4.1798035214085649E-4</v>
      </c>
      <c r="AH129" s="35">
        <v>45714</v>
      </c>
      <c r="AI129" s="31" t="s">
        <v>1075</v>
      </c>
      <c r="AJ129" s="32">
        <v>2.0999999999999999E-3</v>
      </c>
      <c r="AK129" s="28">
        <f t="shared" si="45"/>
        <v>2.1008403361344537E-3</v>
      </c>
      <c r="AL129" s="28" t="s">
        <v>1161</v>
      </c>
      <c r="AM129" s="28" t="s">
        <v>1075</v>
      </c>
      <c r="AN129" s="28" t="s">
        <v>1162</v>
      </c>
      <c r="AO129" s="28" t="s">
        <v>1163</v>
      </c>
      <c r="AP129" s="28" t="s">
        <v>1164</v>
      </c>
      <c r="AQ129" s="28" t="s">
        <v>73</v>
      </c>
      <c r="AR129" s="28" t="s">
        <v>11</v>
      </c>
      <c r="AS129" s="73">
        <v>108.18579975</v>
      </c>
      <c r="AT129" s="8">
        <v>37.75</v>
      </c>
      <c r="AU129" s="73" t="s">
        <v>1075</v>
      </c>
      <c r="AV129" s="73" t="b">
        <f t="shared" si="60"/>
        <v>1</v>
      </c>
      <c r="AW129" s="79">
        <v>0</v>
      </c>
      <c r="AX129" s="45" t="str">
        <f t="shared" si="61"/>
        <v/>
      </c>
      <c r="AY129" s="29" t="str">
        <f t="shared" si="62"/>
        <v/>
      </c>
      <c r="AZ129" s="29" t="str">
        <f t="shared" si="63"/>
        <v/>
      </c>
      <c r="BA129" s="29" t="s">
        <v>699</v>
      </c>
      <c r="BB129" s="29">
        <f t="shared" si="64"/>
        <v>0</v>
      </c>
      <c r="BC129">
        <f t="shared" si="65"/>
        <v>0</v>
      </c>
      <c r="BD129" s="78" t="str" cm="1">
        <f t="array" ref="BD129">IF(BC129&lt;&gt;1, "", IF(AK129&gt;0, INT(AK129/SUMPRODUCT(($AK$3:$AK$1000&gt;0)*($AK$3:$AK$1000), ($BC$3:$BC$1000))*$AB$12/AT129), INT(AK129/SUMPRODUCT(($AK$3:$AK$1000&lt;0)*($AK$3:$AK$1000), ($BC$3:$BC$1000))*$AB$13/AT129)))</f>
        <v/>
      </c>
      <c r="BE129" t="str">
        <f t="shared" si="66"/>
        <v/>
      </c>
      <c r="BF129" s="65" t="str">
        <f t="shared" si="67"/>
        <v/>
      </c>
    </row>
    <row r="130" spans="2:58" x14ac:dyDescent="0.3">
      <c r="B130" s="18" t="s">
        <v>1517</v>
      </c>
      <c r="C130" s="18" t="s">
        <v>1584</v>
      </c>
      <c r="D130" s="18" t="s">
        <v>1625</v>
      </c>
      <c r="E130" s="44" t="s">
        <v>1587</v>
      </c>
      <c r="F130" s="18" t="s">
        <v>21</v>
      </c>
      <c r="G130" s="18" t="s">
        <v>10</v>
      </c>
      <c r="H130" s="19">
        <v>1357.9458170400001</v>
      </c>
      <c r="I130" s="18">
        <v>2905</v>
      </c>
      <c r="J130" s="20">
        <v>7.89</v>
      </c>
      <c r="K130" s="19">
        <v>22920.45</v>
      </c>
      <c r="L130" s="12">
        <f t="shared" si="47"/>
        <v>1.5280300000000001E-3</v>
      </c>
      <c r="M130" s="12">
        <f t="shared" si="48"/>
        <v>1.8007202881152461E-3</v>
      </c>
      <c r="N130" s="15" t="str">
        <f t="shared" si="49"/>
        <v/>
      </c>
      <c r="O130" s="15" t="str">
        <f t="shared" si="50"/>
        <v/>
      </c>
      <c r="P130" s="15">
        <f t="shared" si="51"/>
        <v>1</v>
      </c>
      <c r="Q130" s="15" t="str">
        <f t="shared" si="52"/>
        <v>Buy</v>
      </c>
      <c r="R130" s="55">
        <f t="shared" si="53"/>
        <v>518</v>
      </c>
      <c r="S130" s="33">
        <f t="shared" si="54"/>
        <v>4087.02</v>
      </c>
      <c r="T130" s="33" t="str">
        <f t="shared" si="55"/>
        <v/>
      </c>
      <c r="U130" s="15" t="str">
        <f t="shared" si="56"/>
        <v/>
      </c>
      <c r="V130" s="15">
        <f t="shared" si="57"/>
        <v>5.18</v>
      </c>
      <c r="W130" s="62">
        <f t="shared" si="58"/>
        <v>1.2674271229404308E-3</v>
      </c>
      <c r="X130" s="15"/>
      <c r="Y130" s="1">
        <f t="shared" si="59"/>
        <v>-2.7269028811524598E-4</v>
      </c>
      <c r="AH130" s="35">
        <v>45714</v>
      </c>
      <c r="AI130" s="31" t="s">
        <v>1837</v>
      </c>
      <c r="AJ130" s="32">
        <v>2E-3</v>
      </c>
      <c r="AK130" s="28">
        <f t="shared" si="45"/>
        <v>2.0008003201280513E-3</v>
      </c>
      <c r="AL130" s="28" t="s">
        <v>1887</v>
      </c>
      <c r="AM130" s="28" t="s">
        <v>1837</v>
      </c>
      <c r="AN130" s="28" t="s">
        <v>1888</v>
      </c>
      <c r="AO130" s="28" t="s">
        <v>1889</v>
      </c>
      <c r="AP130" s="28" t="s">
        <v>1890</v>
      </c>
      <c r="AQ130" s="28" t="s">
        <v>73</v>
      </c>
      <c r="AR130" s="28" t="s">
        <v>23</v>
      </c>
      <c r="AS130" s="73">
        <v>2284.2312345999999</v>
      </c>
      <c r="AT130" s="8">
        <v>31.99</v>
      </c>
      <c r="AU130" s="73" t="s">
        <v>1837</v>
      </c>
      <c r="AV130" s="73" t="b">
        <f t="shared" si="60"/>
        <v>1</v>
      </c>
      <c r="AW130" s="79">
        <v>0</v>
      </c>
      <c r="AX130" s="45" t="str">
        <f t="shared" si="61"/>
        <v/>
      </c>
      <c r="AY130" s="29" t="str">
        <f t="shared" si="62"/>
        <v/>
      </c>
      <c r="AZ130" s="29" t="str">
        <f t="shared" si="63"/>
        <v/>
      </c>
      <c r="BA130" s="29" t="s">
        <v>699</v>
      </c>
      <c r="BB130" s="29">
        <f t="shared" si="64"/>
        <v>0</v>
      </c>
      <c r="BC130">
        <f t="shared" si="65"/>
        <v>1</v>
      </c>
      <c r="BD130" s="78" cm="1">
        <f t="array" ref="BD130">IF(BC130&lt;&gt;1, "", IF(AK130&gt;0, INT(AK130/SUMPRODUCT(($AK$3:$AK$1000&gt;0)*($AK$3:$AK$1000), ($BC$3:$BC$1000))*$AB$12/AT130), INT(AK130/SUMPRODUCT(($AK$3:$AK$1000&lt;0)*($AK$3:$AK$1000), ($BC$3:$BC$1000))*$AB$13/AT130)))</f>
        <v>935</v>
      </c>
      <c r="BE130" t="str">
        <f t="shared" si="66"/>
        <v>Buy</v>
      </c>
      <c r="BF130" s="65">
        <f t="shared" si="67"/>
        <v>29910.649999999998</v>
      </c>
    </row>
    <row r="131" spans="2:58" x14ac:dyDescent="0.3">
      <c r="B131" s="18" t="s">
        <v>1512</v>
      </c>
      <c r="C131" s="18" t="s">
        <v>1566</v>
      </c>
      <c r="D131" s="18" t="s">
        <v>1620</v>
      </c>
      <c r="E131" s="44" t="s">
        <v>1569</v>
      </c>
      <c r="F131" s="18" t="s">
        <v>11</v>
      </c>
      <c r="G131" s="18" t="s">
        <v>10</v>
      </c>
      <c r="H131" s="19">
        <v>1619.1850931200001</v>
      </c>
      <c r="I131" s="18">
        <v>1260</v>
      </c>
      <c r="J131" s="20">
        <v>17.96</v>
      </c>
      <c r="K131" s="19">
        <v>22629.600000000002</v>
      </c>
      <c r="L131" s="12">
        <f t="shared" si="47"/>
        <v>1.5086400000000001E-3</v>
      </c>
      <c r="M131" s="12">
        <f t="shared" si="48"/>
        <v>1.5006002400960385E-3</v>
      </c>
      <c r="N131" s="15" t="str">
        <f t="shared" si="49"/>
        <v/>
      </c>
      <c r="O131" s="15" t="str">
        <f t="shared" si="50"/>
        <v/>
      </c>
      <c r="P131" s="15" t="str">
        <f t="shared" si="51"/>
        <v/>
      </c>
      <c r="Q131" s="15" t="str">
        <f t="shared" si="52"/>
        <v/>
      </c>
      <c r="R131" s="55" t="str">
        <f t="shared" si="53"/>
        <v/>
      </c>
      <c r="S131" s="33" t="str">
        <f t="shared" si="54"/>
        <v/>
      </c>
      <c r="T131" s="33" t="str">
        <f t="shared" si="55"/>
        <v/>
      </c>
      <c r="U131" s="15" t="str">
        <f t="shared" si="56"/>
        <v/>
      </c>
      <c r="V131" s="15" t="str">
        <f t="shared" si="57"/>
        <v/>
      </c>
      <c r="W131" s="62" t="str">
        <f t="shared" si="58"/>
        <v/>
      </c>
      <c r="X131" s="15"/>
      <c r="Y131" s="1">
        <f t="shared" si="59"/>
        <v>8.0397599039616369E-6</v>
      </c>
      <c r="AH131" s="35">
        <v>45714</v>
      </c>
      <c r="AI131" s="31" t="s">
        <v>1517</v>
      </c>
      <c r="AJ131" s="32">
        <v>1.8E-3</v>
      </c>
      <c r="AK131" s="28">
        <f t="shared" ref="AK131:AK194" si="68">IF(BB131=1, 0, IF(AJ131&gt;0, AJ131/SUMIFS($AJ$3:$AJ$501, $BB$3:$BB$501, "&lt;&gt;1", $AJ$3:$AJ$501, "&gt;0"), AJ131/-SUMIFS($AJ$3:$AJ$501, $BB$3:$BB$501, "&lt;&gt;1", $AJ$3:$AJ$501, "&lt;0")))</f>
        <v>1.8007202881152461E-3</v>
      </c>
      <c r="AL131" s="28" t="s">
        <v>1584</v>
      </c>
      <c r="AM131" s="28" t="s">
        <v>1517</v>
      </c>
      <c r="AN131" s="28" t="s">
        <v>1585</v>
      </c>
      <c r="AO131" s="28" t="s">
        <v>1586</v>
      </c>
      <c r="AP131" s="28" t="s">
        <v>1587</v>
      </c>
      <c r="AQ131" s="28" t="s">
        <v>73</v>
      </c>
      <c r="AR131" s="28" t="s">
        <v>21</v>
      </c>
      <c r="AS131" s="73">
        <v>1357.9458170400001</v>
      </c>
      <c r="AT131" s="8">
        <v>7.89</v>
      </c>
      <c r="AU131" s="73" t="s">
        <v>1517</v>
      </c>
      <c r="AV131" s="73" t="b">
        <f t="shared" si="60"/>
        <v>1</v>
      </c>
      <c r="AW131" s="79">
        <v>0</v>
      </c>
      <c r="AX131" s="45" t="str">
        <f t="shared" si="61"/>
        <v/>
      </c>
      <c r="AY131" s="29" t="str">
        <f t="shared" si="62"/>
        <v/>
      </c>
      <c r="AZ131" s="29" t="str">
        <f t="shared" si="63"/>
        <v/>
      </c>
      <c r="BA131" s="29" t="s">
        <v>699</v>
      </c>
      <c r="BB131" s="29">
        <f t="shared" si="64"/>
        <v>0</v>
      </c>
      <c r="BC131">
        <f t="shared" si="65"/>
        <v>0</v>
      </c>
      <c r="BD131" s="78" t="str" cm="1">
        <f t="array" ref="BD131">IF(BC131&lt;&gt;1, "", IF(AK131&gt;0, INT(AK131/SUMPRODUCT(($AK$3:$AK$1000&gt;0)*($AK$3:$AK$1000), ($BC$3:$BC$1000))*$AB$12/AT131), INT(AK131/SUMPRODUCT(($AK$3:$AK$1000&lt;0)*($AK$3:$AK$1000), ($BC$3:$BC$1000))*$AB$13/AT131)))</f>
        <v/>
      </c>
      <c r="BE131" t="str">
        <f t="shared" si="66"/>
        <v/>
      </c>
      <c r="BF131" s="65" t="str">
        <f t="shared" si="67"/>
        <v/>
      </c>
    </row>
    <row r="132" spans="2:58" x14ac:dyDescent="0.3">
      <c r="B132" s="18" t="s">
        <v>1509</v>
      </c>
      <c r="C132" s="18" t="s">
        <v>1555</v>
      </c>
      <c r="D132" s="18" t="s">
        <v>1617</v>
      </c>
      <c r="E132" s="44" t="s">
        <v>1558</v>
      </c>
      <c r="F132" s="18" t="s">
        <v>14</v>
      </c>
      <c r="G132" s="18" t="s">
        <v>10</v>
      </c>
      <c r="H132" s="19">
        <v>3780.7928615599999</v>
      </c>
      <c r="I132" s="18">
        <v>2967</v>
      </c>
      <c r="J132" s="20">
        <v>7.54</v>
      </c>
      <c r="K132" s="19">
        <v>22371.18</v>
      </c>
      <c r="L132" s="12">
        <f t="shared" ref="L132:L195" si="69">IF(K132&gt;0,K132/$AB$22,K132/$AB$23)</f>
        <v>1.4914120000000001E-3</v>
      </c>
      <c r="M132" s="12">
        <f t="shared" ref="M132:M195" si="70">IFERROR(VLOOKUP(B132,$AI$3:$AK$501,3,FALSE),0)</f>
        <v>1.6006402561024411E-3</v>
      </c>
      <c r="N132" s="15" t="str">
        <f t="shared" ref="N132:N195" si="71">IF(OR(AND(L132&lt;0,M132&gt;0),AND(L132&gt;0,M132&lt;0)),1,"")</f>
        <v/>
      </c>
      <c r="O132" s="15" t="str">
        <f t="shared" ref="O132:O195" si="72">IF(M132=0,1,"")</f>
        <v/>
      </c>
      <c r="P132" s="15">
        <f t="shared" ref="P132:P195" si="73">IFERROR(IF(ABS(L132/M132-1)&gt;$Q$2,1,""),"")</f>
        <v>1</v>
      </c>
      <c r="Q132" s="15" t="str">
        <f t="shared" ref="Q132:Q195" si="74">IF(P132&lt;&gt;1, "", IF(AND(L132&gt;0, M132&gt;L132), "Buy", IF(AND(L132&gt;0, M132&lt;L132), "Sell", IF(AND(L132&lt;0, M132&gt;L132), "BuyToCover", IF(AND(L132&lt;0, M132&lt;L132), "SellShort", "")))))</f>
        <v>Buy</v>
      </c>
      <c r="R132" s="55">
        <f t="shared" ref="R132:R195" si="75">IFERROR(IF(INT(P132*(ABS(ABS(L132-M132)/ABS(L132)*I132)))=0,1,INT(P132*(ABS(ABS(L132-M132)/ABS(L132)*I132)))),"")</f>
        <v>217</v>
      </c>
      <c r="S132" s="33">
        <f t="shared" ref="S132:S195" si="76">IFERROR(R132*J132,"")</f>
        <v>1636.18</v>
      </c>
      <c r="T132" s="33" t="str">
        <f t="shared" ref="T132:T195" si="77">IF(O132&lt;&gt;1,"",IF(K132&gt;0,"Sell","BuyToCover"))</f>
        <v/>
      </c>
      <c r="U132" s="15" t="str">
        <f t="shared" ref="U132:U195" si="78">IFERROR(INT(ABS(O132*I132)),"")</f>
        <v/>
      </c>
      <c r="V132" s="15">
        <f t="shared" ref="V132:V195" si="79">IFERROR(R132*0.01,"")</f>
        <v>2.17</v>
      </c>
      <c r="W132" s="62">
        <f t="shared" ref="W132:W195" si="80">IFERROR(V132/S132,"")</f>
        <v>1.3262599469496021E-3</v>
      </c>
      <c r="X132" s="15"/>
      <c r="Y132" s="1">
        <f t="shared" ref="Y132:Y195" si="81">L132-M132</f>
        <v>-1.0922825610244096E-4</v>
      </c>
      <c r="AH132" s="35">
        <v>45714</v>
      </c>
      <c r="AI132" s="31" t="s">
        <v>773</v>
      </c>
      <c r="AJ132" s="32">
        <v>1.8E-3</v>
      </c>
      <c r="AK132" s="28">
        <f t="shared" si="68"/>
        <v>1.8007202881152461E-3</v>
      </c>
      <c r="AL132" s="28" t="s">
        <v>809</v>
      </c>
      <c r="AM132" s="28" t="s">
        <v>773</v>
      </c>
      <c r="AN132" s="28" t="s">
        <v>810</v>
      </c>
      <c r="AO132" s="28" t="s">
        <v>811</v>
      </c>
      <c r="AP132" s="28" t="s">
        <v>812</v>
      </c>
      <c r="AQ132" s="28" t="s">
        <v>73</v>
      </c>
      <c r="AR132" s="28" t="s">
        <v>14</v>
      </c>
      <c r="AS132" s="73">
        <v>8473.9284189000009</v>
      </c>
      <c r="AT132" s="8">
        <v>22.47</v>
      </c>
      <c r="AU132" s="73" t="s">
        <v>773</v>
      </c>
      <c r="AV132" s="73" t="b">
        <f t="shared" ref="AV132:AV195" si="82">AU132=AI132</f>
        <v>1</v>
      </c>
      <c r="AW132" s="79">
        <v>0</v>
      </c>
      <c r="AX132" s="45" t="str">
        <f t="shared" ref="AX132:AX195" si="83">IF(OR(AND(ISNUMBER(AW132), AW132 &gt; 0, AJ132 &gt; 0), AND(ISNUMBER(AW132), AW132 &lt; 0, AJ132 &lt; 0)), 1, "")</f>
        <v/>
      </c>
      <c r="AY132" s="29" t="str">
        <f t="shared" ref="AY132:AY195" si="84">IF(OR(AND(AW132&gt;0,AJ132&lt;0),AND(AW132&lt;0,AJ132&gt;0)),1,"")</f>
        <v/>
      </c>
      <c r="AZ132" s="29" t="str">
        <f t="shared" ref="AZ132:AZ195" si="85">IF(AQ132="United States of America","", 1)</f>
        <v/>
      </c>
      <c r="BA132" s="29" t="s">
        <v>699</v>
      </c>
      <c r="BB132" s="29">
        <f t="shared" ref="BB132:BB195" si="86">MAX(AZ132,AY132,BA132)</f>
        <v>0</v>
      </c>
      <c r="BC132">
        <f t="shared" ref="BC132:BC195" si="87">IF(AND(ISNA(VLOOKUP(AI132,$B$3:$Y$500,3,FALSE)),BB132=0),1,0)</f>
        <v>0</v>
      </c>
      <c r="BD132" s="78" t="str" cm="1">
        <f t="array" ref="BD132">IF(BC132&lt;&gt;1, "", IF(AK132&gt;0, INT(AK132/SUMPRODUCT(($AK$3:$AK$1000&gt;0)*($AK$3:$AK$1000), ($BC$3:$BC$1000))*$AB$12/AT132), INT(AK132/SUMPRODUCT(($AK$3:$AK$1000&lt;0)*($AK$3:$AK$1000), ($BC$3:$BC$1000))*$AB$13/AT132)))</f>
        <v/>
      </c>
      <c r="BE132" t="str">
        <f t="shared" ref="BE132:BE195" si="88">IF(BC132&lt;&gt;1,"",IF(AK132&gt;0,"Buy","SellShort"))</f>
        <v/>
      </c>
      <c r="BF132" s="65" t="str">
        <f t="shared" ref="BF132:BF195" si="89">IFERROR(BD132*AT132,"")</f>
        <v/>
      </c>
    </row>
    <row r="133" spans="2:58" x14ac:dyDescent="0.3">
      <c r="B133" s="18" t="s">
        <v>1005</v>
      </c>
      <c r="C133" s="18" t="s">
        <v>1024</v>
      </c>
      <c r="D133" s="18" t="s">
        <v>1054</v>
      </c>
      <c r="E133" s="44" t="s">
        <v>1027</v>
      </c>
      <c r="F133" s="18" t="s">
        <v>13</v>
      </c>
      <c r="G133" s="18" t="s">
        <v>10</v>
      </c>
      <c r="H133" s="19">
        <v>274.25458800000001</v>
      </c>
      <c r="I133" s="18">
        <v>2862</v>
      </c>
      <c r="J133" s="20">
        <v>7.05</v>
      </c>
      <c r="K133" s="19">
        <v>20177.099999999999</v>
      </c>
      <c r="L133" s="12">
        <f t="shared" si="69"/>
        <v>1.3451399999999999E-3</v>
      </c>
      <c r="M133" s="12">
        <f t="shared" si="70"/>
        <v>1.3005202080832333E-3</v>
      </c>
      <c r="N133" s="15" t="str">
        <f t="shared" si="71"/>
        <v/>
      </c>
      <c r="O133" s="15" t="str">
        <f t="shared" si="72"/>
        <v/>
      </c>
      <c r="P133" s="15">
        <f t="shared" si="73"/>
        <v>1</v>
      </c>
      <c r="Q133" s="15" t="str">
        <f t="shared" si="74"/>
        <v>Sell</v>
      </c>
      <c r="R133" s="55">
        <f t="shared" si="75"/>
        <v>94</v>
      </c>
      <c r="S133" s="33">
        <f t="shared" si="76"/>
        <v>662.69999999999993</v>
      </c>
      <c r="T133" s="33" t="str">
        <f t="shared" si="77"/>
        <v/>
      </c>
      <c r="U133" s="15" t="str">
        <f t="shared" si="78"/>
        <v/>
      </c>
      <c r="V133" s="15">
        <f t="shared" si="79"/>
        <v>0.94000000000000006</v>
      </c>
      <c r="W133" s="62">
        <f t="shared" si="80"/>
        <v>1.4184397163120571E-3</v>
      </c>
      <c r="X133" s="15"/>
      <c r="Y133" s="1">
        <f t="shared" si="81"/>
        <v>4.461979191676662E-5</v>
      </c>
      <c r="AH133" s="35">
        <v>45714</v>
      </c>
      <c r="AI133" s="31" t="s">
        <v>1838</v>
      </c>
      <c r="AJ133" s="32">
        <v>1.6999999999999999E-3</v>
      </c>
      <c r="AK133" s="28">
        <f t="shared" si="68"/>
        <v>1.7006802721088435E-3</v>
      </c>
      <c r="AL133" s="28" t="s">
        <v>1891</v>
      </c>
      <c r="AM133" s="28" t="s">
        <v>1838</v>
      </c>
      <c r="AN133" s="28" t="s">
        <v>1892</v>
      </c>
      <c r="AO133" s="28" t="s">
        <v>1893</v>
      </c>
      <c r="AP133" s="28" t="s">
        <v>1894</v>
      </c>
      <c r="AQ133" s="28" t="s">
        <v>73</v>
      </c>
      <c r="AR133" s="28" t="s">
        <v>21</v>
      </c>
      <c r="AS133" s="73">
        <v>657.53354472000001</v>
      </c>
      <c r="AT133" s="8">
        <v>6.73</v>
      </c>
      <c r="AU133" s="73" t="s">
        <v>1838</v>
      </c>
      <c r="AV133" s="73" t="b">
        <f t="shared" si="82"/>
        <v>1</v>
      </c>
      <c r="AW133" s="79">
        <v>0</v>
      </c>
      <c r="AX133" s="45" t="str">
        <f t="shared" si="83"/>
        <v/>
      </c>
      <c r="AY133" s="29" t="str">
        <f t="shared" si="84"/>
        <v/>
      </c>
      <c r="AZ133" s="29" t="str">
        <f t="shared" si="85"/>
        <v/>
      </c>
      <c r="BA133" s="29" t="s">
        <v>699</v>
      </c>
      <c r="BB133" s="29">
        <f t="shared" si="86"/>
        <v>0</v>
      </c>
      <c r="BC133">
        <f t="shared" si="87"/>
        <v>1</v>
      </c>
      <c r="BD133" s="78" cm="1">
        <f t="array" ref="BD133">IF(BC133&lt;&gt;1, "", IF(AK133&gt;0, INT(AK133/SUMPRODUCT(($AK$3:$AK$1000&gt;0)*($AK$3:$AK$1000), ($BC$3:$BC$1000))*$AB$12/AT133), INT(AK133/SUMPRODUCT(($AK$3:$AK$1000&lt;0)*($AK$3:$AK$1000), ($BC$3:$BC$1000))*$AB$13/AT133)))</f>
        <v>3778</v>
      </c>
      <c r="BE133" t="str">
        <f t="shared" si="88"/>
        <v>Buy</v>
      </c>
      <c r="BF133" s="65">
        <f t="shared" si="89"/>
        <v>25425.940000000002</v>
      </c>
    </row>
    <row r="134" spans="2:58" x14ac:dyDescent="0.3">
      <c r="B134" s="18" t="s">
        <v>1412</v>
      </c>
      <c r="C134" s="18" t="s">
        <v>1451</v>
      </c>
      <c r="D134" s="18" t="s">
        <v>1492</v>
      </c>
      <c r="E134" s="44" t="s">
        <v>1454</v>
      </c>
      <c r="F134" s="18" t="s">
        <v>21</v>
      </c>
      <c r="G134" s="18" t="s">
        <v>10</v>
      </c>
      <c r="H134" s="19">
        <v>655.14104429999998</v>
      </c>
      <c r="I134" s="18">
        <v>936</v>
      </c>
      <c r="J134" s="20">
        <v>20.81</v>
      </c>
      <c r="K134" s="19">
        <v>19478.16</v>
      </c>
      <c r="L134" s="12">
        <f t="shared" si="69"/>
        <v>1.298544E-3</v>
      </c>
      <c r="M134" s="12">
        <f t="shared" si="70"/>
        <v>1.3005202080832333E-3</v>
      </c>
      <c r="N134" s="15" t="str">
        <f t="shared" si="71"/>
        <v/>
      </c>
      <c r="O134" s="15" t="str">
        <f t="shared" si="72"/>
        <v/>
      </c>
      <c r="P134" s="15" t="str">
        <f t="shared" si="73"/>
        <v/>
      </c>
      <c r="Q134" s="15" t="str">
        <f t="shared" si="74"/>
        <v/>
      </c>
      <c r="R134" s="55" t="str">
        <f t="shared" si="75"/>
        <v/>
      </c>
      <c r="S134" s="33" t="str">
        <f t="shared" si="76"/>
        <v/>
      </c>
      <c r="T134" s="33" t="str">
        <f t="shared" si="77"/>
        <v/>
      </c>
      <c r="U134" s="15" t="str">
        <f t="shared" si="78"/>
        <v/>
      </c>
      <c r="V134" s="15" t="str">
        <f t="shared" si="79"/>
        <v/>
      </c>
      <c r="W134" s="62" t="str">
        <f t="shared" si="80"/>
        <v/>
      </c>
      <c r="X134" s="15"/>
      <c r="Y134" s="1">
        <f t="shared" si="81"/>
        <v>-1.9762080832332572E-6</v>
      </c>
      <c r="AH134" s="35">
        <v>45714</v>
      </c>
      <c r="AI134" s="31" t="s">
        <v>1509</v>
      </c>
      <c r="AJ134" s="32">
        <v>1.6000000000000001E-3</v>
      </c>
      <c r="AK134" s="28">
        <f t="shared" si="68"/>
        <v>1.6006402561024411E-3</v>
      </c>
      <c r="AL134" s="28" t="s">
        <v>1555</v>
      </c>
      <c r="AM134" s="28" t="s">
        <v>1509</v>
      </c>
      <c r="AN134" s="28" t="s">
        <v>1556</v>
      </c>
      <c r="AO134" s="28" t="s">
        <v>1557</v>
      </c>
      <c r="AP134" s="28" t="s">
        <v>1558</v>
      </c>
      <c r="AQ134" s="28" t="s">
        <v>73</v>
      </c>
      <c r="AR134" s="28" t="s">
        <v>14</v>
      </c>
      <c r="AS134" s="73">
        <v>3780.7928615599999</v>
      </c>
      <c r="AT134" s="8">
        <v>7.54</v>
      </c>
      <c r="AU134" s="73" t="s">
        <v>1509</v>
      </c>
      <c r="AV134" s="73" t="b">
        <f t="shared" si="82"/>
        <v>1</v>
      </c>
      <c r="AW134" s="79">
        <v>0</v>
      </c>
      <c r="AX134" s="45" t="str">
        <f t="shared" si="83"/>
        <v/>
      </c>
      <c r="AY134" s="29" t="str">
        <f t="shared" si="84"/>
        <v/>
      </c>
      <c r="AZ134" s="29" t="str">
        <f t="shared" si="85"/>
        <v/>
      </c>
      <c r="BA134" s="29" t="s">
        <v>699</v>
      </c>
      <c r="BB134" s="29">
        <f t="shared" si="86"/>
        <v>0</v>
      </c>
      <c r="BC134">
        <f t="shared" si="87"/>
        <v>0</v>
      </c>
      <c r="BD134" s="78" t="str" cm="1">
        <f t="array" ref="BD134">IF(BC134&lt;&gt;1, "", IF(AK134&gt;0, INT(AK134/SUMPRODUCT(($AK$3:$AK$1000&gt;0)*($AK$3:$AK$1000), ($BC$3:$BC$1000))*$AB$12/AT134), INT(AK134/SUMPRODUCT(($AK$3:$AK$1000&lt;0)*($AK$3:$AK$1000), ($BC$3:$BC$1000))*$AB$13/AT134)))</f>
        <v/>
      </c>
      <c r="BE134" t="str">
        <f t="shared" si="88"/>
        <v/>
      </c>
      <c r="BF134" s="65" t="str">
        <f t="shared" si="89"/>
        <v/>
      </c>
    </row>
    <row r="135" spans="2:58" x14ac:dyDescent="0.3">
      <c r="B135" s="18" t="s">
        <v>1638</v>
      </c>
      <c r="C135" s="18" t="s">
        <v>1711</v>
      </c>
      <c r="D135" s="18" t="s">
        <v>1817</v>
      </c>
      <c r="E135" s="44" t="s">
        <v>1714</v>
      </c>
      <c r="F135" s="18" t="s">
        <v>24</v>
      </c>
      <c r="G135" s="18" t="s">
        <v>10</v>
      </c>
      <c r="H135" s="19">
        <v>42314.781574479995</v>
      </c>
      <c r="I135" s="18">
        <v>135</v>
      </c>
      <c r="J135" s="20">
        <v>133.66</v>
      </c>
      <c r="K135" s="19">
        <v>18044.099999999999</v>
      </c>
      <c r="L135" s="12">
        <f t="shared" si="69"/>
        <v>1.20294E-3</v>
      </c>
      <c r="M135" s="12">
        <f t="shared" si="70"/>
        <v>1.2004801920768306E-3</v>
      </c>
      <c r="N135" s="15" t="str">
        <f t="shared" si="71"/>
        <v/>
      </c>
      <c r="O135" s="15" t="str">
        <f t="shared" si="72"/>
        <v/>
      </c>
      <c r="P135" s="15" t="str">
        <f t="shared" si="73"/>
        <v/>
      </c>
      <c r="Q135" s="15" t="str">
        <f t="shared" si="74"/>
        <v/>
      </c>
      <c r="R135" s="55" t="str">
        <f t="shared" si="75"/>
        <v/>
      </c>
      <c r="S135" s="33" t="str">
        <f t="shared" si="76"/>
        <v/>
      </c>
      <c r="T135" s="33" t="str">
        <f t="shared" si="77"/>
        <v/>
      </c>
      <c r="U135" s="15" t="str">
        <f t="shared" si="78"/>
        <v/>
      </c>
      <c r="V135" s="15" t="str">
        <f t="shared" si="79"/>
        <v/>
      </c>
      <c r="W135" s="62" t="str">
        <f t="shared" si="80"/>
        <v/>
      </c>
      <c r="X135" s="15"/>
      <c r="Y135" s="1">
        <f t="shared" si="81"/>
        <v>2.4598079231693496E-6</v>
      </c>
      <c r="AH135" s="35">
        <v>45714</v>
      </c>
      <c r="AI135" s="31" t="s">
        <v>1512</v>
      </c>
      <c r="AJ135" s="32">
        <v>1.5E-3</v>
      </c>
      <c r="AK135" s="28">
        <f t="shared" si="68"/>
        <v>1.5006002400960385E-3</v>
      </c>
      <c r="AL135" s="28" t="s">
        <v>1566</v>
      </c>
      <c r="AM135" s="28" t="s">
        <v>1512</v>
      </c>
      <c r="AN135" s="28" t="s">
        <v>1567</v>
      </c>
      <c r="AO135" s="28" t="s">
        <v>1568</v>
      </c>
      <c r="AP135" s="28" t="s">
        <v>1569</v>
      </c>
      <c r="AQ135" s="28" t="s">
        <v>73</v>
      </c>
      <c r="AR135" s="28" t="s">
        <v>11</v>
      </c>
      <c r="AS135" s="73">
        <v>1619.1850931199999</v>
      </c>
      <c r="AT135" s="8">
        <v>17.96</v>
      </c>
      <c r="AU135" s="73" t="s">
        <v>1512</v>
      </c>
      <c r="AV135" s="73" t="b">
        <f t="shared" si="82"/>
        <v>1</v>
      </c>
      <c r="AW135" s="79">
        <v>0</v>
      </c>
      <c r="AX135" s="45" t="str">
        <f t="shared" si="83"/>
        <v/>
      </c>
      <c r="AY135" s="29" t="str">
        <f t="shared" si="84"/>
        <v/>
      </c>
      <c r="AZ135" s="29" t="str">
        <f t="shared" si="85"/>
        <v/>
      </c>
      <c r="BA135" s="29" t="s">
        <v>699</v>
      </c>
      <c r="BB135" s="29">
        <f t="shared" si="86"/>
        <v>0</v>
      </c>
      <c r="BC135">
        <f t="shared" si="87"/>
        <v>0</v>
      </c>
      <c r="BD135" s="78" t="str" cm="1">
        <f t="array" ref="BD135">IF(BC135&lt;&gt;1, "", IF(AK135&gt;0, INT(AK135/SUMPRODUCT(($AK$3:$AK$1000&gt;0)*($AK$3:$AK$1000), ($BC$3:$BC$1000))*$AB$12/AT135), INT(AK135/SUMPRODUCT(($AK$3:$AK$1000&lt;0)*($AK$3:$AK$1000), ($BC$3:$BC$1000))*$AB$13/AT135)))</f>
        <v/>
      </c>
      <c r="BE135" t="str">
        <f t="shared" si="88"/>
        <v/>
      </c>
      <c r="BF135" s="65" t="str">
        <f t="shared" si="89"/>
        <v/>
      </c>
    </row>
    <row r="136" spans="2:58" x14ac:dyDescent="0.3">
      <c r="B136" s="18" t="s">
        <v>1639</v>
      </c>
      <c r="C136" s="18" t="s">
        <v>1715</v>
      </c>
      <c r="D136" s="18" t="s">
        <v>1818</v>
      </c>
      <c r="E136" s="44" t="s">
        <v>1718</v>
      </c>
      <c r="F136" s="18" t="s">
        <v>23</v>
      </c>
      <c r="G136" s="18" t="s">
        <v>10</v>
      </c>
      <c r="H136" s="19">
        <v>569.72743288000004</v>
      </c>
      <c r="I136" s="18">
        <v>859</v>
      </c>
      <c r="J136" s="20">
        <v>18.32</v>
      </c>
      <c r="K136" s="19">
        <v>15736.880000000001</v>
      </c>
      <c r="L136" s="12">
        <f t="shared" si="69"/>
        <v>1.0491253333333333E-3</v>
      </c>
      <c r="M136" s="12">
        <f t="shared" si="70"/>
        <v>1.4005602240896359E-3</v>
      </c>
      <c r="N136" s="15" t="str">
        <f t="shared" si="71"/>
        <v/>
      </c>
      <c r="O136" s="15" t="str">
        <f t="shared" si="72"/>
        <v/>
      </c>
      <c r="P136" s="15">
        <f t="shared" si="73"/>
        <v>1</v>
      </c>
      <c r="Q136" s="15" t="str">
        <f t="shared" si="74"/>
        <v>Buy</v>
      </c>
      <c r="R136" s="55">
        <f t="shared" si="75"/>
        <v>287</v>
      </c>
      <c r="S136" s="33">
        <f t="shared" si="76"/>
        <v>5257.84</v>
      </c>
      <c r="T136" s="33" t="str">
        <f t="shared" si="77"/>
        <v/>
      </c>
      <c r="U136" s="15" t="str">
        <f t="shared" si="78"/>
        <v/>
      </c>
      <c r="V136" s="15">
        <f t="shared" si="79"/>
        <v>2.87</v>
      </c>
      <c r="W136" s="62">
        <f t="shared" si="80"/>
        <v>5.4585152838427945E-4</v>
      </c>
      <c r="X136" s="15"/>
      <c r="Y136" s="1">
        <f t="shared" si="81"/>
        <v>-3.5143489075630256E-4</v>
      </c>
      <c r="AH136" s="35">
        <v>45714</v>
      </c>
      <c r="AI136" s="31" t="s">
        <v>1639</v>
      </c>
      <c r="AJ136" s="32">
        <v>1.4E-3</v>
      </c>
      <c r="AK136" s="28">
        <f t="shared" si="68"/>
        <v>1.4005602240896359E-3</v>
      </c>
      <c r="AL136" s="28" t="s">
        <v>1715</v>
      </c>
      <c r="AM136" s="28" t="s">
        <v>1639</v>
      </c>
      <c r="AN136" s="28" t="s">
        <v>1716</v>
      </c>
      <c r="AO136" s="28" t="s">
        <v>1717</v>
      </c>
      <c r="AP136" s="28" t="s">
        <v>1718</v>
      </c>
      <c r="AQ136" s="28" t="s">
        <v>73</v>
      </c>
      <c r="AR136" s="28" t="s">
        <v>23</v>
      </c>
      <c r="AS136" s="73">
        <v>569.72743288000004</v>
      </c>
      <c r="AT136" s="8">
        <v>18.32</v>
      </c>
      <c r="AU136" s="73" t="s">
        <v>1639</v>
      </c>
      <c r="AV136" s="73" t="b">
        <f t="shared" si="82"/>
        <v>1</v>
      </c>
      <c r="AW136" s="79">
        <v>0</v>
      </c>
      <c r="AX136" s="45" t="str">
        <f t="shared" si="83"/>
        <v/>
      </c>
      <c r="AY136" s="29" t="str">
        <f t="shared" si="84"/>
        <v/>
      </c>
      <c r="AZ136" s="29" t="str">
        <f t="shared" si="85"/>
        <v/>
      </c>
      <c r="BA136" s="29" t="s">
        <v>699</v>
      </c>
      <c r="BB136" s="29">
        <f t="shared" si="86"/>
        <v>0</v>
      </c>
      <c r="BC136">
        <f t="shared" si="87"/>
        <v>0</v>
      </c>
      <c r="BD136" s="78" t="str" cm="1">
        <f t="array" ref="BD136">IF(BC136&lt;&gt;1, "", IF(AK136&gt;0, INT(AK136/SUMPRODUCT(($AK$3:$AK$1000&gt;0)*($AK$3:$AK$1000), ($BC$3:$BC$1000))*$AB$12/AT136), INT(AK136/SUMPRODUCT(($AK$3:$AK$1000&lt;0)*($AK$3:$AK$1000), ($BC$3:$BC$1000))*$AB$13/AT136)))</f>
        <v/>
      </c>
      <c r="BE136" t="str">
        <f t="shared" si="88"/>
        <v/>
      </c>
      <c r="BF136" s="65" t="str">
        <f t="shared" si="89"/>
        <v/>
      </c>
    </row>
    <row r="137" spans="2:58" x14ac:dyDescent="0.3">
      <c r="B137" s="18" t="s">
        <v>391</v>
      </c>
      <c r="C137" s="18" t="s">
        <v>395</v>
      </c>
      <c r="D137" s="18" t="s">
        <v>406</v>
      </c>
      <c r="E137" s="44" t="s">
        <v>397</v>
      </c>
      <c r="F137" s="18" t="s">
        <v>19</v>
      </c>
      <c r="G137" s="18" t="s">
        <v>10</v>
      </c>
      <c r="H137" s="19">
        <v>646.98414983999999</v>
      </c>
      <c r="I137" s="18">
        <v>445</v>
      </c>
      <c r="J137" s="20">
        <v>31.92</v>
      </c>
      <c r="K137" s="19">
        <v>14204.400000000001</v>
      </c>
      <c r="L137" s="12">
        <f t="shared" si="69"/>
        <v>9.4696000000000005E-4</v>
      </c>
      <c r="M137" s="12">
        <f t="shared" si="70"/>
        <v>9.0036014405762304E-4</v>
      </c>
      <c r="N137" s="15" t="str">
        <f t="shared" si="71"/>
        <v/>
      </c>
      <c r="O137" s="15" t="str">
        <f t="shared" si="72"/>
        <v/>
      </c>
      <c r="P137" s="15">
        <f t="shared" si="73"/>
        <v>1</v>
      </c>
      <c r="Q137" s="15" t="str">
        <f t="shared" si="74"/>
        <v>Sell</v>
      </c>
      <c r="R137" s="55">
        <f t="shared" si="75"/>
        <v>21</v>
      </c>
      <c r="S137" s="33">
        <f t="shared" si="76"/>
        <v>670.32</v>
      </c>
      <c r="T137" s="33" t="str">
        <f t="shared" si="77"/>
        <v/>
      </c>
      <c r="U137" s="15" t="str">
        <f t="shared" si="78"/>
        <v/>
      </c>
      <c r="V137" s="15">
        <f t="shared" si="79"/>
        <v>0.21</v>
      </c>
      <c r="W137" s="62">
        <f t="shared" si="80"/>
        <v>3.1328320802005011E-4</v>
      </c>
      <c r="X137" s="15"/>
      <c r="Y137" s="1">
        <f t="shared" si="81"/>
        <v>4.6599855942377013E-5</v>
      </c>
      <c r="AH137" s="35">
        <v>45714</v>
      </c>
      <c r="AI137" s="31" t="s">
        <v>1412</v>
      </c>
      <c r="AJ137" s="32">
        <v>1.2999999999999999E-3</v>
      </c>
      <c r="AK137" s="28">
        <f t="shared" si="68"/>
        <v>1.3005202080832333E-3</v>
      </c>
      <c r="AL137" s="28" t="s">
        <v>1451</v>
      </c>
      <c r="AM137" s="28" t="s">
        <v>1412</v>
      </c>
      <c r="AN137" s="28" t="s">
        <v>1452</v>
      </c>
      <c r="AO137" s="28" t="s">
        <v>1453</v>
      </c>
      <c r="AP137" s="28" t="s">
        <v>1454</v>
      </c>
      <c r="AQ137" s="28" t="s">
        <v>73</v>
      </c>
      <c r="AR137" s="28" t="s">
        <v>21</v>
      </c>
      <c r="AS137" s="73">
        <v>655.14104429999998</v>
      </c>
      <c r="AT137" s="8">
        <v>20.81</v>
      </c>
      <c r="AU137" s="73" t="s">
        <v>1412</v>
      </c>
      <c r="AV137" s="73" t="b">
        <f t="shared" si="82"/>
        <v>1</v>
      </c>
      <c r="AW137" s="79">
        <v>0</v>
      </c>
      <c r="AX137" s="45" t="str">
        <f t="shared" si="83"/>
        <v/>
      </c>
      <c r="AY137" s="29" t="str">
        <f t="shared" si="84"/>
        <v/>
      </c>
      <c r="AZ137" s="29" t="str">
        <f t="shared" si="85"/>
        <v/>
      </c>
      <c r="BA137" s="29" t="s">
        <v>699</v>
      </c>
      <c r="BB137" s="29">
        <f t="shared" si="86"/>
        <v>0</v>
      </c>
      <c r="BC137">
        <f t="shared" si="87"/>
        <v>0</v>
      </c>
      <c r="BD137" s="78" t="str" cm="1">
        <f t="array" ref="BD137">IF(BC137&lt;&gt;1, "", IF(AK137&gt;0, INT(AK137/SUMPRODUCT(($AK$3:$AK$1000&gt;0)*($AK$3:$AK$1000), ($BC$3:$BC$1000))*$AB$12/AT137), INT(AK137/SUMPRODUCT(($AK$3:$AK$1000&lt;0)*($AK$3:$AK$1000), ($BC$3:$BC$1000))*$AB$13/AT137)))</f>
        <v/>
      </c>
      <c r="BE137" t="str">
        <f t="shared" si="88"/>
        <v/>
      </c>
      <c r="BF137" s="65" t="str">
        <f t="shared" si="89"/>
        <v/>
      </c>
    </row>
    <row r="138" spans="2:58" x14ac:dyDescent="0.3">
      <c r="B138" s="18" t="s">
        <v>1515</v>
      </c>
      <c r="C138" s="18" t="s">
        <v>1576</v>
      </c>
      <c r="D138" s="18" t="s">
        <v>1623</v>
      </c>
      <c r="E138" s="44" t="s">
        <v>1579</v>
      </c>
      <c r="F138" s="18" t="s">
        <v>11</v>
      </c>
      <c r="G138" s="18" t="s">
        <v>10</v>
      </c>
      <c r="H138" s="19">
        <v>162.82159809999999</v>
      </c>
      <c r="I138" s="18">
        <v>946</v>
      </c>
      <c r="J138" s="20">
        <v>13.37</v>
      </c>
      <c r="K138" s="19">
        <v>12648.019999999999</v>
      </c>
      <c r="L138" s="12">
        <f t="shared" si="69"/>
        <v>8.4320133333333329E-4</v>
      </c>
      <c r="M138" s="12">
        <f t="shared" si="70"/>
        <v>1.3005202080832333E-3</v>
      </c>
      <c r="N138" s="15" t="str">
        <f t="shared" si="71"/>
        <v/>
      </c>
      <c r="O138" s="15" t="str">
        <f t="shared" si="72"/>
        <v/>
      </c>
      <c r="P138" s="15">
        <f t="shared" si="73"/>
        <v>1</v>
      </c>
      <c r="Q138" s="15" t="str">
        <f t="shared" si="74"/>
        <v>Buy</v>
      </c>
      <c r="R138" s="55">
        <f t="shared" si="75"/>
        <v>513</v>
      </c>
      <c r="S138" s="33">
        <f t="shared" si="76"/>
        <v>6858.8099999999995</v>
      </c>
      <c r="T138" s="33" t="str">
        <f t="shared" si="77"/>
        <v/>
      </c>
      <c r="U138" s="15" t="str">
        <f t="shared" si="78"/>
        <v/>
      </c>
      <c r="V138" s="15">
        <f t="shared" si="79"/>
        <v>5.13</v>
      </c>
      <c r="W138" s="62">
        <f t="shared" si="80"/>
        <v>7.4794315632011976E-4</v>
      </c>
      <c r="X138" s="15"/>
      <c r="Y138" s="1">
        <f t="shared" si="81"/>
        <v>-4.5731887474989997E-4</v>
      </c>
      <c r="AH138" s="35">
        <v>45714</v>
      </c>
      <c r="AI138" s="31" t="s">
        <v>1642</v>
      </c>
      <c r="AJ138" s="32">
        <v>1.2999999999999999E-3</v>
      </c>
      <c r="AK138" s="28">
        <f t="shared" si="68"/>
        <v>1.3005202080832333E-3</v>
      </c>
      <c r="AL138" s="28" t="s">
        <v>1727</v>
      </c>
      <c r="AM138" s="28" t="s">
        <v>1642</v>
      </c>
      <c r="AN138" s="28" t="s">
        <v>1728</v>
      </c>
      <c r="AO138" s="28" t="s">
        <v>1729</v>
      </c>
      <c r="AP138" s="28" t="s">
        <v>1730</v>
      </c>
      <c r="AQ138" s="28" t="s">
        <v>73</v>
      </c>
      <c r="AR138" s="28" t="s">
        <v>21</v>
      </c>
      <c r="AS138" s="73">
        <v>2803.39187352</v>
      </c>
      <c r="AT138" s="8">
        <v>52.08</v>
      </c>
      <c r="AU138" s="73" t="s">
        <v>1642</v>
      </c>
      <c r="AV138" s="73" t="b">
        <f t="shared" si="82"/>
        <v>1</v>
      </c>
      <c r="AW138" s="79">
        <v>0</v>
      </c>
      <c r="AX138" s="45" t="str">
        <f t="shared" si="83"/>
        <v/>
      </c>
      <c r="AY138" s="29" t="str">
        <f t="shared" si="84"/>
        <v/>
      </c>
      <c r="AZ138" s="29" t="str">
        <f t="shared" si="85"/>
        <v/>
      </c>
      <c r="BA138" s="29" t="s">
        <v>699</v>
      </c>
      <c r="BB138" s="29">
        <f t="shared" si="86"/>
        <v>0</v>
      </c>
      <c r="BC138">
        <f t="shared" si="87"/>
        <v>0</v>
      </c>
      <c r="BD138" s="78" t="str" cm="1">
        <f t="array" ref="BD138">IF(BC138&lt;&gt;1, "", IF(AK138&gt;0, INT(AK138/SUMPRODUCT(($AK$3:$AK$1000&gt;0)*($AK$3:$AK$1000), ($BC$3:$BC$1000))*$AB$12/AT138), INT(AK138/SUMPRODUCT(($AK$3:$AK$1000&lt;0)*($AK$3:$AK$1000), ($BC$3:$BC$1000))*$AB$13/AT138)))</f>
        <v/>
      </c>
      <c r="BE138" t="str">
        <f t="shared" si="88"/>
        <v/>
      </c>
      <c r="BF138" s="65" t="str">
        <f t="shared" si="89"/>
        <v/>
      </c>
    </row>
    <row r="139" spans="2:58" x14ac:dyDescent="0.3">
      <c r="B139" s="18" t="s">
        <v>1640</v>
      </c>
      <c r="C139" s="18" t="s">
        <v>1719</v>
      </c>
      <c r="D139" s="18" t="s">
        <v>1819</v>
      </c>
      <c r="E139" s="44" t="s">
        <v>1722</v>
      </c>
      <c r="F139" s="18" t="s">
        <v>14</v>
      </c>
      <c r="G139" s="18" t="s">
        <v>10</v>
      </c>
      <c r="H139" s="19">
        <v>3832.0804658799998</v>
      </c>
      <c r="I139" s="18">
        <v>86</v>
      </c>
      <c r="J139" s="20">
        <v>125.57</v>
      </c>
      <c r="K139" s="19">
        <v>10799.019999999999</v>
      </c>
      <c r="L139" s="12">
        <f t="shared" si="69"/>
        <v>7.1993466666666662E-4</v>
      </c>
      <c r="M139" s="12">
        <f t="shared" si="70"/>
        <v>7.0028011204481793E-4</v>
      </c>
      <c r="N139" s="15" t="str">
        <f t="shared" si="71"/>
        <v/>
      </c>
      <c r="O139" s="15" t="str">
        <f t="shared" si="72"/>
        <v/>
      </c>
      <c r="P139" s="15">
        <f t="shared" si="73"/>
        <v>1</v>
      </c>
      <c r="Q139" s="15" t="str">
        <f t="shared" si="74"/>
        <v>Sell</v>
      </c>
      <c r="R139" s="55">
        <f t="shared" si="75"/>
        <v>2</v>
      </c>
      <c r="S139" s="33">
        <f t="shared" si="76"/>
        <v>251.14</v>
      </c>
      <c r="T139" s="33" t="str">
        <f t="shared" si="77"/>
        <v/>
      </c>
      <c r="U139" s="15" t="str">
        <f t="shared" si="78"/>
        <v/>
      </c>
      <c r="V139" s="15">
        <f t="shared" si="79"/>
        <v>0.02</v>
      </c>
      <c r="W139" s="62">
        <f t="shared" si="80"/>
        <v>7.9636855936927612E-5</v>
      </c>
      <c r="X139" s="15"/>
      <c r="Y139" s="1">
        <f t="shared" si="81"/>
        <v>1.965455462184869E-5</v>
      </c>
      <c r="AH139" s="35">
        <v>45714</v>
      </c>
      <c r="AI139" s="31" t="s">
        <v>1005</v>
      </c>
      <c r="AJ139" s="32">
        <v>1.2999999999999999E-3</v>
      </c>
      <c r="AK139" s="28">
        <f t="shared" si="68"/>
        <v>1.3005202080832333E-3</v>
      </c>
      <c r="AL139" s="28" t="s">
        <v>1024</v>
      </c>
      <c r="AM139" s="28" t="s">
        <v>1005</v>
      </c>
      <c r="AN139" s="28" t="s">
        <v>1025</v>
      </c>
      <c r="AO139" s="28" t="s">
        <v>1026</v>
      </c>
      <c r="AP139" s="28" t="s">
        <v>1027</v>
      </c>
      <c r="AQ139" s="28" t="s">
        <v>73</v>
      </c>
      <c r="AR139" s="28" t="s">
        <v>13</v>
      </c>
      <c r="AS139" s="73">
        <v>274.25458800000001</v>
      </c>
      <c r="AT139" s="8">
        <v>7.05</v>
      </c>
      <c r="AU139" s="73" t="s">
        <v>1005</v>
      </c>
      <c r="AV139" s="73" t="b">
        <f t="shared" si="82"/>
        <v>1</v>
      </c>
      <c r="AW139" s="79">
        <v>0</v>
      </c>
      <c r="AX139" s="45" t="str">
        <f t="shared" si="83"/>
        <v/>
      </c>
      <c r="AY139" s="29" t="str">
        <f t="shared" si="84"/>
        <v/>
      </c>
      <c r="AZ139" s="29" t="str">
        <f t="shared" si="85"/>
        <v/>
      </c>
      <c r="BA139" s="29" t="s">
        <v>699</v>
      </c>
      <c r="BB139" s="29">
        <f t="shared" si="86"/>
        <v>0</v>
      </c>
      <c r="BC139">
        <f t="shared" si="87"/>
        <v>0</v>
      </c>
      <c r="BD139" s="78" t="str" cm="1">
        <f t="array" ref="BD139">IF(BC139&lt;&gt;1, "", IF(AK139&gt;0, INT(AK139/SUMPRODUCT(($AK$3:$AK$1000&gt;0)*($AK$3:$AK$1000), ($BC$3:$BC$1000))*$AB$12/AT139), INT(AK139/SUMPRODUCT(($AK$3:$AK$1000&lt;0)*($AK$3:$AK$1000), ($BC$3:$BC$1000))*$AB$13/AT139)))</f>
        <v/>
      </c>
      <c r="BE139" t="str">
        <f t="shared" si="88"/>
        <v/>
      </c>
      <c r="BF139" s="65" t="str">
        <f t="shared" si="89"/>
        <v/>
      </c>
    </row>
    <row r="140" spans="2:58" x14ac:dyDescent="0.3">
      <c r="B140" s="18" t="s">
        <v>1641</v>
      </c>
      <c r="C140" s="18" t="s">
        <v>1723</v>
      </c>
      <c r="D140" s="18" t="s">
        <v>1820</v>
      </c>
      <c r="E140" s="44" t="s">
        <v>1726</v>
      </c>
      <c r="F140" s="18" t="s">
        <v>14</v>
      </c>
      <c r="G140" s="18" t="s">
        <v>10</v>
      </c>
      <c r="H140" s="19">
        <v>1164.1025577</v>
      </c>
      <c r="I140" s="18">
        <v>420</v>
      </c>
      <c r="J140" s="20">
        <v>22.7</v>
      </c>
      <c r="K140" s="19">
        <v>9534</v>
      </c>
      <c r="L140" s="12">
        <f t="shared" si="69"/>
        <v>6.3560000000000005E-4</v>
      </c>
      <c r="M140" s="12">
        <f t="shared" si="70"/>
        <v>6.0024009603841532E-4</v>
      </c>
      <c r="N140" s="15" t="str">
        <f t="shared" si="71"/>
        <v/>
      </c>
      <c r="O140" s="15" t="str">
        <f t="shared" si="72"/>
        <v/>
      </c>
      <c r="P140" s="15">
        <f t="shared" si="73"/>
        <v>1</v>
      </c>
      <c r="Q140" s="15" t="str">
        <f t="shared" si="74"/>
        <v>Sell</v>
      </c>
      <c r="R140" s="55">
        <f t="shared" si="75"/>
        <v>23</v>
      </c>
      <c r="S140" s="33">
        <f t="shared" si="76"/>
        <v>522.1</v>
      </c>
      <c r="T140" s="33" t="str">
        <f t="shared" si="77"/>
        <v/>
      </c>
      <c r="U140" s="15" t="str">
        <f t="shared" si="78"/>
        <v/>
      </c>
      <c r="V140" s="15">
        <f t="shared" si="79"/>
        <v>0.23</v>
      </c>
      <c r="W140" s="62">
        <f t="shared" si="80"/>
        <v>4.405286343612335E-4</v>
      </c>
      <c r="X140" s="15"/>
      <c r="Y140" s="1">
        <f t="shared" si="81"/>
        <v>3.5359903961584729E-5</v>
      </c>
      <c r="AH140" s="35">
        <v>45714</v>
      </c>
      <c r="AI140" s="31" t="s">
        <v>1515</v>
      </c>
      <c r="AJ140" s="32">
        <v>1.2999999999999999E-3</v>
      </c>
      <c r="AK140" s="28">
        <f t="shared" si="68"/>
        <v>1.3005202080832333E-3</v>
      </c>
      <c r="AL140" s="28" t="s">
        <v>1576</v>
      </c>
      <c r="AM140" s="28" t="s">
        <v>1515</v>
      </c>
      <c r="AN140" s="28" t="s">
        <v>1577</v>
      </c>
      <c r="AO140" s="28" t="s">
        <v>1578</v>
      </c>
      <c r="AP140" s="28" t="s">
        <v>1579</v>
      </c>
      <c r="AQ140" s="28" t="s">
        <v>73</v>
      </c>
      <c r="AR140" s="28" t="s">
        <v>11</v>
      </c>
      <c r="AS140" s="73">
        <v>162.82159809999999</v>
      </c>
      <c r="AT140" s="8">
        <v>13.37</v>
      </c>
      <c r="AU140" s="73" t="s">
        <v>1515</v>
      </c>
      <c r="AV140" s="73" t="b">
        <f t="shared" si="82"/>
        <v>1</v>
      </c>
      <c r="AW140" s="79">
        <v>0</v>
      </c>
      <c r="AX140" s="45" t="str">
        <f t="shared" si="83"/>
        <v/>
      </c>
      <c r="AY140" s="29" t="str">
        <f t="shared" si="84"/>
        <v/>
      </c>
      <c r="AZ140" s="29" t="str">
        <f t="shared" si="85"/>
        <v/>
      </c>
      <c r="BA140" s="29" t="s">
        <v>699</v>
      </c>
      <c r="BB140" s="29">
        <f t="shared" si="86"/>
        <v>0</v>
      </c>
      <c r="BC140">
        <f t="shared" si="87"/>
        <v>0</v>
      </c>
      <c r="BD140" s="78" t="str" cm="1">
        <f t="array" ref="BD140">IF(BC140&lt;&gt;1, "", IF(AK140&gt;0, INT(AK140/SUMPRODUCT(($AK$3:$AK$1000&gt;0)*($AK$3:$AK$1000), ($BC$3:$BC$1000))*$AB$12/AT140), INT(AK140/SUMPRODUCT(($AK$3:$AK$1000&lt;0)*($AK$3:$AK$1000), ($BC$3:$BC$1000))*$AB$13/AT140)))</f>
        <v/>
      </c>
      <c r="BE140" t="str">
        <f t="shared" si="88"/>
        <v/>
      </c>
      <c r="BF140" s="65" t="str">
        <f t="shared" si="89"/>
        <v/>
      </c>
    </row>
    <row r="141" spans="2:58" x14ac:dyDescent="0.3">
      <c r="B141" s="18" t="s">
        <v>1642</v>
      </c>
      <c r="C141" s="18" t="s">
        <v>1727</v>
      </c>
      <c r="D141" s="18" t="s">
        <v>1821</v>
      </c>
      <c r="E141" s="44" t="s">
        <v>1730</v>
      </c>
      <c r="F141" s="18" t="s">
        <v>21</v>
      </c>
      <c r="G141" s="18" t="s">
        <v>10</v>
      </c>
      <c r="H141" s="19">
        <v>2803.39187352</v>
      </c>
      <c r="I141" s="18">
        <v>122</v>
      </c>
      <c r="J141" s="20">
        <v>52.08</v>
      </c>
      <c r="K141" s="19">
        <v>6353.76</v>
      </c>
      <c r="L141" s="12">
        <f t="shared" si="69"/>
        <v>4.2358400000000002E-4</v>
      </c>
      <c r="M141" s="12">
        <f t="shared" si="70"/>
        <v>1.3005202080832333E-3</v>
      </c>
      <c r="N141" s="15" t="str">
        <f t="shared" si="71"/>
        <v/>
      </c>
      <c r="O141" s="15" t="str">
        <f t="shared" si="72"/>
        <v/>
      </c>
      <c r="P141" s="15">
        <f t="shared" si="73"/>
        <v>1</v>
      </c>
      <c r="Q141" s="15" t="str">
        <f t="shared" si="74"/>
        <v>Buy</v>
      </c>
      <c r="R141" s="55">
        <f t="shared" si="75"/>
        <v>252</v>
      </c>
      <c r="S141" s="33">
        <f t="shared" si="76"/>
        <v>13124.16</v>
      </c>
      <c r="T141" s="33" t="str">
        <f t="shared" si="77"/>
        <v/>
      </c>
      <c r="U141" s="15" t="str">
        <f t="shared" si="78"/>
        <v/>
      </c>
      <c r="V141" s="15">
        <f t="shared" si="79"/>
        <v>2.52</v>
      </c>
      <c r="W141" s="62">
        <f t="shared" si="80"/>
        <v>1.9201228878648233E-4</v>
      </c>
      <c r="X141" s="15"/>
      <c r="Y141" s="1">
        <f t="shared" si="81"/>
        <v>-8.7693620808323319E-4</v>
      </c>
      <c r="AH141" s="35">
        <v>45714</v>
      </c>
      <c r="AI141" s="31" t="s">
        <v>1638</v>
      </c>
      <c r="AJ141" s="32">
        <v>1.1999999999999999E-3</v>
      </c>
      <c r="AK141" s="28">
        <f t="shared" si="68"/>
        <v>1.2004801920768306E-3</v>
      </c>
      <c r="AL141" s="28" t="s">
        <v>1711</v>
      </c>
      <c r="AM141" s="28" t="s">
        <v>1638</v>
      </c>
      <c r="AN141" s="28" t="s">
        <v>1712</v>
      </c>
      <c r="AO141" s="28" t="s">
        <v>1713</v>
      </c>
      <c r="AP141" s="28" t="s">
        <v>1714</v>
      </c>
      <c r="AQ141" s="28" t="s">
        <v>73</v>
      </c>
      <c r="AR141" s="28" t="s">
        <v>24</v>
      </c>
      <c r="AS141" s="73">
        <v>42314.781574480003</v>
      </c>
      <c r="AT141" s="8">
        <v>133.66</v>
      </c>
      <c r="AU141" s="73" t="s">
        <v>1638</v>
      </c>
      <c r="AV141" s="73" t="b">
        <f t="shared" si="82"/>
        <v>1</v>
      </c>
      <c r="AW141" s="79">
        <v>0</v>
      </c>
      <c r="AX141" s="45" t="str">
        <f t="shared" si="83"/>
        <v/>
      </c>
      <c r="AY141" s="29" t="str">
        <f t="shared" si="84"/>
        <v/>
      </c>
      <c r="AZ141" s="29" t="str">
        <f t="shared" si="85"/>
        <v/>
      </c>
      <c r="BA141" s="29" t="s">
        <v>699</v>
      </c>
      <c r="BB141" s="29">
        <f t="shared" si="86"/>
        <v>0</v>
      </c>
      <c r="BC141">
        <f t="shared" si="87"/>
        <v>0</v>
      </c>
      <c r="BD141" s="78" t="str" cm="1">
        <f t="array" ref="BD141">IF(BC141&lt;&gt;1, "", IF(AK141&gt;0, INT(AK141/SUMPRODUCT(($AK$3:$AK$1000&gt;0)*($AK$3:$AK$1000), ($BC$3:$BC$1000))*$AB$12/AT141), INT(AK141/SUMPRODUCT(($AK$3:$AK$1000&lt;0)*($AK$3:$AK$1000), ($BC$3:$BC$1000))*$AB$13/AT141)))</f>
        <v/>
      </c>
      <c r="BE141" t="str">
        <f t="shared" si="88"/>
        <v/>
      </c>
      <c r="BF141" s="65" t="str">
        <f t="shared" si="89"/>
        <v/>
      </c>
    </row>
    <row r="142" spans="2:58" x14ac:dyDescent="0.3">
      <c r="B142" s="18" t="s">
        <v>1328</v>
      </c>
      <c r="C142" s="18" t="s">
        <v>1368</v>
      </c>
      <c r="D142" s="18" t="s">
        <v>1394</v>
      </c>
      <c r="E142" s="44" t="s">
        <v>1371</v>
      </c>
      <c r="F142" s="18" t="s">
        <v>21</v>
      </c>
      <c r="G142" s="18" t="s">
        <v>10</v>
      </c>
      <c r="H142" s="19">
        <v>476.22861900000004</v>
      </c>
      <c r="I142" s="18">
        <v>1141</v>
      </c>
      <c r="J142" s="20">
        <v>5.4</v>
      </c>
      <c r="K142" s="19">
        <v>6161.4000000000005</v>
      </c>
      <c r="L142" s="12">
        <f t="shared" si="69"/>
        <v>4.1076000000000003E-4</v>
      </c>
      <c r="M142" s="12">
        <f t="shared" si="70"/>
        <v>6.0024009603841532E-4</v>
      </c>
      <c r="N142" s="15" t="str">
        <f t="shared" si="71"/>
        <v/>
      </c>
      <c r="O142" s="15" t="str">
        <f t="shared" si="72"/>
        <v/>
      </c>
      <c r="P142" s="15">
        <f t="shared" si="73"/>
        <v>1</v>
      </c>
      <c r="Q142" s="15" t="str">
        <f t="shared" si="74"/>
        <v>Buy</v>
      </c>
      <c r="R142" s="55">
        <f t="shared" si="75"/>
        <v>526</v>
      </c>
      <c r="S142" s="33">
        <f t="shared" si="76"/>
        <v>2840.4</v>
      </c>
      <c r="T142" s="33" t="str">
        <f t="shared" si="77"/>
        <v/>
      </c>
      <c r="U142" s="15" t="str">
        <f t="shared" si="78"/>
        <v/>
      </c>
      <c r="V142" s="15">
        <f t="shared" si="79"/>
        <v>5.26</v>
      </c>
      <c r="W142" s="62">
        <f t="shared" si="80"/>
        <v>1.8518518518518517E-3</v>
      </c>
      <c r="X142" s="15"/>
      <c r="Y142" s="1">
        <f t="shared" si="81"/>
        <v>-1.8948009603841529E-4</v>
      </c>
      <c r="AH142" s="35">
        <v>45714</v>
      </c>
      <c r="AI142" s="31" t="s">
        <v>391</v>
      </c>
      <c r="AJ142" s="32">
        <v>8.9999999999999998E-4</v>
      </c>
      <c r="AK142" s="28">
        <f t="shared" si="68"/>
        <v>9.0036014405762304E-4</v>
      </c>
      <c r="AL142" s="28" t="s">
        <v>395</v>
      </c>
      <c r="AM142" s="28" t="s">
        <v>391</v>
      </c>
      <c r="AN142" s="28" t="s">
        <v>881</v>
      </c>
      <c r="AO142" s="28" t="s">
        <v>396</v>
      </c>
      <c r="AP142" s="28" t="s">
        <v>397</v>
      </c>
      <c r="AQ142" s="28" t="s">
        <v>73</v>
      </c>
      <c r="AR142" s="28" t="s">
        <v>19</v>
      </c>
      <c r="AS142" s="73">
        <v>646.98414983999999</v>
      </c>
      <c r="AT142" s="8">
        <v>31.92</v>
      </c>
      <c r="AU142" s="73" t="s">
        <v>391</v>
      </c>
      <c r="AV142" s="73" t="b">
        <f t="shared" si="82"/>
        <v>1</v>
      </c>
      <c r="AW142" s="79">
        <v>0</v>
      </c>
      <c r="AX142" s="45" t="str">
        <f t="shared" si="83"/>
        <v/>
      </c>
      <c r="AY142" s="29" t="str">
        <f t="shared" si="84"/>
        <v/>
      </c>
      <c r="AZ142" s="29" t="str">
        <f t="shared" si="85"/>
        <v/>
      </c>
      <c r="BA142" s="29" t="s">
        <v>699</v>
      </c>
      <c r="BB142" s="29">
        <f t="shared" si="86"/>
        <v>0</v>
      </c>
      <c r="BC142">
        <f t="shared" si="87"/>
        <v>0</v>
      </c>
      <c r="BD142" s="78" t="str" cm="1">
        <f t="array" ref="BD142">IF(BC142&lt;&gt;1, "", IF(AK142&gt;0, INT(AK142/SUMPRODUCT(($AK$3:$AK$1000&gt;0)*($AK$3:$AK$1000), ($BC$3:$BC$1000))*$AB$12/AT142), INT(AK142/SUMPRODUCT(($AK$3:$AK$1000&lt;0)*($AK$3:$AK$1000), ($BC$3:$BC$1000))*$AB$13/AT142)))</f>
        <v/>
      </c>
      <c r="BE142" t="str">
        <f t="shared" si="88"/>
        <v/>
      </c>
      <c r="BF142" s="65" t="str">
        <f t="shared" si="89"/>
        <v/>
      </c>
    </row>
    <row r="143" spans="2:58" x14ac:dyDescent="0.3">
      <c r="B143" s="18" t="s">
        <v>1643</v>
      </c>
      <c r="C143" s="18" t="s">
        <v>1731</v>
      </c>
      <c r="D143" s="18" t="s">
        <v>1822</v>
      </c>
      <c r="E143" s="44" t="s">
        <v>1734</v>
      </c>
      <c r="F143" s="18" t="s">
        <v>21</v>
      </c>
      <c r="G143" s="18" t="s">
        <v>10</v>
      </c>
      <c r="H143" s="19">
        <v>26643.003683840001</v>
      </c>
      <c r="I143" s="18">
        <v>28</v>
      </c>
      <c r="J143" s="20">
        <v>156.02000000000001</v>
      </c>
      <c r="K143" s="19">
        <v>4368.5600000000004</v>
      </c>
      <c r="L143" s="12">
        <f t="shared" si="69"/>
        <v>2.9123733333333334E-4</v>
      </c>
      <c r="M143" s="12">
        <f t="shared" si="70"/>
        <v>3.0012004801920766E-4</v>
      </c>
      <c r="N143" s="15" t="str">
        <f t="shared" si="71"/>
        <v/>
      </c>
      <c r="O143" s="15" t="str">
        <f t="shared" si="72"/>
        <v/>
      </c>
      <c r="P143" s="15">
        <f t="shared" si="73"/>
        <v>1</v>
      </c>
      <c r="Q143" s="15" t="str">
        <f t="shared" si="74"/>
        <v>Buy</v>
      </c>
      <c r="R143" s="55">
        <f t="shared" si="75"/>
        <v>1</v>
      </c>
      <c r="S143" s="33">
        <f t="shared" si="76"/>
        <v>156.02000000000001</v>
      </c>
      <c r="T143" s="33" t="str">
        <f t="shared" si="77"/>
        <v/>
      </c>
      <c r="U143" s="15" t="str">
        <f t="shared" si="78"/>
        <v/>
      </c>
      <c r="V143" s="15">
        <f t="shared" si="79"/>
        <v>0.01</v>
      </c>
      <c r="W143" s="62">
        <f t="shared" si="80"/>
        <v>6.4094346878605307E-5</v>
      </c>
      <c r="X143" s="15"/>
      <c r="Y143" s="1">
        <f t="shared" si="81"/>
        <v>-8.8827146858743247E-6</v>
      </c>
      <c r="AH143" s="35">
        <v>45714</v>
      </c>
      <c r="AI143" s="31" t="s">
        <v>1640</v>
      </c>
      <c r="AJ143" s="32">
        <v>6.9999999999999999E-4</v>
      </c>
      <c r="AK143" s="28">
        <f t="shared" si="68"/>
        <v>7.0028011204481793E-4</v>
      </c>
      <c r="AL143" s="28" t="s">
        <v>1719</v>
      </c>
      <c r="AM143" s="28" t="s">
        <v>1640</v>
      </c>
      <c r="AN143" s="28" t="s">
        <v>1720</v>
      </c>
      <c r="AO143" s="28" t="s">
        <v>1721</v>
      </c>
      <c r="AP143" s="28" t="s">
        <v>1722</v>
      </c>
      <c r="AQ143" s="28" t="s">
        <v>73</v>
      </c>
      <c r="AR143" s="28" t="s">
        <v>14</v>
      </c>
      <c r="AS143" s="73">
        <v>3832.0804658799998</v>
      </c>
      <c r="AT143" s="8">
        <v>125.57</v>
      </c>
      <c r="AU143" s="73" t="s">
        <v>1640</v>
      </c>
      <c r="AV143" s="73" t="b">
        <f t="shared" si="82"/>
        <v>1</v>
      </c>
      <c r="AW143" s="79">
        <v>0</v>
      </c>
      <c r="AX143" s="45" t="str">
        <f t="shared" si="83"/>
        <v/>
      </c>
      <c r="AY143" s="29" t="str">
        <f t="shared" si="84"/>
        <v/>
      </c>
      <c r="AZ143" s="29" t="str">
        <f t="shared" si="85"/>
        <v/>
      </c>
      <c r="BA143" s="29" t="s">
        <v>699</v>
      </c>
      <c r="BB143" s="29">
        <f t="shared" si="86"/>
        <v>0</v>
      </c>
      <c r="BC143">
        <f t="shared" si="87"/>
        <v>0</v>
      </c>
      <c r="BD143" s="78" t="str" cm="1">
        <f t="array" ref="BD143">IF(BC143&lt;&gt;1, "", IF(AK143&gt;0, INT(AK143/SUMPRODUCT(($AK$3:$AK$1000&gt;0)*($AK$3:$AK$1000), ($BC$3:$BC$1000))*$AB$12/AT143), INT(AK143/SUMPRODUCT(($AK$3:$AK$1000&lt;0)*($AK$3:$AK$1000), ($BC$3:$BC$1000))*$AB$13/AT143)))</f>
        <v/>
      </c>
      <c r="BE143" t="str">
        <f t="shared" si="88"/>
        <v/>
      </c>
      <c r="BF143" s="65" t="str">
        <f t="shared" si="89"/>
        <v/>
      </c>
    </row>
    <row r="144" spans="2:58" x14ac:dyDescent="0.3">
      <c r="B144" s="18" t="s">
        <v>1644</v>
      </c>
      <c r="C144" s="18" t="s">
        <v>1735</v>
      </c>
      <c r="D144" s="18" t="s">
        <v>1823</v>
      </c>
      <c r="E144" s="44" t="s">
        <v>1738</v>
      </c>
      <c r="F144" s="18" t="s">
        <v>24</v>
      </c>
      <c r="G144" s="18" t="s">
        <v>10</v>
      </c>
      <c r="H144" s="19">
        <v>35865.2115873</v>
      </c>
      <c r="I144" s="18">
        <v>230</v>
      </c>
      <c r="J144" s="20">
        <v>13.17</v>
      </c>
      <c r="K144" s="19">
        <v>3029.1</v>
      </c>
      <c r="L144" s="12">
        <f t="shared" si="69"/>
        <v>2.0193999999999998E-4</v>
      </c>
      <c r="M144" s="12">
        <f t="shared" si="70"/>
        <v>2.0008003201280514E-4</v>
      </c>
      <c r="N144" s="15" t="str">
        <f t="shared" si="71"/>
        <v/>
      </c>
      <c r="O144" s="15" t="str">
        <f t="shared" si="72"/>
        <v/>
      </c>
      <c r="P144" s="15" t="str">
        <f t="shared" si="73"/>
        <v/>
      </c>
      <c r="Q144" s="15" t="str">
        <f t="shared" si="74"/>
        <v/>
      </c>
      <c r="R144" s="55" t="str">
        <f t="shared" si="75"/>
        <v/>
      </c>
      <c r="S144" s="33" t="str">
        <f t="shared" si="76"/>
        <v/>
      </c>
      <c r="T144" s="33" t="str">
        <f t="shared" si="77"/>
        <v/>
      </c>
      <c r="U144" s="15" t="str">
        <f t="shared" si="78"/>
        <v/>
      </c>
      <c r="V144" s="15" t="str">
        <f t="shared" si="79"/>
        <v/>
      </c>
      <c r="W144" s="62" t="str">
        <f t="shared" si="80"/>
        <v/>
      </c>
      <c r="X144" s="15"/>
      <c r="Y144" s="1">
        <f t="shared" si="81"/>
        <v>1.8599679871948455E-6</v>
      </c>
      <c r="AH144" s="35">
        <v>45714</v>
      </c>
      <c r="AI144" s="31" t="s">
        <v>1839</v>
      </c>
      <c r="AJ144" s="32">
        <v>6.9999999999999999E-4</v>
      </c>
      <c r="AK144" s="28">
        <f t="shared" si="68"/>
        <v>7.0028011204481793E-4</v>
      </c>
      <c r="AL144" s="28" t="s">
        <v>1895</v>
      </c>
      <c r="AM144" s="28" t="s">
        <v>1839</v>
      </c>
      <c r="AN144" s="28" t="s">
        <v>1896</v>
      </c>
      <c r="AO144" s="28" t="s">
        <v>1897</v>
      </c>
      <c r="AP144" s="28" t="s">
        <v>1898</v>
      </c>
      <c r="AQ144" s="28" t="s">
        <v>73</v>
      </c>
      <c r="AR144" s="28" t="s">
        <v>20</v>
      </c>
      <c r="AS144" s="73">
        <v>1431.66401896</v>
      </c>
      <c r="AT144" s="8">
        <v>10.64</v>
      </c>
      <c r="AU144" s="73" t="s">
        <v>1839</v>
      </c>
      <c r="AV144" s="73" t="b">
        <f t="shared" si="82"/>
        <v>1</v>
      </c>
      <c r="AW144" s="79">
        <v>0</v>
      </c>
      <c r="AX144" s="45" t="str">
        <f t="shared" si="83"/>
        <v/>
      </c>
      <c r="AY144" s="29" t="str">
        <f t="shared" si="84"/>
        <v/>
      </c>
      <c r="AZ144" s="29" t="str">
        <f t="shared" si="85"/>
        <v/>
      </c>
      <c r="BA144" s="29" t="s">
        <v>699</v>
      </c>
      <c r="BB144" s="29">
        <f t="shared" si="86"/>
        <v>0</v>
      </c>
      <c r="BC144">
        <f t="shared" si="87"/>
        <v>1</v>
      </c>
      <c r="BD144" s="78" cm="1">
        <f t="array" ref="BD144">IF(BC144&lt;&gt;1, "", IF(AK144&gt;0, INT(AK144/SUMPRODUCT(($AK$3:$AK$1000&gt;0)*($AK$3:$AK$1000), ($BC$3:$BC$1000))*$AB$12/AT144), INT(AK144/SUMPRODUCT(($AK$3:$AK$1000&lt;0)*($AK$3:$AK$1000), ($BC$3:$BC$1000))*$AB$13/AT144)))</f>
        <v>984</v>
      </c>
      <c r="BE144" t="str">
        <f t="shared" si="88"/>
        <v>Buy</v>
      </c>
      <c r="BF144" s="65">
        <f t="shared" si="89"/>
        <v>10469.76</v>
      </c>
    </row>
    <row r="145" spans="2:58" x14ac:dyDescent="0.3">
      <c r="B145" s="18" t="s">
        <v>1329</v>
      </c>
      <c r="C145" s="18" t="s">
        <v>1372</v>
      </c>
      <c r="D145" s="18" t="s">
        <v>1395</v>
      </c>
      <c r="E145" s="44" t="s">
        <v>1373</v>
      </c>
      <c r="F145" s="18" t="s">
        <v>11</v>
      </c>
      <c r="G145" s="18" t="s">
        <v>10</v>
      </c>
      <c r="H145" s="19">
        <v>319.76104509000004</v>
      </c>
      <c r="I145" s="18">
        <v>213</v>
      </c>
      <c r="J145" s="20">
        <v>6.33</v>
      </c>
      <c r="K145" s="19">
        <v>1348.29</v>
      </c>
      <c r="L145" s="12">
        <f t="shared" si="69"/>
        <v>8.9886E-5</v>
      </c>
      <c r="M145" s="12">
        <f t="shared" si="70"/>
        <v>0</v>
      </c>
      <c r="N145" s="15" t="str">
        <f t="shared" si="71"/>
        <v/>
      </c>
      <c r="O145" s="15">
        <f t="shared" si="72"/>
        <v>1</v>
      </c>
      <c r="P145" s="15" t="str">
        <f t="shared" si="73"/>
        <v/>
      </c>
      <c r="Q145" s="15" t="str">
        <f t="shared" si="74"/>
        <v/>
      </c>
      <c r="R145" s="55" t="str">
        <f t="shared" si="75"/>
        <v/>
      </c>
      <c r="S145" s="33" t="str">
        <f t="shared" si="76"/>
        <v/>
      </c>
      <c r="T145" s="33" t="str">
        <f t="shared" si="77"/>
        <v>Sell</v>
      </c>
      <c r="U145" s="15">
        <f t="shared" si="78"/>
        <v>213</v>
      </c>
      <c r="V145" s="15" t="str">
        <f t="shared" si="79"/>
        <v/>
      </c>
      <c r="W145" s="62" t="str">
        <f t="shared" si="80"/>
        <v/>
      </c>
      <c r="X145" s="15"/>
      <c r="Y145" s="1">
        <f t="shared" si="81"/>
        <v>8.9886E-5</v>
      </c>
      <c r="AH145" s="35">
        <v>45714</v>
      </c>
      <c r="AI145" s="31" t="s">
        <v>1328</v>
      </c>
      <c r="AJ145" s="32">
        <v>5.9999999999999995E-4</v>
      </c>
      <c r="AK145" s="28">
        <f t="shared" si="68"/>
        <v>6.0024009603841532E-4</v>
      </c>
      <c r="AL145" s="28" t="s">
        <v>1368</v>
      </c>
      <c r="AM145" s="28" t="s">
        <v>1328</v>
      </c>
      <c r="AN145" s="28" t="s">
        <v>1369</v>
      </c>
      <c r="AO145" s="28" t="s">
        <v>1370</v>
      </c>
      <c r="AP145" s="28" t="s">
        <v>1371</v>
      </c>
      <c r="AQ145" s="28" t="s">
        <v>73</v>
      </c>
      <c r="AR145" s="28" t="s">
        <v>21</v>
      </c>
      <c r="AS145" s="73">
        <v>470.35227681541602</v>
      </c>
      <c r="AT145" s="8">
        <v>5.4</v>
      </c>
      <c r="AU145" s="73" t="s">
        <v>1328</v>
      </c>
      <c r="AV145" s="73" t="b">
        <f t="shared" si="82"/>
        <v>1</v>
      </c>
      <c r="AW145" s="79">
        <v>0</v>
      </c>
      <c r="AX145" s="45" t="str">
        <f t="shared" si="83"/>
        <v/>
      </c>
      <c r="AY145" s="29" t="str">
        <f t="shared" si="84"/>
        <v/>
      </c>
      <c r="AZ145" s="29" t="str">
        <f t="shared" si="85"/>
        <v/>
      </c>
      <c r="BA145" s="29" t="s">
        <v>699</v>
      </c>
      <c r="BB145" s="29">
        <f t="shared" si="86"/>
        <v>0</v>
      </c>
      <c r="BC145">
        <f t="shared" si="87"/>
        <v>0</v>
      </c>
      <c r="BD145" s="78" t="str" cm="1">
        <f t="array" ref="BD145">IF(BC145&lt;&gt;1, "", IF(AK145&gt;0, INT(AK145/SUMPRODUCT(($AK$3:$AK$1000&gt;0)*($AK$3:$AK$1000), ($BC$3:$BC$1000))*$AB$12/AT145), INT(AK145/SUMPRODUCT(($AK$3:$AK$1000&lt;0)*($AK$3:$AK$1000), ($BC$3:$BC$1000))*$AB$13/AT145)))</f>
        <v/>
      </c>
      <c r="BE145" t="str">
        <f t="shared" si="88"/>
        <v/>
      </c>
      <c r="BF145" s="65" t="str">
        <f t="shared" si="89"/>
        <v/>
      </c>
    </row>
    <row r="146" spans="2:58" x14ac:dyDescent="0.3">
      <c r="B146" s="18" t="s">
        <v>1518</v>
      </c>
      <c r="C146" s="18" t="s">
        <v>1588</v>
      </c>
      <c r="D146" s="18" t="s">
        <v>1626</v>
      </c>
      <c r="E146" s="44" t="s">
        <v>1591</v>
      </c>
      <c r="F146" s="18" t="s">
        <v>11</v>
      </c>
      <c r="G146" s="18" t="s">
        <v>10</v>
      </c>
      <c r="H146" s="19">
        <v>317.78146068000001</v>
      </c>
      <c r="I146" s="18">
        <v>-255</v>
      </c>
      <c r="J146" s="20">
        <v>5.38</v>
      </c>
      <c r="K146" s="19">
        <v>-1371.8999999999999</v>
      </c>
      <c r="L146" s="12">
        <f t="shared" si="69"/>
        <v>-9.1459999999999995E-5</v>
      </c>
      <c r="M146" s="12">
        <f t="shared" si="70"/>
        <v>-1.029866117404737E-4</v>
      </c>
      <c r="N146" s="15" t="str">
        <f t="shared" si="71"/>
        <v/>
      </c>
      <c r="O146" s="15" t="str">
        <f t="shared" si="72"/>
        <v/>
      </c>
      <c r="P146" s="15">
        <f t="shared" si="73"/>
        <v>1</v>
      </c>
      <c r="Q146" s="15" t="str">
        <f t="shared" si="74"/>
        <v>SellShort</v>
      </c>
      <c r="R146" s="55">
        <f t="shared" si="75"/>
        <v>32</v>
      </c>
      <c r="S146" s="33">
        <f t="shared" si="76"/>
        <v>172.16</v>
      </c>
      <c r="T146" s="33" t="str">
        <f t="shared" si="77"/>
        <v/>
      </c>
      <c r="U146" s="15" t="str">
        <f t="shared" si="78"/>
        <v/>
      </c>
      <c r="V146" s="15">
        <f t="shared" si="79"/>
        <v>0.32</v>
      </c>
      <c r="W146" s="62">
        <f t="shared" si="80"/>
        <v>1.858736059479554E-3</v>
      </c>
      <c r="X146" s="15"/>
      <c r="Y146" s="1">
        <f t="shared" si="81"/>
        <v>1.1526611740473705E-5</v>
      </c>
      <c r="AH146" s="35">
        <v>45714</v>
      </c>
      <c r="AI146" s="31" t="s">
        <v>1641</v>
      </c>
      <c r="AJ146" s="32">
        <v>5.9999999999999995E-4</v>
      </c>
      <c r="AK146" s="28">
        <f t="shared" si="68"/>
        <v>6.0024009603841532E-4</v>
      </c>
      <c r="AL146" s="28" t="s">
        <v>1723</v>
      </c>
      <c r="AM146" s="28" t="s">
        <v>1641</v>
      </c>
      <c r="AN146" s="28" t="s">
        <v>1724</v>
      </c>
      <c r="AO146" s="28" t="s">
        <v>1725</v>
      </c>
      <c r="AP146" s="28" t="s">
        <v>1726</v>
      </c>
      <c r="AQ146" s="28" t="s">
        <v>73</v>
      </c>
      <c r="AR146" s="28" t="s">
        <v>14</v>
      </c>
      <c r="AS146" s="73">
        <v>1164.1025577</v>
      </c>
      <c r="AT146" s="8">
        <v>22.7</v>
      </c>
      <c r="AU146" s="73" t="s">
        <v>1641</v>
      </c>
      <c r="AV146" s="73" t="b">
        <f t="shared" si="82"/>
        <v>1</v>
      </c>
      <c r="AW146" s="79">
        <v>0</v>
      </c>
      <c r="AX146" s="45" t="str">
        <f t="shared" si="83"/>
        <v/>
      </c>
      <c r="AY146" s="29" t="str">
        <f t="shared" si="84"/>
        <v/>
      </c>
      <c r="AZ146" s="29" t="str">
        <f t="shared" si="85"/>
        <v/>
      </c>
      <c r="BA146" s="29" t="s">
        <v>699</v>
      </c>
      <c r="BB146" s="29">
        <f t="shared" si="86"/>
        <v>0</v>
      </c>
      <c r="BC146">
        <f t="shared" si="87"/>
        <v>0</v>
      </c>
      <c r="BD146" s="78" t="str" cm="1">
        <f t="array" ref="BD146">IF(BC146&lt;&gt;1, "", IF(AK146&gt;0, INT(AK146/SUMPRODUCT(($AK$3:$AK$1000&gt;0)*($AK$3:$AK$1000), ($BC$3:$BC$1000))*$AB$12/AT146), INT(AK146/SUMPRODUCT(($AK$3:$AK$1000&lt;0)*($AK$3:$AK$1000), ($BC$3:$BC$1000))*$AB$13/AT146)))</f>
        <v/>
      </c>
      <c r="BE146" t="str">
        <f t="shared" si="88"/>
        <v/>
      </c>
      <c r="BF146" s="65" t="str">
        <f t="shared" si="89"/>
        <v/>
      </c>
    </row>
    <row r="147" spans="2:58" x14ac:dyDescent="0.3">
      <c r="B147" s="18" t="s">
        <v>1645</v>
      </c>
      <c r="C147" s="18" t="s">
        <v>1739</v>
      </c>
      <c r="D147" s="18" t="s">
        <v>1824</v>
      </c>
      <c r="E147" s="44" t="s">
        <v>1742</v>
      </c>
      <c r="F147" s="18" t="s">
        <v>20</v>
      </c>
      <c r="G147" s="18" t="s">
        <v>10</v>
      </c>
      <c r="H147" s="19">
        <v>231.70058990000001</v>
      </c>
      <c r="I147" s="18">
        <v>-280</v>
      </c>
      <c r="J147" s="20">
        <v>5.33</v>
      </c>
      <c r="K147" s="19">
        <v>-1492.4</v>
      </c>
      <c r="L147" s="12">
        <f t="shared" si="69"/>
        <v>-9.9493333333333338E-5</v>
      </c>
      <c r="M147" s="12">
        <f t="shared" si="70"/>
        <v>-9.268795056642632E-4</v>
      </c>
      <c r="N147" s="15" t="str">
        <f t="shared" si="71"/>
        <v/>
      </c>
      <c r="O147" s="15" t="str">
        <f t="shared" si="72"/>
        <v/>
      </c>
      <c r="P147" s="15">
        <f t="shared" si="73"/>
        <v>1</v>
      </c>
      <c r="Q147" s="15" t="str">
        <f t="shared" si="74"/>
        <v>SellShort</v>
      </c>
      <c r="R147" s="55">
        <f t="shared" si="75"/>
        <v>2328</v>
      </c>
      <c r="S147" s="33">
        <f t="shared" si="76"/>
        <v>12408.24</v>
      </c>
      <c r="T147" s="33" t="str">
        <f t="shared" si="77"/>
        <v/>
      </c>
      <c r="U147" s="15" t="str">
        <f t="shared" si="78"/>
        <v/>
      </c>
      <c r="V147" s="15">
        <f t="shared" si="79"/>
        <v>23.28</v>
      </c>
      <c r="W147" s="62">
        <f t="shared" si="80"/>
        <v>1.8761726078799252E-3</v>
      </c>
      <c r="X147" s="15"/>
      <c r="Y147" s="1">
        <f t="shared" si="81"/>
        <v>8.2738617233092985E-4</v>
      </c>
      <c r="AH147" s="35">
        <v>45714</v>
      </c>
      <c r="AI147" s="31" t="s">
        <v>1840</v>
      </c>
      <c r="AJ147" s="32">
        <v>2.9999999999999997E-4</v>
      </c>
      <c r="AK147" s="28">
        <f t="shared" si="68"/>
        <v>3.0012004801920766E-4</v>
      </c>
      <c r="AL147" s="28" t="s">
        <v>1899</v>
      </c>
      <c r="AM147" s="28" t="s">
        <v>1840</v>
      </c>
      <c r="AN147" s="28" t="s">
        <v>1900</v>
      </c>
      <c r="AO147" s="28" t="s">
        <v>1901</v>
      </c>
      <c r="AP147" s="28" t="s">
        <v>1902</v>
      </c>
      <c r="AQ147" s="28" t="s">
        <v>73</v>
      </c>
      <c r="AR147" s="28" t="s">
        <v>13</v>
      </c>
      <c r="AS147" s="73">
        <v>1376.12734144</v>
      </c>
      <c r="AT147" s="8">
        <v>87.68</v>
      </c>
      <c r="AU147" s="73" t="s">
        <v>1840</v>
      </c>
      <c r="AV147" s="73" t="b">
        <f t="shared" si="82"/>
        <v>1</v>
      </c>
      <c r="AW147" s="79">
        <v>0</v>
      </c>
      <c r="AX147" s="45" t="str">
        <f t="shared" si="83"/>
        <v/>
      </c>
      <c r="AY147" s="29" t="str">
        <f t="shared" si="84"/>
        <v/>
      </c>
      <c r="AZ147" s="29" t="str">
        <f t="shared" si="85"/>
        <v/>
      </c>
      <c r="BA147" s="29" t="s">
        <v>699</v>
      </c>
      <c r="BB147" s="29">
        <f t="shared" si="86"/>
        <v>0</v>
      </c>
      <c r="BC147">
        <f t="shared" si="87"/>
        <v>1</v>
      </c>
      <c r="BD147" s="78" cm="1">
        <f t="array" ref="BD147">IF(BC147&lt;&gt;1, "", IF(AK147&gt;0, INT(AK147/SUMPRODUCT(($AK$3:$AK$1000&gt;0)*($AK$3:$AK$1000), ($BC$3:$BC$1000))*$AB$12/AT147), INT(AK147/SUMPRODUCT(($AK$3:$AK$1000&lt;0)*($AK$3:$AK$1000), ($BC$3:$BC$1000))*$AB$13/AT147)))</f>
        <v>51</v>
      </c>
      <c r="BE147" t="str">
        <f t="shared" si="88"/>
        <v>Buy</v>
      </c>
      <c r="BF147" s="65">
        <f t="shared" si="89"/>
        <v>4471.68</v>
      </c>
    </row>
    <row r="148" spans="2:58" x14ac:dyDescent="0.3">
      <c r="B148" s="18" t="s">
        <v>1080</v>
      </c>
      <c r="C148" s="18" t="s">
        <v>1177</v>
      </c>
      <c r="D148" s="18" t="s">
        <v>1292</v>
      </c>
      <c r="E148" s="44" t="s">
        <v>1180</v>
      </c>
      <c r="F148" s="18" t="s">
        <v>11</v>
      </c>
      <c r="G148" s="18" t="s">
        <v>10</v>
      </c>
      <c r="H148" s="19">
        <v>784.04966938999996</v>
      </c>
      <c r="I148" s="18">
        <v>-164</v>
      </c>
      <c r="J148" s="20">
        <v>9.49</v>
      </c>
      <c r="K148" s="19">
        <v>-1556.3600000000001</v>
      </c>
      <c r="L148" s="12">
        <f t="shared" si="69"/>
        <v>-1.0375733333333334E-4</v>
      </c>
      <c r="M148" s="12">
        <f t="shared" si="70"/>
        <v>-1.029866117404737E-4</v>
      </c>
      <c r="N148" s="15" t="str">
        <f t="shared" si="71"/>
        <v/>
      </c>
      <c r="O148" s="15" t="str">
        <f t="shared" si="72"/>
        <v/>
      </c>
      <c r="P148" s="15" t="str">
        <f t="shared" si="73"/>
        <v/>
      </c>
      <c r="Q148" s="15" t="str">
        <f t="shared" si="74"/>
        <v/>
      </c>
      <c r="R148" s="55" t="str">
        <f t="shared" si="75"/>
        <v/>
      </c>
      <c r="S148" s="33" t="str">
        <f t="shared" si="76"/>
        <v/>
      </c>
      <c r="T148" s="33" t="str">
        <f t="shared" si="77"/>
        <v/>
      </c>
      <c r="U148" s="15" t="str">
        <f t="shared" si="78"/>
        <v/>
      </c>
      <c r="V148" s="15" t="str">
        <f t="shared" si="79"/>
        <v/>
      </c>
      <c r="W148" s="62" t="str">
        <f t="shared" si="80"/>
        <v/>
      </c>
      <c r="X148" s="15"/>
      <c r="Y148" s="1">
        <f t="shared" si="81"/>
        <v>-7.7072159285963729E-7</v>
      </c>
      <c r="AH148" s="35">
        <v>45714</v>
      </c>
      <c r="AI148" s="31" t="s">
        <v>1643</v>
      </c>
      <c r="AJ148" s="32">
        <v>2.9999999999999997E-4</v>
      </c>
      <c r="AK148" s="28">
        <f t="shared" si="68"/>
        <v>3.0012004801920766E-4</v>
      </c>
      <c r="AL148" s="28" t="s">
        <v>1731</v>
      </c>
      <c r="AM148" s="28" t="s">
        <v>1643</v>
      </c>
      <c r="AN148" s="28" t="s">
        <v>1732</v>
      </c>
      <c r="AO148" s="28" t="s">
        <v>1733</v>
      </c>
      <c r="AP148" s="28" t="s">
        <v>1734</v>
      </c>
      <c r="AQ148" s="28" t="s">
        <v>73</v>
      </c>
      <c r="AR148" s="28" t="s">
        <v>21</v>
      </c>
      <c r="AS148" s="73">
        <v>26643.003683840001</v>
      </c>
      <c r="AT148" s="8">
        <v>156.02000000000001</v>
      </c>
      <c r="AU148" s="73" t="s">
        <v>1643</v>
      </c>
      <c r="AV148" s="73" t="b">
        <f t="shared" si="82"/>
        <v>1</v>
      </c>
      <c r="AW148" s="79">
        <v>0</v>
      </c>
      <c r="AX148" s="45" t="str">
        <f t="shared" si="83"/>
        <v/>
      </c>
      <c r="AY148" s="29" t="str">
        <f t="shared" si="84"/>
        <v/>
      </c>
      <c r="AZ148" s="29" t="str">
        <f t="shared" si="85"/>
        <v/>
      </c>
      <c r="BA148" s="29" t="s">
        <v>699</v>
      </c>
      <c r="BB148" s="29">
        <f t="shared" si="86"/>
        <v>0</v>
      </c>
      <c r="BC148">
        <f t="shared" si="87"/>
        <v>0</v>
      </c>
      <c r="BD148" s="78" t="str" cm="1">
        <f t="array" ref="BD148">IF(BC148&lt;&gt;1, "", IF(AK148&gt;0, INT(AK148/SUMPRODUCT(($AK$3:$AK$1000&gt;0)*($AK$3:$AK$1000), ($BC$3:$BC$1000))*$AB$12/AT148), INT(AK148/SUMPRODUCT(($AK$3:$AK$1000&lt;0)*($AK$3:$AK$1000), ($BC$3:$BC$1000))*$AB$13/AT148)))</f>
        <v/>
      </c>
      <c r="BE148" t="str">
        <f t="shared" si="88"/>
        <v/>
      </c>
      <c r="BF148" s="65" t="str">
        <f t="shared" si="89"/>
        <v/>
      </c>
    </row>
    <row r="149" spans="2:58" x14ac:dyDescent="0.3">
      <c r="B149" s="18" t="s">
        <v>1079</v>
      </c>
      <c r="C149" s="18" t="s">
        <v>1173</v>
      </c>
      <c r="D149" s="18" t="s">
        <v>1291</v>
      </c>
      <c r="E149" s="44" t="s">
        <v>1176</v>
      </c>
      <c r="F149" s="18" t="s">
        <v>19</v>
      </c>
      <c r="G149" s="18" t="s">
        <v>10</v>
      </c>
      <c r="H149" s="19">
        <v>280.31748608999999</v>
      </c>
      <c r="I149" s="18">
        <v>-684</v>
      </c>
      <c r="J149" s="20">
        <v>4.47</v>
      </c>
      <c r="K149" s="19">
        <v>-3057.48</v>
      </c>
      <c r="L149" s="12">
        <f t="shared" si="69"/>
        <v>-2.0383200000000001E-4</v>
      </c>
      <c r="M149" s="12">
        <f t="shared" si="70"/>
        <v>-3.0895983522142103E-4</v>
      </c>
      <c r="N149" s="15" t="str">
        <f t="shared" si="71"/>
        <v/>
      </c>
      <c r="O149" s="15" t="str">
        <f t="shared" si="72"/>
        <v/>
      </c>
      <c r="P149" s="15">
        <f t="shared" si="73"/>
        <v>1</v>
      </c>
      <c r="Q149" s="15" t="str">
        <f t="shared" si="74"/>
        <v>SellShort</v>
      </c>
      <c r="R149" s="55">
        <f t="shared" si="75"/>
        <v>352</v>
      </c>
      <c r="S149" s="33">
        <f t="shared" si="76"/>
        <v>1573.4399999999998</v>
      </c>
      <c r="T149" s="33" t="str">
        <f t="shared" si="77"/>
        <v/>
      </c>
      <c r="U149" s="15" t="str">
        <f t="shared" si="78"/>
        <v/>
      </c>
      <c r="V149" s="15">
        <f t="shared" si="79"/>
        <v>3.52</v>
      </c>
      <c r="W149" s="62">
        <f t="shared" si="80"/>
        <v>2.2371364653243852E-3</v>
      </c>
      <c r="X149" s="15"/>
      <c r="Y149" s="1">
        <f t="shared" si="81"/>
        <v>1.0512783522142102E-4</v>
      </c>
      <c r="AH149" s="35">
        <v>45714</v>
      </c>
      <c r="AI149" s="31" t="s">
        <v>1644</v>
      </c>
      <c r="AJ149" s="32">
        <v>2.0000000000000001E-4</v>
      </c>
      <c r="AK149" s="28">
        <f t="shared" si="68"/>
        <v>2.0008003201280514E-4</v>
      </c>
      <c r="AL149" s="28" t="s">
        <v>1735</v>
      </c>
      <c r="AM149" s="28" t="s">
        <v>1644</v>
      </c>
      <c r="AN149" s="28" t="s">
        <v>1736</v>
      </c>
      <c r="AO149" s="28" t="s">
        <v>1737</v>
      </c>
      <c r="AP149" s="28" t="s">
        <v>1738</v>
      </c>
      <c r="AQ149" s="28" t="s">
        <v>73</v>
      </c>
      <c r="AR149" s="28" t="s">
        <v>24</v>
      </c>
      <c r="AS149" s="73">
        <v>151438.14468735701</v>
      </c>
      <c r="AT149" s="8">
        <v>13.17</v>
      </c>
      <c r="AU149" s="73" t="s">
        <v>1644</v>
      </c>
      <c r="AV149" s="73" t="b">
        <f t="shared" si="82"/>
        <v>1</v>
      </c>
      <c r="AW149" s="79">
        <v>0</v>
      </c>
      <c r="AX149" s="45" t="str">
        <f t="shared" si="83"/>
        <v/>
      </c>
      <c r="AY149" s="29" t="str">
        <f t="shared" si="84"/>
        <v/>
      </c>
      <c r="AZ149" s="29" t="str">
        <f t="shared" si="85"/>
        <v/>
      </c>
      <c r="BA149" s="29" t="s">
        <v>699</v>
      </c>
      <c r="BB149" s="29">
        <f t="shared" si="86"/>
        <v>0</v>
      </c>
      <c r="BC149">
        <f t="shared" si="87"/>
        <v>0</v>
      </c>
      <c r="BD149" s="78" t="str" cm="1">
        <f t="array" ref="BD149">IF(BC149&lt;&gt;1, "", IF(AK149&gt;0, INT(AK149/SUMPRODUCT(($AK$3:$AK$1000&gt;0)*($AK$3:$AK$1000), ($BC$3:$BC$1000))*$AB$12/AT149), INT(AK149/SUMPRODUCT(($AK$3:$AK$1000&lt;0)*($AK$3:$AK$1000), ($BC$3:$BC$1000))*$AB$13/AT149)))</f>
        <v/>
      </c>
      <c r="BE149" t="str">
        <f t="shared" si="88"/>
        <v/>
      </c>
      <c r="BF149" s="65" t="str">
        <f t="shared" si="89"/>
        <v/>
      </c>
    </row>
    <row r="150" spans="2:58" x14ac:dyDescent="0.3">
      <c r="B150" s="18" t="s">
        <v>1646</v>
      </c>
      <c r="C150" s="18" t="s">
        <v>1743</v>
      </c>
      <c r="D150" s="18" t="s">
        <v>1825</v>
      </c>
      <c r="E150" s="44" t="s">
        <v>1746</v>
      </c>
      <c r="F150" s="18" t="s">
        <v>11</v>
      </c>
      <c r="G150" s="18" t="s">
        <v>10</v>
      </c>
      <c r="H150" s="19">
        <v>11732.283684799999</v>
      </c>
      <c r="I150" s="18">
        <v>-139</v>
      </c>
      <c r="J150" s="20">
        <v>78.05</v>
      </c>
      <c r="K150" s="19">
        <v>-10848.949999999999</v>
      </c>
      <c r="L150" s="12">
        <f t="shared" si="69"/>
        <v>-7.232633333333333E-4</v>
      </c>
      <c r="M150" s="12">
        <f t="shared" si="70"/>
        <v>-7.2090628218331588E-4</v>
      </c>
      <c r="N150" s="15" t="str">
        <f t="shared" si="71"/>
        <v/>
      </c>
      <c r="O150" s="15" t="str">
        <f t="shared" si="72"/>
        <v/>
      </c>
      <c r="P150" s="15" t="str">
        <f t="shared" si="73"/>
        <v/>
      </c>
      <c r="Q150" s="15" t="str">
        <f t="shared" si="74"/>
        <v/>
      </c>
      <c r="R150" s="55" t="str">
        <f t="shared" si="75"/>
        <v/>
      </c>
      <c r="S150" s="33" t="str">
        <f t="shared" si="76"/>
        <v/>
      </c>
      <c r="T150" s="33" t="str">
        <f t="shared" si="77"/>
        <v/>
      </c>
      <c r="U150" s="15" t="str">
        <f t="shared" si="78"/>
        <v/>
      </c>
      <c r="V150" s="15" t="str">
        <f t="shared" si="79"/>
        <v/>
      </c>
      <c r="W150" s="62" t="str">
        <f t="shared" si="80"/>
        <v/>
      </c>
      <c r="X150" s="15"/>
      <c r="Y150" s="1">
        <f t="shared" si="81"/>
        <v>-2.3570511500174132E-6</v>
      </c>
      <c r="AH150" s="35">
        <v>45714</v>
      </c>
      <c r="AI150" s="31" t="s">
        <v>1841</v>
      </c>
      <c r="AJ150" s="32">
        <v>2.0000000000000001E-4</v>
      </c>
      <c r="AK150" s="28">
        <f t="shared" si="68"/>
        <v>2.0008003201280514E-4</v>
      </c>
      <c r="AL150" s="28" t="s">
        <v>1903</v>
      </c>
      <c r="AM150" s="28" t="s">
        <v>1841</v>
      </c>
      <c r="AN150" s="28" t="s">
        <v>1904</v>
      </c>
      <c r="AO150" s="28" t="s">
        <v>1905</v>
      </c>
      <c r="AP150" s="28" t="s">
        <v>1906</v>
      </c>
      <c r="AQ150" s="28" t="s">
        <v>73</v>
      </c>
      <c r="AR150" s="28" t="s">
        <v>20</v>
      </c>
      <c r="AS150" s="73">
        <v>12302.492843321001</v>
      </c>
      <c r="AT150" s="8">
        <v>28.11</v>
      </c>
      <c r="AU150" s="73" t="s">
        <v>1841</v>
      </c>
      <c r="AV150" s="73" t="b">
        <f t="shared" si="82"/>
        <v>1</v>
      </c>
      <c r="AW150" s="79">
        <v>0</v>
      </c>
      <c r="AX150" s="45" t="str">
        <f t="shared" si="83"/>
        <v/>
      </c>
      <c r="AY150" s="29" t="str">
        <f t="shared" si="84"/>
        <v/>
      </c>
      <c r="AZ150" s="29" t="str">
        <f t="shared" si="85"/>
        <v/>
      </c>
      <c r="BA150" s="29" t="s">
        <v>699</v>
      </c>
      <c r="BB150" s="29">
        <f t="shared" si="86"/>
        <v>0</v>
      </c>
      <c r="BC150">
        <f t="shared" si="87"/>
        <v>1</v>
      </c>
      <c r="BD150" s="78" cm="1">
        <f t="array" ref="BD150">IF(BC150&lt;&gt;1, "", IF(AK150&gt;0, INT(AK150/SUMPRODUCT(($AK$3:$AK$1000&gt;0)*($AK$3:$AK$1000), ($BC$3:$BC$1000))*$AB$12/AT150), INT(AK150/SUMPRODUCT(($AK$3:$AK$1000&lt;0)*($AK$3:$AK$1000), ($BC$3:$BC$1000))*$AB$13/AT150)))</f>
        <v>106</v>
      </c>
      <c r="BE150" t="str">
        <f t="shared" si="88"/>
        <v>Buy</v>
      </c>
      <c r="BF150" s="65">
        <f t="shared" si="89"/>
        <v>2979.66</v>
      </c>
    </row>
    <row r="151" spans="2:58" x14ac:dyDescent="0.3">
      <c r="B151" s="18" t="s">
        <v>1078</v>
      </c>
      <c r="C151" s="18" t="s">
        <v>1171</v>
      </c>
      <c r="D151" s="18" t="s">
        <v>1293</v>
      </c>
      <c r="E151" s="44" t="s">
        <v>1333</v>
      </c>
      <c r="F151" s="18" t="s">
        <v>11</v>
      </c>
      <c r="G151" s="18" t="s">
        <v>10</v>
      </c>
      <c r="H151" s="19">
        <v>1513.9429977100001</v>
      </c>
      <c r="I151" s="18">
        <v>-797</v>
      </c>
      <c r="J151" s="20">
        <v>17.27</v>
      </c>
      <c r="K151" s="19">
        <v>-13764.19</v>
      </c>
      <c r="L151" s="12">
        <f t="shared" si="69"/>
        <v>-9.1761266666666669E-4</v>
      </c>
      <c r="M151" s="12">
        <f t="shared" si="70"/>
        <v>-9.268795056642632E-4</v>
      </c>
      <c r="N151" s="15" t="str">
        <f t="shared" si="71"/>
        <v/>
      </c>
      <c r="O151" s="15" t="str">
        <f t="shared" si="72"/>
        <v/>
      </c>
      <c r="P151" s="15" t="str">
        <f t="shared" si="73"/>
        <v/>
      </c>
      <c r="Q151" s="15" t="str">
        <f t="shared" si="74"/>
        <v/>
      </c>
      <c r="R151" s="55" t="str">
        <f t="shared" si="75"/>
        <v/>
      </c>
      <c r="S151" s="33" t="str">
        <f t="shared" si="76"/>
        <v/>
      </c>
      <c r="T151" s="33" t="str">
        <f t="shared" si="77"/>
        <v/>
      </c>
      <c r="U151" s="15" t="str">
        <f t="shared" si="78"/>
        <v/>
      </c>
      <c r="V151" s="15" t="str">
        <f t="shared" si="79"/>
        <v/>
      </c>
      <c r="W151" s="62" t="str">
        <f t="shared" si="80"/>
        <v/>
      </c>
      <c r="X151" s="15"/>
      <c r="Y151" s="1">
        <f t="shared" si="81"/>
        <v>9.2668389975965109E-6</v>
      </c>
      <c r="AH151" s="35">
        <v>45714</v>
      </c>
      <c r="AI151" s="31" t="s">
        <v>1842</v>
      </c>
      <c r="AJ151" s="32">
        <v>2.0000000000000001E-4</v>
      </c>
      <c r="AK151" s="28">
        <f t="shared" si="68"/>
        <v>2.0008003201280514E-4</v>
      </c>
      <c r="AL151" s="28" t="s">
        <v>1907</v>
      </c>
      <c r="AM151" s="28" t="s">
        <v>1842</v>
      </c>
      <c r="AN151" s="28" t="s">
        <v>1908</v>
      </c>
      <c r="AO151" s="28" t="s">
        <v>1909</v>
      </c>
      <c r="AP151" s="28" t="s">
        <v>1910</v>
      </c>
      <c r="AQ151" s="28" t="s">
        <v>73</v>
      </c>
      <c r="AR151" s="28" t="s">
        <v>13</v>
      </c>
      <c r="AS151" s="73">
        <v>4441.5886268800004</v>
      </c>
      <c r="AT151" s="8">
        <v>52.86</v>
      </c>
      <c r="AU151" s="73" t="s">
        <v>1842</v>
      </c>
      <c r="AV151" s="73" t="b">
        <f t="shared" si="82"/>
        <v>1</v>
      </c>
      <c r="AW151" s="79">
        <v>0</v>
      </c>
      <c r="AX151" s="45" t="str">
        <f t="shared" si="83"/>
        <v/>
      </c>
      <c r="AY151" s="29" t="str">
        <f t="shared" si="84"/>
        <v/>
      </c>
      <c r="AZ151" s="29" t="str">
        <f t="shared" si="85"/>
        <v/>
      </c>
      <c r="BA151" s="29" t="s">
        <v>699</v>
      </c>
      <c r="BB151" s="29">
        <f t="shared" si="86"/>
        <v>0</v>
      </c>
      <c r="BC151">
        <f t="shared" si="87"/>
        <v>1</v>
      </c>
      <c r="BD151" s="78" cm="1">
        <f t="array" ref="BD151">IF(BC151&lt;&gt;1, "", IF(AK151&gt;0, INT(AK151/SUMPRODUCT(($AK$3:$AK$1000&gt;0)*($AK$3:$AK$1000), ($BC$3:$BC$1000))*$AB$12/AT151), INT(AK151/SUMPRODUCT(($AK$3:$AK$1000&lt;0)*($AK$3:$AK$1000), ($BC$3:$BC$1000))*$AB$13/AT151)))</f>
        <v>56</v>
      </c>
      <c r="BE151" t="str">
        <f t="shared" si="88"/>
        <v>Buy</v>
      </c>
      <c r="BF151" s="65">
        <f t="shared" si="89"/>
        <v>2960.16</v>
      </c>
    </row>
    <row r="152" spans="2:58" x14ac:dyDescent="0.3">
      <c r="B152" s="18" t="s">
        <v>955</v>
      </c>
      <c r="C152" s="18" t="s">
        <v>991</v>
      </c>
      <c r="D152" s="18" t="s">
        <v>1001</v>
      </c>
      <c r="E152" s="44" t="s">
        <v>1109</v>
      </c>
      <c r="F152" s="18" t="s">
        <v>25</v>
      </c>
      <c r="G152" s="18" t="s">
        <v>10</v>
      </c>
      <c r="H152" s="19">
        <v>2775.3775767000002</v>
      </c>
      <c r="I152" s="18">
        <v>-605</v>
      </c>
      <c r="J152" s="20">
        <v>23.19</v>
      </c>
      <c r="K152" s="19">
        <v>-14029.95</v>
      </c>
      <c r="L152" s="12">
        <f t="shared" si="69"/>
        <v>-9.3533000000000006E-4</v>
      </c>
      <c r="M152" s="12">
        <f t="shared" si="70"/>
        <v>0</v>
      </c>
      <c r="N152" s="15" t="str">
        <f t="shared" si="71"/>
        <v/>
      </c>
      <c r="O152" s="15">
        <f t="shared" si="72"/>
        <v>1</v>
      </c>
      <c r="P152" s="15" t="str">
        <f t="shared" si="73"/>
        <v/>
      </c>
      <c r="Q152" s="15" t="str">
        <f t="shared" si="74"/>
        <v/>
      </c>
      <c r="R152" s="55" t="str">
        <f t="shared" si="75"/>
        <v/>
      </c>
      <c r="S152" s="33" t="str">
        <f t="shared" si="76"/>
        <v/>
      </c>
      <c r="T152" s="33" t="str">
        <f t="shared" si="77"/>
        <v>BuyToCover</v>
      </c>
      <c r="U152" s="15">
        <f t="shared" si="78"/>
        <v>605</v>
      </c>
      <c r="V152" s="15" t="str">
        <f t="shared" si="79"/>
        <v/>
      </c>
      <c r="W152" s="62" t="str">
        <f t="shared" si="80"/>
        <v/>
      </c>
      <c r="X152" s="15"/>
      <c r="Y152" s="1">
        <f t="shared" si="81"/>
        <v>-9.3533000000000006E-4</v>
      </c>
      <c r="AH152" s="35">
        <v>45714</v>
      </c>
      <c r="AI152" s="31" t="s">
        <v>1518</v>
      </c>
      <c r="AJ152" s="32">
        <v>-1E-4</v>
      </c>
      <c r="AK152" s="28">
        <f t="shared" si="68"/>
        <v>-1.029866117404737E-4</v>
      </c>
      <c r="AL152" s="28" t="s">
        <v>1588</v>
      </c>
      <c r="AM152" s="28" t="s">
        <v>1518</v>
      </c>
      <c r="AN152" s="28" t="s">
        <v>1589</v>
      </c>
      <c r="AO152" s="28" t="s">
        <v>1590</v>
      </c>
      <c r="AP152" s="28" t="s">
        <v>1591</v>
      </c>
      <c r="AQ152" s="28" t="s">
        <v>73</v>
      </c>
      <c r="AR152" s="28" t="s">
        <v>11</v>
      </c>
      <c r="AS152" s="73">
        <v>317.78146068000001</v>
      </c>
      <c r="AT152" s="8">
        <v>5.38</v>
      </c>
      <c r="AU152" s="73" t="s">
        <v>1518</v>
      </c>
      <c r="AV152" s="73" t="b">
        <f t="shared" si="82"/>
        <v>1</v>
      </c>
      <c r="AW152" s="79">
        <v>0</v>
      </c>
      <c r="AX152" s="45" t="str">
        <f t="shared" si="83"/>
        <v/>
      </c>
      <c r="AY152" s="29" t="str">
        <f t="shared" si="84"/>
        <v/>
      </c>
      <c r="AZ152" s="29" t="str">
        <f t="shared" si="85"/>
        <v/>
      </c>
      <c r="BA152" s="29" t="s">
        <v>699</v>
      </c>
      <c r="BB152" s="29">
        <f t="shared" si="86"/>
        <v>0</v>
      </c>
      <c r="BC152">
        <f t="shared" si="87"/>
        <v>0</v>
      </c>
      <c r="BD152" s="78" t="str" cm="1">
        <f t="array" ref="BD152">IF(BC152&lt;&gt;1, "", IF(AK152&gt;0, INT(AK152/SUMPRODUCT(($AK$3:$AK$1000&gt;0)*($AK$3:$AK$1000), ($BC$3:$BC$1000))*$AB$12/AT152), INT(AK152/SUMPRODUCT(($AK$3:$AK$1000&lt;0)*($AK$3:$AK$1000), ($BC$3:$BC$1000))*$AB$13/AT152)))</f>
        <v/>
      </c>
      <c r="BE152" t="str">
        <f t="shared" si="88"/>
        <v/>
      </c>
      <c r="BF152" s="65" t="str">
        <f t="shared" si="89"/>
        <v/>
      </c>
    </row>
    <row r="153" spans="2:58" x14ac:dyDescent="0.3">
      <c r="B153" s="18" t="s">
        <v>1087</v>
      </c>
      <c r="C153" s="18" t="s">
        <v>1202</v>
      </c>
      <c r="D153" s="18" t="s">
        <v>1300</v>
      </c>
      <c r="E153" s="44" t="s">
        <v>1205</v>
      </c>
      <c r="F153" s="18" t="s">
        <v>20</v>
      </c>
      <c r="G153" s="18" t="s">
        <v>10</v>
      </c>
      <c r="H153" s="19">
        <v>573.89674600000001</v>
      </c>
      <c r="I153" s="18">
        <v>-1846</v>
      </c>
      <c r="J153" s="20">
        <v>8.08</v>
      </c>
      <c r="K153" s="19">
        <v>-14915.68</v>
      </c>
      <c r="L153" s="12">
        <f t="shared" si="69"/>
        <v>-9.9437866666666672E-4</v>
      </c>
      <c r="M153" s="12">
        <f t="shared" si="70"/>
        <v>-9.268795056642632E-4</v>
      </c>
      <c r="N153" s="15" t="str">
        <f t="shared" si="71"/>
        <v/>
      </c>
      <c r="O153" s="15" t="str">
        <f t="shared" si="72"/>
        <v/>
      </c>
      <c r="P153" s="15">
        <f t="shared" si="73"/>
        <v>1</v>
      </c>
      <c r="Q153" s="15" t="str">
        <f t="shared" si="74"/>
        <v>BuyToCover</v>
      </c>
      <c r="R153" s="55">
        <f t="shared" si="75"/>
        <v>125</v>
      </c>
      <c r="S153" s="33">
        <f t="shared" si="76"/>
        <v>1010</v>
      </c>
      <c r="T153" s="33" t="str">
        <f t="shared" si="77"/>
        <v/>
      </c>
      <c r="U153" s="15" t="str">
        <f t="shared" si="78"/>
        <v/>
      </c>
      <c r="V153" s="15">
        <f t="shared" si="79"/>
        <v>1.25</v>
      </c>
      <c r="W153" s="62">
        <f t="shared" si="80"/>
        <v>1.2376237623762376E-3</v>
      </c>
      <c r="X153" s="15"/>
      <c r="Y153" s="1">
        <f t="shared" si="81"/>
        <v>-6.7499161002403519E-5</v>
      </c>
      <c r="AH153" s="35">
        <v>45714</v>
      </c>
      <c r="AI153" s="31" t="s">
        <v>1080</v>
      </c>
      <c r="AJ153" s="32">
        <v>-1E-4</v>
      </c>
      <c r="AK153" s="28">
        <f t="shared" si="68"/>
        <v>-1.029866117404737E-4</v>
      </c>
      <c r="AL153" s="28" t="s">
        <v>1177</v>
      </c>
      <c r="AM153" s="28" t="s">
        <v>1080</v>
      </c>
      <c r="AN153" s="28" t="s">
        <v>1178</v>
      </c>
      <c r="AO153" s="28" t="s">
        <v>1179</v>
      </c>
      <c r="AP153" s="28" t="s">
        <v>1180</v>
      </c>
      <c r="AQ153" s="28" t="s">
        <v>73</v>
      </c>
      <c r="AR153" s="28" t="s">
        <v>11</v>
      </c>
      <c r="AS153" s="73">
        <v>784.04966938999996</v>
      </c>
      <c r="AT153" s="8">
        <v>9.49</v>
      </c>
      <c r="AU153" s="73" t="s">
        <v>1080</v>
      </c>
      <c r="AV153" s="73" t="b">
        <f t="shared" si="82"/>
        <v>1</v>
      </c>
      <c r="AW153" s="79">
        <v>0</v>
      </c>
      <c r="AX153" s="45" t="str">
        <f t="shared" si="83"/>
        <v/>
      </c>
      <c r="AY153" s="29" t="str">
        <f t="shared" si="84"/>
        <v/>
      </c>
      <c r="AZ153" s="29" t="str">
        <f t="shared" si="85"/>
        <v/>
      </c>
      <c r="BA153" s="29" t="s">
        <v>699</v>
      </c>
      <c r="BB153" s="29">
        <f t="shared" si="86"/>
        <v>0</v>
      </c>
      <c r="BC153">
        <f t="shared" si="87"/>
        <v>0</v>
      </c>
      <c r="BD153" s="78" t="str" cm="1">
        <f t="array" ref="BD153">IF(BC153&lt;&gt;1, "", IF(AK153&gt;0, INT(AK153/SUMPRODUCT(($AK$3:$AK$1000&gt;0)*($AK$3:$AK$1000), ($BC$3:$BC$1000))*$AB$12/AT153), INT(AK153/SUMPRODUCT(($AK$3:$AK$1000&lt;0)*($AK$3:$AK$1000), ($BC$3:$BC$1000))*$AB$13/AT153)))</f>
        <v/>
      </c>
      <c r="BE153" t="str">
        <f t="shared" si="88"/>
        <v/>
      </c>
      <c r="BF153" s="65" t="str">
        <f t="shared" si="89"/>
        <v/>
      </c>
    </row>
    <row r="154" spans="2:58" x14ac:dyDescent="0.3">
      <c r="B154" s="18" t="s">
        <v>1086</v>
      </c>
      <c r="C154" s="18" t="s">
        <v>1198</v>
      </c>
      <c r="D154" s="18" t="s">
        <v>1299</v>
      </c>
      <c r="E154" s="44" t="s">
        <v>1201</v>
      </c>
      <c r="F154" s="18" t="s">
        <v>23</v>
      </c>
      <c r="G154" s="18" t="s">
        <v>10</v>
      </c>
      <c r="H154" s="19">
        <v>10364.536974000001</v>
      </c>
      <c r="I154" s="18">
        <v>-781</v>
      </c>
      <c r="J154" s="20">
        <v>22</v>
      </c>
      <c r="K154" s="19">
        <v>-17182</v>
      </c>
      <c r="L154" s="12">
        <f t="shared" si="69"/>
        <v>-1.1454666666666667E-3</v>
      </c>
      <c r="M154" s="12">
        <f t="shared" si="70"/>
        <v>-1.1328527291452107E-3</v>
      </c>
      <c r="N154" s="15" t="str">
        <f t="shared" si="71"/>
        <v/>
      </c>
      <c r="O154" s="15" t="str">
        <f t="shared" si="72"/>
        <v/>
      </c>
      <c r="P154" s="15" t="str">
        <f t="shared" si="73"/>
        <v/>
      </c>
      <c r="Q154" s="15" t="str">
        <f t="shared" si="74"/>
        <v/>
      </c>
      <c r="R154" s="55" t="str">
        <f t="shared" si="75"/>
        <v/>
      </c>
      <c r="S154" s="33" t="str">
        <f t="shared" si="76"/>
        <v/>
      </c>
      <c r="T154" s="33" t="str">
        <f t="shared" si="77"/>
        <v/>
      </c>
      <c r="U154" s="15" t="str">
        <f t="shared" si="78"/>
        <v/>
      </c>
      <c r="V154" s="15" t="str">
        <f t="shared" si="79"/>
        <v/>
      </c>
      <c r="W154" s="62" t="str">
        <f t="shared" si="80"/>
        <v/>
      </c>
      <c r="X154" s="15"/>
      <c r="Y154" s="1">
        <f t="shared" si="81"/>
        <v>-1.2613937521455945E-5</v>
      </c>
      <c r="AH154" s="35">
        <v>45714</v>
      </c>
      <c r="AI154" s="31" t="s">
        <v>1843</v>
      </c>
      <c r="AJ154" s="32">
        <v>-2.0000000000000001E-4</v>
      </c>
      <c r="AK154" s="28">
        <f t="shared" si="68"/>
        <v>-2.059732234809474E-4</v>
      </c>
      <c r="AL154" s="28" t="s">
        <v>1911</v>
      </c>
      <c r="AM154" s="28" t="s">
        <v>1843</v>
      </c>
      <c r="AN154" s="28" t="s">
        <v>1912</v>
      </c>
      <c r="AO154" s="28" t="s">
        <v>1913</v>
      </c>
      <c r="AP154" s="28" t="s">
        <v>1914</v>
      </c>
      <c r="AQ154" s="28" t="s">
        <v>73</v>
      </c>
      <c r="AR154" s="28" t="s">
        <v>20</v>
      </c>
      <c r="AS154" s="73">
        <v>420.00136751000002</v>
      </c>
      <c r="AT154" s="8">
        <v>4.67</v>
      </c>
      <c r="AU154" s="73" t="s">
        <v>1843</v>
      </c>
      <c r="AV154" s="73" t="b">
        <f t="shared" si="82"/>
        <v>1</v>
      </c>
      <c r="AW154" s="79">
        <v>0</v>
      </c>
      <c r="AX154" s="45" t="str">
        <f t="shared" si="83"/>
        <v/>
      </c>
      <c r="AY154" s="29" t="str">
        <f t="shared" si="84"/>
        <v/>
      </c>
      <c r="AZ154" s="29" t="str">
        <f t="shared" si="85"/>
        <v/>
      </c>
      <c r="BA154" s="29" t="s">
        <v>699</v>
      </c>
      <c r="BB154" s="29">
        <f t="shared" si="86"/>
        <v>0</v>
      </c>
      <c r="BC154">
        <f t="shared" si="87"/>
        <v>1</v>
      </c>
      <c r="BD154" s="78" cm="1">
        <f t="array" ref="BD154">IF(BC154&lt;&gt;1, "", IF(AK154&gt;0, INT(AK154/SUMPRODUCT(($AK$3:$AK$1000&gt;0)*($AK$3:$AK$1000), ($BC$3:$BC$1000))*$AB$12/AT154), INT(AK154/SUMPRODUCT(($AK$3:$AK$1000&lt;0)*($AK$3:$AK$1000), ($BC$3:$BC$1000))*$AB$13/AT154)))</f>
        <v>635</v>
      </c>
      <c r="BE154" t="str">
        <f t="shared" si="88"/>
        <v>SellShort</v>
      </c>
      <c r="BF154" s="65">
        <f t="shared" si="89"/>
        <v>2965.45</v>
      </c>
    </row>
    <row r="155" spans="2:58" x14ac:dyDescent="0.3">
      <c r="B155" s="18" t="s">
        <v>1081</v>
      </c>
      <c r="C155" s="18" t="s">
        <v>1181</v>
      </c>
      <c r="D155" s="18" t="s">
        <v>1294</v>
      </c>
      <c r="E155" s="44" t="s">
        <v>1183</v>
      </c>
      <c r="F155" s="18" t="s">
        <v>20</v>
      </c>
      <c r="G155" s="18" t="s">
        <v>10</v>
      </c>
      <c r="H155" s="19">
        <v>405.85319704</v>
      </c>
      <c r="I155" s="18">
        <v>-3149</v>
      </c>
      <c r="J155" s="20">
        <v>5.96</v>
      </c>
      <c r="K155" s="19">
        <v>-18768.04</v>
      </c>
      <c r="L155" s="12">
        <f t="shared" si="69"/>
        <v>-1.2512026666666666E-3</v>
      </c>
      <c r="M155" s="12">
        <f t="shared" si="70"/>
        <v>-1.7507723995880528E-3</v>
      </c>
      <c r="N155" s="15" t="str">
        <f t="shared" si="71"/>
        <v/>
      </c>
      <c r="O155" s="15" t="str">
        <f t="shared" si="72"/>
        <v/>
      </c>
      <c r="P155" s="15">
        <f t="shared" si="73"/>
        <v>1</v>
      </c>
      <c r="Q155" s="15" t="str">
        <f t="shared" si="74"/>
        <v>SellShort</v>
      </c>
      <c r="R155" s="55">
        <f t="shared" si="75"/>
        <v>1257</v>
      </c>
      <c r="S155" s="33">
        <f t="shared" si="76"/>
        <v>7491.72</v>
      </c>
      <c r="T155" s="33" t="str">
        <f t="shared" si="77"/>
        <v/>
      </c>
      <c r="U155" s="15" t="str">
        <f t="shared" si="78"/>
        <v/>
      </c>
      <c r="V155" s="15">
        <f t="shared" si="79"/>
        <v>12.57</v>
      </c>
      <c r="W155" s="62">
        <f t="shared" si="80"/>
        <v>1.6778523489932886E-3</v>
      </c>
      <c r="X155" s="15"/>
      <c r="Y155" s="1">
        <f t="shared" si="81"/>
        <v>4.9956973292138618E-4</v>
      </c>
      <c r="AH155" s="35">
        <v>45714</v>
      </c>
      <c r="AI155" s="31" t="s">
        <v>1844</v>
      </c>
      <c r="AJ155" s="32">
        <v>-2.9999999999999997E-4</v>
      </c>
      <c r="AK155" s="28">
        <f t="shared" si="68"/>
        <v>-3.0895983522142103E-4</v>
      </c>
      <c r="AL155" s="28" t="s">
        <v>1915</v>
      </c>
      <c r="AM155" s="28" t="s">
        <v>1844</v>
      </c>
      <c r="AN155" s="28" t="s">
        <v>1916</v>
      </c>
      <c r="AO155" s="28" t="s">
        <v>1917</v>
      </c>
      <c r="AP155" s="28" t="s">
        <v>1918</v>
      </c>
      <c r="AQ155" s="28" t="s">
        <v>73</v>
      </c>
      <c r="AR155" s="28" t="s">
        <v>20</v>
      </c>
      <c r="AS155" s="73">
        <v>532.47879914999999</v>
      </c>
      <c r="AT155" s="8">
        <v>10.775</v>
      </c>
      <c r="AU155" s="73" t="s">
        <v>1844</v>
      </c>
      <c r="AV155" s="73" t="b">
        <f t="shared" si="82"/>
        <v>1</v>
      </c>
      <c r="AW155" s="79">
        <v>0</v>
      </c>
      <c r="AX155" s="45" t="str">
        <f t="shared" si="83"/>
        <v/>
      </c>
      <c r="AY155" s="29" t="str">
        <f t="shared" si="84"/>
        <v/>
      </c>
      <c r="AZ155" s="29" t="str">
        <f t="shared" si="85"/>
        <v/>
      </c>
      <c r="BA155" s="29" t="s">
        <v>699</v>
      </c>
      <c r="BB155" s="29">
        <f t="shared" si="86"/>
        <v>0</v>
      </c>
      <c r="BC155">
        <f t="shared" si="87"/>
        <v>1</v>
      </c>
      <c r="BD155" s="78" cm="1">
        <f t="array" ref="BD155">IF(BC155&lt;&gt;1, "", IF(AK155&gt;0, INT(AK155/SUMPRODUCT(($AK$3:$AK$1000&gt;0)*($AK$3:$AK$1000), ($BC$3:$BC$1000))*$AB$12/AT155), INT(AK155/SUMPRODUCT(($AK$3:$AK$1000&lt;0)*($AK$3:$AK$1000), ($BC$3:$BC$1000))*$AB$13/AT155)))</f>
        <v>413</v>
      </c>
      <c r="BE155" t="str">
        <f t="shared" si="88"/>
        <v>SellShort</v>
      </c>
      <c r="BF155" s="65">
        <f t="shared" si="89"/>
        <v>4450.0749999999998</v>
      </c>
    </row>
    <row r="156" spans="2:58" x14ac:dyDescent="0.3">
      <c r="B156" s="18" t="s">
        <v>1082</v>
      </c>
      <c r="C156" s="18" t="s">
        <v>1184</v>
      </c>
      <c r="D156" s="18" t="s">
        <v>1295</v>
      </c>
      <c r="E156" s="44" t="s">
        <v>1187</v>
      </c>
      <c r="F156" s="18" t="s">
        <v>23</v>
      </c>
      <c r="G156" s="18" t="s">
        <v>10</v>
      </c>
      <c r="H156" s="19">
        <v>183.29553180000002</v>
      </c>
      <c r="I156" s="18">
        <v>-2229</v>
      </c>
      <c r="J156" s="20">
        <v>9.7200000000000006</v>
      </c>
      <c r="K156" s="19">
        <v>-21665.88</v>
      </c>
      <c r="L156" s="12">
        <f t="shared" si="69"/>
        <v>-1.4443920000000001E-3</v>
      </c>
      <c r="M156" s="12">
        <f t="shared" si="70"/>
        <v>-1.6477857878475792E-3</v>
      </c>
      <c r="N156" s="15" t="str">
        <f t="shared" si="71"/>
        <v/>
      </c>
      <c r="O156" s="15" t="str">
        <f t="shared" si="72"/>
        <v/>
      </c>
      <c r="P156" s="15">
        <f t="shared" si="73"/>
        <v>1</v>
      </c>
      <c r="Q156" s="15" t="str">
        <f t="shared" si="74"/>
        <v>SellShort</v>
      </c>
      <c r="R156" s="55">
        <f t="shared" si="75"/>
        <v>313</v>
      </c>
      <c r="S156" s="33">
        <f t="shared" si="76"/>
        <v>3042.36</v>
      </c>
      <c r="T156" s="33" t="str">
        <f t="shared" si="77"/>
        <v/>
      </c>
      <c r="U156" s="15" t="str">
        <f t="shared" si="78"/>
        <v/>
      </c>
      <c r="V156" s="15">
        <f t="shared" si="79"/>
        <v>3.13</v>
      </c>
      <c r="W156" s="62">
        <f t="shared" si="80"/>
        <v>1.0288065843621398E-3</v>
      </c>
      <c r="X156" s="15"/>
      <c r="Y156" s="1">
        <f t="shared" si="81"/>
        <v>2.0339378784757912E-4</v>
      </c>
      <c r="AH156" s="35">
        <v>45714</v>
      </c>
      <c r="AI156" s="31" t="s">
        <v>1079</v>
      </c>
      <c r="AJ156" s="32">
        <v>-2.9999999999999997E-4</v>
      </c>
      <c r="AK156" s="28">
        <f t="shared" si="68"/>
        <v>-3.0895983522142103E-4</v>
      </c>
      <c r="AL156" s="28" t="s">
        <v>1173</v>
      </c>
      <c r="AM156" s="28" t="s">
        <v>1079</v>
      </c>
      <c r="AN156" s="28" t="s">
        <v>1174</v>
      </c>
      <c r="AO156" s="28" t="s">
        <v>1175</v>
      </c>
      <c r="AP156" s="28" t="s">
        <v>1176</v>
      </c>
      <c r="AQ156" s="28" t="s">
        <v>73</v>
      </c>
      <c r="AR156" s="28" t="s">
        <v>19</v>
      </c>
      <c r="AS156" s="73">
        <v>280.31748608999999</v>
      </c>
      <c r="AT156" s="73">
        <v>4.47</v>
      </c>
      <c r="AU156" s="73" t="s">
        <v>1079</v>
      </c>
      <c r="AV156" s="73" t="b">
        <f t="shared" si="82"/>
        <v>1</v>
      </c>
      <c r="AW156" s="79">
        <v>0</v>
      </c>
      <c r="AX156" s="45" t="str">
        <f t="shared" si="83"/>
        <v/>
      </c>
      <c r="AY156" s="29" t="str">
        <f t="shared" si="84"/>
        <v/>
      </c>
      <c r="AZ156" s="29" t="str">
        <f t="shared" si="85"/>
        <v/>
      </c>
      <c r="BA156" s="29" t="s">
        <v>699</v>
      </c>
      <c r="BB156" s="29">
        <f t="shared" si="86"/>
        <v>0</v>
      </c>
      <c r="BC156">
        <f t="shared" si="87"/>
        <v>0</v>
      </c>
      <c r="BD156" s="78" t="str" cm="1">
        <f t="array" ref="BD156">IF(BC156&lt;&gt;1, "", IF(AK156&gt;0, INT(AK156/SUMPRODUCT(($AK$3:$AK$1000&gt;0)*($AK$3:$AK$1000), ($BC$3:$BC$1000))*$AB$12/AT156), INT(AK156/SUMPRODUCT(($AK$3:$AK$1000&lt;0)*($AK$3:$AK$1000), ($BC$3:$BC$1000))*$AB$13/AT156)))</f>
        <v/>
      </c>
      <c r="BE156" t="str">
        <f t="shared" si="88"/>
        <v/>
      </c>
      <c r="BF156" s="65" t="str">
        <f t="shared" si="89"/>
        <v/>
      </c>
    </row>
    <row r="157" spans="2:58" x14ac:dyDescent="0.3">
      <c r="B157" s="18" t="s">
        <v>1084</v>
      </c>
      <c r="C157" s="18" t="s">
        <v>1191</v>
      </c>
      <c r="D157" s="18" t="s">
        <v>1298</v>
      </c>
      <c r="E157" s="44" t="s">
        <v>1334</v>
      </c>
      <c r="F157" s="18" t="s">
        <v>19</v>
      </c>
      <c r="G157" s="18" t="s">
        <v>10</v>
      </c>
      <c r="H157" s="19">
        <v>8156.8270140499999</v>
      </c>
      <c r="I157" s="18">
        <v>-866</v>
      </c>
      <c r="J157" s="20">
        <v>27.17</v>
      </c>
      <c r="K157" s="19">
        <v>-23529.22</v>
      </c>
      <c r="L157" s="12">
        <f t="shared" si="69"/>
        <v>-1.5686146666666668E-3</v>
      </c>
      <c r="M157" s="12">
        <f t="shared" si="70"/>
        <v>-1.5447991761071054E-3</v>
      </c>
      <c r="N157" s="15" t="str">
        <f t="shared" si="71"/>
        <v/>
      </c>
      <c r="O157" s="15" t="str">
        <f t="shared" si="72"/>
        <v/>
      </c>
      <c r="P157" s="15" t="str">
        <f t="shared" si="73"/>
        <v/>
      </c>
      <c r="Q157" s="15" t="str">
        <f t="shared" si="74"/>
        <v/>
      </c>
      <c r="R157" s="55" t="str">
        <f t="shared" si="75"/>
        <v/>
      </c>
      <c r="S157" s="33" t="str">
        <f t="shared" si="76"/>
        <v/>
      </c>
      <c r="T157" s="33" t="str">
        <f t="shared" si="77"/>
        <v/>
      </c>
      <c r="U157" s="15" t="str">
        <f t="shared" si="78"/>
        <v/>
      </c>
      <c r="V157" s="15" t="str">
        <f t="shared" si="79"/>
        <v/>
      </c>
      <c r="W157" s="62" t="str">
        <f t="shared" si="80"/>
        <v/>
      </c>
      <c r="X157" s="15"/>
      <c r="Y157" s="1">
        <f t="shared" si="81"/>
        <v>-2.3815490559561453E-5</v>
      </c>
      <c r="AH157" s="35">
        <v>45714</v>
      </c>
      <c r="AI157" s="31" t="s">
        <v>1646</v>
      </c>
      <c r="AJ157" s="32">
        <v>-6.9999999999999999E-4</v>
      </c>
      <c r="AK157" s="28">
        <f t="shared" si="68"/>
        <v>-7.2090628218331588E-4</v>
      </c>
      <c r="AL157" s="28" t="s">
        <v>1743</v>
      </c>
      <c r="AM157" s="28" t="s">
        <v>1646</v>
      </c>
      <c r="AN157" s="28" t="s">
        <v>1744</v>
      </c>
      <c r="AO157" s="28" t="s">
        <v>1745</v>
      </c>
      <c r="AP157" s="28" t="s">
        <v>1746</v>
      </c>
      <c r="AQ157" s="28" t="s">
        <v>73</v>
      </c>
      <c r="AR157" s="28" t="s">
        <v>11</v>
      </c>
      <c r="AS157" s="73">
        <v>11732.283684800001</v>
      </c>
      <c r="AT157" s="8">
        <v>78.05</v>
      </c>
      <c r="AU157" s="73" t="s">
        <v>1646</v>
      </c>
      <c r="AV157" s="73" t="b">
        <f t="shared" si="82"/>
        <v>1</v>
      </c>
      <c r="AW157" s="79">
        <v>0</v>
      </c>
      <c r="AX157" s="45" t="str">
        <f t="shared" si="83"/>
        <v/>
      </c>
      <c r="AY157" s="29" t="str">
        <f t="shared" si="84"/>
        <v/>
      </c>
      <c r="AZ157" s="29" t="str">
        <f t="shared" si="85"/>
        <v/>
      </c>
      <c r="BA157" s="29" t="s">
        <v>699</v>
      </c>
      <c r="BB157" s="29">
        <f t="shared" si="86"/>
        <v>0</v>
      </c>
      <c r="BC157">
        <f t="shared" si="87"/>
        <v>0</v>
      </c>
      <c r="BD157" s="78" t="str" cm="1">
        <f t="array" ref="BD157">IF(BC157&lt;&gt;1, "", IF(AK157&gt;0, INT(AK157/SUMPRODUCT(($AK$3:$AK$1000&gt;0)*($AK$3:$AK$1000), ($BC$3:$BC$1000))*$AB$12/AT157), INT(AK157/SUMPRODUCT(($AK$3:$AK$1000&lt;0)*($AK$3:$AK$1000), ($BC$3:$BC$1000))*$AB$13/AT157)))</f>
        <v/>
      </c>
      <c r="BE157" t="str">
        <f t="shared" si="88"/>
        <v/>
      </c>
      <c r="BF157" s="65" t="str">
        <f t="shared" si="89"/>
        <v/>
      </c>
    </row>
    <row r="158" spans="2:58" x14ac:dyDescent="0.3">
      <c r="B158" s="18" t="s">
        <v>774</v>
      </c>
      <c r="C158" s="18" t="s">
        <v>813</v>
      </c>
      <c r="D158" s="18" t="s">
        <v>838</v>
      </c>
      <c r="E158" s="44" t="s">
        <v>815</v>
      </c>
      <c r="F158" s="18" t="s">
        <v>21</v>
      </c>
      <c r="G158" s="18" t="s">
        <v>10</v>
      </c>
      <c r="H158" s="19">
        <v>39637.619108999999</v>
      </c>
      <c r="I158" s="18">
        <v>-457</v>
      </c>
      <c r="J158" s="20">
        <v>59.4</v>
      </c>
      <c r="K158" s="19">
        <v>-27145.8</v>
      </c>
      <c r="L158" s="12">
        <f t="shared" si="69"/>
        <v>-1.8097199999999999E-3</v>
      </c>
      <c r="M158" s="12">
        <f t="shared" si="70"/>
        <v>-1.8537590113285264E-3</v>
      </c>
      <c r="N158" s="15" t="str">
        <f t="shared" si="71"/>
        <v/>
      </c>
      <c r="O158" s="15" t="str">
        <f t="shared" si="72"/>
        <v/>
      </c>
      <c r="P158" s="15">
        <f t="shared" si="73"/>
        <v>1</v>
      </c>
      <c r="Q158" s="15" t="str">
        <f t="shared" si="74"/>
        <v>SellShort</v>
      </c>
      <c r="R158" s="55">
        <f t="shared" si="75"/>
        <v>11</v>
      </c>
      <c r="S158" s="33">
        <f t="shared" si="76"/>
        <v>653.4</v>
      </c>
      <c r="T158" s="33" t="str">
        <f t="shared" si="77"/>
        <v/>
      </c>
      <c r="U158" s="15" t="str">
        <f t="shared" si="78"/>
        <v/>
      </c>
      <c r="V158" s="15">
        <f t="shared" si="79"/>
        <v>0.11</v>
      </c>
      <c r="W158" s="62">
        <f t="shared" si="80"/>
        <v>1.6835016835016836E-4</v>
      </c>
      <c r="X158" s="15"/>
      <c r="Y158" s="1">
        <f t="shared" si="81"/>
        <v>4.4039011328526499E-5</v>
      </c>
      <c r="AH158" s="35">
        <v>45714</v>
      </c>
      <c r="AI158" s="31" t="s">
        <v>1845</v>
      </c>
      <c r="AJ158" s="32">
        <v>-6.9999999999999999E-4</v>
      </c>
      <c r="AK158" s="28">
        <f t="shared" si="68"/>
        <v>-7.2090628218331588E-4</v>
      </c>
      <c r="AL158" s="28" t="s">
        <v>1919</v>
      </c>
      <c r="AM158" s="28" t="s">
        <v>1845</v>
      </c>
      <c r="AN158" s="28" t="s">
        <v>1920</v>
      </c>
      <c r="AO158" s="28" t="s">
        <v>1921</v>
      </c>
      <c r="AP158" s="28" t="s">
        <v>1922</v>
      </c>
      <c r="AQ158" s="28" t="s">
        <v>73</v>
      </c>
      <c r="AR158" s="28" t="s">
        <v>23</v>
      </c>
      <c r="AS158" s="73">
        <v>128.39251904</v>
      </c>
      <c r="AT158" s="73">
        <v>5.44</v>
      </c>
      <c r="AU158" s="73" t="s">
        <v>1845</v>
      </c>
      <c r="AV158" s="73" t="b">
        <f t="shared" si="82"/>
        <v>1</v>
      </c>
      <c r="AW158" s="79">
        <v>0</v>
      </c>
      <c r="AX158" s="45" t="str">
        <f t="shared" si="83"/>
        <v/>
      </c>
      <c r="AY158" s="29" t="str">
        <f t="shared" si="84"/>
        <v/>
      </c>
      <c r="AZ158" s="29" t="str">
        <f t="shared" si="85"/>
        <v/>
      </c>
      <c r="BA158" s="29" t="s">
        <v>699</v>
      </c>
      <c r="BB158" s="29">
        <f t="shared" si="86"/>
        <v>0</v>
      </c>
      <c r="BC158">
        <f t="shared" si="87"/>
        <v>1</v>
      </c>
      <c r="BD158" s="78" cm="1">
        <f t="array" ref="BD158">IF(BC158&lt;&gt;1, "", IF(AK158&gt;0, INT(AK158/SUMPRODUCT(($AK$3:$AK$1000&gt;0)*($AK$3:$AK$1000), ($BC$3:$BC$1000))*$AB$12/AT158), INT(AK158/SUMPRODUCT(($AK$3:$AK$1000&lt;0)*($AK$3:$AK$1000), ($BC$3:$BC$1000))*$AB$13/AT158)))</f>
        <v>1910</v>
      </c>
      <c r="BE158" t="str">
        <f t="shared" si="88"/>
        <v>SellShort</v>
      </c>
      <c r="BF158" s="65">
        <f t="shared" si="89"/>
        <v>10390.400000000001</v>
      </c>
    </row>
    <row r="159" spans="2:58" x14ac:dyDescent="0.3">
      <c r="B159" s="18" t="s">
        <v>904</v>
      </c>
      <c r="C159" s="18" t="s">
        <v>925</v>
      </c>
      <c r="D159" s="18" t="s">
        <v>942</v>
      </c>
      <c r="E159" s="44" t="s">
        <v>927</v>
      </c>
      <c r="F159" s="18" t="s">
        <v>13</v>
      </c>
      <c r="G159" s="18" t="s">
        <v>10</v>
      </c>
      <c r="H159" s="19">
        <v>523.60929899999996</v>
      </c>
      <c r="I159" s="18">
        <v>-1510</v>
      </c>
      <c r="J159" s="20">
        <v>18.3</v>
      </c>
      <c r="K159" s="19">
        <v>-27633</v>
      </c>
      <c r="L159" s="12">
        <f t="shared" si="69"/>
        <v>-1.8422E-3</v>
      </c>
      <c r="M159" s="12">
        <f t="shared" si="70"/>
        <v>-2.0597322348094738E-3</v>
      </c>
      <c r="N159" s="15" t="str">
        <f t="shared" si="71"/>
        <v/>
      </c>
      <c r="O159" s="15" t="str">
        <f t="shared" si="72"/>
        <v/>
      </c>
      <c r="P159" s="15">
        <f t="shared" si="73"/>
        <v>1</v>
      </c>
      <c r="Q159" s="15" t="str">
        <f t="shared" si="74"/>
        <v>SellShort</v>
      </c>
      <c r="R159" s="55">
        <f t="shared" si="75"/>
        <v>178</v>
      </c>
      <c r="S159" s="33">
        <f t="shared" si="76"/>
        <v>3257.4</v>
      </c>
      <c r="T159" s="33" t="str">
        <f t="shared" si="77"/>
        <v/>
      </c>
      <c r="U159" s="15" t="str">
        <f t="shared" si="78"/>
        <v/>
      </c>
      <c r="V159" s="15">
        <f t="shared" si="79"/>
        <v>1.78</v>
      </c>
      <c r="W159" s="62">
        <f t="shared" si="80"/>
        <v>5.4644808743169399E-4</v>
      </c>
      <c r="X159" s="15"/>
      <c r="Y159" s="1">
        <f t="shared" si="81"/>
        <v>2.1753223480947383E-4</v>
      </c>
      <c r="AH159" s="35">
        <v>45714</v>
      </c>
      <c r="AI159" s="31" t="s">
        <v>1645</v>
      </c>
      <c r="AJ159" s="32">
        <v>-8.9999999999999998E-4</v>
      </c>
      <c r="AK159" s="28">
        <f t="shared" si="68"/>
        <v>-9.268795056642632E-4</v>
      </c>
      <c r="AL159" s="28" t="s">
        <v>1739</v>
      </c>
      <c r="AM159" s="28" t="s">
        <v>1645</v>
      </c>
      <c r="AN159" s="28" t="s">
        <v>1740</v>
      </c>
      <c r="AO159" s="28" t="s">
        <v>1741</v>
      </c>
      <c r="AP159" s="28" t="s">
        <v>1742</v>
      </c>
      <c r="AQ159" s="28" t="s">
        <v>73</v>
      </c>
      <c r="AR159" s="28" t="s">
        <v>20</v>
      </c>
      <c r="AS159" s="73">
        <v>231.70058990000001</v>
      </c>
      <c r="AT159" s="73">
        <v>5.33</v>
      </c>
      <c r="AU159" s="73" t="s">
        <v>1645</v>
      </c>
      <c r="AV159" s="73" t="b">
        <f t="shared" si="82"/>
        <v>1</v>
      </c>
      <c r="AW159" s="79">
        <v>0</v>
      </c>
      <c r="AX159" s="45" t="str">
        <f t="shared" si="83"/>
        <v/>
      </c>
      <c r="AY159" s="29" t="str">
        <f t="shared" si="84"/>
        <v/>
      </c>
      <c r="AZ159" s="29" t="str">
        <f t="shared" si="85"/>
        <v/>
      </c>
      <c r="BA159" s="29" t="s">
        <v>699</v>
      </c>
      <c r="BB159" s="29">
        <f t="shared" si="86"/>
        <v>0</v>
      </c>
      <c r="BC159">
        <f t="shared" si="87"/>
        <v>0</v>
      </c>
      <c r="BD159" s="78" t="str" cm="1">
        <f t="array" ref="BD159">IF(BC159&lt;&gt;1, "", IF(AK159&gt;0, INT(AK159/SUMPRODUCT(($AK$3:$AK$1000&gt;0)*($AK$3:$AK$1000), ($BC$3:$BC$1000))*$AB$12/AT159), INT(AK159/SUMPRODUCT(($AK$3:$AK$1000&lt;0)*($AK$3:$AK$1000), ($BC$3:$BC$1000))*$AB$13/AT159)))</f>
        <v/>
      </c>
      <c r="BE159" t="str">
        <f t="shared" si="88"/>
        <v/>
      </c>
      <c r="BF159" s="65" t="str">
        <f t="shared" si="89"/>
        <v/>
      </c>
    </row>
    <row r="160" spans="2:58" x14ac:dyDescent="0.3">
      <c r="B160" s="18" t="s">
        <v>903</v>
      </c>
      <c r="C160" s="18" t="s">
        <v>922</v>
      </c>
      <c r="D160" s="18" t="s">
        <v>941</v>
      </c>
      <c r="E160" s="44" t="s">
        <v>924</v>
      </c>
      <c r="F160" s="18" t="s">
        <v>24</v>
      </c>
      <c r="G160" s="18" t="s">
        <v>10</v>
      </c>
      <c r="H160" s="19">
        <v>3669.9094268099998</v>
      </c>
      <c r="I160" s="18">
        <v>-659</v>
      </c>
      <c r="J160" s="20">
        <v>42.03</v>
      </c>
      <c r="K160" s="19">
        <v>-27697.77</v>
      </c>
      <c r="L160" s="12">
        <f t="shared" si="69"/>
        <v>-1.8465180000000001E-3</v>
      </c>
      <c r="M160" s="12">
        <f t="shared" si="70"/>
        <v>-1.8537590113285264E-3</v>
      </c>
      <c r="N160" s="15" t="str">
        <f t="shared" si="71"/>
        <v/>
      </c>
      <c r="O160" s="15" t="str">
        <f t="shared" si="72"/>
        <v/>
      </c>
      <c r="P160" s="15" t="str">
        <f t="shared" si="73"/>
        <v/>
      </c>
      <c r="Q160" s="15" t="str">
        <f t="shared" si="74"/>
        <v/>
      </c>
      <c r="R160" s="55" t="str">
        <f t="shared" si="75"/>
        <v/>
      </c>
      <c r="S160" s="33" t="str">
        <f t="shared" si="76"/>
        <v/>
      </c>
      <c r="T160" s="33" t="str">
        <f t="shared" si="77"/>
        <v/>
      </c>
      <c r="U160" s="15" t="str">
        <f t="shared" si="78"/>
        <v/>
      </c>
      <c r="V160" s="15" t="str">
        <f t="shared" si="79"/>
        <v/>
      </c>
      <c r="W160" s="62" t="str">
        <f t="shared" si="80"/>
        <v/>
      </c>
      <c r="X160" s="15"/>
      <c r="Y160" s="1">
        <f t="shared" si="81"/>
        <v>7.2410113285262864E-6</v>
      </c>
      <c r="AH160" s="35">
        <v>45714</v>
      </c>
      <c r="AI160" s="31" t="s">
        <v>1078</v>
      </c>
      <c r="AJ160" s="32">
        <v>-8.9999999999999998E-4</v>
      </c>
      <c r="AK160" s="28">
        <f t="shared" si="68"/>
        <v>-9.268795056642632E-4</v>
      </c>
      <c r="AL160" s="28" t="s">
        <v>1171</v>
      </c>
      <c r="AM160" s="28" t="s">
        <v>1078</v>
      </c>
      <c r="AN160" s="28" t="s">
        <v>1747</v>
      </c>
      <c r="AO160" s="28" t="s">
        <v>1172</v>
      </c>
      <c r="AP160" s="28" t="s">
        <v>1333</v>
      </c>
      <c r="AQ160" s="28" t="s">
        <v>73</v>
      </c>
      <c r="AR160" s="28" t="s">
        <v>11</v>
      </c>
      <c r="AS160" s="73">
        <v>1513.9429977100001</v>
      </c>
      <c r="AT160" s="73">
        <v>17.27</v>
      </c>
      <c r="AU160" s="73" t="s">
        <v>1078</v>
      </c>
      <c r="AV160" s="73" t="b">
        <f t="shared" si="82"/>
        <v>1</v>
      </c>
      <c r="AW160" s="79">
        <v>0</v>
      </c>
      <c r="AX160" s="45" t="str">
        <f t="shared" si="83"/>
        <v/>
      </c>
      <c r="AY160" s="29" t="str">
        <f t="shared" si="84"/>
        <v/>
      </c>
      <c r="AZ160" s="29" t="str">
        <f t="shared" si="85"/>
        <v/>
      </c>
      <c r="BA160" s="29" t="s">
        <v>699</v>
      </c>
      <c r="BB160" s="29">
        <f t="shared" si="86"/>
        <v>0</v>
      </c>
      <c r="BC160">
        <f t="shared" si="87"/>
        <v>0</v>
      </c>
      <c r="BD160" s="78" t="str" cm="1">
        <f t="array" ref="BD160">IF(BC160&lt;&gt;1, "", IF(AK160&gt;0, INT(AK160/SUMPRODUCT(($AK$3:$AK$1000&gt;0)*($AK$3:$AK$1000), ($BC$3:$BC$1000))*$AB$12/AT160), INT(AK160/SUMPRODUCT(($AK$3:$AK$1000&lt;0)*($AK$3:$AK$1000), ($BC$3:$BC$1000))*$AB$13/AT160)))</f>
        <v/>
      </c>
      <c r="BE160" t="str">
        <f t="shared" si="88"/>
        <v/>
      </c>
      <c r="BF160" s="65" t="str">
        <f t="shared" si="89"/>
        <v/>
      </c>
    </row>
    <row r="161" spans="2:58" x14ac:dyDescent="0.3">
      <c r="B161" s="18" t="s">
        <v>582</v>
      </c>
      <c r="C161" s="18" t="s">
        <v>598</v>
      </c>
      <c r="D161" s="18" t="s">
        <v>622</v>
      </c>
      <c r="E161" s="44" t="s">
        <v>600</v>
      </c>
      <c r="F161" s="18" t="s">
        <v>23</v>
      </c>
      <c r="G161" s="18" t="s">
        <v>10</v>
      </c>
      <c r="H161" s="19">
        <v>548.39668224000002</v>
      </c>
      <c r="I161" s="18">
        <v>-989</v>
      </c>
      <c r="J161" s="20">
        <v>28.16</v>
      </c>
      <c r="K161" s="19">
        <v>-27850.240000000002</v>
      </c>
      <c r="L161" s="12">
        <f t="shared" si="69"/>
        <v>-1.8566826666666669E-3</v>
      </c>
      <c r="M161" s="12">
        <f t="shared" si="70"/>
        <v>-2.5746652935118423E-3</v>
      </c>
      <c r="N161" s="15" t="str">
        <f t="shared" si="71"/>
        <v/>
      </c>
      <c r="O161" s="15" t="str">
        <f t="shared" si="72"/>
        <v/>
      </c>
      <c r="P161" s="15">
        <f t="shared" si="73"/>
        <v>1</v>
      </c>
      <c r="Q161" s="15" t="str">
        <f t="shared" si="74"/>
        <v>SellShort</v>
      </c>
      <c r="R161" s="55">
        <f t="shared" si="75"/>
        <v>382</v>
      </c>
      <c r="S161" s="33">
        <f t="shared" si="76"/>
        <v>10757.12</v>
      </c>
      <c r="T161" s="33" t="str">
        <f t="shared" si="77"/>
        <v/>
      </c>
      <c r="U161" s="15" t="str">
        <f t="shared" si="78"/>
        <v/>
      </c>
      <c r="V161" s="15">
        <f t="shared" si="79"/>
        <v>3.8200000000000003</v>
      </c>
      <c r="W161" s="62">
        <f t="shared" si="80"/>
        <v>3.5511363636363637E-4</v>
      </c>
      <c r="X161" s="15"/>
      <c r="Y161" s="1">
        <f t="shared" si="81"/>
        <v>7.1798262684517541E-4</v>
      </c>
      <c r="AH161" s="35">
        <v>45714</v>
      </c>
      <c r="AI161" s="31" t="s">
        <v>1087</v>
      </c>
      <c r="AJ161" s="32">
        <v>-8.9999999999999998E-4</v>
      </c>
      <c r="AK161" s="28">
        <f t="shared" si="68"/>
        <v>-9.268795056642632E-4</v>
      </c>
      <c r="AL161" s="28" t="s">
        <v>1202</v>
      </c>
      <c r="AM161" s="28" t="s">
        <v>1087</v>
      </c>
      <c r="AN161" s="28" t="s">
        <v>1203</v>
      </c>
      <c r="AO161" s="28" t="s">
        <v>1204</v>
      </c>
      <c r="AP161" s="28" t="s">
        <v>1205</v>
      </c>
      <c r="AQ161" s="28" t="s">
        <v>73</v>
      </c>
      <c r="AR161" s="28" t="s">
        <v>20</v>
      </c>
      <c r="AS161" s="73">
        <v>573.89674600000001</v>
      </c>
      <c r="AT161" s="8">
        <v>8.08</v>
      </c>
      <c r="AU161" s="73" t="s">
        <v>1087</v>
      </c>
      <c r="AV161" s="73" t="b">
        <f t="shared" si="82"/>
        <v>1</v>
      </c>
      <c r="AW161" s="79">
        <v>0</v>
      </c>
      <c r="AX161" s="45" t="str">
        <f t="shared" si="83"/>
        <v/>
      </c>
      <c r="AY161" s="29" t="str">
        <f t="shared" si="84"/>
        <v/>
      </c>
      <c r="AZ161" s="29" t="str">
        <f t="shared" si="85"/>
        <v/>
      </c>
      <c r="BA161" s="29" t="s">
        <v>699</v>
      </c>
      <c r="BB161" s="29">
        <f t="shared" si="86"/>
        <v>0</v>
      </c>
      <c r="BC161">
        <f t="shared" si="87"/>
        <v>0</v>
      </c>
      <c r="BD161" s="78" t="str" cm="1">
        <f t="array" ref="BD161">IF(BC161&lt;&gt;1, "", IF(AK161&gt;0, INT(AK161/SUMPRODUCT(($AK$3:$AK$1000&gt;0)*($AK$3:$AK$1000), ($BC$3:$BC$1000))*$AB$12/AT161), INT(AK161/SUMPRODUCT(($AK$3:$AK$1000&lt;0)*($AK$3:$AK$1000), ($BC$3:$BC$1000))*$AB$13/AT161)))</f>
        <v/>
      </c>
      <c r="BE161" t="str">
        <f t="shared" si="88"/>
        <v/>
      </c>
      <c r="BF161" s="65" t="str">
        <f t="shared" si="89"/>
        <v/>
      </c>
    </row>
    <row r="162" spans="2:58" x14ac:dyDescent="0.3">
      <c r="B162" s="18" t="s">
        <v>1085</v>
      </c>
      <c r="C162" s="18" t="s">
        <v>1194</v>
      </c>
      <c r="D162" s="18" t="s">
        <v>1297</v>
      </c>
      <c r="E162" s="44" t="s">
        <v>1197</v>
      </c>
      <c r="F162" s="18" t="s">
        <v>13</v>
      </c>
      <c r="G162" s="18" t="s">
        <v>10</v>
      </c>
      <c r="H162" s="19">
        <v>1123.722696</v>
      </c>
      <c r="I162" s="18">
        <v>-4708</v>
      </c>
      <c r="J162" s="20">
        <v>6.19</v>
      </c>
      <c r="K162" s="19">
        <v>-29142.52</v>
      </c>
      <c r="L162" s="12">
        <f t="shared" si="69"/>
        <v>-1.9428346666666668E-3</v>
      </c>
      <c r="M162" s="12">
        <f t="shared" si="70"/>
        <v>-2.3686920700308951E-3</v>
      </c>
      <c r="N162" s="15" t="str">
        <f t="shared" si="71"/>
        <v/>
      </c>
      <c r="O162" s="15" t="str">
        <f t="shared" si="72"/>
        <v/>
      </c>
      <c r="P162" s="15">
        <f t="shared" si="73"/>
        <v>1</v>
      </c>
      <c r="Q162" s="15" t="str">
        <f t="shared" si="74"/>
        <v>SellShort</v>
      </c>
      <c r="R162" s="55">
        <f t="shared" si="75"/>
        <v>1031</v>
      </c>
      <c r="S162" s="33">
        <f t="shared" si="76"/>
        <v>6381.89</v>
      </c>
      <c r="T162" s="33" t="str">
        <f t="shared" si="77"/>
        <v/>
      </c>
      <c r="U162" s="15" t="str">
        <f t="shared" si="78"/>
        <v/>
      </c>
      <c r="V162" s="15">
        <f t="shared" si="79"/>
        <v>10.31</v>
      </c>
      <c r="W162" s="62">
        <f t="shared" si="80"/>
        <v>1.6155088852988692E-3</v>
      </c>
      <c r="X162" s="15"/>
      <c r="Y162" s="1">
        <f t="shared" si="81"/>
        <v>4.2585740336422827E-4</v>
      </c>
      <c r="AH162" s="35">
        <v>45714</v>
      </c>
      <c r="AI162" s="31" t="s">
        <v>1086</v>
      </c>
      <c r="AJ162" s="32">
        <v>-1.1000000000000001E-3</v>
      </c>
      <c r="AK162" s="28">
        <f t="shared" si="68"/>
        <v>-1.1328527291452107E-3</v>
      </c>
      <c r="AL162" s="28" t="s">
        <v>1198</v>
      </c>
      <c r="AM162" s="28" t="s">
        <v>1086</v>
      </c>
      <c r="AN162" s="28" t="s">
        <v>1199</v>
      </c>
      <c r="AO162" s="28" t="s">
        <v>1200</v>
      </c>
      <c r="AP162" s="28" t="s">
        <v>1201</v>
      </c>
      <c r="AQ162" s="28" t="s">
        <v>73</v>
      </c>
      <c r="AR162" s="28" t="s">
        <v>23</v>
      </c>
      <c r="AS162" s="73">
        <v>10347.5972777404</v>
      </c>
      <c r="AT162" s="8">
        <v>22</v>
      </c>
      <c r="AU162" s="73" t="s">
        <v>1086</v>
      </c>
      <c r="AV162" s="73" t="b">
        <f t="shared" si="82"/>
        <v>1</v>
      </c>
      <c r="AW162" s="79">
        <v>0</v>
      </c>
      <c r="AX162" s="45" t="str">
        <f t="shared" si="83"/>
        <v/>
      </c>
      <c r="AY162" s="29" t="str">
        <f t="shared" si="84"/>
        <v/>
      </c>
      <c r="AZ162" s="29" t="str">
        <f t="shared" si="85"/>
        <v/>
      </c>
      <c r="BA162" s="29" t="s">
        <v>699</v>
      </c>
      <c r="BB162" s="29">
        <f t="shared" si="86"/>
        <v>0</v>
      </c>
      <c r="BC162">
        <f t="shared" si="87"/>
        <v>0</v>
      </c>
      <c r="BD162" s="78" t="str" cm="1">
        <f t="array" ref="BD162">IF(BC162&lt;&gt;1, "", IF(AK162&gt;0, INT(AK162/SUMPRODUCT(($AK$3:$AK$1000&gt;0)*($AK$3:$AK$1000), ($BC$3:$BC$1000))*$AB$12/AT162), INT(AK162/SUMPRODUCT(($AK$3:$AK$1000&lt;0)*($AK$3:$AK$1000), ($BC$3:$BC$1000))*$AB$13/AT162)))</f>
        <v/>
      </c>
      <c r="BE162" t="str">
        <f t="shared" si="88"/>
        <v/>
      </c>
      <c r="BF162" s="65" t="str">
        <f t="shared" si="89"/>
        <v/>
      </c>
    </row>
    <row r="163" spans="2:58" x14ac:dyDescent="0.3">
      <c r="B163" s="18" t="s">
        <v>1331</v>
      </c>
      <c r="C163" s="18" t="s">
        <v>1378</v>
      </c>
      <c r="D163" s="18" t="s">
        <v>1398</v>
      </c>
      <c r="E163" s="44" t="s">
        <v>1381</v>
      </c>
      <c r="F163" s="18" t="s">
        <v>14</v>
      </c>
      <c r="G163" s="18" t="s">
        <v>10</v>
      </c>
      <c r="H163" s="19">
        <v>362.78482351999997</v>
      </c>
      <c r="I163" s="18">
        <v>-663</v>
      </c>
      <c r="J163" s="20">
        <v>43.96</v>
      </c>
      <c r="K163" s="19">
        <v>-29145.48</v>
      </c>
      <c r="L163" s="12">
        <f t="shared" si="69"/>
        <v>-1.9430319999999999E-3</v>
      </c>
      <c r="M163" s="12">
        <f t="shared" si="70"/>
        <v>-1.9567456230690002E-3</v>
      </c>
      <c r="N163" s="15" t="str">
        <f t="shared" si="71"/>
        <v/>
      </c>
      <c r="O163" s="15" t="str">
        <f t="shared" si="72"/>
        <v/>
      </c>
      <c r="P163" s="15" t="str">
        <f t="shared" si="73"/>
        <v/>
      </c>
      <c r="Q163" s="15" t="str">
        <f t="shared" si="74"/>
        <v/>
      </c>
      <c r="R163" s="55" t="str">
        <f t="shared" si="75"/>
        <v/>
      </c>
      <c r="S163" s="33" t="str">
        <f t="shared" si="76"/>
        <v/>
      </c>
      <c r="T163" s="33" t="str">
        <f t="shared" si="77"/>
        <v/>
      </c>
      <c r="U163" s="15" t="str">
        <f t="shared" si="78"/>
        <v/>
      </c>
      <c r="V163" s="15" t="str">
        <f t="shared" si="79"/>
        <v/>
      </c>
      <c r="W163" s="62" t="str">
        <f t="shared" si="80"/>
        <v/>
      </c>
      <c r="X163" s="15"/>
      <c r="Y163" s="1">
        <f t="shared" si="81"/>
        <v>1.3713623069000307E-5</v>
      </c>
      <c r="AH163" s="35">
        <v>45714</v>
      </c>
      <c r="AI163" s="31" t="s">
        <v>501</v>
      </c>
      <c r="AJ163" s="32">
        <v>-1.2999999999999999E-3</v>
      </c>
      <c r="AK163" s="28">
        <f t="shared" si="68"/>
        <v>0</v>
      </c>
      <c r="AL163" s="28" t="s">
        <v>646</v>
      </c>
      <c r="AM163" s="28" t="s">
        <v>501</v>
      </c>
      <c r="AN163" s="28" t="s">
        <v>515</v>
      </c>
      <c r="AO163" s="28" t="s">
        <v>516</v>
      </c>
      <c r="AP163" s="28" t="s">
        <v>517</v>
      </c>
      <c r="AQ163" s="28" t="s">
        <v>73</v>
      </c>
      <c r="AR163" s="28" t="s">
        <v>26</v>
      </c>
      <c r="AS163" s="73">
        <v>4711.1660563200003</v>
      </c>
      <c r="AT163" s="8">
        <v>52.23</v>
      </c>
      <c r="AU163" s="73" t="s">
        <v>501</v>
      </c>
      <c r="AV163" s="73" t="b">
        <f t="shared" si="82"/>
        <v>1</v>
      </c>
      <c r="AW163" s="79">
        <v>31546.92</v>
      </c>
      <c r="AX163" s="45" t="str">
        <f t="shared" si="83"/>
        <v/>
      </c>
      <c r="AY163" s="29">
        <f t="shared" si="84"/>
        <v>1</v>
      </c>
      <c r="AZ163" s="29" t="str">
        <f t="shared" si="85"/>
        <v/>
      </c>
      <c r="BA163" s="29" t="s">
        <v>699</v>
      </c>
      <c r="BB163" s="29">
        <f t="shared" si="86"/>
        <v>1</v>
      </c>
      <c r="BC163">
        <f t="shared" si="87"/>
        <v>0</v>
      </c>
      <c r="BD163" s="78" t="str" cm="1">
        <f t="array" ref="BD163">IF(BC163&lt;&gt;1, "", IF(AK163&gt;0, INT(AK163/SUMPRODUCT(($AK$3:$AK$1000&gt;0)*($AK$3:$AK$1000), ($BC$3:$BC$1000))*$AB$12/AT163), INT(AK163/SUMPRODUCT(($AK$3:$AK$1000&lt;0)*($AK$3:$AK$1000), ($BC$3:$BC$1000))*$AB$13/AT163)))</f>
        <v/>
      </c>
      <c r="BE163" t="str">
        <f t="shared" si="88"/>
        <v/>
      </c>
      <c r="BF163" s="65" t="str">
        <f t="shared" si="89"/>
        <v/>
      </c>
    </row>
    <row r="164" spans="2:58" x14ac:dyDescent="0.3">
      <c r="B164" s="18" t="s">
        <v>1089</v>
      </c>
      <c r="C164" s="18" t="s">
        <v>1210</v>
      </c>
      <c r="D164" s="18" t="s">
        <v>1302</v>
      </c>
      <c r="E164" s="44" t="s">
        <v>1212</v>
      </c>
      <c r="F164" s="18" t="s">
        <v>11</v>
      </c>
      <c r="G164" s="18" t="s">
        <v>10</v>
      </c>
      <c r="H164" s="19">
        <v>1775.0490497999999</v>
      </c>
      <c r="I164" s="18">
        <v>-441</v>
      </c>
      <c r="J164" s="20">
        <v>66.69</v>
      </c>
      <c r="K164" s="19">
        <v>-29410.289999999997</v>
      </c>
      <c r="L164" s="12">
        <f t="shared" si="69"/>
        <v>-1.9606859999999997E-3</v>
      </c>
      <c r="M164" s="12">
        <f t="shared" si="70"/>
        <v>-1.9567456230690002E-3</v>
      </c>
      <c r="N164" s="15" t="str">
        <f t="shared" si="71"/>
        <v/>
      </c>
      <c r="O164" s="15" t="str">
        <f t="shared" si="72"/>
        <v/>
      </c>
      <c r="P164" s="15" t="str">
        <f t="shared" si="73"/>
        <v/>
      </c>
      <c r="Q164" s="15" t="str">
        <f t="shared" si="74"/>
        <v/>
      </c>
      <c r="R164" s="55" t="str">
        <f t="shared" si="75"/>
        <v/>
      </c>
      <c r="S164" s="33" t="str">
        <f t="shared" si="76"/>
        <v/>
      </c>
      <c r="T164" s="33" t="str">
        <f t="shared" si="77"/>
        <v/>
      </c>
      <c r="U164" s="15" t="str">
        <f t="shared" si="78"/>
        <v/>
      </c>
      <c r="V164" s="15" t="str">
        <f t="shared" si="79"/>
        <v/>
      </c>
      <c r="W164" s="62" t="str">
        <f t="shared" si="80"/>
        <v/>
      </c>
      <c r="X164" s="15"/>
      <c r="Y164" s="1">
        <f t="shared" si="81"/>
        <v>-3.9403769309994535E-6</v>
      </c>
      <c r="AH164" s="35">
        <v>45714</v>
      </c>
      <c r="AI164" s="31" t="s">
        <v>1084</v>
      </c>
      <c r="AJ164" s="32">
        <v>-1.5E-3</v>
      </c>
      <c r="AK164" s="28">
        <f t="shared" si="68"/>
        <v>-1.5447991761071054E-3</v>
      </c>
      <c r="AL164" s="28" t="s">
        <v>1191</v>
      </c>
      <c r="AM164" s="28" t="s">
        <v>1084</v>
      </c>
      <c r="AN164" s="28" t="s">
        <v>1192</v>
      </c>
      <c r="AO164" s="28" t="s">
        <v>1193</v>
      </c>
      <c r="AP164" s="28" t="s">
        <v>1334</v>
      </c>
      <c r="AQ164" s="28" t="s">
        <v>73</v>
      </c>
      <c r="AR164" s="28" t="s">
        <v>19</v>
      </c>
      <c r="AS164" s="73">
        <v>8156.8270140499999</v>
      </c>
      <c r="AT164" s="8">
        <v>27.17</v>
      </c>
      <c r="AU164" s="73" t="s">
        <v>1084</v>
      </c>
      <c r="AV164" s="73" t="b">
        <f t="shared" si="82"/>
        <v>1</v>
      </c>
      <c r="AW164" s="79">
        <v>0</v>
      </c>
      <c r="AX164" s="45" t="str">
        <f t="shared" si="83"/>
        <v/>
      </c>
      <c r="AY164" s="29" t="str">
        <f t="shared" si="84"/>
        <v/>
      </c>
      <c r="AZ164" s="29" t="str">
        <f t="shared" si="85"/>
        <v/>
      </c>
      <c r="BA164" s="29" t="s">
        <v>699</v>
      </c>
      <c r="BB164" s="29">
        <f t="shared" si="86"/>
        <v>0</v>
      </c>
      <c r="BC164">
        <f t="shared" si="87"/>
        <v>0</v>
      </c>
      <c r="BD164" s="78" t="str" cm="1">
        <f t="array" ref="BD164">IF(BC164&lt;&gt;1, "", IF(AK164&gt;0, INT(AK164/SUMPRODUCT(($AK$3:$AK$1000&gt;0)*($AK$3:$AK$1000), ($BC$3:$BC$1000))*$AB$12/AT164), INT(AK164/SUMPRODUCT(($AK$3:$AK$1000&lt;0)*($AK$3:$AK$1000), ($BC$3:$BC$1000))*$AB$13/AT164)))</f>
        <v/>
      </c>
      <c r="BE164" t="str">
        <f t="shared" si="88"/>
        <v/>
      </c>
      <c r="BF164" s="65" t="str">
        <f t="shared" si="89"/>
        <v/>
      </c>
    </row>
    <row r="165" spans="2:58" x14ac:dyDescent="0.3">
      <c r="B165" s="18" t="s">
        <v>1083</v>
      </c>
      <c r="C165" s="18" t="s">
        <v>1188</v>
      </c>
      <c r="D165" s="18" t="s">
        <v>1296</v>
      </c>
      <c r="E165" s="44" t="s">
        <v>1190</v>
      </c>
      <c r="F165" s="18" t="s">
        <v>13</v>
      </c>
      <c r="G165" s="18" t="s">
        <v>10</v>
      </c>
      <c r="H165" s="19">
        <v>772.77910470000006</v>
      </c>
      <c r="I165" s="18">
        <v>-355</v>
      </c>
      <c r="J165" s="20">
        <v>83.01</v>
      </c>
      <c r="K165" s="19">
        <v>-29468.550000000003</v>
      </c>
      <c r="L165" s="12">
        <f t="shared" si="69"/>
        <v>-1.9645700000000001E-3</v>
      </c>
      <c r="M165" s="12">
        <f t="shared" si="70"/>
        <v>-2.9866117404737367E-3</v>
      </c>
      <c r="N165" s="15" t="str">
        <f t="shared" si="71"/>
        <v/>
      </c>
      <c r="O165" s="15" t="str">
        <f t="shared" si="72"/>
        <v/>
      </c>
      <c r="P165" s="15">
        <f t="shared" si="73"/>
        <v>1</v>
      </c>
      <c r="Q165" s="15" t="str">
        <f t="shared" si="74"/>
        <v>SellShort</v>
      </c>
      <c r="R165" s="55">
        <f t="shared" si="75"/>
        <v>184</v>
      </c>
      <c r="S165" s="33">
        <f t="shared" si="76"/>
        <v>15273.84</v>
      </c>
      <c r="T165" s="33" t="str">
        <f t="shared" si="77"/>
        <v/>
      </c>
      <c r="U165" s="15" t="str">
        <f t="shared" si="78"/>
        <v/>
      </c>
      <c r="V165" s="15">
        <f t="shared" si="79"/>
        <v>1.84</v>
      </c>
      <c r="W165" s="62">
        <f t="shared" si="80"/>
        <v>1.2046741356463077E-4</v>
      </c>
      <c r="X165" s="15"/>
      <c r="Y165" s="1">
        <f t="shared" si="81"/>
        <v>1.0220417404737366E-3</v>
      </c>
      <c r="AH165" s="35">
        <v>45714</v>
      </c>
      <c r="AI165" s="31" t="s">
        <v>1846</v>
      </c>
      <c r="AJ165" s="32">
        <v>-1.6000000000000001E-3</v>
      </c>
      <c r="AK165" s="28">
        <f t="shared" si="68"/>
        <v>-1.6477857878475792E-3</v>
      </c>
      <c r="AL165" s="28" t="s">
        <v>1923</v>
      </c>
      <c r="AM165" s="28" t="s">
        <v>1846</v>
      </c>
      <c r="AN165" s="28" t="s">
        <v>1924</v>
      </c>
      <c r="AO165" s="28" t="s">
        <v>1925</v>
      </c>
      <c r="AP165" s="28" t="s">
        <v>1926</v>
      </c>
      <c r="AQ165" s="28" t="s">
        <v>73</v>
      </c>
      <c r="AR165" s="28" t="s">
        <v>24</v>
      </c>
      <c r="AS165" s="73">
        <v>412.10743436000001</v>
      </c>
      <c r="AT165" s="8">
        <v>9.67</v>
      </c>
      <c r="AU165" s="73" t="s">
        <v>1846</v>
      </c>
      <c r="AV165" s="73" t="b">
        <f t="shared" si="82"/>
        <v>1</v>
      </c>
      <c r="AW165" s="79">
        <v>0</v>
      </c>
      <c r="AX165" s="45" t="str">
        <f t="shared" si="83"/>
        <v/>
      </c>
      <c r="AY165" s="29" t="str">
        <f t="shared" si="84"/>
        <v/>
      </c>
      <c r="AZ165" s="29" t="str">
        <f t="shared" si="85"/>
        <v/>
      </c>
      <c r="BA165" s="29" t="s">
        <v>699</v>
      </c>
      <c r="BB165" s="29">
        <f t="shared" si="86"/>
        <v>0</v>
      </c>
      <c r="BC165">
        <f t="shared" si="87"/>
        <v>1</v>
      </c>
      <c r="BD165" s="78" cm="1">
        <f t="array" ref="BD165">IF(BC165&lt;&gt;1, "", IF(AK165&gt;0, INT(AK165/SUMPRODUCT(($AK$3:$AK$1000&gt;0)*($AK$3:$AK$1000), ($BC$3:$BC$1000))*$AB$12/AT165), INT(AK165/SUMPRODUCT(($AK$3:$AK$1000&lt;0)*($AK$3:$AK$1000), ($BC$3:$BC$1000))*$AB$13/AT165)))</f>
        <v>2456</v>
      </c>
      <c r="BE165" t="str">
        <f t="shared" si="88"/>
        <v>SellShort</v>
      </c>
      <c r="BF165" s="65">
        <f t="shared" si="89"/>
        <v>23749.52</v>
      </c>
    </row>
    <row r="166" spans="2:58" x14ac:dyDescent="0.3">
      <c r="B166" s="18" t="s">
        <v>1090</v>
      </c>
      <c r="C166" s="18" t="s">
        <v>1213</v>
      </c>
      <c r="D166" s="18" t="s">
        <v>1303</v>
      </c>
      <c r="E166" s="44" t="s">
        <v>1215</v>
      </c>
      <c r="F166" s="18" t="s">
        <v>20</v>
      </c>
      <c r="G166" s="18" t="s">
        <v>10</v>
      </c>
      <c r="H166" s="19">
        <v>494.98890749999998</v>
      </c>
      <c r="I166" s="18">
        <v>-4537</v>
      </c>
      <c r="J166" s="20">
        <v>6.75</v>
      </c>
      <c r="K166" s="19">
        <v>-30624.75</v>
      </c>
      <c r="L166" s="12">
        <f t="shared" si="69"/>
        <v>-2.0416499999999999E-3</v>
      </c>
      <c r="M166" s="12">
        <f t="shared" si="70"/>
        <v>-2.1627188465499474E-3</v>
      </c>
      <c r="N166" s="15" t="str">
        <f t="shared" si="71"/>
        <v/>
      </c>
      <c r="O166" s="15" t="str">
        <f t="shared" si="72"/>
        <v/>
      </c>
      <c r="P166" s="15">
        <f t="shared" si="73"/>
        <v>1</v>
      </c>
      <c r="Q166" s="15" t="str">
        <f t="shared" si="74"/>
        <v>SellShort</v>
      </c>
      <c r="R166" s="55">
        <f t="shared" si="75"/>
        <v>269</v>
      </c>
      <c r="S166" s="33">
        <f t="shared" si="76"/>
        <v>1815.75</v>
      </c>
      <c r="T166" s="33" t="str">
        <f t="shared" si="77"/>
        <v/>
      </c>
      <c r="U166" s="15" t="str">
        <f t="shared" si="78"/>
        <v/>
      </c>
      <c r="V166" s="15">
        <f t="shared" si="79"/>
        <v>2.69</v>
      </c>
      <c r="W166" s="62">
        <f t="shared" si="80"/>
        <v>1.4814814814814814E-3</v>
      </c>
      <c r="X166" s="15"/>
      <c r="Y166" s="1">
        <f t="shared" si="81"/>
        <v>1.2106884654994755E-4</v>
      </c>
      <c r="AH166" s="35">
        <v>45714</v>
      </c>
      <c r="AI166" s="31" t="s">
        <v>1082</v>
      </c>
      <c r="AJ166" s="32">
        <v>-1.6000000000000001E-3</v>
      </c>
      <c r="AK166" s="28">
        <f t="shared" si="68"/>
        <v>-1.6477857878475792E-3</v>
      </c>
      <c r="AL166" s="28" t="s">
        <v>1184</v>
      </c>
      <c r="AM166" s="28" t="s">
        <v>1082</v>
      </c>
      <c r="AN166" s="28" t="s">
        <v>1185</v>
      </c>
      <c r="AO166" s="28" t="s">
        <v>1186</v>
      </c>
      <c r="AP166" s="28" t="s">
        <v>1187</v>
      </c>
      <c r="AQ166" s="28" t="s">
        <v>73</v>
      </c>
      <c r="AR166" s="28" t="s">
        <v>23</v>
      </c>
      <c r="AS166" s="73">
        <v>183.29553179999999</v>
      </c>
      <c r="AT166" s="8">
        <v>9.7200000000000006</v>
      </c>
      <c r="AU166" s="73" t="s">
        <v>1082</v>
      </c>
      <c r="AV166" s="73" t="b">
        <f t="shared" si="82"/>
        <v>1</v>
      </c>
      <c r="AW166" s="79">
        <v>0</v>
      </c>
      <c r="AX166" s="45" t="str">
        <f t="shared" si="83"/>
        <v/>
      </c>
      <c r="AY166" s="29" t="str">
        <f t="shared" si="84"/>
        <v/>
      </c>
      <c r="AZ166" s="29" t="str">
        <f t="shared" si="85"/>
        <v/>
      </c>
      <c r="BA166" s="29" t="s">
        <v>699</v>
      </c>
      <c r="BB166" s="29">
        <f t="shared" si="86"/>
        <v>0</v>
      </c>
      <c r="BC166">
        <f t="shared" si="87"/>
        <v>0</v>
      </c>
      <c r="BD166" s="78" t="str" cm="1">
        <f t="array" ref="BD166">IF(BC166&lt;&gt;1, "", IF(AK166&gt;0, INT(AK166/SUMPRODUCT(($AK$3:$AK$1000&gt;0)*($AK$3:$AK$1000), ($BC$3:$BC$1000))*$AB$12/AT166), INT(AK166/SUMPRODUCT(($AK$3:$AK$1000&lt;0)*($AK$3:$AK$1000), ($BC$3:$BC$1000))*$AB$13/AT166)))</f>
        <v/>
      </c>
      <c r="BE166" t="str">
        <f t="shared" si="88"/>
        <v/>
      </c>
      <c r="BF166" s="65" t="str">
        <f t="shared" si="89"/>
        <v/>
      </c>
    </row>
    <row r="167" spans="2:58" x14ac:dyDescent="0.3">
      <c r="B167" s="18" t="s">
        <v>533</v>
      </c>
      <c r="C167" s="18" t="s">
        <v>540</v>
      </c>
      <c r="D167" s="18" t="s">
        <v>551</v>
      </c>
      <c r="E167" s="44" t="s">
        <v>542</v>
      </c>
      <c r="F167" s="18" t="s">
        <v>23</v>
      </c>
      <c r="G167" s="18" t="s">
        <v>10</v>
      </c>
      <c r="H167" s="19">
        <v>660.89157299999999</v>
      </c>
      <c r="I167" s="18">
        <v>-999</v>
      </c>
      <c r="J167" s="20">
        <v>31</v>
      </c>
      <c r="K167" s="19">
        <v>-30969</v>
      </c>
      <c r="L167" s="12">
        <f t="shared" si="69"/>
        <v>-2.0646000000000002E-3</v>
      </c>
      <c r="M167" s="12">
        <f t="shared" si="70"/>
        <v>-2.0597322348094738E-3</v>
      </c>
      <c r="N167" s="15" t="str">
        <f t="shared" si="71"/>
        <v/>
      </c>
      <c r="O167" s="15" t="str">
        <f t="shared" si="72"/>
        <v/>
      </c>
      <c r="P167" s="15" t="str">
        <f t="shared" si="73"/>
        <v/>
      </c>
      <c r="Q167" s="15" t="str">
        <f t="shared" si="74"/>
        <v/>
      </c>
      <c r="R167" s="55" t="str">
        <f t="shared" si="75"/>
        <v/>
      </c>
      <c r="S167" s="33" t="str">
        <f t="shared" si="76"/>
        <v/>
      </c>
      <c r="T167" s="33" t="str">
        <f t="shared" si="77"/>
        <v/>
      </c>
      <c r="U167" s="15" t="str">
        <f t="shared" si="78"/>
        <v/>
      </c>
      <c r="V167" s="15" t="str">
        <f t="shared" si="79"/>
        <v/>
      </c>
      <c r="W167" s="62" t="str">
        <f t="shared" si="80"/>
        <v/>
      </c>
      <c r="X167" s="15"/>
      <c r="Y167" s="1">
        <f t="shared" si="81"/>
        <v>-4.867765190526372E-6</v>
      </c>
      <c r="AH167" s="35">
        <v>45714</v>
      </c>
      <c r="AI167" s="31" t="s">
        <v>1081</v>
      </c>
      <c r="AJ167" s="32">
        <v>-1.6999999999999999E-3</v>
      </c>
      <c r="AK167" s="28">
        <f t="shared" si="68"/>
        <v>-1.7507723995880528E-3</v>
      </c>
      <c r="AL167" s="28" t="s">
        <v>1181</v>
      </c>
      <c r="AM167" s="28" t="s">
        <v>1081</v>
      </c>
      <c r="AN167" s="28" t="s">
        <v>1748</v>
      </c>
      <c r="AO167" s="28" t="s">
        <v>1182</v>
      </c>
      <c r="AP167" s="28" t="s">
        <v>1183</v>
      </c>
      <c r="AQ167" s="28" t="s">
        <v>73</v>
      </c>
      <c r="AR167" s="28" t="s">
        <v>20</v>
      </c>
      <c r="AS167" s="73">
        <v>405.85319704</v>
      </c>
      <c r="AT167" s="8">
        <v>5.96</v>
      </c>
      <c r="AU167" s="73" t="s">
        <v>1081</v>
      </c>
      <c r="AV167" s="73" t="b">
        <f t="shared" si="82"/>
        <v>1</v>
      </c>
      <c r="AW167" s="79">
        <v>0</v>
      </c>
      <c r="AX167" s="45" t="str">
        <f t="shared" si="83"/>
        <v/>
      </c>
      <c r="AY167" s="29" t="str">
        <f t="shared" si="84"/>
        <v/>
      </c>
      <c r="AZ167" s="29" t="str">
        <f t="shared" si="85"/>
        <v/>
      </c>
      <c r="BA167" s="29" t="s">
        <v>699</v>
      </c>
      <c r="BB167" s="29">
        <f t="shared" si="86"/>
        <v>0</v>
      </c>
      <c r="BC167">
        <f t="shared" si="87"/>
        <v>0</v>
      </c>
      <c r="BD167" s="78" t="str" cm="1">
        <f t="array" ref="BD167">IF(BC167&lt;&gt;1, "", IF(AK167&gt;0, INT(AK167/SUMPRODUCT(($AK$3:$AK$1000&gt;0)*($AK$3:$AK$1000), ($BC$3:$BC$1000))*$AB$12/AT167), INT(AK167/SUMPRODUCT(($AK$3:$AK$1000&lt;0)*($AK$3:$AK$1000), ($BC$3:$BC$1000))*$AB$13/AT167)))</f>
        <v/>
      </c>
      <c r="BE167" t="str">
        <f t="shared" si="88"/>
        <v/>
      </c>
      <c r="BF167" s="65" t="str">
        <f t="shared" si="89"/>
        <v/>
      </c>
    </row>
    <row r="168" spans="2:58" x14ac:dyDescent="0.3">
      <c r="B168" s="18" t="s">
        <v>1010</v>
      </c>
      <c r="C168" s="18" t="s">
        <v>1041</v>
      </c>
      <c r="D168" s="18" t="s">
        <v>1057</v>
      </c>
      <c r="E168" s="44" t="s">
        <v>1043</v>
      </c>
      <c r="F168" s="18" t="s">
        <v>11</v>
      </c>
      <c r="G168" s="18" t="s">
        <v>10</v>
      </c>
      <c r="H168" s="19">
        <v>5573.2940763400002</v>
      </c>
      <c r="I168" s="18">
        <v>-992</v>
      </c>
      <c r="J168" s="20">
        <v>32.81</v>
      </c>
      <c r="K168" s="19">
        <v>-32547.520000000004</v>
      </c>
      <c r="L168" s="12">
        <f t="shared" si="69"/>
        <v>-2.169834666666667E-3</v>
      </c>
      <c r="M168" s="12">
        <f t="shared" si="70"/>
        <v>-2.1627188465499474E-3</v>
      </c>
      <c r="N168" s="15" t="str">
        <f t="shared" si="71"/>
        <v/>
      </c>
      <c r="O168" s="15" t="str">
        <f t="shared" si="72"/>
        <v/>
      </c>
      <c r="P168" s="15" t="str">
        <f t="shared" si="73"/>
        <v/>
      </c>
      <c r="Q168" s="15" t="str">
        <f t="shared" si="74"/>
        <v/>
      </c>
      <c r="R168" s="55" t="str">
        <f t="shared" si="75"/>
        <v/>
      </c>
      <c r="S168" s="33" t="str">
        <f t="shared" si="76"/>
        <v/>
      </c>
      <c r="T168" s="33" t="str">
        <f t="shared" si="77"/>
        <v/>
      </c>
      <c r="U168" s="15" t="str">
        <f t="shared" si="78"/>
        <v/>
      </c>
      <c r="V168" s="15" t="str">
        <f t="shared" si="79"/>
        <v/>
      </c>
      <c r="W168" s="62" t="str">
        <f t="shared" si="80"/>
        <v/>
      </c>
      <c r="X168" s="15"/>
      <c r="Y168" s="1">
        <f t="shared" si="81"/>
        <v>-7.1158201167195734E-6</v>
      </c>
      <c r="AH168" s="35">
        <v>45714</v>
      </c>
      <c r="AI168" s="31" t="s">
        <v>774</v>
      </c>
      <c r="AJ168" s="32">
        <v>-1.8E-3</v>
      </c>
      <c r="AK168" s="28">
        <f t="shared" si="68"/>
        <v>-1.8537590113285264E-3</v>
      </c>
      <c r="AL168" s="28" t="s">
        <v>813</v>
      </c>
      <c r="AM168" s="28" t="s">
        <v>774</v>
      </c>
      <c r="AN168" s="28" t="s">
        <v>1750</v>
      </c>
      <c r="AO168" s="28" t="s">
        <v>814</v>
      </c>
      <c r="AP168" s="28" t="s">
        <v>815</v>
      </c>
      <c r="AQ168" s="28" t="s">
        <v>73</v>
      </c>
      <c r="AR168" s="28" t="s">
        <v>21</v>
      </c>
      <c r="AS168" s="73">
        <v>39637.619108999999</v>
      </c>
      <c r="AT168" s="8">
        <v>59.4</v>
      </c>
      <c r="AU168" s="73" t="s">
        <v>774</v>
      </c>
      <c r="AV168" s="73" t="b">
        <f t="shared" si="82"/>
        <v>1</v>
      </c>
      <c r="AW168" s="79">
        <v>0</v>
      </c>
      <c r="AX168" s="45" t="str">
        <f t="shared" si="83"/>
        <v/>
      </c>
      <c r="AY168" s="29" t="str">
        <f t="shared" si="84"/>
        <v/>
      </c>
      <c r="AZ168" s="29" t="str">
        <f t="shared" si="85"/>
        <v/>
      </c>
      <c r="BA168" s="29" t="s">
        <v>699</v>
      </c>
      <c r="BB168" s="29">
        <f t="shared" si="86"/>
        <v>0</v>
      </c>
      <c r="BC168">
        <f t="shared" si="87"/>
        <v>0</v>
      </c>
      <c r="BD168" s="78" t="str" cm="1">
        <f t="array" ref="BD168">IF(BC168&lt;&gt;1, "", IF(AK168&gt;0, INT(AK168/SUMPRODUCT(($AK$3:$AK$1000&gt;0)*($AK$3:$AK$1000), ($BC$3:$BC$1000))*$AB$12/AT168), INT(AK168/SUMPRODUCT(($AK$3:$AK$1000&lt;0)*($AK$3:$AK$1000), ($BC$3:$BC$1000))*$AB$13/AT168)))</f>
        <v/>
      </c>
      <c r="BE168" t="str">
        <f t="shared" si="88"/>
        <v/>
      </c>
      <c r="BF168" s="65" t="str">
        <f t="shared" si="89"/>
        <v/>
      </c>
    </row>
    <row r="169" spans="2:58" x14ac:dyDescent="0.3">
      <c r="B169" s="18" t="s">
        <v>1091</v>
      </c>
      <c r="C169" s="18" t="s">
        <v>1216</v>
      </c>
      <c r="D169" s="18" t="s">
        <v>1304</v>
      </c>
      <c r="E169" s="44" t="s">
        <v>1218</v>
      </c>
      <c r="F169" s="18" t="s">
        <v>11</v>
      </c>
      <c r="G169" s="18" t="s">
        <v>10</v>
      </c>
      <c r="H169" s="19">
        <v>16979.102715950001</v>
      </c>
      <c r="I169" s="18">
        <v>-1192</v>
      </c>
      <c r="J169" s="20">
        <v>27.55</v>
      </c>
      <c r="K169" s="19">
        <v>-32839.599999999999</v>
      </c>
      <c r="L169" s="12">
        <f t="shared" si="69"/>
        <v>-2.1893066666666666E-3</v>
      </c>
      <c r="M169" s="12">
        <f t="shared" si="70"/>
        <v>-2.1627188465499474E-3</v>
      </c>
      <c r="N169" s="15" t="str">
        <f t="shared" si="71"/>
        <v/>
      </c>
      <c r="O169" s="15" t="str">
        <f t="shared" si="72"/>
        <v/>
      </c>
      <c r="P169" s="15" t="str">
        <f t="shared" si="73"/>
        <v/>
      </c>
      <c r="Q169" s="15" t="str">
        <f t="shared" si="74"/>
        <v/>
      </c>
      <c r="R169" s="55" t="str">
        <f t="shared" si="75"/>
        <v/>
      </c>
      <c r="S169" s="33" t="str">
        <f t="shared" si="76"/>
        <v/>
      </c>
      <c r="T169" s="33" t="str">
        <f t="shared" si="77"/>
        <v/>
      </c>
      <c r="U169" s="15" t="str">
        <f t="shared" si="78"/>
        <v/>
      </c>
      <c r="V169" s="15" t="str">
        <f t="shared" si="79"/>
        <v/>
      </c>
      <c r="W169" s="62" t="str">
        <f t="shared" si="80"/>
        <v/>
      </c>
      <c r="X169" s="15"/>
      <c r="Y169" s="1">
        <f t="shared" si="81"/>
        <v>-2.6587820116719119E-5</v>
      </c>
      <c r="AH169" s="35">
        <v>45714</v>
      </c>
      <c r="AI169" s="31" t="s">
        <v>903</v>
      </c>
      <c r="AJ169" s="32">
        <v>-1.8E-3</v>
      </c>
      <c r="AK169" s="28">
        <f t="shared" si="68"/>
        <v>-1.8537590113285264E-3</v>
      </c>
      <c r="AL169" s="28" t="s">
        <v>922</v>
      </c>
      <c r="AM169" s="28" t="s">
        <v>903</v>
      </c>
      <c r="AN169" s="28" t="s">
        <v>1751</v>
      </c>
      <c r="AO169" s="28" t="s">
        <v>923</v>
      </c>
      <c r="AP169" s="28" t="s">
        <v>924</v>
      </c>
      <c r="AQ169" s="28" t="s">
        <v>73</v>
      </c>
      <c r="AR169" s="28" t="s">
        <v>24</v>
      </c>
      <c r="AS169" s="73">
        <v>3669.9094268099998</v>
      </c>
      <c r="AT169" s="8">
        <v>42.03</v>
      </c>
      <c r="AU169" s="73" t="s">
        <v>903</v>
      </c>
      <c r="AV169" s="73" t="b">
        <f t="shared" si="82"/>
        <v>1</v>
      </c>
      <c r="AW169" s="79">
        <v>0</v>
      </c>
      <c r="AX169" s="45" t="str">
        <f t="shared" si="83"/>
        <v/>
      </c>
      <c r="AY169" s="29" t="str">
        <f t="shared" si="84"/>
        <v/>
      </c>
      <c r="AZ169" s="29" t="str">
        <f t="shared" si="85"/>
        <v/>
      </c>
      <c r="BA169" s="29" t="s">
        <v>699</v>
      </c>
      <c r="BB169" s="29">
        <f t="shared" si="86"/>
        <v>0</v>
      </c>
      <c r="BC169">
        <f t="shared" si="87"/>
        <v>0</v>
      </c>
      <c r="BD169" s="78" t="str" cm="1">
        <f t="array" ref="BD169">IF(BC169&lt;&gt;1, "", IF(AK169&gt;0, INT(AK169/SUMPRODUCT(($AK$3:$AK$1000&gt;0)*($AK$3:$AK$1000), ($BC$3:$BC$1000))*$AB$12/AT169), INT(AK169/SUMPRODUCT(($AK$3:$AK$1000&lt;0)*($AK$3:$AK$1000), ($BC$3:$BC$1000))*$AB$13/AT169)))</f>
        <v/>
      </c>
      <c r="BE169" t="str">
        <f t="shared" si="88"/>
        <v/>
      </c>
      <c r="BF169" s="65" t="str">
        <f t="shared" si="89"/>
        <v/>
      </c>
    </row>
    <row r="170" spans="2:58" x14ac:dyDescent="0.3">
      <c r="B170" s="18" t="s">
        <v>1416</v>
      </c>
      <c r="C170" s="18" t="s">
        <v>1464</v>
      </c>
      <c r="D170" s="18" t="s">
        <v>1496</v>
      </c>
      <c r="E170" s="44" t="s">
        <v>1466</v>
      </c>
      <c r="F170" s="18" t="s">
        <v>25</v>
      </c>
      <c r="G170" s="18" t="s">
        <v>10</v>
      </c>
      <c r="H170" s="19">
        <v>714.59662197</v>
      </c>
      <c r="I170" s="18">
        <v>-2071</v>
      </c>
      <c r="J170" s="20">
        <v>16.170000000000002</v>
      </c>
      <c r="K170" s="19">
        <v>-33488.070000000007</v>
      </c>
      <c r="L170" s="12">
        <f t="shared" si="69"/>
        <v>-2.2325380000000005E-3</v>
      </c>
      <c r="M170" s="12">
        <f t="shared" si="70"/>
        <v>-2.1627188465499474E-3</v>
      </c>
      <c r="N170" s="15" t="str">
        <f t="shared" si="71"/>
        <v/>
      </c>
      <c r="O170" s="15" t="str">
        <f t="shared" si="72"/>
        <v/>
      </c>
      <c r="P170" s="15">
        <f t="shared" si="73"/>
        <v>1</v>
      </c>
      <c r="Q170" s="15" t="str">
        <f t="shared" si="74"/>
        <v>BuyToCover</v>
      </c>
      <c r="R170" s="55">
        <f t="shared" si="75"/>
        <v>64</v>
      </c>
      <c r="S170" s="33">
        <f t="shared" si="76"/>
        <v>1034.8800000000001</v>
      </c>
      <c r="T170" s="33" t="str">
        <f t="shared" si="77"/>
        <v/>
      </c>
      <c r="U170" s="15" t="str">
        <f t="shared" si="78"/>
        <v/>
      </c>
      <c r="V170" s="15">
        <f t="shared" si="79"/>
        <v>0.64</v>
      </c>
      <c r="W170" s="62">
        <f t="shared" si="80"/>
        <v>6.1842918985776122E-4</v>
      </c>
      <c r="X170" s="15"/>
      <c r="Y170" s="1">
        <f t="shared" si="81"/>
        <v>-6.9819153450053056E-5</v>
      </c>
      <c r="AH170" s="35">
        <v>45714</v>
      </c>
      <c r="AI170" s="31" t="s">
        <v>1089</v>
      </c>
      <c r="AJ170" s="32">
        <v>-1.9E-3</v>
      </c>
      <c r="AK170" s="28">
        <f t="shared" si="68"/>
        <v>-1.9567456230690002E-3</v>
      </c>
      <c r="AL170" s="28" t="s">
        <v>1210</v>
      </c>
      <c r="AM170" s="28" t="s">
        <v>1089</v>
      </c>
      <c r="AN170" s="28" t="s">
        <v>1752</v>
      </c>
      <c r="AO170" s="28" t="s">
        <v>1211</v>
      </c>
      <c r="AP170" s="28" t="s">
        <v>1212</v>
      </c>
      <c r="AQ170" s="28" t="s">
        <v>73</v>
      </c>
      <c r="AR170" s="28" t="s">
        <v>11</v>
      </c>
      <c r="AS170" s="73">
        <v>1775.0490497999999</v>
      </c>
      <c r="AT170" s="8">
        <v>66.69</v>
      </c>
      <c r="AU170" s="73" t="s">
        <v>1089</v>
      </c>
      <c r="AV170" s="73" t="b">
        <f t="shared" si="82"/>
        <v>1</v>
      </c>
      <c r="AW170" s="79">
        <v>0</v>
      </c>
      <c r="AX170" s="45" t="str">
        <f t="shared" si="83"/>
        <v/>
      </c>
      <c r="AY170" s="29" t="str">
        <f t="shared" si="84"/>
        <v/>
      </c>
      <c r="AZ170" s="29" t="str">
        <f t="shared" si="85"/>
        <v/>
      </c>
      <c r="BA170" s="29" t="s">
        <v>699</v>
      </c>
      <c r="BB170" s="29">
        <f t="shared" si="86"/>
        <v>0</v>
      </c>
      <c r="BC170">
        <f t="shared" si="87"/>
        <v>0</v>
      </c>
      <c r="BD170" s="78" t="str" cm="1">
        <f t="array" ref="BD170">IF(BC170&lt;&gt;1, "", IF(AK170&gt;0, INT(AK170/SUMPRODUCT(($AK$3:$AK$1000&gt;0)*($AK$3:$AK$1000), ($BC$3:$BC$1000))*$AB$12/AT170), INT(AK170/SUMPRODUCT(($AK$3:$AK$1000&lt;0)*($AK$3:$AK$1000), ($BC$3:$BC$1000))*$AB$13/AT170)))</f>
        <v/>
      </c>
      <c r="BE170" t="str">
        <f t="shared" si="88"/>
        <v/>
      </c>
      <c r="BF170" s="65" t="str">
        <f t="shared" si="89"/>
        <v/>
      </c>
    </row>
    <row r="171" spans="2:58" x14ac:dyDescent="0.3">
      <c r="B171" s="18" t="s">
        <v>1092</v>
      </c>
      <c r="C171" s="18" t="s">
        <v>1219</v>
      </c>
      <c r="D171" s="18" t="s">
        <v>1305</v>
      </c>
      <c r="E171" s="44" t="s">
        <v>1400</v>
      </c>
      <c r="F171" s="18" t="s">
        <v>13</v>
      </c>
      <c r="G171" s="18" t="s">
        <v>10</v>
      </c>
      <c r="H171" s="19">
        <v>7910.7886080299995</v>
      </c>
      <c r="I171" s="18">
        <v>-540</v>
      </c>
      <c r="J171" s="20">
        <v>66.989999999999995</v>
      </c>
      <c r="K171" s="19">
        <v>-36174.6</v>
      </c>
      <c r="L171" s="12">
        <f t="shared" si="69"/>
        <v>-2.4116400000000001E-3</v>
      </c>
      <c r="M171" s="12">
        <f t="shared" si="70"/>
        <v>-2.3686920700308951E-3</v>
      </c>
      <c r="N171" s="15" t="str">
        <f t="shared" si="71"/>
        <v/>
      </c>
      <c r="O171" s="15" t="str">
        <f t="shared" si="72"/>
        <v/>
      </c>
      <c r="P171" s="15" t="str">
        <f t="shared" si="73"/>
        <v/>
      </c>
      <c r="Q171" s="15" t="str">
        <f t="shared" si="74"/>
        <v/>
      </c>
      <c r="R171" s="55" t="str">
        <f t="shared" si="75"/>
        <v/>
      </c>
      <c r="S171" s="33" t="str">
        <f t="shared" si="76"/>
        <v/>
      </c>
      <c r="T171" s="33" t="str">
        <f t="shared" si="77"/>
        <v/>
      </c>
      <c r="U171" s="15" t="str">
        <f t="shared" si="78"/>
        <v/>
      </c>
      <c r="V171" s="15" t="str">
        <f t="shared" si="79"/>
        <v/>
      </c>
      <c r="W171" s="62" t="str">
        <f t="shared" si="80"/>
        <v/>
      </c>
      <c r="X171" s="15"/>
      <c r="Y171" s="1">
        <f t="shared" si="81"/>
        <v>-4.2947929969104973E-5</v>
      </c>
      <c r="AH171" s="35">
        <v>45714</v>
      </c>
      <c r="AI171" s="31" t="s">
        <v>1331</v>
      </c>
      <c r="AJ171" s="32">
        <v>-1.9E-3</v>
      </c>
      <c r="AK171" s="28">
        <f t="shared" si="68"/>
        <v>-1.9567456230690002E-3</v>
      </c>
      <c r="AL171" s="28" t="s">
        <v>1378</v>
      </c>
      <c r="AM171" s="28" t="s">
        <v>1331</v>
      </c>
      <c r="AN171" s="28" t="s">
        <v>1379</v>
      </c>
      <c r="AO171" s="28" t="s">
        <v>1380</v>
      </c>
      <c r="AP171" s="28" t="s">
        <v>1381</v>
      </c>
      <c r="AQ171" s="28" t="s">
        <v>73</v>
      </c>
      <c r="AR171" s="28" t="s">
        <v>14</v>
      </c>
      <c r="AS171" s="73">
        <v>362.78482351999997</v>
      </c>
      <c r="AT171" s="8">
        <v>43.96</v>
      </c>
      <c r="AU171" s="73" t="s">
        <v>1331</v>
      </c>
      <c r="AV171" s="73" t="b">
        <f t="shared" si="82"/>
        <v>1</v>
      </c>
      <c r="AW171" s="79">
        <v>0</v>
      </c>
      <c r="AX171" s="45" t="str">
        <f t="shared" si="83"/>
        <v/>
      </c>
      <c r="AY171" s="29" t="str">
        <f t="shared" si="84"/>
        <v/>
      </c>
      <c r="AZ171" s="29" t="str">
        <f t="shared" si="85"/>
        <v/>
      </c>
      <c r="BA171" s="29" t="s">
        <v>699</v>
      </c>
      <c r="BB171" s="29">
        <f t="shared" si="86"/>
        <v>0</v>
      </c>
      <c r="BC171">
        <f t="shared" si="87"/>
        <v>0</v>
      </c>
      <c r="BD171" s="78" t="str" cm="1">
        <f t="array" ref="BD171">IF(BC171&lt;&gt;1, "", IF(AK171&gt;0, INT(AK171/SUMPRODUCT(($AK$3:$AK$1000&gt;0)*($AK$3:$AK$1000), ($BC$3:$BC$1000))*$AB$12/AT171), INT(AK171/SUMPRODUCT(($AK$3:$AK$1000&lt;0)*($AK$3:$AK$1000), ($BC$3:$BC$1000))*$AB$13/AT171)))</f>
        <v/>
      </c>
      <c r="BE171" t="str">
        <f t="shared" si="88"/>
        <v/>
      </c>
      <c r="BF171" s="65" t="str">
        <f t="shared" si="89"/>
        <v/>
      </c>
    </row>
    <row r="172" spans="2:58" x14ac:dyDescent="0.3">
      <c r="B172" s="18" t="s">
        <v>902</v>
      </c>
      <c r="C172" s="18" t="s">
        <v>918</v>
      </c>
      <c r="D172" s="18" t="s">
        <v>940</v>
      </c>
      <c r="E172" s="44" t="s">
        <v>921</v>
      </c>
      <c r="F172" s="18" t="s">
        <v>19</v>
      </c>
      <c r="G172" s="18" t="s">
        <v>10</v>
      </c>
      <c r="H172" s="19">
        <v>96.366767120000006</v>
      </c>
      <c r="I172" s="18">
        <v>-5083</v>
      </c>
      <c r="J172" s="20">
        <v>7.82</v>
      </c>
      <c r="K172" s="19">
        <v>-39749.060000000005</v>
      </c>
      <c r="L172" s="12">
        <f t="shared" si="69"/>
        <v>-2.6499373333333338E-3</v>
      </c>
      <c r="M172" s="12">
        <f t="shared" si="70"/>
        <v>-3.0895983522142107E-3</v>
      </c>
      <c r="N172" s="15" t="str">
        <f t="shared" si="71"/>
        <v/>
      </c>
      <c r="O172" s="15" t="str">
        <f t="shared" si="72"/>
        <v/>
      </c>
      <c r="P172" s="15">
        <f t="shared" si="73"/>
        <v>1</v>
      </c>
      <c r="Q172" s="15" t="str">
        <f t="shared" si="74"/>
        <v>SellShort</v>
      </c>
      <c r="R172" s="55">
        <f t="shared" si="75"/>
        <v>843</v>
      </c>
      <c r="S172" s="33">
        <f t="shared" si="76"/>
        <v>6592.26</v>
      </c>
      <c r="T172" s="33" t="str">
        <f t="shared" si="77"/>
        <v/>
      </c>
      <c r="U172" s="15" t="str">
        <f t="shared" si="78"/>
        <v/>
      </c>
      <c r="V172" s="15">
        <f t="shared" si="79"/>
        <v>8.43</v>
      </c>
      <c r="W172" s="62">
        <f t="shared" si="80"/>
        <v>1.2787723785166239E-3</v>
      </c>
      <c r="X172" s="15"/>
      <c r="Y172" s="1">
        <f t="shared" si="81"/>
        <v>4.3966101888087694E-4</v>
      </c>
      <c r="AH172" s="35">
        <v>45714</v>
      </c>
      <c r="AI172" s="31" t="s">
        <v>904</v>
      </c>
      <c r="AJ172" s="32">
        <v>-2E-3</v>
      </c>
      <c r="AK172" s="28">
        <f t="shared" si="68"/>
        <v>-2.0597322348094738E-3</v>
      </c>
      <c r="AL172" s="28" t="s">
        <v>925</v>
      </c>
      <c r="AM172" s="28" t="s">
        <v>904</v>
      </c>
      <c r="AN172" s="28" t="s">
        <v>1749</v>
      </c>
      <c r="AO172" s="28" t="s">
        <v>926</v>
      </c>
      <c r="AP172" s="28" t="s">
        <v>927</v>
      </c>
      <c r="AQ172" s="28" t="s">
        <v>73</v>
      </c>
      <c r="AR172" s="28" t="s">
        <v>13</v>
      </c>
      <c r="AS172" s="73">
        <v>523.60929899999996</v>
      </c>
      <c r="AT172" s="8">
        <v>18.3</v>
      </c>
      <c r="AU172" s="73" t="s">
        <v>904</v>
      </c>
      <c r="AV172" s="73" t="b">
        <f t="shared" si="82"/>
        <v>1</v>
      </c>
      <c r="AW172" s="79">
        <v>0</v>
      </c>
      <c r="AX172" s="45" t="str">
        <f t="shared" si="83"/>
        <v/>
      </c>
      <c r="AY172" s="29" t="str">
        <f t="shared" si="84"/>
        <v/>
      </c>
      <c r="AZ172" s="29" t="str">
        <f t="shared" si="85"/>
        <v/>
      </c>
      <c r="BA172" s="29" t="s">
        <v>699</v>
      </c>
      <c r="BB172" s="29">
        <f t="shared" si="86"/>
        <v>0</v>
      </c>
      <c r="BC172">
        <f t="shared" si="87"/>
        <v>0</v>
      </c>
      <c r="BD172" s="78" t="str" cm="1">
        <f t="array" ref="BD172">IF(BC172&lt;&gt;1, "", IF(AK172&gt;0, INT(AK172/SUMPRODUCT(($AK$3:$AK$1000&gt;0)*($AK$3:$AK$1000), ($BC$3:$BC$1000))*$AB$12/AT172), INT(AK172/SUMPRODUCT(($AK$3:$AK$1000&lt;0)*($AK$3:$AK$1000), ($BC$3:$BC$1000))*$AB$13/AT172)))</f>
        <v/>
      </c>
      <c r="BE172" t="str">
        <f t="shared" si="88"/>
        <v/>
      </c>
      <c r="BF172" s="65" t="str">
        <f t="shared" si="89"/>
        <v/>
      </c>
    </row>
    <row r="173" spans="2:58" x14ac:dyDescent="0.3">
      <c r="B173" s="18" t="s">
        <v>1647</v>
      </c>
      <c r="C173" s="18" t="s">
        <v>1760</v>
      </c>
      <c r="D173" s="18" t="s">
        <v>1826</v>
      </c>
      <c r="E173" s="44" t="s">
        <v>1763</v>
      </c>
      <c r="F173" s="18" t="s">
        <v>25</v>
      </c>
      <c r="G173" s="18" t="s">
        <v>10</v>
      </c>
      <c r="H173" s="19">
        <v>396.59064730999995</v>
      </c>
      <c r="I173" s="18">
        <v>-3734</v>
      </c>
      <c r="J173" s="20">
        <v>10.79</v>
      </c>
      <c r="K173" s="19">
        <v>-40289.859999999993</v>
      </c>
      <c r="L173" s="12">
        <f t="shared" si="69"/>
        <v>-2.6859906666666664E-3</v>
      </c>
      <c r="M173" s="12">
        <f t="shared" si="70"/>
        <v>-4.6343975283213157E-3</v>
      </c>
      <c r="N173" s="15" t="str">
        <f t="shared" si="71"/>
        <v/>
      </c>
      <c r="O173" s="15" t="str">
        <f t="shared" si="72"/>
        <v/>
      </c>
      <c r="P173" s="15">
        <f t="shared" si="73"/>
        <v>1</v>
      </c>
      <c r="Q173" s="15" t="str">
        <f t="shared" si="74"/>
        <v>SellShort</v>
      </c>
      <c r="R173" s="55">
        <f t="shared" si="75"/>
        <v>2708</v>
      </c>
      <c r="S173" s="33">
        <f t="shared" si="76"/>
        <v>29219.319999999996</v>
      </c>
      <c r="T173" s="33" t="str">
        <f t="shared" si="77"/>
        <v/>
      </c>
      <c r="U173" s="15" t="str">
        <f t="shared" si="78"/>
        <v/>
      </c>
      <c r="V173" s="15">
        <f t="shared" si="79"/>
        <v>27.080000000000002</v>
      </c>
      <c r="W173" s="62">
        <f t="shared" si="80"/>
        <v>9.2678405931418003E-4</v>
      </c>
      <c r="X173" s="15"/>
      <c r="Y173" s="1">
        <f t="shared" si="81"/>
        <v>1.9484068616546493E-3</v>
      </c>
      <c r="AH173" s="35">
        <v>45714</v>
      </c>
      <c r="AI173" s="31" t="s">
        <v>533</v>
      </c>
      <c r="AJ173" s="32">
        <v>-2E-3</v>
      </c>
      <c r="AK173" s="28">
        <f t="shared" si="68"/>
        <v>-2.0597322348094738E-3</v>
      </c>
      <c r="AL173" s="28" t="s">
        <v>540</v>
      </c>
      <c r="AM173" s="28" t="s">
        <v>533</v>
      </c>
      <c r="AN173" s="28" t="s">
        <v>1754</v>
      </c>
      <c r="AO173" s="28" t="s">
        <v>541</v>
      </c>
      <c r="AP173" s="28" t="s">
        <v>542</v>
      </c>
      <c r="AQ173" s="28" t="s">
        <v>73</v>
      </c>
      <c r="AR173" s="28" t="s">
        <v>23</v>
      </c>
      <c r="AS173" s="73">
        <v>660.89157299999999</v>
      </c>
      <c r="AT173" s="8">
        <v>31</v>
      </c>
      <c r="AU173" s="73" t="s">
        <v>533</v>
      </c>
      <c r="AV173" s="73" t="b">
        <f t="shared" si="82"/>
        <v>1</v>
      </c>
      <c r="AW173" s="79">
        <v>0</v>
      </c>
      <c r="AX173" s="45" t="str">
        <f t="shared" si="83"/>
        <v/>
      </c>
      <c r="AY173" s="29" t="str">
        <f t="shared" si="84"/>
        <v/>
      </c>
      <c r="AZ173" s="29" t="str">
        <f t="shared" si="85"/>
        <v/>
      </c>
      <c r="BA173" s="29" t="s">
        <v>699</v>
      </c>
      <c r="BB173" s="29">
        <f t="shared" si="86"/>
        <v>0</v>
      </c>
      <c r="BC173">
        <f t="shared" si="87"/>
        <v>0</v>
      </c>
      <c r="BD173" s="78" t="str" cm="1">
        <f t="array" ref="BD173">IF(BC173&lt;&gt;1, "", IF(AK173&gt;0, INT(AK173/SUMPRODUCT(($AK$3:$AK$1000&gt;0)*($AK$3:$AK$1000), ($BC$3:$BC$1000))*$AB$12/AT173), INT(AK173/SUMPRODUCT(($AK$3:$AK$1000&lt;0)*($AK$3:$AK$1000), ($BC$3:$BC$1000))*$AB$13/AT173)))</f>
        <v/>
      </c>
      <c r="BE173" t="str">
        <f t="shared" si="88"/>
        <v/>
      </c>
      <c r="BF173" s="65" t="str">
        <f t="shared" si="89"/>
        <v/>
      </c>
    </row>
    <row r="174" spans="2:58" x14ac:dyDescent="0.3">
      <c r="B174" s="18" t="s">
        <v>1519</v>
      </c>
      <c r="C174" s="18" t="s">
        <v>1592</v>
      </c>
      <c r="D174" s="18" t="s">
        <v>1627</v>
      </c>
      <c r="E174" s="44" t="s">
        <v>1595</v>
      </c>
      <c r="F174" s="18" t="s">
        <v>19</v>
      </c>
      <c r="G174" s="18" t="s">
        <v>10</v>
      </c>
      <c r="H174" s="19">
        <v>167.83425</v>
      </c>
      <c r="I174" s="18">
        <v>-5262</v>
      </c>
      <c r="J174" s="20">
        <v>7.69</v>
      </c>
      <c r="K174" s="19">
        <v>-40464.78</v>
      </c>
      <c r="L174" s="12">
        <f t="shared" si="69"/>
        <v>-2.697652E-3</v>
      </c>
      <c r="M174" s="12">
        <f t="shared" si="70"/>
        <v>-4.1194644696189477E-3</v>
      </c>
      <c r="N174" s="15" t="str">
        <f t="shared" si="71"/>
        <v/>
      </c>
      <c r="O174" s="15" t="str">
        <f t="shared" si="72"/>
        <v/>
      </c>
      <c r="P174" s="15">
        <f t="shared" si="73"/>
        <v>1</v>
      </c>
      <c r="Q174" s="15" t="str">
        <f t="shared" si="74"/>
        <v>SellShort</v>
      </c>
      <c r="R174" s="55">
        <f t="shared" si="75"/>
        <v>2773</v>
      </c>
      <c r="S174" s="33">
        <f t="shared" si="76"/>
        <v>21324.370000000003</v>
      </c>
      <c r="T174" s="33" t="str">
        <f t="shared" si="77"/>
        <v/>
      </c>
      <c r="U174" s="15" t="str">
        <f t="shared" si="78"/>
        <v/>
      </c>
      <c r="V174" s="15">
        <f t="shared" si="79"/>
        <v>27.73</v>
      </c>
      <c r="W174" s="62">
        <f t="shared" si="80"/>
        <v>1.3003901170351103E-3</v>
      </c>
      <c r="X174" s="15"/>
      <c r="Y174" s="1">
        <f t="shared" si="81"/>
        <v>1.4218124696189476E-3</v>
      </c>
      <c r="AH174" s="35">
        <v>45714</v>
      </c>
      <c r="AI174" s="31" t="s">
        <v>1091</v>
      </c>
      <c r="AJ174" s="32">
        <v>-2.0999999999999999E-3</v>
      </c>
      <c r="AK174" s="28">
        <f t="shared" si="68"/>
        <v>-2.1627188465499474E-3</v>
      </c>
      <c r="AL174" s="28" t="s">
        <v>1216</v>
      </c>
      <c r="AM174" s="28" t="s">
        <v>1091</v>
      </c>
      <c r="AN174" s="28" t="s">
        <v>1755</v>
      </c>
      <c r="AO174" s="28" t="s">
        <v>1217</v>
      </c>
      <c r="AP174" s="28" t="s">
        <v>1218</v>
      </c>
      <c r="AQ174" s="28" t="s">
        <v>73</v>
      </c>
      <c r="AR174" s="28" t="s">
        <v>11</v>
      </c>
      <c r="AS174" s="73">
        <v>16979.102715950001</v>
      </c>
      <c r="AT174" s="8">
        <v>27.55</v>
      </c>
      <c r="AU174" s="73" t="s">
        <v>1091</v>
      </c>
      <c r="AV174" s="73" t="b">
        <f t="shared" si="82"/>
        <v>1</v>
      </c>
      <c r="AW174" s="79">
        <v>0</v>
      </c>
      <c r="AX174" s="45" t="str">
        <f t="shared" si="83"/>
        <v/>
      </c>
      <c r="AY174" s="29" t="str">
        <f t="shared" si="84"/>
        <v/>
      </c>
      <c r="AZ174" s="29" t="str">
        <f t="shared" si="85"/>
        <v/>
      </c>
      <c r="BA174" s="29" t="s">
        <v>699</v>
      </c>
      <c r="BB174" s="29">
        <f t="shared" si="86"/>
        <v>0</v>
      </c>
      <c r="BC174">
        <f t="shared" si="87"/>
        <v>0</v>
      </c>
      <c r="BD174" s="78" t="str" cm="1">
        <f t="array" ref="BD174">IF(BC174&lt;&gt;1, "", IF(AK174&gt;0, INT(AK174/SUMPRODUCT(($AK$3:$AK$1000&gt;0)*($AK$3:$AK$1000), ($BC$3:$BC$1000))*$AB$12/AT174), INT(AK174/SUMPRODUCT(($AK$3:$AK$1000&lt;0)*($AK$3:$AK$1000), ($BC$3:$BC$1000))*$AB$13/AT174)))</f>
        <v/>
      </c>
      <c r="BE174" t="str">
        <f t="shared" si="88"/>
        <v/>
      </c>
      <c r="BF174" s="65" t="str">
        <f t="shared" si="89"/>
        <v/>
      </c>
    </row>
    <row r="175" spans="2:58" x14ac:dyDescent="0.3">
      <c r="B175" s="18" t="s">
        <v>1520</v>
      </c>
      <c r="C175" s="18" t="s">
        <v>1596</v>
      </c>
      <c r="D175" s="18" t="s">
        <v>1628</v>
      </c>
      <c r="E175" s="44" t="s">
        <v>1598</v>
      </c>
      <c r="F175" s="18" t="s">
        <v>13</v>
      </c>
      <c r="G175" s="18" t="s">
        <v>10</v>
      </c>
      <c r="H175" s="19">
        <v>4022.2141215899996</v>
      </c>
      <c r="I175" s="18">
        <v>-4538</v>
      </c>
      <c r="J175" s="20">
        <v>9.11</v>
      </c>
      <c r="K175" s="19">
        <v>-41341.18</v>
      </c>
      <c r="L175" s="12">
        <f t="shared" si="69"/>
        <v>-2.7560786666666667E-3</v>
      </c>
      <c r="M175" s="12">
        <f t="shared" si="70"/>
        <v>-3.5015447991761056E-3</v>
      </c>
      <c r="N175" s="15" t="str">
        <f t="shared" si="71"/>
        <v/>
      </c>
      <c r="O175" s="15" t="str">
        <f t="shared" si="72"/>
        <v/>
      </c>
      <c r="P175" s="15">
        <f t="shared" si="73"/>
        <v>1</v>
      </c>
      <c r="Q175" s="15" t="str">
        <f t="shared" si="74"/>
        <v>SellShort</v>
      </c>
      <c r="R175" s="55">
        <f t="shared" si="75"/>
        <v>1227</v>
      </c>
      <c r="S175" s="33">
        <f t="shared" si="76"/>
        <v>11177.97</v>
      </c>
      <c r="T175" s="33" t="str">
        <f t="shared" si="77"/>
        <v/>
      </c>
      <c r="U175" s="15" t="str">
        <f t="shared" si="78"/>
        <v/>
      </c>
      <c r="V175" s="15">
        <f t="shared" si="79"/>
        <v>12.27</v>
      </c>
      <c r="W175" s="62">
        <f t="shared" si="80"/>
        <v>1.0976948408342481E-3</v>
      </c>
      <c r="X175" s="15"/>
      <c r="Y175" s="1">
        <f t="shared" si="81"/>
        <v>7.4546613250943894E-4</v>
      </c>
      <c r="AH175" s="35">
        <v>45714</v>
      </c>
      <c r="AI175" s="31" t="s">
        <v>1847</v>
      </c>
      <c r="AJ175" s="32">
        <v>-2.0999999999999999E-3</v>
      </c>
      <c r="AK175" s="28">
        <f t="shared" si="68"/>
        <v>-2.1627188465499474E-3</v>
      </c>
      <c r="AL175" s="28" t="s">
        <v>1927</v>
      </c>
      <c r="AM175" s="28" t="s">
        <v>1847</v>
      </c>
      <c r="AN175" s="28" t="s">
        <v>1928</v>
      </c>
      <c r="AO175" s="28" t="s">
        <v>1929</v>
      </c>
      <c r="AP175" s="28" t="s">
        <v>1930</v>
      </c>
      <c r="AQ175" s="28" t="s">
        <v>73</v>
      </c>
      <c r="AR175" s="28" t="s">
        <v>24</v>
      </c>
      <c r="AS175" s="73">
        <v>1469.1271150800001</v>
      </c>
      <c r="AT175" s="8">
        <v>87.63</v>
      </c>
      <c r="AU175" s="73" t="s">
        <v>1847</v>
      </c>
      <c r="AV175" s="73" t="b">
        <f t="shared" si="82"/>
        <v>1</v>
      </c>
      <c r="AW175" s="79">
        <v>0</v>
      </c>
      <c r="AX175" s="45" t="str">
        <f t="shared" si="83"/>
        <v/>
      </c>
      <c r="AY175" s="29" t="str">
        <f t="shared" si="84"/>
        <v/>
      </c>
      <c r="AZ175" s="29" t="str">
        <f t="shared" si="85"/>
        <v/>
      </c>
      <c r="BA175" s="29" t="s">
        <v>699</v>
      </c>
      <c r="BB175" s="29">
        <f t="shared" si="86"/>
        <v>0</v>
      </c>
      <c r="BC175">
        <f t="shared" si="87"/>
        <v>1</v>
      </c>
      <c r="BD175" s="78" cm="1">
        <f t="array" ref="BD175">IF(BC175&lt;&gt;1, "", IF(AK175&gt;0, INT(AK175/SUMPRODUCT(($AK$3:$AK$1000&gt;0)*($AK$3:$AK$1000), ($BC$3:$BC$1000))*$AB$12/AT175), INT(AK175/SUMPRODUCT(($AK$3:$AK$1000&lt;0)*($AK$3:$AK$1000), ($BC$3:$BC$1000))*$AB$13/AT175)))</f>
        <v>355</v>
      </c>
      <c r="BE175" t="str">
        <f t="shared" si="88"/>
        <v>SellShort</v>
      </c>
      <c r="BF175" s="65">
        <f t="shared" si="89"/>
        <v>31108.649999999998</v>
      </c>
    </row>
    <row r="176" spans="2:58" x14ac:dyDescent="0.3">
      <c r="B176" s="18" t="s">
        <v>950</v>
      </c>
      <c r="C176" s="18" t="s">
        <v>973</v>
      </c>
      <c r="D176" s="18" t="s">
        <v>996</v>
      </c>
      <c r="E176" s="44" t="s">
        <v>975</v>
      </c>
      <c r="F176" s="18" t="s">
        <v>25</v>
      </c>
      <c r="G176" s="18" t="s">
        <v>10</v>
      </c>
      <c r="H176" s="19">
        <v>11056.432150500001</v>
      </c>
      <c r="I176" s="18">
        <v>-610</v>
      </c>
      <c r="J176" s="20">
        <v>69.900000000000006</v>
      </c>
      <c r="K176" s="19">
        <v>-42639</v>
      </c>
      <c r="L176" s="12">
        <f t="shared" si="69"/>
        <v>-2.8425999999999998E-3</v>
      </c>
      <c r="M176" s="12">
        <f t="shared" si="70"/>
        <v>-2.7806385169927899E-3</v>
      </c>
      <c r="N176" s="15" t="str">
        <f t="shared" si="71"/>
        <v/>
      </c>
      <c r="O176" s="15" t="str">
        <f t="shared" si="72"/>
        <v/>
      </c>
      <c r="P176" s="15">
        <f t="shared" si="73"/>
        <v>1</v>
      </c>
      <c r="Q176" s="15" t="str">
        <f t="shared" si="74"/>
        <v>BuyToCover</v>
      </c>
      <c r="R176" s="55">
        <f t="shared" si="75"/>
        <v>13</v>
      </c>
      <c r="S176" s="33">
        <f t="shared" si="76"/>
        <v>908.7</v>
      </c>
      <c r="T176" s="33" t="str">
        <f t="shared" si="77"/>
        <v/>
      </c>
      <c r="U176" s="15" t="str">
        <f t="shared" si="78"/>
        <v/>
      </c>
      <c r="V176" s="15">
        <f t="shared" si="79"/>
        <v>0.13</v>
      </c>
      <c r="W176" s="62">
        <f t="shared" si="80"/>
        <v>1.430615164520744E-4</v>
      </c>
      <c r="X176" s="15"/>
      <c r="Y176" s="1">
        <f t="shared" si="81"/>
        <v>-6.1961483007209883E-5</v>
      </c>
      <c r="AH176" s="35">
        <v>45714</v>
      </c>
      <c r="AI176" s="31" t="s">
        <v>1416</v>
      </c>
      <c r="AJ176" s="32">
        <v>-2.0999999999999999E-3</v>
      </c>
      <c r="AK176" s="28">
        <f t="shared" si="68"/>
        <v>-2.1627188465499474E-3</v>
      </c>
      <c r="AL176" s="28" t="s">
        <v>1464</v>
      </c>
      <c r="AM176" s="28" t="s">
        <v>1416</v>
      </c>
      <c r="AN176" s="28" t="s">
        <v>1756</v>
      </c>
      <c r="AO176" s="28" t="s">
        <v>1465</v>
      </c>
      <c r="AP176" s="28" t="s">
        <v>1466</v>
      </c>
      <c r="AQ176" s="28" t="s">
        <v>73</v>
      </c>
      <c r="AR176" s="28" t="s">
        <v>25</v>
      </c>
      <c r="AS176" s="73">
        <v>714.59662197</v>
      </c>
      <c r="AT176" s="8">
        <v>16.170000000000002</v>
      </c>
      <c r="AU176" s="73" t="s">
        <v>1416</v>
      </c>
      <c r="AV176" s="73" t="b">
        <f t="shared" si="82"/>
        <v>1</v>
      </c>
      <c r="AW176" s="79">
        <v>0</v>
      </c>
      <c r="AX176" s="45" t="str">
        <f t="shared" si="83"/>
        <v/>
      </c>
      <c r="AY176" s="29" t="str">
        <f t="shared" si="84"/>
        <v/>
      </c>
      <c r="AZ176" s="29" t="str">
        <f t="shared" si="85"/>
        <v/>
      </c>
      <c r="BA176" s="29" t="s">
        <v>699</v>
      </c>
      <c r="BB176" s="29">
        <f t="shared" si="86"/>
        <v>0</v>
      </c>
      <c r="BC176">
        <f t="shared" si="87"/>
        <v>0</v>
      </c>
      <c r="BD176" s="78" t="str" cm="1">
        <f t="array" ref="BD176">IF(BC176&lt;&gt;1, "", IF(AK176&gt;0, INT(AK176/SUMPRODUCT(($AK$3:$AK$1000&gt;0)*($AK$3:$AK$1000), ($BC$3:$BC$1000))*$AB$12/AT176), INT(AK176/SUMPRODUCT(($AK$3:$AK$1000&lt;0)*($AK$3:$AK$1000), ($BC$3:$BC$1000))*$AB$13/AT176)))</f>
        <v/>
      </c>
      <c r="BE176" t="str">
        <f t="shared" si="88"/>
        <v/>
      </c>
      <c r="BF176" s="65" t="str">
        <f t="shared" si="89"/>
        <v/>
      </c>
    </row>
    <row r="177" spans="2:58" x14ac:dyDescent="0.3">
      <c r="B177" s="18" t="s">
        <v>415</v>
      </c>
      <c r="C177" s="18" t="s">
        <v>429</v>
      </c>
      <c r="D177" s="18" t="s">
        <v>477</v>
      </c>
      <c r="E177" s="44" t="s">
        <v>431</v>
      </c>
      <c r="F177" s="18" t="s">
        <v>13</v>
      </c>
      <c r="G177" s="18" t="s">
        <v>10</v>
      </c>
      <c r="H177" s="19">
        <v>452.14254045999996</v>
      </c>
      <c r="I177" s="18">
        <v>-3199</v>
      </c>
      <c r="J177" s="20">
        <v>14.69</v>
      </c>
      <c r="K177" s="19">
        <v>-46993.31</v>
      </c>
      <c r="L177" s="12">
        <f t="shared" si="69"/>
        <v>-3.1328873333333332E-3</v>
      </c>
      <c r="M177" s="12">
        <f t="shared" si="70"/>
        <v>-3.1925849639546844E-3</v>
      </c>
      <c r="N177" s="15" t="str">
        <f t="shared" si="71"/>
        <v/>
      </c>
      <c r="O177" s="15" t="str">
        <f t="shared" si="72"/>
        <v/>
      </c>
      <c r="P177" s="15" t="str">
        <f t="shared" si="73"/>
        <v/>
      </c>
      <c r="Q177" s="15" t="str">
        <f t="shared" si="74"/>
        <v/>
      </c>
      <c r="R177" s="55" t="str">
        <f t="shared" si="75"/>
        <v/>
      </c>
      <c r="S177" s="33" t="str">
        <f t="shared" si="76"/>
        <v/>
      </c>
      <c r="T177" s="33" t="str">
        <f t="shared" si="77"/>
        <v/>
      </c>
      <c r="U177" s="15" t="str">
        <f t="shared" si="78"/>
        <v/>
      </c>
      <c r="V177" s="15" t="str">
        <f t="shared" si="79"/>
        <v/>
      </c>
      <c r="W177" s="62" t="str">
        <f t="shared" si="80"/>
        <v/>
      </c>
      <c r="X177" s="15"/>
      <c r="Y177" s="1">
        <f t="shared" si="81"/>
        <v>5.9697630621351194E-5</v>
      </c>
      <c r="AH177" s="35">
        <v>45714</v>
      </c>
      <c r="AI177" s="31" t="s">
        <v>1010</v>
      </c>
      <c r="AJ177" s="32">
        <v>-2.0999999999999999E-3</v>
      </c>
      <c r="AK177" s="28">
        <f t="shared" si="68"/>
        <v>-2.1627188465499474E-3</v>
      </c>
      <c r="AL177" s="28" t="s">
        <v>1041</v>
      </c>
      <c r="AM177" s="28" t="s">
        <v>1010</v>
      </c>
      <c r="AN177" s="28" t="s">
        <v>1757</v>
      </c>
      <c r="AO177" s="28" t="s">
        <v>1042</v>
      </c>
      <c r="AP177" s="28" t="s">
        <v>1043</v>
      </c>
      <c r="AQ177" s="28" t="s">
        <v>73</v>
      </c>
      <c r="AR177" s="28" t="s">
        <v>11</v>
      </c>
      <c r="AS177" s="73">
        <v>5573.2940763400002</v>
      </c>
      <c r="AT177" s="8">
        <v>32.81</v>
      </c>
      <c r="AU177" s="73" t="s">
        <v>1010</v>
      </c>
      <c r="AV177" s="73" t="b">
        <f t="shared" si="82"/>
        <v>1</v>
      </c>
      <c r="AW177" s="79">
        <v>0</v>
      </c>
      <c r="AX177" s="45" t="str">
        <f t="shared" si="83"/>
        <v/>
      </c>
      <c r="AY177" s="29" t="str">
        <f t="shared" si="84"/>
        <v/>
      </c>
      <c r="AZ177" s="29" t="str">
        <f t="shared" si="85"/>
        <v/>
      </c>
      <c r="BA177" s="29" t="s">
        <v>699</v>
      </c>
      <c r="BB177" s="29">
        <f t="shared" si="86"/>
        <v>0</v>
      </c>
      <c r="BC177">
        <f t="shared" si="87"/>
        <v>0</v>
      </c>
      <c r="BD177" s="78" t="str" cm="1">
        <f t="array" ref="BD177">IF(BC177&lt;&gt;1, "", IF(AK177&gt;0, INT(AK177/SUMPRODUCT(($AK$3:$AK$1000&gt;0)*($AK$3:$AK$1000), ($BC$3:$BC$1000))*$AB$12/AT177), INT(AK177/SUMPRODUCT(($AK$3:$AK$1000&lt;0)*($AK$3:$AK$1000), ($BC$3:$BC$1000))*$AB$13/AT177)))</f>
        <v/>
      </c>
      <c r="BE177" t="str">
        <f t="shared" si="88"/>
        <v/>
      </c>
      <c r="BF177" s="65" t="str">
        <f t="shared" si="89"/>
        <v/>
      </c>
    </row>
    <row r="178" spans="2:58" x14ac:dyDescent="0.3">
      <c r="B178" s="18" t="s">
        <v>499</v>
      </c>
      <c r="C178" s="18" t="s">
        <v>508</v>
      </c>
      <c r="D178" s="18" t="s">
        <v>522</v>
      </c>
      <c r="E178" s="44" t="s">
        <v>510</v>
      </c>
      <c r="F178" s="18" t="s">
        <v>26</v>
      </c>
      <c r="G178" s="18" t="s">
        <v>10</v>
      </c>
      <c r="H178" s="19">
        <v>3408.21470477</v>
      </c>
      <c r="I178" s="18">
        <v>-501</v>
      </c>
      <c r="J178" s="20">
        <v>94.13</v>
      </c>
      <c r="K178" s="19">
        <v>-47159.13</v>
      </c>
      <c r="L178" s="12">
        <f t="shared" si="69"/>
        <v>-3.1439419999999998E-3</v>
      </c>
      <c r="M178" s="12">
        <f t="shared" si="70"/>
        <v>-8.1359423274974235E-3</v>
      </c>
      <c r="N178" s="15" t="str">
        <f t="shared" si="71"/>
        <v/>
      </c>
      <c r="O178" s="15" t="str">
        <f t="shared" si="72"/>
        <v/>
      </c>
      <c r="P178" s="15">
        <f t="shared" si="73"/>
        <v>1</v>
      </c>
      <c r="Q178" s="15" t="str">
        <f t="shared" si="74"/>
        <v>SellShort</v>
      </c>
      <c r="R178" s="55">
        <f t="shared" si="75"/>
        <v>795</v>
      </c>
      <c r="S178" s="33">
        <f t="shared" si="76"/>
        <v>74833.349999999991</v>
      </c>
      <c r="T178" s="33" t="str">
        <f t="shared" si="77"/>
        <v/>
      </c>
      <c r="U178" s="15" t="str">
        <f t="shared" si="78"/>
        <v/>
      </c>
      <c r="V178" s="15">
        <f t="shared" si="79"/>
        <v>7.95</v>
      </c>
      <c r="W178" s="62">
        <f t="shared" si="80"/>
        <v>1.0623605651758208E-4</v>
      </c>
      <c r="X178" s="15"/>
      <c r="Y178" s="1">
        <f t="shared" si="81"/>
        <v>4.9920003274974232E-3</v>
      </c>
      <c r="AH178" s="35">
        <v>45714</v>
      </c>
      <c r="AI178" s="31" t="s">
        <v>1090</v>
      </c>
      <c r="AJ178" s="32">
        <v>-2.0999999999999999E-3</v>
      </c>
      <c r="AK178" s="28">
        <f t="shared" si="68"/>
        <v>-2.1627188465499474E-3</v>
      </c>
      <c r="AL178" s="28" t="s">
        <v>1213</v>
      </c>
      <c r="AM178" s="28" t="s">
        <v>1090</v>
      </c>
      <c r="AN178" s="28" t="s">
        <v>1758</v>
      </c>
      <c r="AO178" s="28" t="s">
        <v>1214</v>
      </c>
      <c r="AP178" s="28" t="s">
        <v>1215</v>
      </c>
      <c r="AQ178" s="28" t="s">
        <v>73</v>
      </c>
      <c r="AR178" s="28" t="s">
        <v>20</v>
      </c>
      <c r="AS178" s="73">
        <v>474.30879750000003</v>
      </c>
      <c r="AT178" s="8">
        <v>6.75</v>
      </c>
      <c r="AU178" s="73" t="s">
        <v>1090</v>
      </c>
      <c r="AV178" s="73" t="b">
        <f t="shared" si="82"/>
        <v>1</v>
      </c>
      <c r="AW178" s="79">
        <v>0</v>
      </c>
      <c r="AX178" s="45" t="str">
        <f t="shared" si="83"/>
        <v/>
      </c>
      <c r="AY178" s="29" t="str">
        <f t="shared" si="84"/>
        <v/>
      </c>
      <c r="AZ178" s="29" t="str">
        <f t="shared" si="85"/>
        <v/>
      </c>
      <c r="BA178" s="29" t="s">
        <v>699</v>
      </c>
      <c r="BB178" s="29">
        <f t="shared" si="86"/>
        <v>0</v>
      </c>
      <c r="BC178">
        <f t="shared" si="87"/>
        <v>0</v>
      </c>
      <c r="BD178" s="78" t="str" cm="1">
        <f t="array" ref="BD178">IF(BC178&lt;&gt;1, "", IF(AK178&gt;0, INT(AK178/SUMPRODUCT(($AK$3:$AK$1000&gt;0)*($AK$3:$AK$1000), ($BC$3:$BC$1000))*$AB$12/AT178), INT(AK178/SUMPRODUCT(($AK$3:$AK$1000&lt;0)*($AK$3:$AK$1000), ($BC$3:$BC$1000))*$AB$13/AT178)))</f>
        <v/>
      </c>
      <c r="BE178" t="str">
        <f t="shared" si="88"/>
        <v/>
      </c>
      <c r="BF178" s="65" t="str">
        <f t="shared" si="89"/>
        <v/>
      </c>
    </row>
    <row r="179" spans="2:58" x14ac:dyDescent="0.3">
      <c r="B179" s="18" t="s">
        <v>1417</v>
      </c>
      <c r="C179" s="18" t="s">
        <v>1467</v>
      </c>
      <c r="D179" s="18" t="s">
        <v>1497</v>
      </c>
      <c r="E179" s="44" t="s">
        <v>1470</v>
      </c>
      <c r="F179" s="18" t="s">
        <v>11</v>
      </c>
      <c r="G179" s="18" t="s">
        <v>10</v>
      </c>
      <c r="H179" s="19">
        <v>15945.023410719999</v>
      </c>
      <c r="I179" s="18">
        <v>-160</v>
      </c>
      <c r="J179" s="20">
        <v>310.33999999999997</v>
      </c>
      <c r="K179" s="19">
        <v>-49654.399999999994</v>
      </c>
      <c r="L179" s="12">
        <f t="shared" si="69"/>
        <v>-3.3102933333333329E-3</v>
      </c>
      <c r="M179" s="12">
        <f t="shared" si="70"/>
        <v>-3.5015447991761056E-3</v>
      </c>
      <c r="N179" s="15" t="str">
        <f t="shared" si="71"/>
        <v/>
      </c>
      <c r="O179" s="15" t="str">
        <f t="shared" si="72"/>
        <v/>
      </c>
      <c r="P179" s="15">
        <f t="shared" si="73"/>
        <v>1</v>
      </c>
      <c r="Q179" s="15" t="str">
        <f t="shared" si="74"/>
        <v>SellShort</v>
      </c>
      <c r="R179" s="55">
        <f t="shared" si="75"/>
        <v>9</v>
      </c>
      <c r="S179" s="33">
        <f t="shared" si="76"/>
        <v>2793.06</v>
      </c>
      <c r="T179" s="33" t="str">
        <f t="shared" si="77"/>
        <v/>
      </c>
      <c r="U179" s="15" t="str">
        <f t="shared" si="78"/>
        <v/>
      </c>
      <c r="V179" s="15">
        <f t="shared" si="79"/>
        <v>0.09</v>
      </c>
      <c r="W179" s="62">
        <f t="shared" si="80"/>
        <v>3.2222723464587226E-5</v>
      </c>
      <c r="X179" s="15"/>
      <c r="Y179" s="1">
        <f t="shared" si="81"/>
        <v>1.912514658427727E-4</v>
      </c>
      <c r="AH179" s="35">
        <v>45714</v>
      </c>
      <c r="AI179" s="31" t="s">
        <v>1092</v>
      </c>
      <c r="AJ179" s="32">
        <v>-2.3E-3</v>
      </c>
      <c r="AK179" s="28">
        <f t="shared" si="68"/>
        <v>-2.3686920700308951E-3</v>
      </c>
      <c r="AL179" s="28" t="s">
        <v>1219</v>
      </c>
      <c r="AM179" s="28" t="s">
        <v>1092</v>
      </c>
      <c r="AN179" s="28" t="s">
        <v>1759</v>
      </c>
      <c r="AO179" s="28" t="s">
        <v>1220</v>
      </c>
      <c r="AP179" s="28" t="s">
        <v>1400</v>
      </c>
      <c r="AQ179" s="28" t="s">
        <v>73</v>
      </c>
      <c r="AR179" s="28" t="s">
        <v>13</v>
      </c>
      <c r="AS179" s="73">
        <v>7910.7886080300004</v>
      </c>
      <c r="AT179" s="8">
        <v>66.989999999999995</v>
      </c>
      <c r="AU179" s="73" t="s">
        <v>1092</v>
      </c>
      <c r="AV179" s="73" t="b">
        <f t="shared" si="82"/>
        <v>1</v>
      </c>
      <c r="AW179" s="79">
        <v>0</v>
      </c>
      <c r="AX179" s="45" t="str">
        <f t="shared" si="83"/>
        <v/>
      </c>
      <c r="AY179" s="29" t="str">
        <f t="shared" si="84"/>
        <v/>
      </c>
      <c r="AZ179" s="29" t="str">
        <f t="shared" si="85"/>
        <v/>
      </c>
      <c r="BA179" s="29" t="s">
        <v>699</v>
      </c>
      <c r="BB179" s="29">
        <f t="shared" si="86"/>
        <v>0</v>
      </c>
      <c r="BC179">
        <f t="shared" si="87"/>
        <v>0</v>
      </c>
      <c r="BD179" s="78" t="str" cm="1">
        <f t="array" ref="BD179">IF(BC179&lt;&gt;1, "", IF(AK179&gt;0, INT(AK179/SUMPRODUCT(($AK$3:$AK$1000&gt;0)*($AK$3:$AK$1000), ($BC$3:$BC$1000))*$AB$12/AT179), INT(AK179/SUMPRODUCT(($AK$3:$AK$1000&lt;0)*($AK$3:$AK$1000), ($BC$3:$BC$1000))*$AB$13/AT179)))</f>
        <v/>
      </c>
      <c r="BE179" t="str">
        <f t="shared" si="88"/>
        <v/>
      </c>
      <c r="BF179" s="65" t="str">
        <f t="shared" si="89"/>
        <v/>
      </c>
    </row>
    <row r="180" spans="2:58" x14ac:dyDescent="0.3">
      <c r="B180" s="18" t="s">
        <v>534</v>
      </c>
      <c r="C180" s="18" t="s">
        <v>653</v>
      </c>
      <c r="D180" s="18" t="s">
        <v>654</v>
      </c>
      <c r="E180" s="44" t="s">
        <v>544</v>
      </c>
      <c r="F180" s="18" t="s">
        <v>13</v>
      </c>
      <c r="G180" s="18" t="s">
        <v>10</v>
      </c>
      <c r="H180" s="19">
        <v>891.26155648999998</v>
      </c>
      <c r="I180" s="18">
        <v>-12360</v>
      </c>
      <c r="J180" s="20">
        <v>4.09</v>
      </c>
      <c r="K180" s="19">
        <v>-50552.4</v>
      </c>
      <c r="L180" s="12">
        <f t="shared" si="69"/>
        <v>-3.3701600000000001E-3</v>
      </c>
      <c r="M180" s="12">
        <f t="shared" si="70"/>
        <v>-1.0298661174047369E-2</v>
      </c>
      <c r="N180" s="15" t="str">
        <f t="shared" si="71"/>
        <v/>
      </c>
      <c r="O180" s="15" t="str">
        <f t="shared" si="72"/>
        <v/>
      </c>
      <c r="P180" s="15">
        <f t="shared" si="73"/>
        <v>1</v>
      </c>
      <c r="Q180" s="15" t="str">
        <f t="shared" si="74"/>
        <v>SellShort</v>
      </c>
      <c r="R180" s="55">
        <f t="shared" si="75"/>
        <v>25410</v>
      </c>
      <c r="S180" s="33">
        <f t="shared" si="76"/>
        <v>103926.9</v>
      </c>
      <c r="T180" s="33" t="str">
        <f t="shared" si="77"/>
        <v/>
      </c>
      <c r="U180" s="15" t="str">
        <f t="shared" si="78"/>
        <v/>
      </c>
      <c r="V180" s="15">
        <f t="shared" si="79"/>
        <v>254.1</v>
      </c>
      <c r="W180" s="62">
        <f t="shared" si="80"/>
        <v>2.4449877750611247E-3</v>
      </c>
      <c r="X180" s="15"/>
      <c r="Y180" s="1">
        <f t="shared" si="81"/>
        <v>6.9285011740473686E-3</v>
      </c>
      <c r="AH180" s="35">
        <v>45714</v>
      </c>
      <c r="AI180" s="31" t="s">
        <v>1085</v>
      </c>
      <c r="AJ180" s="32">
        <v>-2.3E-3</v>
      </c>
      <c r="AK180" s="28">
        <f t="shared" si="68"/>
        <v>-2.3686920700308951E-3</v>
      </c>
      <c r="AL180" s="28" t="s">
        <v>1194</v>
      </c>
      <c r="AM180" s="28" t="s">
        <v>1085</v>
      </c>
      <c r="AN180" s="28" t="s">
        <v>1195</v>
      </c>
      <c r="AO180" s="28" t="s">
        <v>1196</v>
      </c>
      <c r="AP180" s="28" t="s">
        <v>1197</v>
      </c>
      <c r="AQ180" s="28" t="s">
        <v>73</v>
      </c>
      <c r="AR180" s="28" t="s">
        <v>13</v>
      </c>
      <c r="AS180" s="73">
        <v>1123.722696</v>
      </c>
      <c r="AT180" s="8">
        <v>6.19</v>
      </c>
      <c r="AU180" s="73" t="s">
        <v>1085</v>
      </c>
      <c r="AV180" s="73" t="b">
        <f t="shared" si="82"/>
        <v>1</v>
      </c>
      <c r="AW180" s="79">
        <v>0</v>
      </c>
      <c r="AX180" s="45" t="str">
        <f t="shared" si="83"/>
        <v/>
      </c>
      <c r="AY180" s="29" t="str">
        <f t="shared" si="84"/>
        <v/>
      </c>
      <c r="AZ180" s="29" t="str">
        <f t="shared" si="85"/>
        <v/>
      </c>
      <c r="BA180" s="29" t="s">
        <v>699</v>
      </c>
      <c r="BB180" s="29">
        <f t="shared" si="86"/>
        <v>0</v>
      </c>
      <c r="BC180">
        <f t="shared" si="87"/>
        <v>0</v>
      </c>
      <c r="BD180" s="78" t="str" cm="1">
        <f t="array" ref="BD180">IF(BC180&lt;&gt;1, "", IF(AK180&gt;0, INT(AK180/SUMPRODUCT(($AK$3:$AK$1000&gt;0)*($AK$3:$AK$1000), ($BC$3:$BC$1000))*$AB$12/AT180), INT(AK180/SUMPRODUCT(($AK$3:$AK$1000&lt;0)*($AK$3:$AK$1000), ($BC$3:$BC$1000))*$AB$13/AT180)))</f>
        <v/>
      </c>
      <c r="BE180" t="str">
        <f t="shared" si="88"/>
        <v/>
      </c>
      <c r="BF180" s="65" t="str">
        <f t="shared" si="89"/>
        <v/>
      </c>
    </row>
    <row r="181" spans="2:58" x14ac:dyDescent="0.3">
      <c r="B181" s="18" t="s">
        <v>949</v>
      </c>
      <c r="C181" s="18" t="s">
        <v>969</v>
      </c>
      <c r="D181" s="18" t="s">
        <v>995</v>
      </c>
      <c r="E181" s="44" t="s">
        <v>972</v>
      </c>
      <c r="F181" s="18" t="s">
        <v>13</v>
      </c>
      <c r="G181" s="18" t="s">
        <v>10</v>
      </c>
      <c r="H181" s="19">
        <v>150.87490131999999</v>
      </c>
      <c r="I181" s="18">
        <v>-6068</v>
      </c>
      <c r="J181" s="20">
        <v>8.36</v>
      </c>
      <c r="K181" s="19">
        <v>-50728.479999999996</v>
      </c>
      <c r="L181" s="12">
        <f t="shared" si="69"/>
        <v>-3.3818986666666663E-3</v>
      </c>
      <c r="M181" s="12">
        <f t="shared" si="70"/>
        <v>-3.7075180226570528E-3</v>
      </c>
      <c r="N181" s="15" t="str">
        <f t="shared" si="71"/>
        <v/>
      </c>
      <c r="O181" s="15" t="str">
        <f t="shared" si="72"/>
        <v/>
      </c>
      <c r="P181" s="15">
        <f t="shared" si="73"/>
        <v>1</v>
      </c>
      <c r="Q181" s="15" t="str">
        <f t="shared" si="74"/>
        <v>SellShort</v>
      </c>
      <c r="R181" s="55">
        <f t="shared" si="75"/>
        <v>584</v>
      </c>
      <c r="S181" s="33">
        <f t="shared" si="76"/>
        <v>4882.24</v>
      </c>
      <c r="T181" s="33" t="str">
        <f t="shared" si="77"/>
        <v/>
      </c>
      <c r="U181" s="15" t="str">
        <f t="shared" si="78"/>
        <v/>
      </c>
      <c r="V181" s="15">
        <f t="shared" si="79"/>
        <v>5.84</v>
      </c>
      <c r="W181" s="62">
        <f t="shared" si="80"/>
        <v>1.1961722488038277E-3</v>
      </c>
      <c r="X181" s="15"/>
      <c r="Y181" s="1">
        <f t="shared" si="81"/>
        <v>3.2561935599038656E-4</v>
      </c>
      <c r="AH181" s="35">
        <v>45714</v>
      </c>
      <c r="AI181" s="31" t="s">
        <v>582</v>
      </c>
      <c r="AJ181" s="32">
        <v>-2.5000000000000001E-3</v>
      </c>
      <c r="AK181" s="28">
        <f t="shared" si="68"/>
        <v>-2.5746652935118423E-3</v>
      </c>
      <c r="AL181" s="28" t="s">
        <v>598</v>
      </c>
      <c r="AM181" s="28" t="s">
        <v>582</v>
      </c>
      <c r="AN181" s="28" t="s">
        <v>887</v>
      </c>
      <c r="AO181" s="28" t="s">
        <v>599</v>
      </c>
      <c r="AP181" s="28" t="s">
        <v>600</v>
      </c>
      <c r="AQ181" s="28" t="s">
        <v>73</v>
      </c>
      <c r="AR181" s="28" t="s">
        <v>23</v>
      </c>
      <c r="AS181" s="73">
        <v>548.39668224000002</v>
      </c>
      <c r="AT181" s="8">
        <v>28.16</v>
      </c>
      <c r="AU181" s="73" t="s">
        <v>582</v>
      </c>
      <c r="AV181" s="73" t="b">
        <f t="shared" si="82"/>
        <v>1</v>
      </c>
      <c r="AW181" s="79">
        <v>0</v>
      </c>
      <c r="AX181" s="45" t="str">
        <f t="shared" si="83"/>
        <v/>
      </c>
      <c r="AY181" s="29" t="str">
        <f t="shared" si="84"/>
        <v/>
      </c>
      <c r="AZ181" s="29" t="str">
        <f t="shared" si="85"/>
        <v/>
      </c>
      <c r="BA181" s="29" t="s">
        <v>699</v>
      </c>
      <c r="BB181" s="29">
        <f t="shared" si="86"/>
        <v>0</v>
      </c>
      <c r="BC181">
        <f t="shared" si="87"/>
        <v>0</v>
      </c>
      <c r="BD181" s="78" t="str" cm="1">
        <f t="array" ref="BD181">IF(BC181&lt;&gt;1, "", IF(AK181&gt;0, INT(AK181/SUMPRODUCT(($AK$3:$AK$1000&gt;0)*($AK$3:$AK$1000), ($BC$3:$BC$1000))*$AB$12/AT181), INT(AK181/SUMPRODUCT(($AK$3:$AK$1000&lt;0)*($AK$3:$AK$1000), ($BC$3:$BC$1000))*$AB$13/AT181)))</f>
        <v/>
      </c>
      <c r="BE181" t="str">
        <f t="shared" si="88"/>
        <v/>
      </c>
      <c r="BF181" s="65" t="str">
        <f t="shared" si="89"/>
        <v/>
      </c>
    </row>
    <row r="182" spans="2:58" x14ac:dyDescent="0.3">
      <c r="B182" s="18" t="s">
        <v>1088</v>
      </c>
      <c r="C182" s="18" t="s">
        <v>1206</v>
      </c>
      <c r="D182" s="18" t="s">
        <v>1301</v>
      </c>
      <c r="E182" s="44" t="s">
        <v>1209</v>
      </c>
      <c r="F182" s="18" t="s">
        <v>23</v>
      </c>
      <c r="G182" s="18" t="s">
        <v>10</v>
      </c>
      <c r="H182" s="19">
        <v>255.48056985000002</v>
      </c>
      <c r="I182" s="18">
        <v>-1578</v>
      </c>
      <c r="J182" s="20">
        <v>32.450000000000003</v>
      </c>
      <c r="K182" s="19">
        <v>-51206.100000000006</v>
      </c>
      <c r="L182" s="12">
        <f t="shared" si="69"/>
        <v>-3.4137400000000002E-3</v>
      </c>
      <c r="M182" s="12">
        <f t="shared" si="70"/>
        <v>-3.7075180226570528E-3</v>
      </c>
      <c r="N182" s="15" t="str">
        <f t="shared" si="71"/>
        <v/>
      </c>
      <c r="O182" s="15" t="str">
        <f t="shared" si="72"/>
        <v/>
      </c>
      <c r="P182" s="15">
        <f t="shared" si="73"/>
        <v>1</v>
      </c>
      <c r="Q182" s="15" t="str">
        <f t="shared" si="74"/>
        <v>SellShort</v>
      </c>
      <c r="R182" s="55">
        <f t="shared" si="75"/>
        <v>135</v>
      </c>
      <c r="S182" s="33">
        <f t="shared" si="76"/>
        <v>4380.75</v>
      </c>
      <c r="T182" s="33" t="str">
        <f t="shared" si="77"/>
        <v/>
      </c>
      <c r="U182" s="15" t="str">
        <f t="shared" si="78"/>
        <v/>
      </c>
      <c r="V182" s="15">
        <f t="shared" si="79"/>
        <v>1.35</v>
      </c>
      <c r="W182" s="62">
        <f t="shared" si="80"/>
        <v>3.0816640986132513E-4</v>
      </c>
      <c r="X182" s="15"/>
      <c r="Y182" s="1">
        <f t="shared" si="81"/>
        <v>2.9377802265705263E-4</v>
      </c>
      <c r="AH182" s="35">
        <v>45714</v>
      </c>
      <c r="AI182" s="31" t="s">
        <v>776</v>
      </c>
      <c r="AJ182" s="32">
        <v>-2.5000000000000001E-3</v>
      </c>
      <c r="AK182" s="28">
        <f t="shared" si="68"/>
        <v>0</v>
      </c>
      <c r="AL182" s="28" t="s">
        <v>819</v>
      </c>
      <c r="AM182" s="28" t="s">
        <v>776</v>
      </c>
      <c r="AN182" s="28" t="s">
        <v>820</v>
      </c>
      <c r="AO182" s="28" t="s">
        <v>821</v>
      </c>
      <c r="AP182" s="28" t="s">
        <v>822</v>
      </c>
      <c r="AQ182" s="28" t="s">
        <v>73</v>
      </c>
      <c r="AR182" s="28" t="s">
        <v>26</v>
      </c>
      <c r="AS182" s="73">
        <v>7166.1617800800004</v>
      </c>
      <c r="AT182" s="8">
        <v>33.36</v>
      </c>
      <c r="AU182" s="73" t="s">
        <v>776</v>
      </c>
      <c r="AV182" s="73" t="b">
        <f t="shared" si="82"/>
        <v>1</v>
      </c>
      <c r="AW182" s="79">
        <v>77862.240000000005</v>
      </c>
      <c r="AX182" s="45" t="str">
        <f t="shared" si="83"/>
        <v/>
      </c>
      <c r="AY182" s="29">
        <f t="shared" si="84"/>
        <v>1</v>
      </c>
      <c r="AZ182" s="29" t="str">
        <f t="shared" si="85"/>
        <v/>
      </c>
      <c r="BA182" s="29" t="s">
        <v>699</v>
      </c>
      <c r="BB182" s="29">
        <f t="shared" si="86"/>
        <v>1</v>
      </c>
      <c r="BC182">
        <f t="shared" si="87"/>
        <v>0</v>
      </c>
      <c r="BD182" s="78" t="str" cm="1">
        <f t="array" ref="BD182">IF(BC182&lt;&gt;1, "", IF(AK182&gt;0, INT(AK182/SUMPRODUCT(($AK$3:$AK$1000&gt;0)*($AK$3:$AK$1000), ($BC$3:$BC$1000))*$AB$12/AT182), INT(AK182/SUMPRODUCT(($AK$3:$AK$1000&lt;0)*($AK$3:$AK$1000), ($BC$3:$BC$1000))*$AB$13/AT182)))</f>
        <v/>
      </c>
      <c r="BE182" t="str">
        <f t="shared" si="88"/>
        <v/>
      </c>
      <c r="BF182" s="65" t="str">
        <f t="shared" si="89"/>
        <v/>
      </c>
    </row>
    <row r="183" spans="2:58" x14ac:dyDescent="0.3">
      <c r="B183" s="18" t="s">
        <v>1093</v>
      </c>
      <c r="C183" s="18" t="s">
        <v>1221</v>
      </c>
      <c r="D183" s="18" t="s">
        <v>1306</v>
      </c>
      <c r="E183" s="44" t="s">
        <v>1223</v>
      </c>
      <c r="F183" s="18" t="s">
        <v>22</v>
      </c>
      <c r="G183" s="18" t="s">
        <v>10</v>
      </c>
      <c r="H183" s="19">
        <v>5170.9201800500005</v>
      </c>
      <c r="I183" s="18">
        <v>-9324</v>
      </c>
      <c r="J183" s="20">
        <v>5.93</v>
      </c>
      <c r="K183" s="19">
        <v>-55291.32</v>
      </c>
      <c r="L183" s="12">
        <f t="shared" si="69"/>
        <v>-3.6860880000000001E-3</v>
      </c>
      <c r="M183" s="12">
        <f t="shared" si="70"/>
        <v>-3.7075180226570528E-3</v>
      </c>
      <c r="N183" s="15" t="str">
        <f t="shared" si="71"/>
        <v/>
      </c>
      <c r="O183" s="15" t="str">
        <f t="shared" si="72"/>
        <v/>
      </c>
      <c r="P183" s="15" t="str">
        <f t="shared" si="73"/>
        <v/>
      </c>
      <c r="Q183" s="15" t="str">
        <f t="shared" si="74"/>
        <v/>
      </c>
      <c r="R183" s="55" t="str">
        <f t="shared" si="75"/>
        <v/>
      </c>
      <c r="S183" s="33" t="str">
        <f t="shared" si="76"/>
        <v/>
      </c>
      <c r="T183" s="33" t="str">
        <f t="shared" si="77"/>
        <v/>
      </c>
      <c r="U183" s="15" t="str">
        <f t="shared" si="78"/>
        <v/>
      </c>
      <c r="V183" s="15" t="str">
        <f t="shared" si="79"/>
        <v/>
      </c>
      <c r="W183" s="62" t="str">
        <f t="shared" si="80"/>
        <v/>
      </c>
      <c r="X183" s="15"/>
      <c r="Y183" s="1">
        <f t="shared" si="81"/>
        <v>2.1430022657052683E-5</v>
      </c>
      <c r="AH183" s="35">
        <v>45714</v>
      </c>
      <c r="AI183" s="31" t="s">
        <v>1848</v>
      </c>
      <c r="AJ183" s="32">
        <v>-2.5000000000000001E-3</v>
      </c>
      <c r="AK183" s="28">
        <f t="shared" si="68"/>
        <v>-2.5746652935118423E-3</v>
      </c>
      <c r="AL183" s="28" t="s">
        <v>1931</v>
      </c>
      <c r="AM183" s="28" t="s">
        <v>1848</v>
      </c>
      <c r="AN183" s="28" t="s">
        <v>1932</v>
      </c>
      <c r="AO183" s="28" t="s">
        <v>1933</v>
      </c>
      <c r="AP183" s="28" t="s">
        <v>1934</v>
      </c>
      <c r="AQ183" s="28" t="s">
        <v>73</v>
      </c>
      <c r="AR183" s="28" t="s">
        <v>26</v>
      </c>
      <c r="AS183" s="73">
        <v>1866.07787856</v>
      </c>
      <c r="AT183" s="8">
        <v>10.82</v>
      </c>
      <c r="AU183" s="73" t="s">
        <v>1848</v>
      </c>
      <c r="AV183" s="73" t="b">
        <f t="shared" si="82"/>
        <v>1</v>
      </c>
      <c r="AW183" s="79">
        <v>0</v>
      </c>
      <c r="AX183" s="45" t="str">
        <f t="shared" si="83"/>
        <v/>
      </c>
      <c r="AY183" s="29" t="str">
        <f t="shared" si="84"/>
        <v/>
      </c>
      <c r="AZ183" s="29" t="str">
        <f t="shared" si="85"/>
        <v/>
      </c>
      <c r="BA183" s="29" t="s">
        <v>699</v>
      </c>
      <c r="BB183" s="29">
        <f t="shared" si="86"/>
        <v>0</v>
      </c>
      <c r="BC183">
        <f t="shared" si="87"/>
        <v>1</v>
      </c>
      <c r="BD183" s="78" cm="1">
        <f t="array" ref="BD183">IF(BC183&lt;&gt;1, "", IF(AK183&gt;0, INT(AK183/SUMPRODUCT(($AK$3:$AK$1000&gt;0)*($AK$3:$AK$1000), ($BC$3:$BC$1000))*$AB$12/AT183), INT(AK183/SUMPRODUCT(($AK$3:$AK$1000&lt;0)*($AK$3:$AK$1000), ($BC$3:$BC$1000))*$AB$13/AT183)))</f>
        <v>3429</v>
      </c>
      <c r="BE183" t="str">
        <f t="shared" si="88"/>
        <v>SellShort</v>
      </c>
      <c r="BF183" s="65">
        <f t="shared" si="89"/>
        <v>37101.78</v>
      </c>
    </row>
    <row r="184" spans="2:58" x14ac:dyDescent="0.3">
      <c r="B184" s="18" t="s">
        <v>1095</v>
      </c>
      <c r="C184" s="18" t="s">
        <v>1228</v>
      </c>
      <c r="D184" s="18" t="s">
        <v>1308</v>
      </c>
      <c r="E184" s="44" t="s">
        <v>1231</v>
      </c>
      <c r="F184" s="18" t="s">
        <v>24</v>
      </c>
      <c r="G184" s="18" t="s">
        <v>10</v>
      </c>
      <c r="H184" s="19">
        <v>1902.7285696599999</v>
      </c>
      <c r="I184" s="18">
        <v>-7997</v>
      </c>
      <c r="J184" s="20">
        <v>7.31</v>
      </c>
      <c r="K184" s="19">
        <v>-58458.07</v>
      </c>
      <c r="L184" s="12">
        <f t="shared" si="69"/>
        <v>-3.8972046666666668E-3</v>
      </c>
      <c r="M184" s="12">
        <f t="shared" si="70"/>
        <v>-4.1194644696189477E-3</v>
      </c>
      <c r="N184" s="15" t="str">
        <f t="shared" si="71"/>
        <v/>
      </c>
      <c r="O184" s="15" t="str">
        <f t="shared" si="72"/>
        <v/>
      </c>
      <c r="P184" s="15">
        <f t="shared" si="73"/>
        <v>1</v>
      </c>
      <c r="Q184" s="15" t="str">
        <f t="shared" si="74"/>
        <v>SellShort</v>
      </c>
      <c r="R184" s="55">
        <f t="shared" si="75"/>
        <v>456</v>
      </c>
      <c r="S184" s="33">
        <f t="shared" si="76"/>
        <v>3333.3599999999997</v>
      </c>
      <c r="T184" s="33" t="str">
        <f t="shared" si="77"/>
        <v/>
      </c>
      <c r="U184" s="15" t="str">
        <f t="shared" si="78"/>
        <v/>
      </c>
      <c r="V184" s="15">
        <f t="shared" si="79"/>
        <v>4.5600000000000005</v>
      </c>
      <c r="W184" s="62">
        <f t="shared" si="80"/>
        <v>1.3679890560875515E-3</v>
      </c>
      <c r="X184" s="15"/>
      <c r="Y184" s="1">
        <f t="shared" si="81"/>
        <v>2.2225980295228088E-4</v>
      </c>
      <c r="AH184" s="35">
        <v>45714</v>
      </c>
      <c r="AI184" s="31" t="s">
        <v>950</v>
      </c>
      <c r="AJ184" s="32">
        <v>-2.7000000000000001E-3</v>
      </c>
      <c r="AK184" s="28">
        <f t="shared" si="68"/>
        <v>-2.7806385169927899E-3</v>
      </c>
      <c r="AL184" s="28" t="s">
        <v>973</v>
      </c>
      <c r="AM184" s="28" t="s">
        <v>950</v>
      </c>
      <c r="AN184" s="28" t="s">
        <v>1764</v>
      </c>
      <c r="AO184" s="28" t="s">
        <v>974</v>
      </c>
      <c r="AP184" s="28" t="s">
        <v>975</v>
      </c>
      <c r="AQ184" s="28" t="s">
        <v>73</v>
      </c>
      <c r="AR184" s="28" t="s">
        <v>25</v>
      </c>
      <c r="AS184" s="73">
        <v>11056.432150500001</v>
      </c>
      <c r="AT184" s="8">
        <v>69.900000000000006</v>
      </c>
      <c r="AU184" s="73" t="s">
        <v>950</v>
      </c>
      <c r="AV184" s="73" t="b">
        <f t="shared" si="82"/>
        <v>1</v>
      </c>
      <c r="AW184" s="79">
        <v>0</v>
      </c>
      <c r="AX184" s="45" t="str">
        <f t="shared" si="83"/>
        <v/>
      </c>
      <c r="AY184" s="29" t="str">
        <f t="shared" si="84"/>
        <v/>
      </c>
      <c r="AZ184" s="29" t="str">
        <f t="shared" si="85"/>
        <v/>
      </c>
      <c r="BA184" s="29" t="s">
        <v>699</v>
      </c>
      <c r="BB184" s="29">
        <f t="shared" si="86"/>
        <v>0</v>
      </c>
      <c r="BC184">
        <f t="shared" si="87"/>
        <v>0</v>
      </c>
      <c r="BD184" s="78" t="str" cm="1">
        <f t="array" ref="BD184">IF(BC184&lt;&gt;1, "", IF(AK184&gt;0, INT(AK184/SUMPRODUCT(($AK$3:$AK$1000&gt;0)*($AK$3:$AK$1000), ($BC$3:$BC$1000))*$AB$12/AT184), INT(AK184/SUMPRODUCT(($AK$3:$AK$1000&lt;0)*($AK$3:$AK$1000), ($BC$3:$BC$1000))*$AB$13/AT184)))</f>
        <v/>
      </c>
      <c r="BE184" t="str">
        <f t="shared" si="88"/>
        <v/>
      </c>
      <c r="BF184" s="65" t="str">
        <f t="shared" si="89"/>
        <v/>
      </c>
    </row>
    <row r="185" spans="2:58" x14ac:dyDescent="0.3">
      <c r="B185" s="18" t="s">
        <v>1094</v>
      </c>
      <c r="C185" s="18" t="s">
        <v>1224</v>
      </c>
      <c r="D185" s="18" t="s">
        <v>1307</v>
      </c>
      <c r="E185" s="44" t="s">
        <v>1227</v>
      </c>
      <c r="F185" s="18" t="s">
        <v>14</v>
      </c>
      <c r="G185" s="18" t="s">
        <v>10</v>
      </c>
      <c r="H185" s="19">
        <v>9407.62716</v>
      </c>
      <c r="I185" s="18">
        <v>-129</v>
      </c>
      <c r="J185" s="20">
        <v>470</v>
      </c>
      <c r="K185" s="19">
        <v>-60630</v>
      </c>
      <c r="L185" s="12">
        <f t="shared" si="69"/>
        <v>-4.0419999999999996E-3</v>
      </c>
      <c r="M185" s="12">
        <f t="shared" si="70"/>
        <v>-3.9134912461380005E-3</v>
      </c>
      <c r="N185" s="15" t="str">
        <f t="shared" si="71"/>
        <v/>
      </c>
      <c r="O185" s="15" t="str">
        <f t="shared" si="72"/>
        <v/>
      </c>
      <c r="P185" s="15">
        <f t="shared" si="73"/>
        <v>1</v>
      </c>
      <c r="Q185" s="15" t="str">
        <f t="shared" si="74"/>
        <v>BuyToCover</v>
      </c>
      <c r="R185" s="55">
        <f t="shared" si="75"/>
        <v>4</v>
      </c>
      <c r="S185" s="33">
        <f t="shared" si="76"/>
        <v>1880</v>
      </c>
      <c r="T185" s="33" t="str">
        <f t="shared" si="77"/>
        <v/>
      </c>
      <c r="U185" s="15" t="str">
        <f t="shared" si="78"/>
        <v/>
      </c>
      <c r="V185" s="15">
        <f t="shared" si="79"/>
        <v>0.04</v>
      </c>
      <c r="W185" s="62">
        <f t="shared" si="80"/>
        <v>2.1276595744680852E-5</v>
      </c>
      <c r="X185" s="15"/>
      <c r="Y185" s="1">
        <f t="shared" si="81"/>
        <v>-1.2850875386199914E-4</v>
      </c>
      <c r="AH185" s="35">
        <v>45714</v>
      </c>
      <c r="AI185" s="31" t="s">
        <v>1083</v>
      </c>
      <c r="AJ185" s="32">
        <v>-2.8999999999999998E-3</v>
      </c>
      <c r="AK185" s="28">
        <f t="shared" si="68"/>
        <v>-2.9866117404737367E-3</v>
      </c>
      <c r="AL185" s="28" t="s">
        <v>1188</v>
      </c>
      <c r="AM185" s="28" t="s">
        <v>1083</v>
      </c>
      <c r="AN185" s="28" t="s">
        <v>1753</v>
      </c>
      <c r="AO185" s="28" t="s">
        <v>1189</v>
      </c>
      <c r="AP185" s="28" t="s">
        <v>1190</v>
      </c>
      <c r="AQ185" s="28" t="s">
        <v>73</v>
      </c>
      <c r="AR185" s="28" t="s">
        <v>13</v>
      </c>
      <c r="AS185" s="73">
        <v>772.77910469999995</v>
      </c>
      <c r="AT185" s="8">
        <v>83.01</v>
      </c>
      <c r="AU185" s="73" t="s">
        <v>1083</v>
      </c>
      <c r="AV185" s="73" t="b">
        <f t="shared" si="82"/>
        <v>1</v>
      </c>
      <c r="AW185" s="79">
        <v>0</v>
      </c>
      <c r="AX185" s="45" t="str">
        <f t="shared" si="83"/>
        <v/>
      </c>
      <c r="AY185" s="29" t="str">
        <f t="shared" si="84"/>
        <v/>
      </c>
      <c r="AZ185" s="29" t="str">
        <f t="shared" si="85"/>
        <v/>
      </c>
      <c r="BA185" s="29" t="s">
        <v>699</v>
      </c>
      <c r="BB185" s="29">
        <f t="shared" si="86"/>
        <v>0</v>
      </c>
      <c r="BC185">
        <f t="shared" si="87"/>
        <v>0</v>
      </c>
      <c r="BD185" s="78" t="str" cm="1">
        <f t="array" ref="BD185">IF(BC185&lt;&gt;1, "", IF(AK185&gt;0, INT(AK185/SUMPRODUCT(($AK$3:$AK$1000&gt;0)*($AK$3:$AK$1000), ($BC$3:$BC$1000))*$AB$12/AT185), INT(AK185/SUMPRODUCT(($AK$3:$AK$1000&lt;0)*($AK$3:$AK$1000), ($BC$3:$BC$1000))*$AB$13/AT185)))</f>
        <v/>
      </c>
      <c r="BE185" t="str">
        <f t="shared" si="88"/>
        <v/>
      </c>
      <c r="BF185" s="65" t="str">
        <f t="shared" si="89"/>
        <v/>
      </c>
    </row>
    <row r="186" spans="2:58" x14ac:dyDescent="0.3">
      <c r="B186" s="18" t="s">
        <v>951</v>
      </c>
      <c r="C186" s="18" t="s">
        <v>976</v>
      </c>
      <c r="D186" s="18" t="s">
        <v>997</v>
      </c>
      <c r="E186" s="44" t="s">
        <v>979</v>
      </c>
      <c r="F186" s="18" t="s">
        <v>14</v>
      </c>
      <c r="G186" s="18" t="s">
        <v>10</v>
      </c>
      <c r="H186" s="19">
        <v>268.89365386000003</v>
      </c>
      <c r="I186" s="18">
        <v>-11736</v>
      </c>
      <c r="J186" s="20">
        <v>5.21</v>
      </c>
      <c r="K186" s="19">
        <v>-61144.56</v>
      </c>
      <c r="L186" s="12">
        <f t="shared" si="69"/>
        <v>-4.0763040000000002E-3</v>
      </c>
      <c r="M186" s="12">
        <f t="shared" si="70"/>
        <v>-4.3254376930998949E-3</v>
      </c>
      <c r="N186" s="15" t="str">
        <f t="shared" si="71"/>
        <v/>
      </c>
      <c r="O186" s="15" t="str">
        <f t="shared" si="72"/>
        <v/>
      </c>
      <c r="P186" s="15">
        <f t="shared" si="73"/>
        <v>1</v>
      </c>
      <c r="Q186" s="15" t="str">
        <f t="shared" si="74"/>
        <v>SellShort</v>
      </c>
      <c r="R186" s="55">
        <f t="shared" si="75"/>
        <v>717</v>
      </c>
      <c r="S186" s="33">
        <f t="shared" si="76"/>
        <v>3735.57</v>
      </c>
      <c r="T186" s="33" t="str">
        <f t="shared" si="77"/>
        <v/>
      </c>
      <c r="U186" s="15" t="str">
        <f t="shared" si="78"/>
        <v/>
      </c>
      <c r="V186" s="15">
        <f t="shared" si="79"/>
        <v>7.17</v>
      </c>
      <c r="W186" s="62">
        <f t="shared" si="80"/>
        <v>1.9193857965451055E-3</v>
      </c>
      <c r="X186" s="15"/>
      <c r="Y186" s="1">
        <f t="shared" si="81"/>
        <v>2.4913369309989466E-4</v>
      </c>
      <c r="AH186" s="35">
        <v>45714</v>
      </c>
      <c r="AI186" s="31" t="s">
        <v>902</v>
      </c>
      <c r="AJ186" s="32">
        <v>-3.0000000000000001E-3</v>
      </c>
      <c r="AK186" s="28">
        <f t="shared" si="68"/>
        <v>-3.0895983522142107E-3</v>
      </c>
      <c r="AL186" s="28" t="s">
        <v>918</v>
      </c>
      <c r="AM186" s="28" t="s">
        <v>902</v>
      </c>
      <c r="AN186" s="28" t="s">
        <v>919</v>
      </c>
      <c r="AO186" s="28" t="s">
        <v>920</v>
      </c>
      <c r="AP186" s="28" t="s">
        <v>921</v>
      </c>
      <c r="AQ186" s="28" t="s">
        <v>73</v>
      </c>
      <c r="AR186" s="28" t="s">
        <v>19</v>
      </c>
      <c r="AS186" s="73">
        <v>96.366767120000006</v>
      </c>
      <c r="AT186" s="8">
        <v>7.82</v>
      </c>
      <c r="AU186" s="73" t="s">
        <v>902</v>
      </c>
      <c r="AV186" s="73" t="b">
        <f t="shared" si="82"/>
        <v>1</v>
      </c>
      <c r="AW186" s="79">
        <v>0</v>
      </c>
      <c r="AX186" s="45" t="str">
        <f t="shared" si="83"/>
        <v/>
      </c>
      <c r="AY186" s="29" t="str">
        <f t="shared" si="84"/>
        <v/>
      </c>
      <c r="AZ186" s="29" t="str">
        <f t="shared" si="85"/>
        <v/>
      </c>
      <c r="BA186" s="29" t="s">
        <v>699</v>
      </c>
      <c r="BB186" s="29">
        <f t="shared" si="86"/>
        <v>0</v>
      </c>
      <c r="BC186">
        <f t="shared" si="87"/>
        <v>0</v>
      </c>
      <c r="BD186" s="78" t="str" cm="1">
        <f t="array" ref="BD186">IF(BC186&lt;&gt;1, "", IF(AK186&gt;0, INT(AK186/SUMPRODUCT(($AK$3:$AK$1000&gt;0)*($AK$3:$AK$1000), ($BC$3:$BC$1000))*$AB$12/AT186), INT(AK186/SUMPRODUCT(($AK$3:$AK$1000&lt;0)*($AK$3:$AK$1000), ($BC$3:$BC$1000))*$AB$13/AT186)))</f>
        <v/>
      </c>
      <c r="BE186" t="str">
        <f t="shared" si="88"/>
        <v/>
      </c>
      <c r="BF186" s="65" t="str">
        <f t="shared" si="89"/>
        <v/>
      </c>
    </row>
    <row r="187" spans="2:58" x14ac:dyDescent="0.3">
      <c r="B187" s="18" t="s">
        <v>581</v>
      </c>
      <c r="C187" s="18" t="s">
        <v>595</v>
      </c>
      <c r="D187" s="18" t="s">
        <v>621</v>
      </c>
      <c r="E187" s="44" t="s">
        <v>597</v>
      </c>
      <c r="F187" s="18" t="s">
        <v>13</v>
      </c>
      <c r="G187" s="18" t="s">
        <v>10</v>
      </c>
      <c r="H187" s="19">
        <v>548.68169015000001</v>
      </c>
      <c r="I187" s="18">
        <v>-7207</v>
      </c>
      <c r="J187" s="20">
        <v>8.69</v>
      </c>
      <c r="K187" s="19">
        <v>-62628.829999999994</v>
      </c>
      <c r="L187" s="12">
        <f t="shared" si="69"/>
        <v>-4.1752553333333333E-3</v>
      </c>
      <c r="M187" s="12">
        <f t="shared" si="70"/>
        <v>-4.1194644696189477E-3</v>
      </c>
      <c r="N187" s="15" t="str">
        <f t="shared" si="71"/>
        <v/>
      </c>
      <c r="O187" s="15" t="str">
        <f t="shared" si="72"/>
        <v/>
      </c>
      <c r="P187" s="15" t="str">
        <f t="shared" si="73"/>
        <v/>
      </c>
      <c r="Q187" s="15" t="str">
        <f t="shared" si="74"/>
        <v/>
      </c>
      <c r="R187" s="55" t="str">
        <f t="shared" si="75"/>
        <v/>
      </c>
      <c r="S187" s="33" t="str">
        <f t="shared" si="76"/>
        <v/>
      </c>
      <c r="T187" s="33" t="str">
        <f t="shared" si="77"/>
        <v/>
      </c>
      <c r="U187" s="15" t="str">
        <f t="shared" si="78"/>
        <v/>
      </c>
      <c r="V187" s="15" t="str">
        <f t="shared" si="79"/>
        <v/>
      </c>
      <c r="W187" s="62" t="str">
        <f t="shared" si="80"/>
        <v/>
      </c>
      <c r="X187" s="15"/>
      <c r="Y187" s="1">
        <f t="shared" si="81"/>
        <v>-5.5790863714385609E-5</v>
      </c>
      <c r="AH187" s="35">
        <v>45714</v>
      </c>
      <c r="AI187" s="31" t="s">
        <v>415</v>
      </c>
      <c r="AJ187" s="32">
        <v>-3.0999999999999999E-3</v>
      </c>
      <c r="AK187" s="28">
        <f t="shared" si="68"/>
        <v>-3.1925849639546844E-3</v>
      </c>
      <c r="AL187" s="28" t="s">
        <v>429</v>
      </c>
      <c r="AM187" s="28" t="s">
        <v>415</v>
      </c>
      <c r="AN187" s="28" t="s">
        <v>888</v>
      </c>
      <c r="AO187" s="28" t="s">
        <v>430</v>
      </c>
      <c r="AP187" s="28" t="s">
        <v>431</v>
      </c>
      <c r="AQ187" s="28" t="s">
        <v>73</v>
      </c>
      <c r="AR187" s="28" t="s">
        <v>13</v>
      </c>
      <c r="AS187" s="73">
        <v>452.14254046000002</v>
      </c>
      <c r="AT187" s="8">
        <v>14.69</v>
      </c>
      <c r="AU187" s="73" t="s">
        <v>415</v>
      </c>
      <c r="AV187" s="73" t="b">
        <f t="shared" si="82"/>
        <v>1</v>
      </c>
      <c r="AW187" s="79">
        <v>0</v>
      </c>
      <c r="AX187" s="45" t="str">
        <f t="shared" si="83"/>
        <v/>
      </c>
      <c r="AY187" s="29" t="str">
        <f t="shared" si="84"/>
        <v/>
      </c>
      <c r="AZ187" s="29" t="str">
        <f t="shared" si="85"/>
        <v/>
      </c>
      <c r="BA187" s="29" t="s">
        <v>699</v>
      </c>
      <c r="BB187" s="29">
        <f t="shared" si="86"/>
        <v>0</v>
      </c>
      <c r="BC187">
        <f t="shared" si="87"/>
        <v>0</v>
      </c>
      <c r="BD187" s="78" t="str" cm="1">
        <f t="array" ref="BD187">IF(BC187&lt;&gt;1, "", IF(AK187&gt;0, INT(AK187/SUMPRODUCT(($AK$3:$AK$1000&gt;0)*($AK$3:$AK$1000), ($BC$3:$BC$1000))*$AB$12/AT187), INT(AK187/SUMPRODUCT(($AK$3:$AK$1000&lt;0)*($AK$3:$AK$1000), ($BC$3:$BC$1000))*$AB$13/AT187)))</f>
        <v/>
      </c>
      <c r="BE187" t="str">
        <f t="shared" si="88"/>
        <v/>
      </c>
      <c r="BF187" s="65" t="str">
        <f t="shared" si="89"/>
        <v/>
      </c>
    </row>
    <row r="188" spans="2:58" x14ac:dyDescent="0.3">
      <c r="B188" s="18" t="s">
        <v>1648</v>
      </c>
      <c r="C188" s="18" t="s">
        <v>1767</v>
      </c>
      <c r="D188" s="18" t="s">
        <v>1827</v>
      </c>
      <c r="E188" s="44" t="s">
        <v>1770</v>
      </c>
      <c r="F188" s="18" t="s">
        <v>20</v>
      </c>
      <c r="G188" s="18" t="s">
        <v>10</v>
      </c>
      <c r="H188" s="19">
        <v>6802.0664399999996</v>
      </c>
      <c r="I188" s="18">
        <v>-546</v>
      </c>
      <c r="J188" s="20">
        <v>120.51</v>
      </c>
      <c r="K188" s="19">
        <v>-65798.460000000006</v>
      </c>
      <c r="L188" s="12">
        <f t="shared" si="69"/>
        <v>-4.3865640000000008E-3</v>
      </c>
      <c r="M188" s="12">
        <f t="shared" si="70"/>
        <v>-4.5314109165808429E-3</v>
      </c>
      <c r="N188" s="15" t="str">
        <f t="shared" si="71"/>
        <v/>
      </c>
      <c r="O188" s="15" t="str">
        <f t="shared" si="72"/>
        <v/>
      </c>
      <c r="P188" s="15">
        <f t="shared" si="73"/>
        <v>1</v>
      </c>
      <c r="Q188" s="15" t="str">
        <f t="shared" si="74"/>
        <v>SellShort</v>
      </c>
      <c r="R188" s="55">
        <f t="shared" si="75"/>
        <v>18</v>
      </c>
      <c r="S188" s="33">
        <f t="shared" si="76"/>
        <v>2169.1800000000003</v>
      </c>
      <c r="T188" s="33" t="str">
        <f t="shared" si="77"/>
        <v/>
      </c>
      <c r="U188" s="15" t="str">
        <f t="shared" si="78"/>
        <v/>
      </c>
      <c r="V188" s="15">
        <f t="shared" si="79"/>
        <v>0.18</v>
      </c>
      <c r="W188" s="62">
        <f t="shared" si="80"/>
        <v>8.298066550493734E-5</v>
      </c>
      <c r="X188" s="15"/>
      <c r="Y188" s="1">
        <f t="shared" si="81"/>
        <v>1.4484691658084217E-4</v>
      </c>
      <c r="AH188" s="35">
        <v>45714</v>
      </c>
      <c r="AI188" s="31" t="s">
        <v>1417</v>
      </c>
      <c r="AJ188" s="32">
        <v>-3.3999999999999998E-3</v>
      </c>
      <c r="AK188" s="28">
        <f t="shared" si="68"/>
        <v>-3.5015447991761056E-3</v>
      </c>
      <c r="AL188" s="28" t="s">
        <v>1467</v>
      </c>
      <c r="AM188" s="28" t="s">
        <v>1417</v>
      </c>
      <c r="AN188" s="28" t="s">
        <v>1468</v>
      </c>
      <c r="AO188" s="28" t="s">
        <v>1469</v>
      </c>
      <c r="AP188" s="28" t="s">
        <v>1470</v>
      </c>
      <c r="AQ188" s="28" t="s">
        <v>73</v>
      </c>
      <c r="AR188" s="28" t="s">
        <v>11</v>
      </c>
      <c r="AS188" s="73">
        <v>15945.023410719999</v>
      </c>
      <c r="AT188" s="8">
        <v>310.33999999999997</v>
      </c>
      <c r="AU188" s="73" t="s">
        <v>1417</v>
      </c>
      <c r="AV188" s="73" t="b">
        <f t="shared" si="82"/>
        <v>1</v>
      </c>
      <c r="AW188" s="79">
        <v>0</v>
      </c>
      <c r="AX188" s="45" t="str">
        <f t="shared" si="83"/>
        <v/>
      </c>
      <c r="AY188" s="29" t="str">
        <f t="shared" si="84"/>
        <v/>
      </c>
      <c r="AZ188" s="29" t="str">
        <f t="shared" si="85"/>
        <v/>
      </c>
      <c r="BA188" s="29" t="s">
        <v>699</v>
      </c>
      <c r="BB188" s="29">
        <f t="shared" si="86"/>
        <v>0</v>
      </c>
      <c r="BC188">
        <f t="shared" si="87"/>
        <v>0</v>
      </c>
      <c r="BD188" s="78" t="str" cm="1">
        <f t="array" ref="BD188">IF(BC188&lt;&gt;1, "", IF(AK188&gt;0, INT(AK188/SUMPRODUCT(($AK$3:$AK$1000&gt;0)*($AK$3:$AK$1000), ($BC$3:$BC$1000))*$AB$12/AT188), INT(AK188/SUMPRODUCT(($AK$3:$AK$1000&lt;0)*($AK$3:$AK$1000), ($BC$3:$BC$1000))*$AB$13/AT188)))</f>
        <v/>
      </c>
      <c r="BE188" t="str">
        <f t="shared" si="88"/>
        <v/>
      </c>
      <c r="BF188" s="65" t="str">
        <f t="shared" si="89"/>
        <v/>
      </c>
    </row>
    <row r="189" spans="2:58" x14ac:dyDescent="0.3">
      <c r="B189" s="18" t="s">
        <v>41</v>
      </c>
      <c r="C189" s="18" t="s">
        <v>44</v>
      </c>
      <c r="D189" s="18" t="s">
        <v>93</v>
      </c>
      <c r="E189" s="44" t="s">
        <v>63</v>
      </c>
      <c r="F189" s="18" t="s">
        <v>23</v>
      </c>
      <c r="G189" s="18" t="s">
        <v>10</v>
      </c>
      <c r="H189" s="19">
        <v>318.38956590000004</v>
      </c>
      <c r="I189" s="18">
        <v>-8522</v>
      </c>
      <c r="J189" s="20">
        <v>7.95</v>
      </c>
      <c r="K189" s="19">
        <v>-67749.900000000009</v>
      </c>
      <c r="L189" s="12">
        <f t="shared" si="69"/>
        <v>-4.5166600000000005E-3</v>
      </c>
      <c r="M189" s="12">
        <f t="shared" si="70"/>
        <v>-4.5314109165808429E-3</v>
      </c>
      <c r="N189" s="15" t="str">
        <f t="shared" si="71"/>
        <v/>
      </c>
      <c r="O189" s="15" t="str">
        <f t="shared" si="72"/>
        <v/>
      </c>
      <c r="P189" s="15" t="str">
        <f t="shared" si="73"/>
        <v/>
      </c>
      <c r="Q189" s="15" t="str">
        <f t="shared" si="74"/>
        <v/>
      </c>
      <c r="R189" s="55" t="str">
        <f t="shared" si="75"/>
        <v/>
      </c>
      <c r="S189" s="33" t="str">
        <f t="shared" si="76"/>
        <v/>
      </c>
      <c r="T189" s="33" t="str">
        <f t="shared" si="77"/>
        <v/>
      </c>
      <c r="U189" s="15" t="str">
        <f t="shared" si="78"/>
        <v/>
      </c>
      <c r="V189" s="15" t="str">
        <f t="shared" si="79"/>
        <v/>
      </c>
      <c r="W189" s="62" t="str">
        <f t="shared" si="80"/>
        <v/>
      </c>
      <c r="X189" s="15"/>
      <c r="Y189" s="1">
        <f t="shared" si="81"/>
        <v>1.4750916580842481E-5</v>
      </c>
      <c r="AH189" s="35">
        <v>45714</v>
      </c>
      <c r="AI189" s="31" t="s">
        <v>1520</v>
      </c>
      <c r="AJ189" s="32">
        <v>-3.3999999999999998E-3</v>
      </c>
      <c r="AK189" s="28">
        <f t="shared" si="68"/>
        <v>-3.5015447991761056E-3</v>
      </c>
      <c r="AL189" s="28" t="s">
        <v>1596</v>
      </c>
      <c r="AM189" s="28" t="s">
        <v>1520</v>
      </c>
      <c r="AN189" s="28" t="s">
        <v>1765</v>
      </c>
      <c r="AO189" s="28" t="s">
        <v>1597</v>
      </c>
      <c r="AP189" s="28" t="s">
        <v>1598</v>
      </c>
      <c r="AQ189" s="28" t="s">
        <v>73</v>
      </c>
      <c r="AR189" s="28" t="s">
        <v>13</v>
      </c>
      <c r="AS189" s="73">
        <v>4022.2141215900001</v>
      </c>
      <c r="AT189" s="8">
        <v>9.11</v>
      </c>
      <c r="AU189" s="73" t="s">
        <v>1520</v>
      </c>
      <c r="AV189" s="73" t="b">
        <f t="shared" si="82"/>
        <v>1</v>
      </c>
      <c r="AW189" s="79">
        <v>0</v>
      </c>
      <c r="AX189" s="45" t="str">
        <f t="shared" si="83"/>
        <v/>
      </c>
      <c r="AY189" s="29" t="str">
        <f t="shared" si="84"/>
        <v/>
      </c>
      <c r="AZ189" s="29" t="str">
        <f t="shared" si="85"/>
        <v/>
      </c>
      <c r="BA189" s="29" t="s">
        <v>699</v>
      </c>
      <c r="BB189" s="29">
        <f t="shared" si="86"/>
        <v>0</v>
      </c>
      <c r="BC189">
        <f t="shared" si="87"/>
        <v>0</v>
      </c>
      <c r="BD189" s="78" t="str" cm="1">
        <f t="array" ref="BD189">IF(BC189&lt;&gt;1, "", IF(AK189&gt;0, INT(AK189/SUMPRODUCT(($AK$3:$AK$1000&gt;0)*($AK$3:$AK$1000), ($BC$3:$BC$1000))*$AB$12/AT189), INT(AK189/SUMPRODUCT(($AK$3:$AK$1000&lt;0)*($AK$3:$AK$1000), ($BC$3:$BC$1000))*$AB$13/AT189)))</f>
        <v/>
      </c>
      <c r="BE189" t="str">
        <f t="shared" si="88"/>
        <v/>
      </c>
      <c r="BF189" s="65" t="str">
        <f t="shared" si="89"/>
        <v/>
      </c>
    </row>
    <row r="190" spans="2:58" x14ac:dyDescent="0.3">
      <c r="B190" s="18" t="s">
        <v>483</v>
      </c>
      <c r="C190" s="18" t="s">
        <v>490</v>
      </c>
      <c r="D190" s="18" t="s">
        <v>494</v>
      </c>
      <c r="E190" s="44" t="s">
        <v>492</v>
      </c>
      <c r="F190" s="18" t="s">
        <v>23</v>
      </c>
      <c r="G190" s="18" t="s">
        <v>10</v>
      </c>
      <c r="H190" s="19">
        <v>875.95441719000007</v>
      </c>
      <c r="I190" s="18">
        <v>-10683</v>
      </c>
      <c r="J190" s="20">
        <v>6.61</v>
      </c>
      <c r="K190" s="19">
        <v>-70614.63</v>
      </c>
      <c r="L190" s="12">
        <f t="shared" si="69"/>
        <v>-4.7076420000000006E-3</v>
      </c>
      <c r="M190" s="12">
        <f t="shared" si="70"/>
        <v>-4.5314109165808429E-3</v>
      </c>
      <c r="N190" s="15" t="str">
        <f t="shared" si="71"/>
        <v/>
      </c>
      <c r="O190" s="15" t="str">
        <f t="shared" si="72"/>
        <v/>
      </c>
      <c r="P190" s="15">
        <f t="shared" si="73"/>
        <v>1</v>
      </c>
      <c r="Q190" s="15" t="str">
        <f t="shared" si="74"/>
        <v>BuyToCover</v>
      </c>
      <c r="R190" s="55">
        <f t="shared" si="75"/>
        <v>399</v>
      </c>
      <c r="S190" s="33">
        <f t="shared" si="76"/>
        <v>2637.3900000000003</v>
      </c>
      <c r="T190" s="33" t="str">
        <f t="shared" si="77"/>
        <v/>
      </c>
      <c r="U190" s="15" t="str">
        <f t="shared" si="78"/>
        <v/>
      </c>
      <c r="V190" s="15">
        <f t="shared" si="79"/>
        <v>3.99</v>
      </c>
      <c r="W190" s="62">
        <f t="shared" si="80"/>
        <v>1.5128593040847199E-3</v>
      </c>
      <c r="X190" s="15"/>
      <c r="Y190" s="1">
        <f t="shared" si="81"/>
        <v>-1.7623108341915765E-4</v>
      </c>
      <c r="AH190" s="35">
        <v>45714</v>
      </c>
      <c r="AI190" s="31" t="s">
        <v>1088</v>
      </c>
      <c r="AJ190" s="32">
        <v>-3.5999999999999999E-3</v>
      </c>
      <c r="AK190" s="28">
        <f t="shared" si="68"/>
        <v>-3.7075180226570528E-3</v>
      </c>
      <c r="AL190" s="28" t="s">
        <v>1206</v>
      </c>
      <c r="AM190" s="28" t="s">
        <v>1088</v>
      </c>
      <c r="AN190" s="28" t="s">
        <v>1207</v>
      </c>
      <c r="AO190" s="28" t="s">
        <v>1208</v>
      </c>
      <c r="AP190" s="28" t="s">
        <v>1209</v>
      </c>
      <c r="AQ190" s="28" t="s">
        <v>73</v>
      </c>
      <c r="AR190" s="28" t="s">
        <v>23</v>
      </c>
      <c r="AS190" s="73">
        <v>255.48056984999999</v>
      </c>
      <c r="AT190" s="8">
        <v>32.450000000000003</v>
      </c>
      <c r="AU190" s="73" t="s">
        <v>1088</v>
      </c>
      <c r="AV190" s="73" t="b">
        <f t="shared" si="82"/>
        <v>1</v>
      </c>
      <c r="AW190" s="79">
        <v>0</v>
      </c>
      <c r="AX190" s="45" t="str">
        <f t="shared" si="83"/>
        <v/>
      </c>
      <c r="AY190" s="29" t="str">
        <f t="shared" si="84"/>
        <v/>
      </c>
      <c r="AZ190" s="29" t="str">
        <f t="shared" si="85"/>
        <v/>
      </c>
      <c r="BA190" s="29" t="s">
        <v>699</v>
      </c>
      <c r="BB190" s="29">
        <f t="shared" si="86"/>
        <v>0</v>
      </c>
      <c r="BC190">
        <f t="shared" si="87"/>
        <v>0</v>
      </c>
      <c r="BD190" s="78" t="str" cm="1">
        <f t="array" ref="BD190">IF(BC190&lt;&gt;1, "", IF(AK190&gt;0, INT(AK190/SUMPRODUCT(($AK$3:$AK$1000&gt;0)*($AK$3:$AK$1000), ($BC$3:$BC$1000))*$AB$12/AT190), INT(AK190/SUMPRODUCT(($AK$3:$AK$1000&lt;0)*($AK$3:$AK$1000), ($BC$3:$BC$1000))*$AB$13/AT190)))</f>
        <v/>
      </c>
      <c r="BE190" t="str">
        <f t="shared" si="88"/>
        <v/>
      </c>
      <c r="BF190" s="65" t="str">
        <f t="shared" si="89"/>
        <v/>
      </c>
    </row>
    <row r="191" spans="2:58" x14ac:dyDescent="0.3">
      <c r="B191" s="18" t="s">
        <v>681</v>
      </c>
      <c r="C191" s="18" t="s">
        <v>683</v>
      </c>
      <c r="D191" s="18" t="s">
        <v>841</v>
      </c>
      <c r="E191" s="44" t="s">
        <v>685</v>
      </c>
      <c r="F191" s="18" t="s">
        <v>24</v>
      </c>
      <c r="G191" s="18" t="s">
        <v>10</v>
      </c>
      <c r="H191" s="19">
        <v>62011.661974329996</v>
      </c>
      <c r="I191" s="18">
        <v>-744</v>
      </c>
      <c r="J191" s="20">
        <v>95.77</v>
      </c>
      <c r="K191" s="19">
        <v>-71252.87999999999</v>
      </c>
      <c r="L191" s="12">
        <f t="shared" si="69"/>
        <v>-4.7501919999999994E-3</v>
      </c>
      <c r="M191" s="12">
        <f t="shared" si="70"/>
        <v>-4.8403707518022638E-3</v>
      </c>
      <c r="N191" s="15" t="str">
        <f t="shared" si="71"/>
        <v/>
      </c>
      <c r="O191" s="15" t="str">
        <f t="shared" si="72"/>
        <v/>
      </c>
      <c r="P191" s="15" t="str">
        <f t="shared" si="73"/>
        <v/>
      </c>
      <c r="Q191" s="15" t="str">
        <f t="shared" si="74"/>
        <v/>
      </c>
      <c r="R191" s="55" t="str">
        <f t="shared" si="75"/>
        <v/>
      </c>
      <c r="S191" s="33" t="str">
        <f t="shared" si="76"/>
        <v/>
      </c>
      <c r="T191" s="33" t="str">
        <f t="shared" si="77"/>
        <v/>
      </c>
      <c r="U191" s="15" t="str">
        <f t="shared" si="78"/>
        <v/>
      </c>
      <c r="V191" s="15" t="str">
        <f t="shared" si="79"/>
        <v/>
      </c>
      <c r="W191" s="62" t="str">
        <f t="shared" si="80"/>
        <v/>
      </c>
      <c r="X191" s="15"/>
      <c r="Y191" s="1">
        <f t="shared" si="81"/>
        <v>9.0178751802264326E-5</v>
      </c>
      <c r="AH191" s="35">
        <v>45714</v>
      </c>
      <c r="AI191" s="31" t="s">
        <v>949</v>
      </c>
      <c r="AJ191" s="32">
        <v>-3.5999999999999999E-3</v>
      </c>
      <c r="AK191" s="28">
        <f t="shared" si="68"/>
        <v>-3.7075180226570528E-3</v>
      </c>
      <c r="AL191" s="28" t="s">
        <v>969</v>
      </c>
      <c r="AM191" s="28" t="s">
        <v>949</v>
      </c>
      <c r="AN191" s="28" t="s">
        <v>970</v>
      </c>
      <c r="AO191" s="28" t="s">
        <v>971</v>
      </c>
      <c r="AP191" s="28" t="s">
        <v>972</v>
      </c>
      <c r="AQ191" s="28" t="s">
        <v>73</v>
      </c>
      <c r="AR191" s="28" t="s">
        <v>13</v>
      </c>
      <c r="AS191" s="73">
        <v>150.87490131999999</v>
      </c>
      <c r="AT191" s="8">
        <v>8.36</v>
      </c>
      <c r="AU191" s="73" t="s">
        <v>949</v>
      </c>
      <c r="AV191" s="73" t="b">
        <f t="shared" si="82"/>
        <v>1</v>
      </c>
      <c r="AW191" s="79">
        <v>0</v>
      </c>
      <c r="AX191" s="45" t="str">
        <f t="shared" si="83"/>
        <v/>
      </c>
      <c r="AY191" s="29" t="str">
        <f t="shared" si="84"/>
        <v/>
      </c>
      <c r="AZ191" s="29" t="str">
        <f t="shared" si="85"/>
        <v/>
      </c>
      <c r="BA191" s="29" t="s">
        <v>699</v>
      </c>
      <c r="BB191" s="29">
        <f t="shared" si="86"/>
        <v>0</v>
      </c>
      <c r="BC191">
        <f t="shared" si="87"/>
        <v>0</v>
      </c>
      <c r="BD191" s="78" t="str" cm="1">
        <f t="array" ref="BD191">IF(BC191&lt;&gt;1, "", IF(AK191&gt;0, INT(AK191/SUMPRODUCT(($AK$3:$AK$1000&gt;0)*($AK$3:$AK$1000), ($BC$3:$BC$1000))*$AB$12/AT191), INT(AK191/SUMPRODUCT(($AK$3:$AK$1000&lt;0)*($AK$3:$AK$1000), ($BC$3:$BC$1000))*$AB$13/AT191)))</f>
        <v/>
      </c>
      <c r="BE191" t="str">
        <f t="shared" si="88"/>
        <v/>
      </c>
      <c r="BF191" s="65" t="str">
        <f t="shared" si="89"/>
        <v/>
      </c>
    </row>
    <row r="192" spans="2:58" x14ac:dyDescent="0.3">
      <c r="B192" s="18" t="s">
        <v>1330</v>
      </c>
      <c r="C192" s="18" t="s">
        <v>1374</v>
      </c>
      <c r="D192" s="18" t="s">
        <v>1397</v>
      </c>
      <c r="E192" s="44" t="s">
        <v>1377</v>
      </c>
      <c r="F192" s="18" t="s">
        <v>24</v>
      </c>
      <c r="G192" s="18" t="s">
        <v>10</v>
      </c>
      <c r="H192" s="19">
        <v>487.13750553000006</v>
      </c>
      <c r="I192" s="18">
        <v>-4368</v>
      </c>
      <c r="J192" s="20">
        <v>16.510000000000002</v>
      </c>
      <c r="K192" s="19">
        <v>-72115.680000000008</v>
      </c>
      <c r="L192" s="12">
        <f t="shared" si="69"/>
        <v>-4.8077120000000004E-3</v>
      </c>
      <c r="M192" s="12">
        <f t="shared" si="70"/>
        <v>-5.5612770339855799E-3</v>
      </c>
      <c r="N192" s="15" t="str">
        <f t="shared" si="71"/>
        <v/>
      </c>
      <c r="O192" s="15" t="str">
        <f t="shared" si="72"/>
        <v/>
      </c>
      <c r="P192" s="15">
        <f t="shared" si="73"/>
        <v>1</v>
      </c>
      <c r="Q192" s="15" t="str">
        <f t="shared" si="74"/>
        <v>SellShort</v>
      </c>
      <c r="R192" s="55">
        <f t="shared" si="75"/>
        <v>684</v>
      </c>
      <c r="S192" s="33">
        <f t="shared" si="76"/>
        <v>11292.840000000002</v>
      </c>
      <c r="T192" s="33" t="str">
        <f t="shared" si="77"/>
        <v/>
      </c>
      <c r="U192" s="15" t="str">
        <f t="shared" si="78"/>
        <v/>
      </c>
      <c r="V192" s="15">
        <f t="shared" si="79"/>
        <v>6.84</v>
      </c>
      <c r="W192" s="62">
        <f t="shared" si="80"/>
        <v>6.0569351907934573E-4</v>
      </c>
      <c r="X192" s="15"/>
      <c r="Y192" s="1">
        <f t="shared" si="81"/>
        <v>7.5356503398557942E-4</v>
      </c>
      <c r="AH192" s="35">
        <v>45714</v>
      </c>
      <c r="AI192" s="31" t="s">
        <v>1093</v>
      </c>
      <c r="AJ192" s="32">
        <v>-3.5999999999999999E-3</v>
      </c>
      <c r="AK192" s="28">
        <f t="shared" si="68"/>
        <v>-3.7075180226570528E-3</v>
      </c>
      <c r="AL192" s="28" t="s">
        <v>1221</v>
      </c>
      <c r="AM192" s="28" t="s">
        <v>1093</v>
      </c>
      <c r="AN192" s="28" t="s">
        <v>1766</v>
      </c>
      <c r="AO192" s="28" t="s">
        <v>1222</v>
      </c>
      <c r="AP192" s="28" t="s">
        <v>1223</v>
      </c>
      <c r="AQ192" s="28" t="s">
        <v>73</v>
      </c>
      <c r="AR192" s="28" t="s">
        <v>22</v>
      </c>
      <c r="AS192" s="73">
        <v>5170.9201800500005</v>
      </c>
      <c r="AT192" s="8">
        <v>5.93</v>
      </c>
      <c r="AU192" s="73" t="s">
        <v>1093</v>
      </c>
      <c r="AV192" s="73" t="b">
        <f t="shared" si="82"/>
        <v>1</v>
      </c>
      <c r="AW192" s="79">
        <v>0</v>
      </c>
      <c r="AX192" s="45" t="str">
        <f t="shared" si="83"/>
        <v/>
      </c>
      <c r="AY192" s="29" t="str">
        <f t="shared" si="84"/>
        <v/>
      </c>
      <c r="AZ192" s="29" t="str">
        <f t="shared" si="85"/>
        <v/>
      </c>
      <c r="BA192" s="29" t="s">
        <v>699</v>
      </c>
      <c r="BB192" s="29">
        <f t="shared" si="86"/>
        <v>0</v>
      </c>
      <c r="BC192">
        <f t="shared" si="87"/>
        <v>0</v>
      </c>
      <c r="BD192" s="78" t="str" cm="1">
        <f t="array" ref="BD192">IF(BC192&lt;&gt;1, "", IF(AK192&gt;0, INT(AK192/SUMPRODUCT(($AK$3:$AK$1000&gt;0)*($AK$3:$AK$1000), ($BC$3:$BC$1000))*$AB$12/AT192), INT(AK192/SUMPRODUCT(($AK$3:$AK$1000&lt;0)*($AK$3:$AK$1000), ($BC$3:$BC$1000))*$AB$13/AT192)))</f>
        <v/>
      </c>
      <c r="BE192" t="str">
        <f t="shared" si="88"/>
        <v/>
      </c>
      <c r="BF192" s="65" t="str">
        <f t="shared" si="89"/>
        <v/>
      </c>
    </row>
    <row r="193" spans="2:58" x14ac:dyDescent="0.3">
      <c r="B193" s="18" t="s">
        <v>631</v>
      </c>
      <c r="C193" s="18" t="s">
        <v>644</v>
      </c>
      <c r="D193" s="18" t="s">
        <v>655</v>
      </c>
      <c r="E193" s="44" t="s">
        <v>639</v>
      </c>
      <c r="F193" s="18" t="s">
        <v>23</v>
      </c>
      <c r="G193" s="18" t="s">
        <v>10</v>
      </c>
      <c r="H193" s="19">
        <v>11465.665159200002</v>
      </c>
      <c r="I193" s="18">
        <v>-313</v>
      </c>
      <c r="J193" s="20">
        <v>232.8</v>
      </c>
      <c r="K193" s="19">
        <v>-72866.400000000009</v>
      </c>
      <c r="L193" s="12">
        <f t="shared" si="69"/>
        <v>-4.8577600000000009E-3</v>
      </c>
      <c r="M193" s="12">
        <f t="shared" si="70"/>
        <v>-4.7373841400617902E-3</v>
      </c>
      <c r="N193" s="15" t="str">
        <f t="shared" si="71"/>
        <v/>
      </c>
      <c r="O193" s="15" t="str">
        <f t="shared" si="72"/>
        <v/>
      </c>
      <c r="P193" s="15">
        <f t="shared" si="73"/>
        <v>1</v>
      </c>
      <c r="Q193" s="15" t="str">
        <f t="shared" si="74"/>
        <v>BuyToCover</v>
      </c>
      <c r="R193" s="55">
        <f t="shared" si="75"/>
        <v>7</v>
      </c>
      <c r="S193" s="33">
        <f t="shared" si="76"/>
        <v>1629.6000000000001</v>
      </c>
      <c r="T193" s="33" t="str">
        <f t="shared" si="77"/>
        <v/>
      </c>
      <c r="U193" s="15" t="str">
        <f t="shared" si="78"/>
        <v/>
      </c>
      <c r="V193" s="15">
        <f t="shared" si="79"/>
        <v>7.0000000000000007E-2</v>
      </c>
      <c r="W193" s="62">
        <f t="shared" si="80"/>
        <v>4.2955326460481103E-5</v>
      </c>
      <c r="X193" s="15"/>
      <c r="Y193" s="1">
        <f t="shared" si="81"/>
        <v>-1.2037585993821074E-4</v>
      </c>
      <c r="AH193" s="35">
        <v>45714</v>
      </c>
      <c r="AI193" s="31" t="s">
        <v>1094</v>
      </c>
      <c r="AJ193" s="32">
        <v>-3.8E-3</v>
      </c>
      <c r="AK193" s="28">
        <f t="shared" si="68"/>
        <v>-3.9134912461380005E-3</v>
      </c>
      <c r="AL193" s="28" t="s">
        <v>1224</v>
      </c>
      <c r="AM193" s="28" t="s">
        <v>1094</v>
      </c>
      <c r="AN193" s="28" t="s">
        <v>1225</v>
      </c>
      <c r="AO193" s="28" t="s">
        <v>1226</v>
      </c>
      <c r="AP193" s="28" t="s">
        <v>1227</v>
      </c>
      <c r="AQ193" s="28" t="s">
        <v>73</v>
      </c>
      <c r="AR193" s="28" t="s">
        <v>14</v>
      </c>
      <c r="AS193" s="73">
        <v>9407.62716</v>
      </c>
      <c r="AT193" s="8">
        <v>470</v>
      </c>
      <c r="AU193" s="73" t="s">
        <v>1094</v>
      </c>
      <c r="AV193" s="73" t="b">
        <f t="shared" si="82"/>
        <v>1</v>
      </c>
      <c r="AW193" s="79">
        <v>0</v>
      </c>
      <c r="AX193" s="45" t="str">
        <f t="shared" si="83"/>
        <v/>
      </c>
      <c r="AY193" s="29" t="str">
        <f t="shared" si="84"/>
        <v/>
      </c>
      <c r="AZ193" s="29" t="str">
        <f t="shared" si="85"/>
        <v/>
      </c>
      <c r="BA193" s="29" t="s">
        <v>699</v>
      </c>
      <c r="BB193" s="29">
        <f t="shared" si="86"/>
        <v>0</v>
      </c>
      <c r="BC193">
        <f t="shared" si="87"/>
        <v>0</v>
      </c>
      <c r="BD193" s="78" t="str" cm="1">
        <f t="array" ref="BD193">IF(BC193&lt;&gt;1, "", IF(AK193&gt;0, INT(AK193/SUMPRODUCT(($AK$3:$AK$1000&gt;0)*($AK$3:$AK$1000), ($BC$3:$BC$1000))*$AB$12/AT193), INT(AK193/SUMPRODUCT(($AK$3:$AK$1000&lt;0)*($AK$3:$AK$1000), ($BC$3:$BC$1000))*$AB$13/AT193)))</f>
        <v/>
      </c>
      <c r="BE193" t="str">
        <f t="shared" si="88"/>
        <v/>
      </c>
      <c r="BF193" s="65" t="str">
        <f t="shared" si="89"/>
        <v/>
      </c>
    </row>
    <row r="194" spans="2:58" x14ac:dyDescent="0.3">
      <c r="B194" s="18" t="s">
        <v>1521</v>
      </c>
      <c r="C194" s="18" t="s">
        <v>1599</v>
      </c>
      <c r="D194" s="18" t="s">
        <v>1629</v>
      </c>
      <c r="E194" s="44" t="s">
        <v>1602</v>
      </c>
      <c r="F194" s="18" t="s">
        <v>19</v>
      </c>
      <c r="G194" s="18" t="s">
        <v>10</v>
      </c>
      <c r="H194" s="19">
        <v>3069.4471584600001</v>
      </c>
      <c r="I194" s="18">
        <v>-15513</v>
      </c>
      <c r="J194" s="20">
        <v>4.78</v>
      </c>
      <c r="K194" s="19">
        <v>-74152.14</v>
      </c>
      <c r="L194" s="12">
        <f t="shared" si="69"/>
        <v>-4.9434759999999996E-3</v>
      </c>
      <c r="M194" s="12">
        <f t="shared" si="70"/>
        <v>-7.7239958805355264E-3</v>
      </c>
      <c r="N194" s="15" t="str">
        <f t="shared" si="71"/>
        <v/>
      </c>
      <c r="O194" s="15" t="str">
        <f t="shared" si="72"/>
        <v/>
      </c>
      <c r="P194" s="15">
        <f t="shared" si="73"/>
        <v>1</v>
      </c>
      <c r="Q194" s="15" t="str">
        <f t="shared" si="74"/>
        <v>SellShort</v>
      </c>
      <c r="R194" s="55">
        <f t="shared" si="75"/>
        <v>8725</v>
      </c>
      <c r="S194" s="33">
        <f t="shared" si="76"/>
        <v>41705.5</v>
      </c>
      <c r="T194" s="33" t="str">
        <f t="shared" si="77"/>
        <v/>
      </c>
      <c r="U194" s="15" t="str">
        <f t="shared" si="78"/>
        <v/>
      </c>
      <c r="V194" s="15">
        <f t="shared" si="79"/>
        <v>87.25</v>
      </c>
      <c r="W194" s="62">
        <f t="shared" si="80"/>
        <v>2.0920502092050207E-3</v>
      </c>
      <c r="X194" s="15"/>
      <c r="Y194" s="1">
        <f t="shared" si="81"/>
        <v>2.7805198805355268E-3</v>
      </c>
      <c r="AH194" s="35">
        <v>45714</v>
      </c>
      <c r="AI194" s="31" t="s">
        <v>581</v>
      </c>
      <c r="AJ194" s="32">
        <v>-4.0000000000000001E-3</v>
      </c>
      <c r="AK194" s="28">
        <f t="shared" si="68"/>
        <v>-4.1194644696189477E-3</v>
      </c>
      <c r="AL194" s="28" t="s">
        <v>595</v>
      </c>
      <c r="AM194" s="28" t="s">
        <v>581</v>
      </c>
      <c r="AN194" s="28" t="s">
        <v>671</v>
      </c>
      <c r="AO194" s="28" t="s">
        <v>596</v>
      </c>
      <c r="AP194" s="28" t="s">
        <v>597</v>
      </c>
      <c r="AQ194" s="28" t="s">
        <v>73</v>
      </c>
      <c r="AR194" s="28" t="s">
        <v>13</v>
      </c>
      <c r="AS194" s="73">
        <v>548.68169015000001</v>
      </c>
      <c r="AT194" s="8">
        <v>8.69</v>
      </c>
      <c r="AU194" s="73" t="s">
        <v>581</v>
      </c>
      <c r="AV194" s="73" t="b">
        <f t="shared" si="82"/>
        <v>1</v>
      </c>
      <c r="AW194" s="79">
        <v>0</v>
      </c>
      <c r="AX194" s="45" t="str">
        <f t="shared" si="83"/>
        <v/>
      </c>
      <c r="AY194" s="29" t="str">
        <f t="shared" si="84"/>
        <v/>
      </c>
      <c r="AZ194" s="29" t="str">
        <f t="shared" si="85"/>
        <v/>
      </c>
      <c r="BA194" s="29" t="s">
        <v>699</v>
      </c>
      <c r="BB194" s="29">
        <f t="shared" si="86"/>
        <v>0</v>
      </c>
      <c r="BC194">
        <f t="shared" si="87"/>
        <v>0</v>
      </c>
      <c r="BD194" s="78" t="str" cm="1">
        <f t="array" ref="BD194">IF(BC194&lt;&gt;1, "", IF(AK194&gt;0, INT(AK194/SUMPRODUCT(($AK$3:$AK$1000&gt;0)*($AK$3:$AK$1000), ($BC$3:$BC$1000))*$AB$12/AT194), INT(AK194/SUMPRODUCT(($AK$3:$AK$1000&lt;0)*($AK$3:$AK$1000), ($BC$3:$BC$1000))*$AB$13/AT194)))</f>
        <v/>
      </c>
      <c r="BE194" t="str">
        <f t="shared" si="88"/>
        <v/>
      </c>
      <c r="BF194" s="65" t="str">
        <f t="shared" si="89"/>
        <v/>
      </c>
    </row>
    <row r="195" spans="2:58" x14ac:dyDescent="0.3">
      <c r="B195" s="18" t="s">
        <v>1649</v>
      </c>
      <c r="C195" s="18" t="s">
        <v>1773</v>
      </c>
      <c r="D195" s="18" t="s">
        <v>1828</v>
      </c>
      <c r="E195" s="44" t="s">
        <v>1776</v>
      </c>
      <c r="F195" s="18" t="s">
        <v>19</v>
      </c>
      <c r="G195" s="18" t="s">
        <v>10</v>
      </c>
      <c r="H195" s="19">
        <v>1673.2858885599999</v>
      </c>
      <c r="I195" s="18">
        <v>-6694</v>
      </c>
      <c r="J195" s="20">
        <v>11.44</v>
      </c>
      <c r="K195" s="19">
        <v>-76579.360000000001</v>
      </c>
      <c r="L195" s="12">
        <f t="shared" si="69"/>
        <v>-5.1052906666666665E-3</v>
      </c>
      <c r="M195" s="12">
        <f t="shared" si="70"/>
        <v>-7.4150360453141056E-3</v>
      </c>
      <c r="N195" s="15" t="str">
        <f t="shared" si="71"/>
        <v/>
      </c>
      <c r="O195" s="15" t="str">
        <f t="shared" si="72"/>
        <v/>
      </c>
      <c r="P195" s="15">
        <f t="shared" si="73"/>
        <v>1</v>
      </c>
      <c r="Q195" s="15" t="str">
        <f t="shared" si="74"/>
        <v>SellShort</v>
      </c>
      <c r="R195" s="55">
        <f t="shared" si="75"/>
        <v>3028</v>
      </c>
      <c r="S195" s="33">
        <f t="shared" si="76"/>
        <v>34640.32</v>
      </c>
      <c r="T195" s="33" t="str">
        <f t="shared" si="77"/>
        <v/>
      </c>
      <c r="U195" s="15" t="str">
        <f t="shared" si="78"/>
        <v/>
      </c>
      <c r="V195" s="15">
        <f t="shared" si="79"/>
        <v>30.28</v>
      </c>
      <c r="W195" s="62">
        <f t="shared" si="80"/>
        <v>8.7412587412587413E-4</v>
      </c>
      <c r="X195" s="15"/>
      <c r="Y195" s="1">
        <f t="shared" si="81"/>
        <v>2.3097453786474391E-3</v>
      </c>
      <c r="AH195" s="35">
        <v>45714</v>
      </c>
      <c r="AI195" s="31" t="s">
        <v>1095</v>
      </c>
      <c r="AJ195" s="32">
        <v>-4.0000000000000001E-3</v>
      </c>
      <c r="AK195" s="28">
        <f t="shared" ref="AK195:AK258" si="90">IF(BB195=1, 0, IF(AJ195&gt;0, AJ195/SUMIFS($AJ$3:$AJ$501, $BB$3:$BB$501, "&lt;&gt;1", $AJ$3:$AJ$501, "&gt;0"), AJ195/-SUMIFS($AJ$3:$AJ$501, $BB$3:$BB$501, "&lt;&gt;1", $AJ$3:$AJ$501, "&lt;0")))</f>
        <v>-4.1194644696189477E-3</v>
      </c>
      <c r="AL195" s="28" t="s">
        <v>1228</v>
      </c>
      <c r="AM195" s="28" t="s">
        <v>1095</v>
      </c>
      <c r="AN195" s="28" t="s">
        <v>1229</v>
      </c>
      <c r="AO195" s="28" t="s">
        <v>1230</v>
      </c>
      <c r="AP195" s="28" t="s">
        <v>1231</v>
      </c>
      <c r="AQ195" s="28" t="s">
        <v>73</v>
      </c>
      <c r="AR195" s="28" t="s">
        <v>24</v>
      </c>
      <c r="AS195" s="73">
        <v>1902.7285696599999</v>
      </c>
      <c r="AT195" s="8">
        <v>7.31</v>
      </c>
      <c r="AU195" s="73" t="s">
        <v>1095</v>
      </c>
      <c r="AV195" s="73" t="b">
        <f t="shared" si="82"/>
        <v>1</v>
      </c>
      <c r="AW195" s="79">
        <v>0</v>
      </c>
      <c r="AX195" s="45" t="str">
        <f t="shared" si="83"/>
        <v/>
      </c>
      <c r="AY195" s="29" t="str">
        <f t="shared" si="84"/>
        <v/>
      </c>
      <c r="AZ195" s="29" t="str">
        <f t="shared" si="85"/>
        <v/>
      </c>
      <c r="BA195" s="29" t="s">
        <v>699</v>
      </c>
      <c r="BB195" s="29">
        <f t="shared" si="86"/>
        <v>0</v>
      </c>
      <c r="BC195">
        <f t="shared" si="87"/>
        <v>0</v>
      </c>
      <c r="BD195" s="78" t="str" cm="1">
        <f t="array" ref="BD195">IF(BC195&lt;&gt;1, "", IF(AK195&gt;0, INT(AK195/SUMPRODUCT(($AK$3:$AK$1000&gt;0)*($AK$3:$AK$1000), ($BC$3:$BC$1000))*$AB$12/AT195), INT(AK195/SUMPRODUCT(($AK$3:$AK$1000&lt;0)*($AK$3:$AK$1000), ($BC$3:$BC$1000))*$AB$13/AT195)))</f>
        <v/>
      </c>
      <c r="BE195" t="str">
        <f t="shared" si="88"/>
        <v/>
      </c>
      <c r="BF195" s="65" t="str">
        <f t="shared" si="89"/>
        <v/>
      </c>
    </row>
    <row r="196" spans="2:58" x14ac:dyDescent="0.3">
      <c r="B196" s="18" t="s">
        <v>1522</v>
      </c>
      <c r="C196" s="18" t="s">
        <v>1603</v>
      </c>
      <c r="D196" s="18" t="s">
        <v>1630</v>
      </c>
      <c r="E196" s="44" t="s">
        <v>1604</v>
      </c>
      <c r="F196" s="18" t="s">
        <v>23</v>
      </c>
      <c r="G196" s="18" t="s">
        <v>10</v>
      </c>
      <c r="H196" s="19">
        <v>677.11446368999998</v>
      </c>
      <c r="I196" s="18">
        <v>-4255</v>
      </c>
      <c r="J196" s="20">
        <v>18.27</v>
      </c>
      <c r="K196" s="19">
        <v>-77738.849999999991</v>
      </c>
      <c r="L196" s="12">
        <f t="shared" ref="L196:L259" si="91">IF(K196&gt;0,K196/$AB$22,K196/$AB$23)</f>
        <v>-5.1825899999999991E-3</v>
      </c>
      <c r="M196" s="12">
        <f t="shared" ref="M196:M259" si="92">IFERROR(VLOOKUP(B196,$AI$3:$AK$501,3,FALSE),0)</f>
        <v>0</v>
      </c>
      <c r="N196" s="15" t="str">
        <f t="shared" ref="N196:N259" si="93">IF(OR(AND(L196&lt;0,M196&gt;0),AND(L196&gt;0,M196&lt;0)),1,"")</f>
        <v/>
      </c>
      <c r="O196" s="15">
        <f t="shared" ref="O196:O259" si="94">IF(M196=0,1,"")</f>
        <v>1</v>
      </c>
      <c r="P196" s="15" t="str">
        <f t="shared" ref="P196:P259" si="95">IFERROR(IF(ABS(L196/M196-1)&gt;$Q$2,1,""),"")</f>
        <v/>
      </c>
      <c r="Q196" s="15" t="str">
        <f t="shared" ref="Q196:Q259" si="96">IF(P196&lt;&gt;1, "", IF(AND(L196&gt;0, M196&gt;L196), "Buy", IF(AND(L196&gt;0, M196&lt;L196), "Sell", IF(AND(L196&lt;0, M196&gt;L196), "BuyToCover", IF(AND(L196&lt;0, M196&lt;L196), "SellShort", "")))))</f>
        <v/>
      </c>
      <c r="R196" s="55" t="str">
        <f t="shared" ref="R196:R259" si="97">IFERROR(IF(INT(P196*(ABS(ABS(L196-M196)/ABS(L196)*I196)))=0,1,INT(P196*(ABS(ABS(L196-M196)/ABS(L196)*I196)))),"")</f>
        <v/>
      </c>
      <c r="S196" s="33" t="str">
        <f t="shared" ref="S196:S259" si="98">IFERROR(R196*J196,"")</f>
        <v/>
      </c>
      <c r="T196" s="33" t="str">
        <f t="shared" ref="T196:T259" si="99">IF(O196&lt;&gt;1,"",IF(K196&gt;0,"Sell","BuyToCover"))</f>
        <v>BuyToCover</v>
      </c>
      <c r="U196" s="15">
        <f t="shared" ref="U196:U259" si="100">IFERROR(INT(ABS(O196*I196)),"")</f>
        <v>4255</v>
      </c>
      <c r="V196" s="15" t="str">
        <f t="shared" ref="V196:V259" si="101">IFERROR(R196*0.01,"")</f>
        <v/>
      </c>
      <c r="W196" s="62" t="str">
        <f t="shared" ref="W196:W259" si="102">IFERROR(V196/S196,"")</f>
        <v/>
      </c>
      <c r="X196" s="15"/>
      <c r="Y196" s="1">
        <f t="shared" ref="Y196:Y259" si="103">L196-M196</f>
        <v>-5.1825899999999991E-3</v>
      </c>
      <c r="AH196" s="35">
        <v>45714</v>
      </c>
      <c r="AI196" s="31" t="s">
        <v>1519</v>
      </c>
      <c r="AJ196" s="32">
        <v>-4.0000000000000001E-3</v>
      </c>
      <c r="AK196" s="28">
        <f t="shared" si="90"/>
        <v>-4.1194644696189477E-3</v>
      </c>
      <c r="AL196" s="28" t="s">
        <v>1592</v>
      </c>
      <c r="AM196" s="28" t="s">
        <v>1519</v>
      </c>
      <c r="AN196" s="28" t="s">
        <v>1593</v>
      </c>
      <c r="AO196" s="28" t="s">
        <v>1594</v>
      </c>
      <c r="AP196" s="28" t="s">
        <v>1595</v>
      </c>
      <c r="AQ196" s="28" t="s">
        <v>73</v>
      </c>
      <c r="AR196" s="28" t="s">
        <v>19</v>
      </c>
      <c r="AS196" s="73">
        <v>167.83425</v>
      </c>
      <c r="AT196" s="8">
        <v>7.69</v>
      </c>
      <c r="AU196" s="73" t="s">
        <v>1519</v>
      </c>
      <c r="AV196" s="73" t="b">
        <f t="shared" ref="AV196:AV259" si="104">AU196=AI196</f>
        <v>1</v>
      </c>
      <c r="AW196" s="79">
        <v>0</v>
      </c>
      <c r="AX196" s="45" t="str">
        <f t="shared" ref="AX196:AX259" si="105">IF(OR(AND(ISNUMBER(AW196), AW196 &gt; 0, AJ196 &gt; 0), AND(ISNUMBER(AW196), AW196 &lt; 0, AJ196 &lt; 0)), 1, "")</f>
        <v/>
      </c>
      <c r="AY196" s="29" t="str">
        <f t="shared" ref="AY196:AY259" si="106">IF(OR(AND(AW196&gt;0,AJ196&lt;0),AND(AW196&lt;0,AJ196&gt;0)),1,"")</f>
        <v/>
      </c>
      <c r="AZ196" s="29" t="str">
        <f t="shared" ref="AZ196:AZ259" si="107">IF(AQ196="United States of America","", 1)</f>
        <v/>
      </c>
      <c r="BA196" s="29" t="s">
        <v>699</v>
      </c>
      <c r="BB196" s="29">
        <f t="shared" ref="BB196:BB259" si="108">MAX(AZ196,AY196,BA196)</f>
        <v>0</v>
      </c>
      <c r="BC196">
        <f t="shared" ref="BC196:BC259" si="109">IF(AND(ISNA(VLOOKUP(AI196,$B$3:$Y$500,3,FALSE)),BB196=0),1,0)</f>
        <v>0</v>
      </c>
      <c r="BD196" s="78" t="str" cm="1">
        <f t="array" ref="BD196">IF(BC196&lt;&gt;1, "", IF(AK196&gt;0, INT(AK196/SUMPRODUCT(($AK$3:$AK$1000&gt;0)*($AK$3:$AK$1000), ($BC$3:$BC$1000))*$AB$12/AT196), INT(AK196/SUMPRODUCT(($AK$3:$AK$1000&lt;0)*($AK$3:$AK$1000), ($BC$3:$BC$1000))*$AB$13/AT196)))</f>
        <v/>
      </c>
      <c r="BE196" t="str">
        <f t="shared" ref="BE196:BE259" si="110">IF(BC196&lt;&gt;1,"",IF(AK196&gt;0,"Buy","SellShort"))</f>
        <v/>
      </c>
      <c r="BF196" s="65" t="str">
        <f t="shared" ref="BF196:BF259" si="111">IFERROR(BD196*AT196,"")</f>
        <v/>
      </c>
    </row>
    <row r="197" spans="2:58" x14ac:dyDescent="0.3">
      <c r="B197" s="18" t="s">
        <v>1098</v>
      </c>
      <c r="C197" s="18" t="s">
        <v>1239</v>
      </c>
      <c r="D197" s="18" t="s">
        <v>1311</v>
      </c>
      <c r="E197" s="44" t="s">
        <v>1242</v>
      </c>
      <c r="F197" s="18" t="s">
        <v>20</v>
      </c>
      <c r="G197" s="18" t="s">
        <v>10</v>
      </c>
      <c r="H197" s="19">
        <v>718.42454639999994</v>
      </c>
      <c r="I197" s="18">
        <v>-5260</v>
      </c>
      <c r="J197" s="20">
        <v>15.8</v>
      </c>
      <c r="K197" s="19">
        <v>-83108</v>
      </c>
      <c r="L197" s="12">
        <f t="shared" si="91"/>
        <v>-5.5405333333333334E-3</v>
      </c>
      <c r="M197" s="12">
        <f t="shared" si="92"/>
        <v>-5.252317198764159E-3</v>
      </c>
      <c r="N197" s="15" t="str">
        <f t="shared" si="93"/>
        <v/>
      </c>
      <c r="O197" s="15" t="str">
        <f t="shared" si="94"/>
        <v/>
      </c>
      <c r="P197" s="15">
        <f t="shared" si="95"/>
        <v>1</v>
      </c>
      <c r="Q197" s="15" t="str">
        <f t="shared" si="96"/>
        <v>BuyToCover</v>
      </c>
      <c r="R197" s="55">
        <f t="shared" si="97"/>
        <v>273</v>
      </c>
      <c r="S197" s="33">
        <f t="shared" si="98"/>
        <v>4313.4000000000005</v>
      </c>
      <c r="T197" s="33" t="str">
        <f t="shared" si="99"/>
        <v/>
      </c>
      <c r="U197" s="15" t="str">
        <f t="shared" si="100"/>
        <v/>
      </c>
      <c r="V197" s="15">
        <f t="shared" si="101"/>
        <v>2.73</v>
      </c>
      <c r="W197" s="62">
        <f t="shared" si="102"/>
        <v>6.3291139240506319E-4</v>
      </c>
      <c r="X197" s="15"/>
      <c r="Y197" s="1">
        <f t="shared" si="103"/>
        <v>-2.8821613456917437E-4</v>
      </c>
      <c r="AH197" s="35">
        <v>45714</v>
      </c>
      <c r="AI197" s="31" t="s">
        <v>775</v>
      </c>
      <c r="AJ197" s="32">
        <v>-4.1000000000000003E-3</v>
      </c>
      <c r="AK197" s="28">
        <f t="shared" si="90"/>
        <v>-4.2224510813594221E-3</v>
      </c>
      <c r="AL197" s="28" t="s">
        <v>816</v>
      </c>
      <c r="AM197" s="28" t="s">
        <v>775</v>
      </c>
      <c r="AN197" s="28" t="s">
        <v>1778</v>
      </c>
      <c r="AO197" s="28" t="s">
        <v>817</v>
      </c>
      <c r="AP197" s="28" t="s">
        <v>818</v>
      </c>
      <c r="AQ197" s="28" t="s">
        <v>73</v>
      </c>
      <c r="AR197" s="28" t="s">
        <v>13</v>
      </c>
      <c r="AS197" s="73">
        <v>24891.527553749998</v>
      </c>
      <c r="AT197" s="8">
        <v>100.65</v>
      </c>
      <c r="AU197" s="73" t="s">
        <v>775</v>
      </c>
      <c r="AV197" s="73" t="b">
        <f t="shared" si="104"/>
        <v>1</v>
      </c>
      <c r="AW197" s="79">
        <v>0</v>
      </c>
      <c r="AX197" s="45" t="str">
        <f t="shared" si="105"/>
        <v/>
      </c>
      <c r="AY197" s="29" t="str">
        <f t="shared" si="106"/>
        <v/>
      </c>
      <c r="AZ197" s="29" t="str">
        <f t="shared" si="107"/>
        <v/>
      </c>
      <c r="BA197" s="29" t="s">
        <v>699</v>
      </c>
      <c r="BB197" s="29">
        <f t="shared" si="108"/>
        <v>0</v>
      </c>
      <c r="BC197">
        <f t="shared" si="109"/>
        <v>0</v>
      </c>
      <c r="BD197" s="78" t="str" cm="1">
        <f t="array" ref="BD197">IF(BC197&lt;&gt;1, "", IF(AK197&gt;0, INT(AK197/SUMPRODUCT(($AK$3:$AK$1000&gt;0)*($AK$3:$AK$1000), ($BC$3:$BC$1000))*$AB$12/AT197), INT(AK197/SUMPRODUCT(($AK$3:$AK$1000&lt;0)*($AK$3:$AK$1000), ($BC$3:$BC$1000))*$AB$13/AT197)))</f>
        <v/>
      </c>
      <c r="BE197" t="str">
        <f t="shared" si="110"/>
        <v/>
      </c>
      <c r="BF197" s="65" t="str">
        <f t="shared" si="111"/>
        <v/>
      </c>
    </row>
    <row r="198" spans="2:58" x14ac:dyDescent="0.3">
      <c r="B198" s="18" t="s">
        <v>775</v>
      </c>
      <c r="C198" s="18" t="s">
        <v>816</v>
      </c>
      <c r="D198" s="18" t="s">
        <v>840</v>
      </c>
      <c r="E198" s="44" t="s">
        <v>818</v>
      </c>
      <c r="F198" s="18" t="s">
        <v>13</v>
      </c>
      <c r="G198" s="18" t="s">
        <v>10</v>
      </c>
      <c r="H198" s="19">
        <v>24891.527553749998</v>
      </c>
      <c r="I198" s="18">
        <v>-838</v>
      </c>
      <c r="J198" s="20">
        <v>100.65</v>
      </c>
      <c r="K198" s="19">
        <v>-84344.700000000012</v>
      </c>
      <c r="L198" s="12">
        <f t="shared" si="91"/>
        <v>-5.6229800000000005E-3</v>
      </c>
      <c r="M198" s="12">
        <f t="shared" si="92"/>
        <v>-4.2224510813594221E-3</v>
      </c>
      <c r="N198" s="15" t="str">
        <f t="shared" si="93"/>
        <v/>
      </c>
      <c r="O198" s="15" t="str">
        <f t="shared" si="94"/>
        <v/>
      </c>
      <c r="P198" s="15">
        <f t="shared" si="95"/>
        <v>1</v>
      </c>
      <c r="Q198" s="15" t="str">
        <f t="shared" si="96"/>
        <v>BuyToCover</v>
      </c>
      <c r="R198" s="55">
        <f t="shared" si="97"/>
        <v>208</v>
      </c>
      <c r="S198" s="33">
        <f t="shared" si="98"/>
        <v>20935.2</v>
      </c>
      <c r="T198" s="33" t="str">
        <f t="shared" si="99"/>
        <v/>
      </c>
      <c r="U198" s="15" t="str">
        <f t="shared" si="100"/>
        <v/>
      </c>
      <c r="V198" s="15">
        <f t="shared" si="101"/>
        <v>2.08</v>
      </c>
      <c r="W198" s="62">
        <f t="shared" si="102"/>
        <v>9.9354197714853452E-5</v>
      </c>
      <c r="X198" s="15"/>
      <c r="Y198" s="1">
        <f t="shared" si="103"/>
        <v>-1.4005289186405784E-3</v>
      </c>
      <c r="AH198" s="35">
        <v>45714</v>
      </c>
      <c r="AI198" s="31" t="s">
        <v>951</v>
      </c>
      <c r="AJ198" s="32">
        <v>-4.1999999999999997E-3</v>
      </c>
      <c r="AK198" s="28">
        <f t="shared" si="90"/>
        <v>-4.3254376930998949E-3</v>
      </c>
      <c r="AL198" s="28" t="s">
        <v>976</v>
      </c>
      <c r="AM198" s="28" t="s">
        <v>951</v>
      </c>
      <c r="AN198" s="28" t="s">
        <v>977</v>
      </c>
      <c r="AO198" s="28" t="s">
        <v>978</v>
      </c>
      <c r="AP198" s="28" t="s">
        <v>979</v>
      </c>
      <c r="AQ198" s="28" t="s">
        <v>73</v>
      </c>
      <c r="AR198" s="28" t="s">
        <v>14</v>
      </c>
      <c r="AS198" s="73">
        <v>268.89365385999997</v>
      </c>
      <c r="AT198" s="8">
        <v>5.21</v>
      </c>
      <c r="AU198" s="73" t="s">
        <v>951</v>
      </c>
      <c r="AV198" s="73" t="b">
        <f t="shared" si="104"/>
        <v>1</v>
      </c>
      <c r="AW198" s="79">
        <v>0</v>
      </c>
      <c r="AX198" s="45" t="str">
        <f t="shared" si="105"/>
        <v/>
      </c>
      <c r="AY198" s="29" t="str">
        <f t="shared" si="106"/>
        <v/>
      </c>
      <c r="AZ198" s="29" t="str">
        <f t="shared" si="107"/>
        <v/>
      </c>
      <c r="BA198" s="29" t="s">
        <v>699</v>
      </c>
      <c r="BB198" s="29">
        <f t="shared" si="108"/>
        <v>0</v>
      </c>
      <c r="BC198">
        <f t="shared" si="109"/>
        <v>0</v>
      </c>
      <c r="BD198" s="78" t="str" cm="1">
        <f t="array" ref="BD198">IF(BC198&lt;&gt;1, "", IF(AK198&gt;0, INT(AK198/SUMPRODUCT(($AK$3:$AK$1000&gt;0)*($AK$3:$AK$1000), ($BC$3:$BC$1000))*$AB$12/AT198), INT(AK198/SUMPRODUCT(($AK$3:$AK$1000&lt;0)*($AK$3:$AK$1000), ($BC$3:$BC$1000))*$AB$13/AT198)))</f>
        <v/>
      </c>
      <c r="BE198" t="str">
        <f t="shared" si="110"/>
        <v/>
      </c>
      <c r="BF198" s="65" t="str">
        <f t="shared" si="111"/>
        <v/>
      </c>
    </row>
    <row r="199" spans="2:58" x14ac:dyDescent="0.3">
      <c r="B199" s="18" t="s">
        <v>326</v>
      </c>
      <c r="C199" s="18" t="s">
        <v>328</v>
      </c>
      <c r="D199" s="18" t="s">
        <v>336</v>
      </c>
      <c r="E199" s="44" t="s">
        <v>331</v>
      </c>
      <c r="F199" s="18" t="s">
        <v>24</v>
      </c>
      <c r="G199" s="18" t="s">
        <v>10</v>
      </c>
      <c r="H199" s="19">
        <v>1375.43</v>
      </c>
      <c r="I199" s="18">
        <v>-2106</v>
      </c>
      <c r="J199" s="20">
        <v>40.1</v>
      </c>
      <c r="K199" s="19">
        <v>-84450.6</v>
      </c>
      <c r="L199" s="12">
        <f t="shared" si="91"/>
        <v>-5.6300400000000002E-3</v>
      </c>
      <c r="M199" s="12">
        <f t="shared" si="92"/>
        <v>-5.7672502574665271E-3</v>
      </c>
      <c r="N199" s="15" t="str">
        <f t="shared" si="93"/>
        <v/>
      </c>
      <c r="O199" s="15" t="str">
        <f t="shared" si="94"/>
        <v/>
      </c>
      <c r="P199" s="15">
        <f t="shared" si="95"/>
        <v>1</v>
      </c>
      <c r="Q199" s="15" t="str">
        <f t="shared" si="96"/>
        <v>SellShort</v>
      </c>
      <c r="R199" s="55">
        <f t="shared" si="97"/>
        <v>51</v>
      </c>
      <c r="S199" s="33">
        <f t="shared" si="98"/>
        <v>2045.1000000000001</v>
      </c>
      <c r="T199" s="33" t="str">
        <f t="shared" si="99"/>
        <v/>
      </c>
      <c r="U199" s="15" t="str">
        <f t="shared" si="100"/>
        <v/>
      </c>
      <c r="V199" s="15">
        <f t="shared" si="101"/>
        <v>0.51</v>
      </c>
      <c r="W199" s="62">
        <f t="shared" si="102"/>
        <v>2.4937655860349125E-4</v>
      </c>
      <c r="X199" s="15"/>
      <c r="Y199" s="1">
        <f t="shared" si="103"/>
        <v>1.3721025746652685E-4</v>
      </c>
      <c r="AH199" s="35">
        <v>45714</v>
      </c>
      <c r="AI199" s="31" t="s">
        <v>1648</v>
      </c>
      <c r="AJ199" s="32">
        <v>-4.4000000000000003E-3</v>
      </c>
      <c r="AK199" s="28">
        <f t="shared" si="90"/>
        <v>-4.5314109165808429E-3</v>
      </c>
      <c r="AL199" s="28" t="s">
        <v>1767</v>
      </c>
      <c r="AM199" s="28" t="s">
        <v>1648</v>
      </c>
      <c r="AN199" s="28" t="s">
        <v>1768</v>
      </c>
      <c r="AO199" s="28" t="s">
        <v>1769</v>
      </c>
      <c r="AP199" s="28" t="s">
        <v>1770</v>
      </c>
      <c r="AQ199" s="28" t="s">
        <v>73</v>
      </c>
      <c r="AR199" s="28" t="s">
        <v>20</v>
      </c>
      <c r="AS199" s="73">
        <v>6802.0664399999996</v>
      </c>
      <c r="AT199" s="8">
        <v>120.51</v>
      </c>
      <c r="AU199" s="73" t="s">
        <v>1648</v>
      </c>
      <c r="AV199" s="73" t="b">
        <f t="shared" si="104"/>
        <v>1</v>
      </c>
      <c r="AW199" s="79">
        <v>0</v>
      </c>
      <c r="AX199" s="45" t="str">
        <f t="shared" si="105"/>
        <v/>
      </c>
      <c r="AY199" s="29" t="str">
        <f t="shared" si="106"/>
        <v/>
      </c>
      <c r="AZ199" s="29" t="str">
        <f t="shared" si="107"/>
        <v/>
      </c>
      <c r="BA199" s="29" t="s">
        <v>699</v>
      </c>
      <c r="BB199" s="29">
        <f t="shared" si="108"/>
        <v>0</v>
      </c>
      <c r="BC199">
        <f t="shared" si="109"/>
        <v>0</v>
      </c>
      <c r="BD199" s="78" t="str" cm="1">
        <f t="array" ref="BD199">IF(BC199&lt;&gt;1, "", IF(AK199&gt;0, INT(AK199/SUMPRODUCT(($AK$3:$AK$1000&gt;0)*($AK$3:$AK$1000), ($BC$3:$BC$1000))*$AB$12/AT199), INT(AK199/SUMPRODUCT(($AK$3:$AK$1000&lt;0)*($AK$3:$AK$1000), ($BC$3:$BC$1000))*$AB$13/AT199)))</f>
        <v/>
      </c>
      <c r="BE199" t="str">
        <f t="shared" si="110"/>
        <v/>
      </c>
      <c r="BF199" s="65" t="str">
        <f t="shared" si="111"/>
        <v/>
      </c>
    </row>
    <row r="200" spans="2:58" x14ac:dyDescent="0.3">
      <c r="B200" s="18" t="s">
        <v>847</v>
      </c>
      <c r="C200" s="18" t="s">
        <v>883</v>
      </c>
      <c r="D200" s="18" t="s">
        <v>897</v>
      </c>
      <c r="E200" s="44" t="s">
        <v>886</v>
      </c>
      <c r="F200" s="18" t="s">
        <v>13</v>
      </c>
      <c r="G200" s="18" t="s">
        <v>10</v>
      </c>
      <c r="H200" s="19">
        <v>928.62137115999997</v>
      </c>
      <c r="I200" s="18">
        <v>-3524</v>
      </c>
      <c r="J200" s="20">
        <v>24.29</v>
      </c>
      <c r="K200" s="19">
        <v>-85597.959999999992</v>
      </c>
      <c r="L200" s="12">
        <f t="shared" si="91"/>
        <v>-5.7065306666666659E-3</v>
      </c>
      <c r="M200" s="12">
        <f t="shared" si="92"/>
        <v>-5.5612770339855799E-3</v>
      </c>
      <c r="N200" s="15" t="str">
        <f t="shared" si="93"/>
        <v/>
      </c>
      <c r="O200" s="15" t="str">
        <f t="shared" si="94"/>
        <v/>
      </c>
      <c r="P200" s="15">
        <f t="shared" si="95"/>
        <v>1</v>
      </c>
      <c r="Q200" s="15" t="str">
        <f t="shared" si="96"/>
        <v>BuyToCover</v>
      </c>
      <c r="R200" s="55">
        <f t="shared" si="97"/>
        <v>89</v>
      </c>
      <c r="S200" s="33">
        <f t="shared" si="98"/>
        <v>2161.81</v>
      </c>
      <c r="T200" s="33" t="str">
        <f t="shared" si="99"/>
        <v/>
      </c>
      <c r="U200" s="15" t="str">
        <f t="shared" si="100"/>
        <v/>
      </c>
      <c r="V200" s="15">
        <f t="shared" si="101"/>
        <v>0.89</v>
      </c>
      <c r="W200" s="62">
        <f t="shared" si="102"/>
        <v>4.1169205434335118E-4</v>
      </c>
      <c r="X200" s="15"/>
      <c r="Y200" s="1">
        <f t="shared" si="103"/>
        <v>-1.4525363268108604E-4</v>
      </c>
      <c r="AH200" s="35">
        <v>45714</v>
      </c>
      <c r="AI200" s="31" t="s">
        <v>483</v>
      </c>
      <c r="AJ200" s="32">
        <v>-4.4000000000000003E-3</v>
      </c>
      <c r="AK200" s="28">
        <f t="shared" si="90"/>
        <v>-4.5314109165808429E-3</v>
      </c>
      <c r="AL200" s="28" t="s">
        <v>490</v>
      </c>
      <c r="AM200" s="28" t="s">
        <v>483</v>
      </c>
      <c r="AN200" s="28" t="s">
        <v>1771</v>
      </c>
      <c r="AO200" s="28" t="s">
        <v>491</v>
      </c>
      <c r="AP200" s="28" t="s">
        <v>492</v>
      </c>
      <c r="AQ200" s="28" t="s">
        <v>73</v>
      </c>
      <c r="AR200" s="28" t="s">
        <v>23</v>
      </c>
      <c r="AS200" s="73">
        <v>875.95441718999996</v>
      </c>
      <c r="AT200" s="8">
        <v>6.61</v>
      </c>
      <c r="AU200" s="73" t="s">
        <v>483</v>
      </c>
      <c r="AV200" s="73" t="b">
        <f t="shared" si="104"/>
        <v>1</v>
      </c>
      <c r="AW200" s="79">
        <v>0</v>
      </c>
      <c r="AX200" s="45" t="str">
        <f t="shared" si="105"/>
        <v/>
      </c>
      <c r="AY200" s="29" t="str">
        <f t="shared" si="106"/>
        <v/>
      </c>
      <c r="AZ200" s="29" t="str">
        <f t="shared" si="107"/>
        <v/>
      </c>
      <c r="BA200" s="29" t="s">
        <v>699</v>
      </c>
      <c r="BB200" s="29">
        <f t="shared" si="108"/>
        <v>0</v>
      </c>
      <c r="BC200">
        <f t="shared" si="109"/>
        <v>0</v>
      </c>
      <c r="BD200" s="78" t="str" cm="1">
        <f t="array" ref="BD200">IF(BC200&lt;&gt;1, "", IF(AK200&gt;0, INT(AK200/SUMPRODUCT(($AK$3:$AK$1000&gt;0)*($AK$3:$AK$1000), ($BC$3:$BC$1000))*$AB$12/AT200), INT(AK200/SUMPRODUCT(($AK$3:$AK$1000&lt;0)*($AK$3:$AK$1000), ($BC$3:$BC$1000))*$AB$13/AT200)))</f>
        <v/>
      </c>
      <c r="BE200" t="str">
        <f t="shared" si="110"/>
        <v/>
      </c>
      <c r="BF200" s="65" t="str">
        <f t="shared" si="111"/>
        <v/>
      </c>
    </row>
    <row r="201" spans="2:58" x14ac:dyDescent="0.3">
      <c r="B201" s="18" t="s">
        <v>370</v>
      </c>
      <c r="C201" s="18" t="s">
        <v>375</v>
      </c>
      <c r="D201" s="18" t="s">
        <v>381</v>
      </c>
      <c r="E201" s="44" t="s">
        <v>420</v>
      </c>
      <c r="F201" s="18" t="s">
        <v>13</v>
      </c>
      <c r="G201" s="18" t="s">
        <v>10</v>
      </c>
      <c r="H201" s="19">
        <v>127.90533906</v>
      </c>
      <c r="I201" s="18">
        <v>-12077</v>
      </c>
      <c r="J201" s="20">
        <v>7.29</v>
      </c>
      <c r="K201" s="19">
        <v>-88041.33</v>
      </c>
      <c r="L201" s="12">
        <f t="shared" si="91"/>
        <v>-5.869422E-3</v>
      </c>
      <c r="M201" s="12">
        <f t="shared" si="92"/>
        <v>-6.0762100926879479E-3</v>
      </c>
      <c r="N201" s="15" t="str">
        <f t="shared" si="93"/>
        <v/>
      </c>
      <c r="O201" s="15" t="str">
        <f t="shared" si="94"/>
        <v/>
      </c>
      <c r="P201" s="15">
        <f t="shared" si="95"/>
        <v>1</v>
      </c>
      <c r="Q201" s="15" t="str">
        <f t="shared" si="96"/>
        <v>SellShort</v>
      </c>
      <c r="R201" s="55">
        <f t="shared" si="97"/>
        <v>425</v>
      </c>
      <c r="S201" s="33">
        <f t="shared" si="98"/>
        <v>3098.25</v>
      </c>
      <c r="T201" s="33" t="str">
        <f t="shared" si="99"/>
        <v/>
      </c>
      <c r="U201" s="15" t="str">
        <f t="shared" si="100"/>
        <v/>
      </c>
      <c r="V201" s="15">
        <f t="shared" si="101"/>
        <v>4.25</v>
      </c>
      <c r="W201" s="62">
        <f t="shared" si="102"/>
        <v>1.3717421124828531E-3</v>
      </c>
      <c r="X201" s="15"/>
      <c r="Y201" s="1">
        <f t="shared" si="103"/>
        <v>2.0678809268794788E-4</v>
      </c>
      <c r="AH201" s="35">
        <v>45714</v>
      </c>
      <c r="AI201" s="31" t="s">
        <v>41</v>
      </c>
      <c r="AJ201" s="32">
        <v>-4.4000000000000003E-3</v>
      </c>
      <c r="AK201" s="28">
        <f t="shared" si="90"/>
        <v>-4.5314109165808429E-3</v>
      </c>
      <c r="AL201" s="28" t="s">
        <v>44</v>
      </c>
      <c r="AM201" s="28" t="s">
        <v>41</v>
      </c>
      <c r="AN201" s="28" t="s">
        <v>68</v>
      </c>
      <c r="AO201" s="28" t="s">
        <v>77</v>
      </c>
      <c r="AP201" s="28" t="s">
        <v>63</v>
      </c>
      <c r="AQ201" s="28" t="s">
        <v>73</v>
      </c>
      <c r="AR201" s="28" t="s">
        <v>23</v>
      </c>
      <c r="AS201" s="73">
        <v>318.38956589999998</v>
      </c>
      <c r="AT201" s="8">
        <v>7.95</v>
      </c>
      <c r="AU201" s="73" t="s">
        <v>41</v>
      </c>
      <c r="AV201" s="73" t="b">
        <f t="shared" si="104"/>
        <v>1</v>
      </c>
      <c r="AW201" s="79">
        <v>0</v>
      </c>
      <c r="AX201" s="45" t="str">
        <f t="shared" si="105"/>
        <v/>
      </c>
      <c r="AY201" s="29" t="str">
        <f t="shared" si="106"/>
        <v/>
      </c>
      <c r="AZ201" s="29" t="str">
        <f t="shared" si="107"/>
        <v/>
      </c>
      <c r="BA201" s="29" t="s">
        <v>699</v>
      </c>
      <c r="BB201" s="29">
        <f t="shared" si="108"/>
        <v>0</v>
      </c>
      <c r="BC201">
        <f t="shared" si="109"/>
        <v>0</v>
      </c>
      <c r="BD201" s="78" t="str" cm="1">
        <f t="array" ref="BD201">IF(BC201&lt;&gt;1, "", IF(AK201&gt;0, INT(AK201/SUMPRODUCT(($AK$3:$AK$1000&gt;0)*($AK$3:$AK$1000), ($BC$3:$BC$1000))*$AB$12/AT201), INT(AK201/SUMPRODUCT(($AK$3:$AK$1000&lt;0)*($AK$3:$AK$1000), ($BC$3:$BC$1000))*$AB$13/AT201)))</f>
        <v/>
      </c>
      <c r="BE201" t="str">
        <f t="shared" si="110"/>
        <v/>
      </c>
      <c r="BF201" s="65" t="str">
        <f t="shared" si="111"/>
        <v/>
      </c>
    </row>
    <row r="202" spans="2:58" x14ac:dyDescent="0.3">
      <c r="B202" s="18" t="s">
        <v>1097</v>
      </c>
      <c r="C202" s="18" t="s">
        <v>1236</v>
      </c>
      <c r="D202" s="18" t="s">
        <v>1310</v>
      </c>
      <c r="E202" s="44" t="s">
        <v>1238</v>
      </c>
      <c r="F202" s="18" t="s">
        <v>20</v>
      </c>
      <c r="G202" s="18" t="s">
        <v>10</v>
      </c>
      <c r="H202" s="19">
        <v>985.10309987999995</v>
      </c>
      <c r="I202" s="18">
        <v>-3376</v>
      </c>
      <c r="J202" s="20">
        <v>27.66</v>
      </c>
      <c r="K202" s="19">
        <v>-93380.160000000003</v>
      </c>
      <c r="L202" s="12">
        <f t="shared" si="91"/>
        <v>-6.2253439999999998E-3</v>
      </c>
      <c r="M202" s="12">
        <f t="shared" si="92"/>
        <v>-6.9001029866117376E-3</v>
      </c>
      <c r="N202" s="15" t="str">
        <f t="shared" si="93"/>
        <v/>
      </c>
      <c r="O202" s="15" t="str">
        <f t="shared" si="94"/>
        <v/>
      </c>
      <c r="P202" s="15">
        <f t="shared" si="95"/>
        <v>1</v>
      </c>
      <c r="Q202" s="15" t="str">
        <f t="shared" si="96"/>
        <v>SellShort</v>
      </c>
      <c r="R202" s="55">
        <f t="shared" si="97"/>
        <v>365</v>
      </c>
      <c r="S202" s="33">
        <f t="shared" si="98"/>
        <v>10095.9</v>
      </c>
      <c r="T202" s="33" t="str">
        <f t="shared" si="99"/>
        <v/>
      </c>
      <c r="U202" s="15" t="str">
        <f t="shared" si="100"/>
        <v/>
      </c>
      <c r="V202" s="15">
        <f t="shared" si="101"/>
        <v>3.65</v>
      </c>
      <c r="W202" s="62">
        <f t="shared" si="102"/>
        <v>3.6153289949385393E-4</v>
      </c>
      <c r="X202" s="15"/>
      <c r="Y202" s="1">
        <f t="shared" si="103"/>
        <v>6.7475898661173775E-4</v>
      </c>
      <c r="AH202" s="35">
        <v>45714</v>
      </c>
      <c r="AI202" s="31" t="s">
        <v>1647</v>
      </c>
      <c r="AJ202" s="32">
        <v>-4.4999999999999997E-3</v>
      </c>
      <c r="AK202" s="28">
        <f t="shared" si="90"/>
        <v>-4.6343975283213157E-3</v>
      </c>
      <c r="AL202" s="28" t="s">
        <v>1760</v>
      </c>
      <c r="AM202" s="28" t="s">
        <v>1647</v>
      </c>
      <c r="AN202" s="28" t="s">
        <v>1761</v>
      </c>
      <c r="AO202" s="28" t="s">
        <v>1762</v>
      </c>
      <c r="AP202" s="28" t="s">
        <v>1763</v>
      </c>
      <c r="AQ202" s="28" t="s">
        <v>73</v>
      </c>
      <c r="AR202" s="28" t="s">
        <v>25</v>
      </c>
      <c r="AS202" s="73">
        <v>396.59064731000001</v>
      </c>
      <c r="AT202" s="8">
        <v>10.79</v>
      </c>
      <c r="AU202" s="73" t="s">
        <v>1647</v>
      </c>
      <c r="AV202" s="73" t="b">
        <f t="shared" si="104"/>
        <v>1</v>
      </c>
      <c r="AW202" s="79">
        <v>0</v>
      </c>
      <c r="AX202" s="45" t="str">
        <f t="shared" si="105"/>
        <v/>
      </c>
      <c r="AY202" s="29" t="str">
        <f t="shared" si="106"/>
        <v/>
      </c>
      <c r="AZ202" s="29" t="str">
        <f t="shared" si="107"/>
        <v/>
      </c>
      <c r="BA202" s="29" t="s">
        <v>699</v>
      </c>
      <c r="BB202" s="29">
        <f t="shared" si="108"/>
        <v>0</v>
      </c>
      <c r="BC202">
        <f t="shared" si="109"/>
        <v>0</v>
      </c>
      <c r="BD202" s="78" t="str" cm="1">
        <f t="array" ref="BD202">IF(BC202&lt;&gt;1, "", IF(AK202&gt;0, INT(AK202/SUMPRODUCT(($AK$3:$AK$1000&gt;0)*($AK$3:$AK$1000), ($BC$3:$BC$1000))*$AB$12/AT202), INT(AK202/SUMPRODUCT(($AK$3:$AK$1000&lt;0)*($AK$3:$AK$1000), ($BC$3:$BC$1000))*$AB$13/AT202)))</f>
        <v/>
      </c>
      <c r="BE202" t="str">
        <f t="shared" si="110"/>
        <v/>
      </c>
      <c r="BF202" s="65" t="str">
        <f t="shared" si="111"/>
        <v/>
      </c>
    </row>
    <row r="203" spans="2:58" x14ac:dyDescent="0.3">
      <c r="B203" s="18" t="s">
        <v>1096</v>
      </c>
      <c r="C203" s="18" t="s">
        <v>1232</v>
      </c>
      <c r="D203" s="18" t="s">
        <v>1309</v>
      </c>
      <c r="E203" s="44" t="s">
        <v>1235</v>
      </c>
      <c r="F203" s="18" t="s">
        <v>14</v>
      </c>
      <c r="G203" s="18" t="s">
        <v>10</v>
      </c>
      <c r="H203" s="19">
        <v>559.4544744399999</v>
      </c>
      <c r="I203" s="18">
        <v>-5036</v>
      </c>
      <c r="J203" s="20">
        <v>18.68</v>
      </c>
      <c r="K203" s="19">
        <v>-94072.48</v>
      </c>
      <c r="L203" s="12">
        <f t="shared" si="91"/>
        <v>-6.2714986666666667E-3</v>
      </c>
      <c r="M203" s="12">
        <f t="shared" si="92"/>
        <v>-6.1791967044284215E-3</v>
      </c>
      <c r="N203" s="15" t="str">
        <f t="shared" si="93"/>
        <v/>
      </c>
      <c r="O203" s="15" t="str">
        <f t="shared" si="94"/>
        <v/>
      </c>
      <c r="P203" s="15" t="str">
        <f t="shared" si="95"/>
        <v/>
      </c>
      <c r="Q203" s="15" t="str">
        <f t="shared" si="96"/>
        <v/>
      </c>
      <c r="R203" s="55" t="str">
        <f t="shared" si="97"/>
        <v/>
      </c>
      <c r="S203" s="33" t="str">
        <f t="shared" si="98"/>
        <v/>
      </c>
      <c r="T203" s="33" t="str">
        <f t="shared" si="99"/>
        <v/>
      </c>
      <c r="U203" s="15" t="str">
        <f t="shared" si="100"/>
        <v/>
      </c>
      <c r="V203" s="15" t="str">
        <f t="shared" si="101"/>
        <v/>
      </c>
      <c r="W203" s="62" t="str">
        <f t="shared" si="102"/>
        <v/>
      </c>
      <c r="X203" s="15"/>
      <c r="Y203" s="1">
        <f t="shared" si="103"/>
        <v>-9.2301962238245175E-5</v>
      </c>
      <c r="AH203" s="35">
        <v>45714</v>
      </c>
      <c r="AI203" s="31" t="s">
        <v>631</v>
      </c>
      <c r="AJ203" s="32">
        <v>-4.5999999999999999E-3</v>
      </c>
      <c r="AK203" s="28">
        <f t="shared" si="90"/>
        <v>-4.7373841400617902E-3</v>
      </c>
      <c r="AL203" s="28" t="s">
        <v>644</v>
      </c>
      <c r="AM203" s="28" t="s">
        <v>631</v>
      </c>
      <c r="AN203" s="28" t="s">
        <v>1772</v>
      </c>
      <c r="AO203" s="28" t="s">
        <v>638</v>
      </c>
      <c r="AP203" s="28" t="s">
        <v>639</v>
      </c>
      <c r="AQ203" s="28" t="s">
        <v>73</v>
      </c>
      <c r="AR203" s="28" t="s">
        <v>23</v>
      </c>
      <c r="AS203" s="73">
        <v>11465.6651592</v>
      </c>
      <c r="AT203" s="8">
        <v>232.8</v>
      </c>
      <c r="AU203" s="73" t="s">
        <v>631</v>
      </c>
      <c r="AV203" s="73" t="b">
        <f t="shared" si="104"/>
        <v>1</v>
      </c>
      <c r="AW203" s="79">
        <v>0</v>
      </c>
      <c r="AX203" s="45" t="str">
        <f t="shared" si="105"/>
        <v/>
      </c>
      <c r="AY203" s="29" t="str">
        <f t="shared" si="106"/>
        <v/>
      </c>
      <c r="AZ203" s="29" t="str">
        <f t="shared" si="107"/>
        <v/>
      </c>
      <c r="BA203" s="29" t="s">
        <v>699</v>
      </c>
      <c r="BB203" s="29">
        <f t="shared" si="108"/>
        <v>0</v>
      </c>
      <c r="BC203">
        <f t="shared" si="109"/>
        <v>0</v>
      </c>
      <c r="BD203" s="78" t="str" cm="1">
        <f t="array" ref="BD203">IF(BC203&lt;&gt;1, "", IF(AK203&gt;0, INT(AK203/SUMPRODUCT(($AK$3:$AK$1000&gt;0)*($AK$3:$AK$1000), ($BC$3:$BC$1000))*$AB$12/AT203), INT(AK203/SUMPRODUCT(($AK$3:$AK$1000&lt;0)*($AK$3:$AK$1000), ($BC$3:$BC$1000))*$AB$13/AT203)))</f>
        <v/>
      </c>
      <c r="BE203" t="str">
        <f t="shared" si="110"/>
        <v/>
      </c>
      <c r="BF203" s="65" t="str">
        <f t="shared" si="111"/>
        <v/>
      </c>
    </row>
    <row r="204" spans="2:58" x14ac:dyDescent="0.3">
      <c r="B204" s="18" t="s">
        <v>327</v>
      </c>
      <c r="C204" s="18" t="s">
        <v>332</v>
      </c>
      <c r="D204" s="18" t="s">
        <v>337</v>
      </c>
      <c r="E204" s="44" t="s">
        <v>333</v>
      </c>
      <c r="F204" s="18" t="s">
        <v>11</v>
      </c>
      <c r="G204" s="18" t="s">
        <v>10</v>
      </c>
      <c r="H204" s="19">
        <v>1782.54681456</v>
      </c>
      <c r="I204" s="18">
        <v>-10499</v>
      </c>
      <c r="J204" s="20">
        <v>9.26</v>
      </c>
      <c r="K204" s="19">
        <v>-97220.739999999991</v>
      </c>
      <c r="L204" s="12">
        <f t="shared" si="91"/>
        <v>-6.4813826666666663E-3</v>
      </c>
      <c r="M204" s="12">
        <f t="shared" si="92"/>
        <v>-1.0298661174047369E-2</v>
      </c>
      <c r="N204" s="15" t="str">
        <f t="shared" si="93"/>
        <v/>
      </c>
      <c r="O204" s="15" t="str">
        <f t="shared" si="94"/>
        <v/>
      </c>
      <c r="P204" s="15">
        <f t="shared" si="95"/>
        <v>1</v>
      </c>
      <c r="Q204" s="15" t="str">
        <f t="shared" si="96"/>
        <v>SellShort</v>
      </c>
      <c r="R204" s="55">
        <f t="shared" si="97"/>
        <v>6183</v>
      </c>
      <c r="S204" s="33">
        <f t="shared" si="98"/>
        <v>57254.58</v>
      </c>
      <c r="T204" s="33" t="str">
        <f t="shared" si="99"/>
        <v/>
      </c>
      <c r="U204" s="15" t="str">
        <f t="shared" si="100"/>
        <v/>
      </c>
      <c r="V204" s="15">
        <f t="shared" si="101"/>
        <v>61.83</v>
      </c>
      <c r="W204" s="62">
        <f t="shared" si="102"/>
        <v>1.0799136069114469E-3</v>
      </c>
      <c r="X204" s="15"/>
      <c r="Y204" s="1">
        <f t="shared" si="103"/>
        <v>3.8172785073807029E-3</v>
      </c>
      <c r="AH204" s="35">
        <v>45714</v>
      </c>
      <c r="AI204" s="31" t="s">
        <v>681</v>
      </c>
      <c r="AJ204" s="32">
        <v>-4.7000000000000002E-3</v>
      </c>
      <c r="AK204" s="28">
        <f t="shared" si="90"/>
        <v>-4.8403707518022638E-3</v>
      </c>
      <c r="AL204" s="28" t="s">
        <v>683</v>
      </c>
      <c r="AM204" s="28" t="s">
        <v>681</v>
      </c>
      <c r="AN204" s="28" t="s">
        <v>1777</v>
      </c>
      <c r="AO204" s="28" t="s">
        <v>684</v>
      </c>
      <c r="AP204" s="28" t="s">
        <v>685</v>
      </c>
      <c r="AQ204" s="28" t="s">
        <v>73</v>
      </c>
      <c r="AR204" s="28" t="s">
        <v>24</v>
      </c>
      <c r="AS204" s="73">
        <v>62011.661974330003</v>
      </c>
      <c r="AT204" s="8">
        <v>95.77</v>
      </c>
      <c r="AU204" s="73" t="s">
        <v>681</v>
      </c>
      <c r="AV204" s="73" t="b">
        <f t="shared" si="104"/>
        <v>1</v>
      </c>
      <c r="AW204" s="79">
        <v>0</v>
      </c>
      <c r="AX204" s="45" t="str">
        <f t="shared" si="105"/>
        <v/>
      </c>
      <c r="AY204" s="29" t="str">
        <f t="shared" si="106"/>
        <v/>
      </c>
      <c r="AZ204" s="29" t="str">
        <f t="shared" si="107"/>
        <v/>
      </c>
      <c r="BA204" s="29" t="s">
        <v>699</v>
      </c>
      <c r="BB204" s="29">
        <f t="shared" si="108"/>
        <v>0</v>
      </c>
      <c r="BC204">
        <f t="shared" si="109"/>
        <v>0</v>
      </c>
      <c r="BD204" s="78" t="str" cm="1">
        <f t="array" ref="BD204">IF(BC204&lt;&gt;1, "", IF(AK204&gt;0, INT(AK204/SUMPRODUCT(($AK$3:$AK$1000&gt;0)*($AK$3:$AK$1000), ($BC$3:$BC$1000))*$AB$12/AT204), INT(AK204/SUMPRODUCT(($AK$3:$AK$1000&lt;0)*($AK$3:$AK$1000), ($BC$3:$BC$1000))*$AB$13/AT204)))</f>
        <v/>
      </c>
      <c r="BE204" t="str">
        <f t="shared" si="110"/>
        <v/>
      </c>
      <c r="BF204" s="65" t="str">
        <f t="shared" si="111"/>
        <v/>
      </c>
    </row>
    <row r="205" spans="2:58" x14ac:dyDescent="0.3">
      <c r="B205" s="18" t="s">
        <v>658</v>
      </c>
      <c r="C205" s="18" t="s">
        <v>669</v>
      </c>
      <c r="D205" s="18" t="s">
        <v>679</v>
      </c>
      <c r="E205" s="44" t="s">
        <v>1524</v>
      </c>
      <c r="F205" s="18" t="s">
        <v>26</v>
      </c>
      <c r="G205" s="18" t="s">
        <v>10</v>
      </c>
      <c r="H205" s="19">
        <v>23400.884913999998</v>
      </c>
      <c r="I205" s="18">
        <v>-1576</v>
      </c>
      <c r="J205" s="20">
        <v>63.8</v>
      </c>
      <c r="K205" s="19">
        <v>-100548.79999999999</v>
      </c>
      <c r="L205" s="12">
        <f t="shared" si="91"/>
        <v>-6.7032533333333325E-3</v>
      </c>
      <c r="M205" s="12">
        <f t="shared" si="92"/>
        <v>-6.5911431513903168E-3</v>
      </c>
      <c r="N205" s="15" t="str">
        <f t="shared" si="93"/>
        <v/>
      </c>
      <c r="O205" s="15" t="str">
        <f t="shared" si="94"/>
        <v/>
      </c>
      <c r="P205" s="15" t="str">
        <f t="shared" si="95"/>
        <v/>
      </c>
      <c r="Q205" s="15" t="str">
        <f t="shared" si="96"/>
        <v/>
      </c>
      <c r="R205" s="55" t="str">
        <f t="shared" si="97"/>
        <v/>
      </c>
      <c r="S205" s="33" t="str">
        <f t="shared" si="98"/>
        <v/>
      </c>
      <c r="T205" s="33" t="str">
        <f t="shared" si="99"/>
        <v/>
      </c>
      <c r="U205" s="15" t="str">
        <f t="shared" si="100"/>
        <v/>
      </c>
      <c r="V205" s="15" t="str">
        <f t="shared" si="101"/>
        <v/>
      </c>
      <c r="W205" s="62" t="str">
        <f t="shared" si="102"/>
        <v/>
      </c>
      <c r="X205" s="15"/>
      <c r="Y205" s="1">
        <f t="shared" si="103"/>
        <v>-1.1211018194301568E-4</v>
      </c>
      <c r="AH205" s="35">
        <v>45714</v>
      </c>
      <c r="AI205" s="31" t="s">
        <v>1098</v>
      </c>
      <c r="AJ205" s="32">
        <v>-5.1000000000000004E-3</v>
      </c>
      <c r="AK205" s="28">
        <f t="shared" si="90"/>
        <v>-5.252317198764159E-3</v>
      </c>
      <c r="AL205" s="28" t="s">
        <v>1239</v>
      </c>
      <c r="AM205" s="28" t="s">
        <v>1098</v>
      </c>
      <c r="AN205" s="28" t="s">
        <v>1240</v>
      </c>
      <c r="AO205" s="28" t="s">
        <v>1241</v>
      </c>
      <c r="AP205" s="28" t="s">
        <v>1242</v>
      </c>
      <c r="AQ205" s="28" t="s">
        <v>73</v>
      </c>
      <c r="AR205" s="28" t="s">
        <v>20</v>
      </c>
      <c r="AS205" s="73">
        <v>718.42454640000005</v>
      </c>
      <c r="AT205" s="8">
        <v>15.8</v>
      </c>
      <c r="AU205" s="73" t="s">
        <v>1098</v>
      </c>
      <c r="AV205" s="73" t="b">
        <f t="shared" si="104"/>
        <v>1</v>
      </c>
      <c r="AW205" s="79">
        <v>0</v>
      </c>
      <c r="AX205" s="45" t="str">
        <f t="shared" si="105"/>
        <v/>
      </c>
      <c r="AY205" s="29" t="str">
        <f t="shared" si="106"/>
        <v/>
      </c>
      <c r="AZ205" s="29" t="str">
        <f t="shared" si="107"/>
        <v/>
      </c>
      <c r="BA205" s="29" t="s">
        <v>699</v>
      </c>
      <c r="BB205" s="29">
        <f t="shared" si="108"/>
        <v>0</v>
      </c>
      <c r="BC205">
        <f t="shared" si="109"/>
        <v>0</v>
      </c>
      <c r="BD205" s="78" t="str" cm="1">
        <f t="array" ref="BD205">IF(BC205&lt;&gt;1, "", IF(AK205&gt;0, INT(AK205/SUMPRODUCT(($AK$3:$AK$1000&gt;0)*($AK$3:$AK$1000), ($BC$3:$BC$1000))*$AB$12/AT205), INT(AK205/SUMPRODUCT(($AK$3:$AK$1000&lt;0)*($AK$3:$AK$1000), ($BC$3:$BC$1000))*$AB$13/AT205)))</f>
        <v/>
      </c>
      <c r="BE205" t="str">
        <f t="shared" si="110"/>
        <v/>
      </c>
      <c r="BF205" s="65" t="str">
        <f t="shared" si="111"/>
        <v/>
      </c>
    </row>
    <row r="206" spans="2:58" x14ac:dyDescent="0.3">
      <c r="B206" s="18" t="s">
        <v>1420</v>
      </c>
      <c r="C206" s="18" t="s">
        <v>1478</v>
      </c>
      <c r="D206" s="18" t="s">
        <v>1500</v>
      </c>
      <c r="E206" s="44" t="s">
        <v>1480</v>
      </c>
      <c r="F206" s="18" t="s">
        <v>13</v>
      </c>
      <c r="G206" s="18" t="s">
        <v>10</v>
      </c>
      <c r="H206" s="19">
        <v>6432.2540702400001</v>
      </c>
      <c r="I206" s="18">
        <v>-1744</v>
      </c>
      <c r="J206" s="20">
        <v>60.24</v>
      </c>
      <c r="K206" s="19">
        <v>-105058.56</v>
      </c>
      <c r="L206" s="12">
        <f t="shared" si="91"/>
        <v>-7.003904E-3</v>
      </c>
      <c r="M206" s="12">
        <f t="shared" si="92"/>
        <v>-6.797116374871264E-3</v>
      </c>
      <c r="N206" s="15" t="str">
        <f t="shared" si="93"/>
        <v/>
      </c>
      <c r="O206" s="15" t="str">
        <f t="shared" si="94"/>
        <v/>
      </c>
      <c r="P206" s="15">
        <f t="shared" si="95"/>
        <v>1</v>
      </c>
      <c r="Q206" s="15" t="str">
        <f t="shared" si="96"/>
        <v>BuyToCover</v>
      </c>
      <c r="R206" s="55">
        <f t="shared" si="97"/>
        <v>51</v>
      </c>
      <c r="S206" s="33">
        <f t="shared" si="98"/>
        <v>3072.2400000000002</v>
      </c>
      <c r="T206" s="33" t="str">
        <f t="shared" si="99"/>
        <v/>
      </c>
      <c r="U206" s="15" t="str">
        <f t="shared" si="100"/>
        <v/>
      </c>
      <c r="V206" s="15">
        <f t="shared" si="101"/>
        <v>0.51</v>
      </c>
      <c r="W206" s="62">
        <f t="shared" si="102"/>
        <v>1.6600265604249667E-4</v>
      </c>
      <c r="X206" s="15"/>
      <c r="Y206" s="1">
        <f t="shared" si="103"/>
        <v>-2.0678762512873605E-4</v>
      </c>
      <c r="AH206" s="35">
        <v>45714</v>
      </c>
      <c r="AI206" s="31" t="s">
        <v>953</v>
      </c>
      <c r="AJ206" s="32">
        <v>-5.1000000000000004E-3</v>
      </c>
      <c r="AK206" s="28">
        <f t="shared" si="90"/>
        <v>-5.252317198764159E-3</v>
      </c>
      <c r="AL206" s="28" t="s">
        <v>983</v>
      </c>
      <c r="AM206" s="28" t="s">
        <v>953</v>
      </c>
      <c r="AN206" s="28" t="s">
        <v>984</v>
      </c>
      <c r="AO206" s="28" t="s">
        <v>985</v>
      </c>
      <c r="AP206" s="28" t="s">
        <v>986</v>
      </c>
      <c r="AQ206" s="28" t="s">
        <v>73</v>
      </c>
      <c r="AR206" s="28" t="s">
        <v>11</v>
      </c>
      <c r="AS206" s="73">
        <v>1609.78488552</v>
      </c>
      <c r="AT206" s="8">
        <v>42.84</v>
      </c>
      <c r="AU206" s="73" t="s">
        <v>953</v>
      </c>
      <c r="AV206" s="73" t="b">
        <f t="shared" si="104"/>
        <v>1</v>
      </c>
      <c r="AW206" s="79">
        <v>0</v>
      </c>
      <c r="AX206" s="45" t="str">
        <f t="shared" si="105"/>
        <v/>
      </c>
      <c r="AY206" s="29" t="str">
        <f t="shared" si="106"/>
        <v/>
      </c>
      <c r="AZ206" s="29" t="str">
        <f t="shared" si="107"/>
        <v/>
      </c>
      <c r="BA206" s="29" t="s">
        <v>699</v>
      </c>
      <c r="BB206" s="29">
        <f t="shared" si="108"/>
        <v>0</v>
      </c>
      <c r="BC206">
        <f t="shared" si="109"/>
        <v>0</v>
      </c>
      <c r="BD206" s="78" t="str" cm="1">
        <f t="array" ref="BD206">IF(BC206&lt;&gt;1, "", IF(AK206&gt;0, INT(AK206/SUMPRODUCT(($AK$3:$AK$1000&gt;0)*($AK$3:$AK$1000), ($BC$3:$BC$1000))*$AB$12/AT206), INT(AK206/SUMPRODUCT(($AK$3:$AK$1000&lt;0)*($AK$3:$AK$1000), ($BC$3:$BC$1000))*$AB$13/AT206)))</f>
        <v/>
      </c>
      <c r="BE206" t="str">
        <f t="shared" si="110"/>
        <v/>
      </c>
      <c r="BF206" s="65" t="str">
        <f t="shared" si="111"/>
        <v/>
      </c>
    </row>
    <row r="207" spans="2:58" x14ac:dyDescent="0.3">
      <c r="B207" s="18" t="s">
        <v>482</v>
      </c>
      <c r="C207" s="18" t="s">
        <v>486</v>
      </c>
      <c r="D207" s="18" t="s">
        <v>493</v>
      </c>
      <c r="E207" s="44" t="s">
        <v>489</v>
      </c>
      <c r="F207" s="18" t="s">
        <v>20</v>
      </c>
      <c r="G207" s="18" t="s">
        <v>10</v>
      </c>
      <c r="H207" s="19">
        <v>234.44693370000002</v>
      </c>
      <c r="I207" s="18">
        <v>-4918</v>
      </c>
      <c r="J207" s="20">
        <v>21.42</v>
      </c>
      <c r="K207" s="19">
        <v>-105343.56000000001</v>
      </c>
      <c r="L207" s="12">
        <f t="shared" si="91"/>
        <v>-7.0229040000000008E-3</v>
      </c>
      <c r="M207" s="12">
        <f t="shared" si="92"/>
        <v>-7.0030895983522112E-3</v>
      </c>
      <c r="N207" s="15" t="str">
        <f t="shared" si="93"/>
        <v/>
      </c>
      <c r="O207" s="15" t="str">
        <f t="shared" si="94"/>
        <v/>
      </c>
      <c r="P207" s="15" t="str">
        <f t="shared" si="95"/>
        <v/>
      </c>
      <c r="Q207" s="15" t="str">
        <f t="shared" si="96"/>
        <v/>
      </c>
      <c r="R207" s="55" t="str">
        <f t="shared" si="97"/>
        <v/>
      </c>
      <c r="S207" s="33" t="str">
        <f t="shared" si="98"/>
        <v/>
      </c>
      <c r="T207" s="33" t="str">
        <f t="shared" si="99"/>
        <v/>
      </c>
      <c r="U207" s="15" t="str">
        <f t="shared" si="100"/>
        <v/>
      </c>
      <c r="V207" s="15" t="str">
        <f t="shared" si="101"/>
        <v/>
      </c>
      <c r="W207" s="62" t="str">
        <f t="shared" si="102"/>
        <v/>
      </c>
      <c r="X207" s="15"/>
      <c r="Y207" s="1">
        <f t="shared" si="103"/>
        <v>-1.9814401647789623E-5</v>
      </c>
      <c r="AH207" s="35">
        <v>45714</v>
      </c>
      <c r="AI207" s="31" t="s">
        <v>1330</v>
      </c>
      <c r="AJ207" s="32">
        <v>-5.4000000000000003E-3</v>
      </c>
      <c r="AK207" s="28">
        <f t="shared" si="90"/>
        <v>-5.5612770339855799E-3</v>
      </c>
      <c r="AL207" s="28" t="s">
        <v>1374</v>
      </c>
      <c r="AM207" s="28" t="s">
        <v>1330</v>
      </c>
      <c r="AN207" s="28" t="s">
        <v>1375</v>
      </c>
      <c r="AO207" s="28" t="s">
        <v>1376</v>
      </c>
      <c r="AP207" s="28" t="s">
        <v>1377</v>
      </c>
      <c r="AQ207" s="28" t="s">
        <v>73</v>
      </c>
      <c r="AR207" s="28" t="s">
        <v>24</v>
      </c>
      <c r="AS207" s="73">
        <v>487.13750553</v>
      </c>
      <c r="AT207" s="8">
        <v>16.510000000000002</v>
      </c>
      <c r="AU207" s="73" t="s">
        <v>1330</v>
      </c>
      <c r="AV207" s="73" t="b">
        <f t="shared" si="104"/>
        <v>1</v>
      </c>
      <c r="AW207" s="79">
        <v>0</v>
      </c>
      <c r="AX207" s="45" t="str">
        <f t="shared" si="105"/>
        <v/>
      </c>
      <c r="AY207" s="29" t="str">
        <f t="shared" si="106"/>
        <v/>
      </c>
      <c r="AZ207" s="29" t="str">
        <f t="shared" si="107"/>
        <v/>
      </c>
      <c r="BA207" s="29" t="s">
        <v>699</v>
      </c>
      <c r="BB207" s="29">
        <f t="shared" si="108"/>
        <v>0</v>
      </c>
      <c r="BC207">
        <f t="shared" si="109"/>
        <v>0</v>
      </c>
      <c r="BD207" s="78" t="str" cm="1">
        <f t="array" ref="BD207">IF(BC207&lt;&gt;1, "", IF(AK207&gt;0, INT(AK207/SUMPRODUCT(($AK$3:$AK$1000&gt;0)*($AK$3:$AK$1000), ($BC$3:$BC$1000))*$AB$12/AT207), INT(AK207/SUMPRODUCT(($AK$3:$AK$1000&lt;0)*($AK$3:$AK$1000), ($BC$3:$BC$1000))*$AB$13/AT207)))</f>
        <v/>
      </c>
      <c r="BE207" t="str">
        <f t="shared" si="110"/>
        <v/>
      </c>
      <c r="BF207" s="65" t="str">
        <f t="shared" si="111"/>
        <v/>
      </c>
    </row>
    <row r="208" spans="2:58" x14ac:dyDescent="0.3">
      <c r="B208" s="18" t="s">
        <v>1418</v>
      </c>
      <c r="C208" s="18" t="s">
        <v>1471</v>
      </c>
      <c r="D208" s="18" t="s">
        <v>1498</v>
      </c>
      <c r="E208" s="44" t="s">
        <v>1474</v>
      </c>
      <c r="F208" s="18" t="s">
        <v>14</v>
      </c>
      <c r="G208" s="18" t="s">
        <v>10</v>
      </c>
      <c r="H208" s="19">
        <v>1040.35993831</v>
      </c>
      <c r="I208" s="18">
        <v>-3149</v>
      </c>
      <c r="J208" s="20">
        <v>33.79</v>
      </c>
      <c r="K208" s="19">
        <v>-106404.70999999999</v>
      </c>
      <c r="L208" s="12">
        <f t="shared" si="91"/>
        <v>-7.093647333333333E-3</v>
      </c>
      <c r="M208" s="12">
        <f t="shared" si="92"/>
        <v>-7.2090628218331584E-3</v>
      </c>
      <c r="N208" s="15" t="str">
        <f t="shared" si="93"/>
        <v/>
      </c>
      <c r="O208" s="15" t="str">
        <f t="shared" si="94"/>
        <v/>
      </c>
      <c r="P208" s="15" t="str">
        <f t="shared" si="95"/>
        <v/>
      </c>
      <c r="Q208" s="15" t="str">
        <f t="shared" si="96"/>
        <v/>
      </c>
      <c r="R208" s="55" t="str">
        <f t="shared" si="97"/>
        <v/>
      </c>
      <c r="S208" s="33" t="str">
        <f t="shared" si="98"/>
        <v/>
      </c>
      <c r="T208" s="33" t="str">
        <f t="shared" si="99"/>
        <v/>
      </c>
      <c r="U208" s="15" t="str">
        <f t="shared" si="100"/>
        <v/>
      </c>
      <c r="V208" s="15" t="str">
        <f t="shared" si="101"/>
        <v/>
      </c>
      <c r="W208" s="62" t="str">
        <f t="shared" si="102"/>
        <v/>
      </c>
      <c r="X208" s="15"/>
      <c r="Y208" s="1">
        <f t="shared" si="103"/>
        <v>1.1541548849982545E-4</v>
      </c>
      <c r="AH208" s="35">
        <v>45714</v>
      </c>
      <c r="AI208" s="31" t="s">
        <v>847</v>
      </c>
      <c r="AJ208" s="32">
        <v>-5.4000000000000003E-3</v>
      </c>
      <c r="AK208" s="28">
        <f t="shared" si="90"/>
        <v>-5.5612770339855799E-3</v>
      </c>
      <c r="AL208" s="28" t="s">
        <v>883</v>
      </c>
      <c r="AM208" s="28" t="s">
        <v>847</v>
      </c>
      <c r="AN208" s="28" t="s">
        <v>884</v>
      </c>
      <c r="AO208" s="28" t="s">
        <v>885</v>
      </c>
      <c r="AP208" s="28" t="s">
        <v>886</v>
      </c>
      <c r="AQ208" s="28" t="s">
        <v>73</v>
      </c>
      <c r="AR208" s="28" t="s">
        <v>13</v>
      </c>
      <c r="AS208" s="73">
        <v>928.62137115999997</v>
      </c>
      <c r="AT208" s="8">
        <v>24.29</v>
      </c>
      <c r="AU208" s="73" t="s">
        <v>847</v>
      </c>
      <c r="AV208" s="73" t="b">
        <f t="shared" si="104"/>
        <v>1</v>
      </c>
      <c r="AW208" s="79">
        <v>0</v>
      </c>
      <c r="AX208" s="45" t="str">
        <f t="shared" si="105"/>
        <v/>
      </c>
      <c r="AY208" s="29" t="str">
        <f t="shared" si="106"/>
        <v/>
      </c>
      <c r="AZ208" s="29" t="str">
        <f t="shared" si="107"/>
        <v/>
      </c>
      <c r="BA208" s="29" t="s">
        <v>699</v>
      </c>
      <c r="BB208" s="29">
        <f t="shared" si="108"/>
        <v>0</v>
      </c>
      <c r="BC208">
        <f t="shared" si="109"/>
        <v>0</v>
      </c>
      <c r="BD208" s="78" t="str" cm="1">
        <f t="array" ref="BD208">IF(BC208&lt;&gt;1, "", IF(AK208&gt;0, INT(AK208/SUMPRODUCT(($AK$3:$AK$1000&gt;0)*($AK$3:$AK$1000), ($BC$3:$BC$1000))*$AB$12/AT208), INT(AK208/SUMPRODUCT(($AK$3:$AK$1000&lt;0)*($AK$3:$AK$1000), ($BC$3:$BC$1000))*$AB$13/AT208)))</f>
        <v/>
      </c>
      <c r="BE208" t="str">
        <f t="shared" si="110"/>
        <v/>
      </c>
      <c r="BF208" s="65" t="str">
        <f t="shared" si="111"/>
        <v/>
      </c>
    </row>
    <row r="209" spans="2:58" x14ac:dyDescent="0.3">
      <c r="B209" s="18" t="s">
        <v>1101</v>
      </c>
      <c r="C209" s="18" t="s">
        <v>1249</v>
      </c>
      <c r="D209" s="18" t="s">
        <v>1312</v>
      </c>
      <c r="E209" s="44" t="s">
        <v>1252</v>
      </c>
      <c r="F209" s="18" t="s">
        <v>21</v>
      </c>
      <c r="G209" s="18" t="s">
        <v>10</v>
      </c>
      <c r="H209" s="19">
        <v>3954.2660000000001</v>
      </c>
      <c r="I209" s="18">
        <v>-2550</v>
      </c>
      <c r="J209" s="20">
        <v>45.82</v>
      </c>
      <c r="K209" s="19">
        <v>-116841</v>
      </c>
      <c r="L209" s="12">
        <f t="shared" si="91"/>
        <v>-7.7894000000000001E-3</v>
      </c>
      <c r="M209" s="12">
        <f t="shared" si="92"/>
        <v>-7.8269824922760009E-3</v>
      </c>
      <c r="N209" s="15" t="str">
        <f t="shared" si="93"/>
        <v/>
      </c>
      <c r="O209" s="15" t="str">
        <f t="shared" si="94"/>
        <v/>
      </c>
      <c r="P209" s="15" t="str">
        <f t="shared" si="95"/>
        <v/>
      </c>
      <c r="Q209" s="15" t="str">
        <f t="shared" si="96"/>
        <v/>
      </c>
      <c r="R209" s="55" t="str">
        <f t="shared" si="97"/>
        <v/>
      </c>
      <c r="S209" s="33" t="str">
        <f t="shared" si="98"/>
        <v/>
      </c>
      <c r="T209" s="33" t="str">
        <f t="shared" si="99"/>
        <v/>
      </c>
      <c r="U209" s="15" t="str">
        <f t="shared" si="100"/>
        <v/>
      </c>
      <c r="V209" s="15" t="str">
        <f t="shared" si="101"/>
        <v/>
      </c>
      <c r="W209" s="62" t="str">
        <f t="shared" si="102"/>
        <v/>
      </c>
      <c r="X209" s="15"/>
      <c r="Y209" s="1">
        <f t="shared" si="103"/>
        <v>3.7582492276000759E-5</v>
      </c>
      <c r="AH209" s="35">
        <v>45714</v>
      </c>
      <c r="AI209" s="31" t="s">
        <v>1849</v>
      </c>
      <c r="AJ209" s="32">
        <v>-5.4000000000000003E-3</v>
      </c>
      <c r="AK209" s="28">
        <f t="shared" si="90"/>
        <v>-5.5612770339855799E-3</v>
      </c>
      <c r="AL209" s="28" t="s">
        <v>1935</v>
      </c>
      <c r="AM209" s="28" t="s">
        <v>1849</v>
      </c>
      <c r="AN209" s="28" t="s">
        <v>1936</v>
      </c>
      <c r="AO209" s="28" t="s">
        <v>1937</v>
      </c>
      <c r="AP209" s="28" t="s">
        <v>1938</v>
      </c>
      <c r="AQ209" s="28" t="s">
        <v>73</v>
      </c>
      <c r="AR209" s="28" t="s">
        <v>21</v>
      </c>
      <c r="AS209" s="73">
        <v>8954.2778600000001</v>
      </c>
      <c r="AT209" s="8">
        <v>35.86</v>
      </c>
      <c r="AU209" s="73" t="s">
        <v>1849</v>
      </c>
      <c r="AV209" s="73" t="b">
        <f t="shared" si="104"/>
        <v>1</v>
      </c>
      <c r="AW209" s="79">
        <v>0</v>
      </c>
      <c r="AX209" s="45" t="str">
        <f t="shared" si="105"/>
        <v/>
      </c>
      <c r="AY209" s="29" t="str">
        <f t="shared" si="106"/>
        <v/>
      </c>
      <c r="AZ209" s="29" t="str">
        <f t="shared" si="107"/>
        <v/>
      </c>
      <c r="BA209" s="29" t="s">
        <v>699</v>
      </c>
      <c r="BB209" s="29">
        <f t="shared" si="108"/>
        <v>0</v>
      </c>
      <c r="BC209">
        <f t="shared" si="109"/>
        <v>1</v>
      </c>
      <c r="BD209" s="78" cm="1">
        <f t="array" ref="BD209">IF(BC209&lt;&gt;1, "", IF(AK209&gt;0, INT(AK209/SUMPRODUCT(($AK$3:$AK$1000&gt;0)*($AK$3:$AK$1000), ($BC$3:$BC$1000))*$AB$12/AT209), INT(AK209/SUMPRODUCT(($AK$3:$AK$1000&lt;0)*($AK$3:$AK$1000), ($BC$3:$BC$1000))*$AB$13/AT209)))</f>
        <v>2235</v>
      </c>
      <c r="BE209" t="str">
        <f t="shared" si="110"/>
        <v>SellShort</v>
      </c>
      <c r="BF209" s="65">
        <f t="shared" si="111"/>
        <v>80147.100000000006</v>
      </c>
    </row>
    <row r="210" spans="2:58" x14ac:dyDescent="0.3">
      <c r="B210" s="18" t="s">
        <v>417</v>
      </c>
      <c r="C210" s="18" t="s">
        <v>435</v>
      </c>
      <c r="D210" s="18" t="s">
        <v>479</v>
      </c>
      <c r="E210" s="44" t="s">
        <v>437</v>
      </c>
      <c r="F210" s="18" t="s">
        <v>20</v>
      </c>
      <c r="G210" s="18" t="s">
        <v>10</v>
      </c>
      <c r="H210" s="19">
        <v>4417.1753967900004</v>
      </c>
      <c r="I210" s="18">
        <v>-1960</v>
      </c>
      <c r="J210" s="20">
        <v>59.67</v>
      </c>
      <c r="K210" s="19">
        <v>-116953.2</v>
      </c>
      <c r="L210" s="12">
        <f t="shared" si="91"/>
        <v>-7.79688E-3</v>
      </c>
      <c r="M210" s="12">
        <f t="shared" si="92"/>
        <v>-7.8269824922760009E-3</v>
      </c>
      <c r="N210" s="15" t="str">
        <f t="shared" si="93"/>
        <v/>
      </c>
      <c r="O210" s="15" t="str">
        <f t="shared" si="94"/>
        <v/>
      </c>
      <c r="P210" s="15" t="str">
        <f t="shared" si="95"/>
        <v/>
      </c>
      <c r="Q210" s="15" t="str">
        <f t="shared" si="96"/>
        <v/>
      </c>
      <c r="R210" s="55" t="str">
        <f t="shared" si="97"/>
        <v/>
      </c>
      <c r="S210" s="33" t="str">
        <f t="shared" si="98"/>
        <v/>
      </c>
      <c r="T210" s="33" t="str">
        <f t="shared" si="99"/>
        <v/>
      </c>
      <c r="U210" s="15" t="str">
        <f t="shared" si="100"/>
        <v/>
      </c>
      <c r="V210" s="15" t="str">
        <f t="shared" si="101"/>
        <v/>
      </c>
      <c r="W210" s="62" t="str">
        <f t="shared" si="102"/>
        <v/>
      </c>
      <c r="X210" s="15"/>
      <c r="Y210" s="1">
        <f t="shared" si="103"/>
        <v>3.0102492276000946E-5</v>
      </c>
      <c r="AH210" s="35">
        <v>45714</v>
      </c>
      <c r="AI210" s="31" t="s">
        <v>588</v>
      </c>
      <c r="AJ210" s="32">
        <v>-5.4999999999999997E-3</v>
      </c>
      <c r="AK210" s="28">
        <f t="shared" si="90"/>
        <v>-5.6642636457260526E-3</v>
      </c>
      <c r="AL210" s="28" t="s">
        <v>614</v>
      </c>
      <c r="AM210" s="28" t="s">
        <v>588</v>
      </c>
      <c r="AN210" s="28" t="s">
        <v>1790</v>
      </c>
      <c r="AO210" s="28" t="s">
        <v>615</v>
      </c>
      <c r="AP210" s="28" t="s">
        <v>616</v>
      </c>
      <c r="AQ210" s="28" t="s">
        <v>73</v>
      </c>
      <c r="AR210" s="28" t="s">
        <v>23</v>
      </c>
      <c r="AS210" s="73">
        <v>111175.23129934999</v>
      </c>
      <c r="AT210" s="8">
        <v>277.45</v>
      </c>
      <c r="AU210" s="73" t="s">
        <v>588</v>
      </c>
      <c r="AV210" s="73" t="b">
        <f t="shared" si="104"/>
        <v>1</v>
      </c>
      <c r="AW210" s="79">
        <v>0</v>
      </c>
      <c r="AX210" s="45" t="str">
        <f t="shared" si="105"/>
        <v/>
      </c>
      <c r="AY210" s="29" t="str">
        <f t="shared" si="106"/>
        <v/>
      </c>
      <c r="AZ210" s="29" t="str">
        <f t="shared" si="107"/>
        <v/>
      </c>
      <c r="BA210" s="29" t="s">
        <v>699</v>
      </c>
      <c r="BB210" s="29">
        <f t="shared" si="108"/>
        <v>0</v>
      </c>
      <c r="BC210">
        <f t="shared" si="109"/>
        <v>0</v>
      </c>
      <c r="BD210" s="78" t="str" cm="1">
        <f t="array" ref="BD210">IF(BC210&lt;&gt;1, "", IF(AK210&gt;0, INT(AK210/SUMPRODUCT(($AK$3:$AK$1000&gt;0)*($AK$3:$AK$1000), ($BC$3:$BC$1000))*$AB$12/AT210), INT(AK210/SUMPRODUCT(($AK$3:$AK$1000&lt;0)*($AK$3:$AK$1000), ($BC$3:$BC$1000))*$AB$13/AT210)))</f>
        <v/>
      </c>
      <c r="BE210" t="str">
        <f t="shared" si="110"/>
        <v/>
      </c>
      <c r="BF210" s="65" t="str">
        <f t="shared" si="111"/>
        <v/>
      </c>
    </row>
    <row r="211" spans="2:58" x14ac:dyDescent="0.3">
      <c r="B211" s="18" t="s">
        <v>704</v>
      </c>
      <c r="C211" s="18" t="s">
        <v>721</v>
      </c>
      <c r="D211" s="18" t="s">
        <v>757</v>
      </c>
      <c r="E211" s="44" t="s">
        <v>723</v>
      </c>
      <c r="F211" s="18" t="s">
        <v>19</v>
      </c>
      <c r="G211" s="18" t="s">
        <v>10</v>
      </c>
      <c r="H211" s="19">
        <v>785.84814494000022</v>
      </c>
      <c r="I211" s="18">
        <v>-19971</v>
      </c>
      <c r="J211" s="20">
        <v>5.86</v>
      </c>
      <c r="K211" s="19">
        <v>-117030.06000000001</v>
      </c>
      <c r="L211" s="12">
        <f t="shared" si="91"/>
        <v>-7.8020040000000004E-3</v>
      </c>
      <c r="M211" s="12">
        <f t="shared" si="92"/>
        <v>-8.4449021627188443E-3</v>
      </c>
      <c r="N211" s="15" t="str">
        <f t="shared" si="93"/>
        <v/>
      </c>
      <c r="O211" s="15" t="str">
        <f t="shared" si="94"/>
        <v/>
      </c>
      <c r="P211" s="15">
        <f t="shared" si="95"/>
        <v>1</v>
      </c>
      <c r="Q211" s="15" t="str">
        <f t="shared" si="96"/>
        <v>SellShort</v>
      </c>
      <c r="R211" s="55">
        <f t="shared" si="97"/>
        <v>1645</v>
      </c>
      <c r="S211" s="33">
        <f t="shared" si="98"/>
        <v>9639.7000000000007</v>
      </c>
      <c r="T211" s="33" t="str">
        <f t="shared" si="99"/>
        <v/>
      </c>
      <c r="U211" s="15" t="str">
        <f t="shared" si="100"/>
        <v/>
      </c>
      <c r="V211" s="15">
        <f t="shared" si="101"/>
        <v>16.45</v>
      </c>
      <c r="W211" s="62">
        <f t="shared" si="102"/>
        <v>1.7064846416382251E-3</v>
      </c>
      <c r="X211" s="15"/>
      <c r="Y211" s="1">
        <f t="shared" si="103"/>
        <v>6.4289816271884386E-4</v>
      </c>
      <c r="AH211" s="35">
        <v>45714</v>
      </c>
      <c r="AI211" s="31" t="s">
        <v>326</v>
      </c>
      <c r="AJ211" s="32">
        <v>-5.5999999999999999E-3</v>
      </c>
      <c r="AK211" s="28">
        <f t="shared" si="90"/>
        <v>-5.7672502574665271E-3</v>
      </c>
      <c r="AL211" s="28" t="s">
        <v>328</v>
      </c>
      <c r="AM211" s="28" t="s">
        <v>326</v>
      </c>
      <c r="AN211" s="28" t="s">
        <v>329</v>
      </c>
      <c r="AO211" s="28" t="s">
        <v>330</v>
      </c>
      <c r="AP211" s="28" t="s">
        <v>331</v>
      </c>
      <c r="AQ211" s="28" t="s">
        <v>73</v>
      </c>
      <c r="AR211" s="28" t="s">
        <v>24</v>
      </c>
      <c r="AS211" s="73">
        <v>1375.43</v>
      </c>
      <c r="AT211" s="8">
        <v>40.1</v>
      </c>
      <c r="AU211" s="73" t="s">
        <v>326</v>
      </c>
      <c r="AV211" s="73" t="b">
        <f t="shared" si="104"/>
        <v>1</v>
      </c>
      <c r="AW211" s="79">
        <v>0</v>
      </c>
      <c r="AX211" s="45" t="str">
        <f t="shared" si="105"/>
        <v/>
      </c>
      <c r="AY211" s="29" t="str">
        <f t="shared" si="106"/>
        <v/>
      </c>
      <c r="AZ211" s="29" t="str">
        <f t="shared" si="107"/>
        <v/>
      </c>
      <c r="BA211" s="29" t="s">
        <v>699</v>
      </c>
      <c r="BB211" s="29">
        <f t="shared" si="108"/>
        <v>0</v>
      </c>
      <c r="BC211">
        <f t="shared" si="109"/>
        <v>0</v>
      </c>
      <c r="BD211" s="78" t="str" cm="1">
        <f t="array" ref="BD211">IF(BC211&lt;&gt;1, "", IF(AK211&gt;0, INT(AK211/SUMPRODUCT(($AK$3:$AK$1000&gt;0)*($AK$3:$AK$1000), ($BC$3:$BC$1000))*$AB$12/AT211), INT(AK211/SUMPRODUCT(($AK$3:$AK$1000&lt;0)*($AK$3:$AK$1000), ($BC$3:$BC$1000))*$AB$13/AT211)))</f>
        <v/>
      </c>
      <c r="BE211" t="str">
        <f t="shared" si="110"/>
        <v/>
      </c>
      <c r="BF211" s="65" t="str">
        <f t="shared" si="111"/>
        <v/>
      </c>
    </row>
    <row r="212" spans="2:58" x14ac:dyDescent="0.3">
      <c r="B212" s="18" t="s">
        <v>1103</v>
      </c>
      <c r="C212" s="18" t="s">
        <v>1256</v>
      </c>
      <c r="D212" s="18" t="s">
        <v>1315</v>
      </c>
      <c r="E212" s="44" t="s">
        <v>1258</v>
      </c>
      <c r="F212" s="18" t="s">
        <v>23</v>
      </c>
      <c r="G212" s="18" t="s">
        <v>10</v>
      </c>
      <c r="H212" s="19">
        <v>14757.6</v>
      </c>
      <c r="I212" s="18">
        <v>-342</v>
      </c>
      <c r="J212" s="20">
        <v>343.2</v>
      </c>
      <c r="K212" s="19">
        <v>-117374.39999999999</v>
      </c>
      <c r="L212" s="12">
        <f t="shared" si="91"/>
        <v>-7.8249599999999989E-3</v>
      </c>
      <c r="M212" s="12">
        <f t="shared" si="92"/>
        <v>-7.7239958805355264E-3</v>
      </c>
      <c r="N212" s="15" t="str">
        <f t="shared" si="93"/>
        <v/>
      </c>
      <c r="O212" s="15" t="str">
        <f t="shared" si="94"/>
        <v/>
      </c>
      <c r="P212" s="15" t="str">
        <f t="shared" si="95"/>
        <v/>
      </c>
      <c r="Q212" s="15" t="str">
        <f t="shared" si="96"/>
        <v/>
      </c>
      <c r="R212" s="55" t="str">
        <f t="shared" si="97"/>
        <v/>
      </c>
      <c r="S212" s="33" t="str">
        <f t="shared" si="98"/>
        <v/>
      </c>
      <c r="T212" s="33" t="str">
        <f t="shared" si="99"/>
        <v/>
      </c>
      <c r="U212" s="15" t="str">
        <f t="shared" si="100"/>
        <v/>
      </c>
      <c r="V212" s="15" t="str">
        <f t="shared" si="101"/>
        <v/>
      </c>
      <c r="W212" s="62" t="str">
        <f t="shared" si="102"/>
        <v/>
      </c>
      <c r="X212" s="15"/>
      <c r="Y212" s="1">
        <f t="shared" si="103"/>
        <v>-1.0096411946447243E-4</v>
      </c>
      <c r="AH212" s="35">
        <v>45714</v>
      </c>
      <c r="AI212" s="31" t="s">
        <v>370</v>
      </c>
      <c r="AJ212" s="32">
        <v>-5.8999999999999999E-3</v>
      </c>
      <c r="AK212" s="28">
        <f t="shared" si="90"/>
        <v>-6.0762100926879479E-3</v>
      </c>
      <c r="AL212" s="28" t="s">
        <v>375</v>
      </c>
      <c r="AM212" s="28" t="s">
        <v>370</v>
      </c>
      <c r="AN212" s="28" t="s">
        <v>890</v>
      </c>
      <c r="AO212" s="28" t="s">
        <v>376</v>
      </c>
      <c r="AP212" s="28" t="s">
        <v>420</v>
      </c>
      <c r="AQ212" s="28" t="s">
        <v>73</v>
      </c>
      <c r="AR212" s="28" t="s">
        <v>13</v>
      </c>
      <c r="AS212" s="73">
        <v>127.90533906</v>
      </c>
      <c r="AT212" s="8">
        <v>7.29</v>
      </c>
      <c r="AU212" s="73" t="s">
        <v>370</v>
      </c>
      <c r="AV212" s="73" t="b">
        <f t="shared" si="104"/>
        <v>1</v>
      </c>
      <c r="AW212" s="79">
        <v>0</v>
      </c>
      <c r="AX212" s="45" t="str">
        <f t="shared" si="105"/>
        <v/>
      </c>
      <c r="AY212" s="29" t="str">
        <f t="shared" si="106"/>
        <v/>
      </c>
      <c r="AZ212" s="29" t="str">
        <f t="shared" si="107"/>
        <v/>
      </c>
      <c r="BA212" s="29" t="s">
        <v>699</v>
      </c>
      <c r="BB212" s="29">
        <f t="shared" si="108"/>
        <v>0</v>
      </c>
      <c r="BC212">
        <f t="shared" si="109"/>
        <v>0</v>
      </c>
      <c r="BD212" s="78" t="str" cm="1">
        <f t="array" ref="BD212">IF(BC212&lt;&gt;1, "", IF(AK212&gt;0, INT(AK212/SUMPRODUCT(($AK$3:$AK$1000&gt;0)*($AK$3:$AK$1000), ($BC$3:$BC$1000))*$AB$12/AT212), INT(AK212/SUMPRODUCT(($AK$3:$AK$1000&lt;0)*($AK$3:$AK$1000), ($BC$3:$BC$1000))*$AB$13/AT212)))</f>
        <v/>
      </c>
      <c r="BE212" t="str">
        <f t="shared" si="110"/>
        <v/>
      </c>
      <c r="BF212" s="65" t="str">
        <f t="shared" si="111"/>
        <v/>
      </c>
    </row>
    <row r="213" spans="2:58" x14ac:dyDescent="0.3">
      <c r="B213" s="18" t="s">
        <v>1102</v>
      </c>
      <c r="C213" s="18" t="s">
        <v>1253</v>
      </c>
      <c r="D213" s="18" t="s">
        <v>1313</v>
      </c>
      <c r="E213" s="44" t="s">
        <v>1255</v>
      </c>
      <c r="F213" s="18" t="s">
        <v>14</v>
      </c>
      <c r="G213" s="18" t="s">
        <v>10</v>
      </c>
      <c r="H213" s="19">
        <v>71114.532389999993</v>
      </c>
      <c r="I213" s="18">
        <v>-2273</v>
      </c>
      <c r="J213" s="20">
        <v>52.47</v>
      </c>
      <c r="K213" s="19">
        <v>-119264.31</v>
      </c>
      <c r="L213" s="12">
        <f t="shared" si="91"/>
        <v>-7.9509539999999997E-3</v>
      </c>
      <c r="M213" s="12">
        <f t="shared" si="92"/>
        <v>-7.7239958805355264E-3</v>
      </c>
      <c r="N213" s="15" t="str">
        <f t="shared" si="93"/>
        <v/>
      </c>
      <c r="O213" s="15" t="str">
        <f t="shared" si="94"/>
        <v/>
      </c>
      <c r="P213" s="15">
        <f t="shared" si="95"/>
        <v>1</v>
      </c>
      <c r="Q213" s="15" t="str">
        <f t="shared" si="96"/>
        <v>BuyToCover</v>
      </c>
      <c r="R213" s="55">
        <f t="shared" si="97"/>
        <v>64</v>
      </c>
      <c r="S213" s="33">
        <f t="shared" si="98"/>
        <v>3358.08</v>
      </c>
      <c r="T213" s="33" t="str">
        <f t="shared" si="99"/>
        <v/>
      </c>
      <c r="U213" s="15" t="str">
        <f t="shared" si="100"/>
        <v/>
      </c>
      <c r="V213" s="15">
        <f t="shared" si="101"/>
        <v>0.64</v>
      </c>
      <c r="W213" s="62">
        <f t="shared" si="102"/>
        <v>1.9058509624547362E-4</v>
      </c>
      <c r="X213" s="15"/>
      <c r="Y213" s="1">
        <f t="shared" si="103"/>
        <v>-2.2695811946447323E-4</v>
      </c>
      <c r="AH213" s="35">
        <v>45714</v>
      </c>
      <c r="AI213" s="31" t="s">
        <v>1096</v>
      </c>
      <c r="AJ213" s="32">
        <v>-6.0000000000000001E-3</v>
      </c>
      <c r="AK213" s="28">
        <f t="shared" si="90"/>
        <v>-6.1791967044284215E-3</v>
      </c>
      <c r="AL213" s="28" t="s">
        <v>1232</v>
      </c>
      <c r="AM213" s="28" t="s">
        <v>1096</v>
      </c>
      <c r="AN213" s="28" t="s">
        <v>1233</v>
      </c>
      <c r="AO213" s="28" t="s">
        <v>1234</v>
      </c>
      <c r="AP213" s="28" t="s">
        <v>1235</v>
      </c>
      <c r="AQ213" s="28" t="s">
        <v>73</v>
      </c>
      <c r="AR213" s="28" t="s">
        <v>14</v>
      </c>
      <c r="AS213" s="73">
        <v>559.45447444000001</v>
      </c>
      <c r="AT213" s="8">
        <v>18.68</v>
      </c>
      <c r="AU213" s="73" t="s">
        <v>1096</v>
      </c>
      <c r="AV213" s="73" t="b">
        <f t="shared" si="104"/>
        <v>1</v>
      </c>
      <c r="AW213" s="79">
        <v>0</v>
      </c>
      <c r="AX213" s="45" t="str">
        <f t="shared" si="105"/>
        <v/>
      </c>
      <c r="AY213" s="29" t="str">
        <f t="shared" si="106"/>
        <v/>
      </c>
      <c r="AZ213" s="29" t="str">
        <f t="shared" si="107"/>
        <v/>
      </c>
      <c r="BA213" s="29" t="s">
        <v>699</v>
      </c>
      <c r="BB213" s="29">
        <f t="shared" si="108"/>
        <v>0</v>
      </c>
      <c r="BC213">
        <f t="shared" si="109"/>
        <v>0</v>
      </c>
      <c r="BD213" s="78" t="str" cm="1">
        <f t="array" ref="BD213">IF(BC213&lt;&gt;1, "", IF(AK213&gt;0, INT(AK213/SUMPRODUCT(($AK$3:$AK$1000&gt;0)*($AK$3:$AK$1000), ($BC$3:$BC$1000))*$AB$12/AT213), INT(AK213/SUMPRODUCT(($AK$3:$AK$1000&lt;0)*($AK$3:$AK$1000), ($BC$3:$BC$1000))*$AB$13/AT213)))</f>
        <v/>
      </c>
      <c r="BE213" t="str">
        <f t="shared" si="110"/>
        <v/>
      </c>
      <c r="BF213" s="65" t="str">
        <f t="shared" si="111"/>
        <v/>
      </c>
    </row>
    <row r="214" spans="2:58" x14ac:dyDescent="0.3">
      <c r="B214" s="18" t="s">
        <v>416</v>
      </c>
      <c r="C214" s="18" t="s">
        <v>432</v>
      </c>
      <c r="D214" s="18" t="s">
        <v>478</v>
      </c>
      <c r="E214" s="44" t="s">
        <v>434</v>
      </c>
      <c r="F214" s="18" t="s">
        <v>23</v>
      </c>
      <c r="G214" s="18" t="s">
        <v>10</v>
      </c>
      <c r="H214" s="19">
        <v>645.90595443000007</v>
      </c>
      <c r="I214" s="18">
        <v>-1567</v>
      </c>
      <c r="J214" s="20">
        <v>77.31</v>
      </c>
      <c r="K214" s="19">
        <v>-121144.77</v>
      </c>
      <c r="L214" s="12">
        <f t="shared" si="91"/>
        <v>-8.0763180000000007E-3</v>
      </c>
      <c r="M214" s="12">
        <f t="shared" si="92"/>
        <v>-8.2389289392378953E-3</v>
      </c>
      <c r="N214" s="15" t="str">
        <f t="shared" si="93"/>
        <v/>
      </c>
      <c r="O214" s="15" t="str">
        <f t="shared" si="94"/>
        <v/>
      </c>
      <c r="P214" s="15" t="str">
        <f t="shared" si="95"/>
        <v/>
      </c>
      <c r="Q214" s="15" t="str">
        <f t="shared" si="96"/>
        <v/>
      </c>
      <c r="R214" s="55" t="str">
        <f t="shared" si="97"/>
        <v/>
      </c>
      <c r="S214" s="33" t="str">
        <f t="shared" si="98"/>
        <v/>
      </c>
      <c r="T214" s="33" t="str">
        <f t="shared" si="99"/>
        <v/>
      </c>
      <c r="U214" s="15" t="str">
        <f t="shared" si="100"/>
        <v/>
      </c>
      <c r="V214" s="15" t="str">
        <f t="shared" si="101"/>
        <v/>
      </c>
      <c r="W214" s="62" t="str">
        <f t="shared" si="102"/>
        <v/>
      </c>
      <c r="X214" s="15"/>
      <c r="Y214" s="1">
        <f t="shared" si="103"/>
        <v>1.6261093923789459E-4</v>
      </c>
      <c r="AH214" s="35">
        <v>45714</v>
      </c>
      <c r="AI214" s="31" t="s">
        <v>1099</v>
      </c>
      <c r="AJ214" s="32">
        <v>-6.3E-3</v>
      </c>
      <c r="AK214" s="28">
        <f t="shared" si="90"/>
        <v>0</v>
      </c>
      <c r="AL214" s="28" t="s">
        <v>1243</v>
      </c>
      <c r="AM214" s="28" t="s">
        <v>1099</v>
      </c>
      <c r="AN214" s="28" t="s">
        <v>1244</v>
      </c>
      <c r="AO214" s="28" t="s">
        <v>1245</v>
      </c>
      <c r="AP214" s="28" t="s">
        <v>1246</v>
      </c>
      <c r="AQ214" s="28" t="s">
        <v>73</v>
      </c>
      <c r="AR214" s="28" t="s">
        <v>26</v>
      </c>
      <c r="AS214" s="73">
        <v>4469.26048128</v>
      </c>
      <c r="AT214" s="8">
        <v>74.64</v>
      </c>
      <c r="AU214" s="73" t="s">
        <v>1099</v>
      </c>
      <c r="AV214" s="73" t="b">
        <f t="shared" si="104"/>
        <v>1</v>
      </c>
      <c r="AW214" s="79">
        <v>34185.120000000003</v>
      </c>
      <c r="AX214" s="45" t="str">
        <f t="shared" si="105"/>
        <v/>
      </c>
      <c r="AY214" s="29">
        <f t="shared" si="106"/>
        <v>1</v>
      </c>
      <c r="AZ214" s="29" t="str">
        <f t="shared" si="107"/>
        <v/>
      </c>
      <c r="BA214" s="29" t="s">
        <v>699</v>
      </c>
      <c r="BB214" s="29">
        <f t="shared" si="108"/>
        <v>1</v>
      </c>
      <c r="BC214">
        <f t="shared" si="109"/>
        <v>0</v>
      </c>
      <c r="BD214" s="78" t="str" cm="1">
        <f t="array" ref="BD214">IF(BC214&lt;&gt;1, "", IF(AK214&gt;0, INT(AK214/SUMPRODUCT(($AK$3:$AK$1000&gt;0)*($AK$3:$AK$1000), ($BC$3:$BC$1000))*$AB$12/AT214), INT(AK214/SUMPRODUCT(($AK$3:$AK$1000&lt;0)*($AK$3:$AK$1000), ($BC$3:$BC$1000))*$AB$13/AT214)))</f>
        <v/>
      </c>
      <c r="BE214" t="str">
        <f t="shared" si="110"/>
        <v/>
      </c>
      <c r="BF214" s="65" t="str">
        <f t="shared" si="111"/>
        <v/>
      </c>
    </row>
    <row r="215" spans="2:58" x14ac:dyDescent="0.3">
      <c r="B215" s="18" t="s">
        <v>1332</v>
      </c>
      <c r="C215" s="18" t="s">
        <v>1382</v>
      </c>
      <c r="D215" s="18" t="s">
        <v>1399</v>
      </c>
      <c r="E215" s="44" t="s">
        <v>1385</v>
      </c>
      <c r="F215" s="18" t="s">
        <v>23</v>
      </c>
      <c r="G215" s="18" t="s">
        <v>10</v>
      </c>
      <c r="H215" s="19">
        <v>1428.7408011799998</v>
      </c>
      <c r="I215" s="18">
        <v>-2428</v>
      </c>
      <c r="J215" s="20">
        <v>49.94</v>
      </c>
      <c r="K215" s="19">
        <v>-121254.31999999999</v>
      </c>
      <c r="L215" s="12">
        <f t="shared" si="91"/>
        <v>-8.0836213333333323E-3</v>
      </c>
      <c r="M215" s="12">
        <f t="shared" si="92"/>
        <v>-8.7538619979402651E-3</v>
      </c>
      <c r="N215" s="15" t="str">
        <f t="shared" si="93"/>
        <v/>
      </c>
      <c r="O215" s="15" t="str">
        <f t="shared" si="94"/>
        <v/>
      </c>
      <c r="P215" s="15">
        <f t="shared" si="95"/>
        <v>1</v>
      </c>
      <c r="Q215" s="15" t="str">
        <f t="shared" si="96"/>
        <v>SellShort</v>
      </c>
      <c r="R215" s="55">
        <f t="shared" si="97"/>
        <v>201</v>
      </c>
      <c r="S215" s="33">
        <f t="shared" si="98"/>
        <v>10037.939999999999</v>
      </c>
      <c r="T215" s="33" t="str">
        <f t="shared" si="99"/>
        <v/>
      </c>
      <c r="U215" s="15" t="str">
        <f t="shared" si="100"/>
        <v/>
      </c>
      <c r="V215" s="15">
        <f t="shared" si="101"/>
        <v>2.0100000000000002</v>
      </c>
      <c r="W215" s="62">
        <f t="shared" si="102"/>
        <v>2.0024028834601527E-4</v>
      </c>
      <c r="X215" s="15"/>
      <c r="Y215" s="1">
        <f t="shared" si="103"/>
        <v>6.7024066460693275E-4</v>
      </c>
      <c r="AH215" s="35">
        <v>45714</v>
      </c>
      <c r="AI215" s="31" t="s">
        <v>658</v>
      </c>
      <c r="AJ215" s="32">
        <v>-6.4000000000000003E-3</v>
      </c>
      <c r="AK215" s="28">
        <f t="shared" si="90"/>
        <v>-6.5911431513903168E-3</v>
      </c>
      <c r="AL215" s="28" t="s">
        <v>669</v>
      </c>
      <c r="AM215" s="28" t="s">
        <v>658</v>
      </c>
      <c r="AN215" s="28" t="s">
        <v>1780</v>
      </c>
      <c r="AO215" s="28" t="s">
        <v>670</v>
      </c>
      <c r="AP215" s="28" t="s">
        <v>1524</v>
      </c>
      <c r="AQ215" s="28" t="s">
        <v>73</v>
      </c>
      <c r="AR215" s="28" t="s">
        <v>26</v>
      </c>
      <c r="AS215" s="73">
        <v>23400.884913999998</v>
      </c>
      <c r="AT215" s="8">
        <v>63.8</v>
      </c>
      <c r="AU215" s="73" t="s">
        <v>658</v>
      </c>
      <c r="AV215" s="73" t="b">
        <f t="shared" si="104"/>
        <v>1</v>
      </c>
      <c r="AW215" s="79">
        <v>0</v>
      </c>
      <c r="AX215" s="45" t="str">
        <f t="shared" si="105"/>
        <v/>
      </c>
      <c r="AY215" s="29" t="str">
        <f t="shared" si="106"/>
        <v/>
      </c>
      <c r="AZ215" s="29" t="str">
        <f t="shared" si="107"/>
        <v/>
      </c>
      <c r="BA215" s="29" t="s">
        <v>699</v>
      </c>
      <c r="BB215" s="29">
        <f t="shared" si="108"/>
        <v>0</v>
      </c>
      <c r="BC215">
        <f t="shared" si="109"/>
        <v>0</v>
      </c>
      <c r="BD215" s="78" t="str" cm="1">
        <f t="array" ref="BD215">IF(BC215&lt;&gt;1, "", IF(AK215&gt;0, INT(AK215/SUMPRODUCT(($AK$3:$AK$1000&gt;0)*($AK$3:$AK$1000), ($BC$3:$BC$1000))*$AB$12/AT215), INT(AK215/SUMPRODUCT(($AK$3:$AK$1000&lt;0)*($AK$3:$AK$1000), ($BC$3:$BC$1000))*$AB$13/AT215)))</f>
        <v/>
      </c>
      <c r="BE215" t="str">
        <f t="shared" si="110"/>
        <v/>
      </c>
      <c r="BF215" s="65" t="str">
        <f t="shared" si="111"/>
        <v/>
      </c>
    </row>
    <row r="216" spans="2:58" x14ac:dyDescent="0.3">
      <c r="B216" s="18" t="s">
        <v>703</v>
      </c>
      <c r="C216" s="18" t="s">
        <v>718</v>
      </c>
      <c r="D216" s="18" t="s">
        <v>756</v>
      </c>
      <c r="E216" s="44" t="s">
        <v>720</v>
      </c>
      <c r="F216" s="18" t="s">
        <v>13</v>
      </c>
      <c r="G216" s="18" t="s">
        <v>10</v>
      </c>
      <c r="H216" s="19">
        <v>137782.732812</v>
      </c>
      <c r="I216" s="18">
        <v>-576</v>
      </c>
      <c r="J216" s="20">
        <v>212</v>
      </c>
      <c r="K216" s="19">
        <v>-122112</v>
      </c>
      <c r="L216" s="12">
        <f t="shared" si="91"/>
        <v>-8.1408000000000001E-3</v>
      </c>
      <c r="M216" s="12">
        <f t="shared" si="92"/>
        <v>-9.6807415036045275E-3</v>
      </c>
      <c r="N216" s="15" t="str">
        <f t="shared" si="93"/>
        <v/>
      </c>
      <c r="O216" s="15" t="str">
        <f t="shared" si="94"/>
        <v/>
      </c>
      <c r="P216" s="15">
        <f t="shared" si="95"/>
        <v>1</v>
      </c>
      <c r="Q216" s="15" t="str">
        <f t="shared" si="96"/>
        <v>SellShort</v>
      </c>
      <c r="R216" s="55">
        <f t="shared" si="97"/>
        <v>108</v>
      </c>
      <c r="S216" s="33">
        <f t="shared" si="98"/>
        <v>22896</v>
      </c>
      <c r="T216" s="33" t="str">
        <f t="shared" si="99"/>
        <v/>
      </c>
      <c r="U216" s="15" t="str">
        <f t="shared" si="100"/>
        <v/>
      </c>
      <c r="V216" s="15">
        <f t="shared" si="101"/>
        <v>1.08</v>
      </c>
      <c r="W216" s="62">
        <f t="shared" si="102"/>
        <v>4.7169811320754721E-5</v>
      </c>
      <c r="X216" s="15"/>
      <c r="Y216" s="1">
        <f t="shared" si="103"/>
        <v>1.5399415036045274E-3</v>
      </c>
      <c r="AH216" s="35">
        <v>45714</v>
      </c>
      <c r="AI216" s="31" t="s">
        <v>1420</v>
      </c>
      <c r="AJ216" s="32">
        <v>-6.6E-3</v>
      </c>
      <c r="AK216" s="28">
        <f t="shared" si="90"/>
        <v>-6.797116374871264E-3</v>
      </c>
      <c r="AL216" s="28" t="s">
        <v>1478</v>
      </c>
      <c r="AM216" s="28" t="s">
        <v>1420</v>
      </c>
      <c r="AN216" s="28" t="s">
        <v>1781</v>
      </c>
      <c r="AO216" s="28" t="s">
        <v>1479</v>
      </c>
      <c r="AP216" s="28" t="s">
        <v>1480</v>
      </c>
      <c r="AQ216" s="28" t="s">
        <v>73</v>
      </c>
      <c r="AR216" s="28" t="s">
        <v>13</v>
      </c>
      <c r="AS216" s="73">
        <v>6432.2540702400001</v>
      </c>
      <c r="AT216" s="8">
        <v>60.24</v>
      </c>
      <c r="AU216" s="73" t="s">
        <v>1420</v>
      </c>
      <c r="AV216" s="73" t="b">
        <f t="shared" si="104"/>
        <v>1</v>
      </c>
      <c r="AW216" s="79">
        <v>0</v>
      </c>
      <c r="AX216" s="45" t="str">
        <f t="shared" si="105"/>
        <v/>
      </c>
      <c r="AY216" s="29" t="str">
        <f t="shared" si="106"/>
        <v/>
      </c>
      <c r="AZ216" s="29" t="str">
        <f t="shared" si="107"/>
        <v/>
      </c>
      <c r="BA216" s="29" t="s">
        <v>699</v>
      </c>
      <c r="BB216" s="29">
        <f t="shared" si="108"/>
        <v>0</v>
      </c>
      <c r="BC216">
        <f t="shared" si="109"/>
        <v>0</v>
      </c>
      <c r="BD216" s="78" t="str" cm="1">
        <f t="array" ref="BD216">IF(BC216&lt;&gt;1, "", IF(AK216&gt;0, INT(AK216/SUMPRODUCT(($AK$3:$AK$1000&gt;0)*($AK$3:$AK$1000), ($BC$3:$BC$1000))*$AB$12/AT216), INT(AK216/SUMPRODUCT(($AK$3:$AK$1000&lt;0)*($AK$3:$AK$1000), ($BC$3:$BC$1000))*$AB$13/AT216)))</f>
        <v/>
      </c>
      <c r="BE216" t="str">
        <f t="shared" si="110"/>
        <v/>
      </c>
      <c r="BF216" s="65" t="str">
        <f t="shared" si="111"/>
        <v/>
      </c>
    </row>
    <row r="217" spans="2:58" x14ac:dyDescent="0.3">
      <c r="B217" s="18" t="s">
        <v>447</v>
      </c>
      <c r="C217" s="18" t="s">
        <v>460</v>
      </c>
      <c r="D217" s="18" t="s">
        <v>495</v>
      </c>
      <c r="E217" s="44" t="s">
        <v>462</v>
      </c>
      <c r="F217" s="18" t="s">
        <v>26</v>
      </c>
      <c r="G217" s="18" t="s">
        <v>10</v>
      </c>
      <c r="H217" s="19">
        <v>44743.32400896</v>
      </c>
      <c r="I217" s="18">
        <v>-1780</v>
      </c>
      <c r="J217" s="20">
        <v>70.64</v>
      </c>
      <c r="K217" s="19">
        <v>-125739.2</v>
      </c>
      <c r="L217" s="12">
        <f t="shared" si="91"/>
        <v>-8.3826133333333337E-3</v>
      </c>
      <c r="M217" s="12">
        <f t="shared" si="92"/>
        <v>-1.0298661174047369E-2</v>
      </c>
      <c r="N217" s="15" t="str">
        <f t="shared" si="93"/>
        <v/>
      </c>
      <c r="O217" s="15" t="str">
        <f t="shared" si="94"/>
        <v/>
      </c>
      <c r="P217" s="15">
        <f t="shared" si="95"/>
        <v>1</v>
      </c>
      <c r="Q217" s="15" t="str">
        <f t="shared" si="96"/>
        <v>SellShort</v>
      </c>
      <c r="R217" s="55">
        <f t="shared" si="97"/>
        <v>406</v>
      </c>
      <c r="S217" s="33">
        <f t="shared" si="98"/>
        <v>28679.84</v>
      </c>
      <c r="T217" s="33" t="str">
        <f t="shared" si="99"/>
        <v/>
      </c>
      <c r="U217" s="15" t="str">
        <f t="shared" si="100"/>
        <v/>
      </c>
      <c r="V217" s="15">
        <f t="shared" si="101"/>
        <v>4.0600000000000005</v>
      </c>
      <c r="W217" s="62">
        <f t="shared" si="102"/>
        <v>1.4156285390713478E-4</v>
      </c>
      <c r="X217" s="15"/>
      <c r="Y217" s="1">
        <f t="shared" si="103"/>
        <v>1.9160478407140354E-3</v>
      </c>
      <c r="AH217" s="35">
        <v>45714</v>
      </c>
      <c r="AI217" s="31" t="s">
        <v>1097</v>
      </c>
      <c r="AJ217" s="32">
        <v>-6.7000000000000002E-3</v>
      </c>
      <c r="AK217" s="28">
        <f t="shared" si="90"/>
        <v>-6.9001029866117376E-3</v>
      </c>
      <c r="AL217" s="28" t="s">
        <v>1236</v>
      </c>
      <c r="AM217" s="28" t="s">
        <v>1097</v>
      </c>
      <c r="AN217" s="28" t="s">
        <v>1779</v>
      </c>
      <c r="AO217" s="28" t="s">
        <v>1237</v>
      </c>
      <c r="AP217" s="28" t="s">
        <v>1238</v>
      </c>
      <c r="AQ217" s="28" t="s">
        <v>73</v>
      </c>
      <c r="AR217" s="28" t="s">
        <v>20</v>
      </c>
      <c r="AS217" s="73">
        <v>985.10309987999995</v>
      </c>
      <c r="AT217" s="8">
        <v>27.66</v>
      </c>
      <c r="AU217" s="73" t="s">
        <v>1097</v>
      </c>
      <c r="AV217" s="73" t="b">
        <f t="shared" si="104"/>
        <v>1</v>
      </c>
      <c r="AW217" s="79">
        <v>0</v>
      </c>
      <c r="AX217" s="45" t="str">
        <f t="shared" si="105"/>
        <v/>
      </c>
      <c r="AY217" s="29" t="str">
        <f t="shared" si="106"/>
        <v/>
      </c>
      <c r="AZ217" s="29" t="str">
        <f t="shared" si="107"/>
        <v/>
      </c>
      <c r="BA217" s="29" t="s">
        <v>699</v>
      </c>
      <c r="BB217" s="29">
        <f t="shared" si="108"/>
        <v>0</v>
      </c>
      <c r="BC217">
        <f t="shared" si="109"/>
        <v>0</v>
      </c>
      <c r="BD217" s="78" t="str" cm="1">
        <f t="array" ref="BD217">IF(BC217&lt;&gt;1, "", IF(AK217&gt;0, INT(AK217/SUMPRODUCT(($AK$3:$AK$1000&gt;0)*($AK$3:$AK$1000), ($BC$3:$BC$1000))*$AB$12/AT217), INT(AK217/SUMPRODUCT(($AK$3:$AK$1000&lt;0)*($AK$3:$AK$1000), ($BC$3:$BC$1000))*$AB$13/AT217)))</f>
        <v/>
      </c>
      <c r="BE217" t="str">
        <f t="shared" si="110"/>
        <v/>
      </c>
      <c r="BF217" s="65" t="str">
        <f t="shared" si="111"/>
        <v/>
      </c>
    </row>
    <row r="218" spans="2:58" x14ac:dyDescent="0.3">
      <c r="B218" s="18" t="s">
        <v>1100</v>
      </c>
      <c r="C218" s="18" t="s">
        <v>1247</v>
      </c>
      <c r="D218" s="18" t="s">
        <v>1314</v>
      </c>
      <c r="E218" s="44" t="s">
        <v>1335</v>
      </c>
      <c r="F218" s="18" t="s">
        <v>20</v>
      </c>
      <c r="G218" s="18" t="s">
        <v>10</v>
      </c>
      <c r="H218" s="19">
        <v>6362.8616748000004</v>
      </c>
      <c r="I218" s="18">
        <v>-455</v>
      </c>
      <c r="J218" s="20">
        <v>277.36</v>
      </c>
      <c r="K218" s="19">
        <v>-126198.8</v>
      </c>
      <c r="L218" s="12">
        <f t="shared" si="91"/>
        <v>-8.4132533333333339E-3</v>
      </c>
      <c r="M218" s="12">
        <f t="shared" si="92"/>
        <v>-8.4449021627188443E-3</v>
      </c>
      <c r="N218" s="15" t="str">
        <f t="shared" si="93"/>
        <v/>
      </c>
      <c r="O218" s="15" t="str">
        <f t="shared" si="94"/>
        <v/>
      </c>
      <c r="P218" s="15" t="str">
        <f t="shared" si="95"/>
        <v/>
      </c>
      <c r="Q218" s="15" t="str">
        <f t="shared" si="96"/>
        <v/>
      </c>
      <c r="R218" s="55" t="str">
        <f t="shared" si="97"/>
        <v/>
      </c>
      <c r="S218" s="33" t="str">
        <f t="shared" si="98"/>
        <v/>
      </c>
      <c r="T218" s="33" t="str">
        <f t="shared" si="99"/>
        <v/>
      </c>
      <c r="U218" s="15" t="str">
        <f t="shared" si="100"/>
        <v/>
      </c>
      <c r="V218" s="15" t="str">
        <f t="shared" si="101"/>
        <v/>
      </c>
      <c r="W218" s="62" t="str">
        <f t="shared" si="102"/>
        <v/>
      </c>
      <c r="X218" s="15"/>
      <c r="Y218" s="1">
        <f t="shared" si="103"/>
        <v>3.1648829385510363E-5</v>
      </c>
      <c r="AH218" s="35">
        <v>45714</v>
      </c>
      <c r="AI218" s="31" t="s">
        <v>482</v>
      </c>
      <c r="AJ218" s="32">
        <v>-6.7999999999999996E-3</v>
      </c>
      <c r="AK218" s="28">
        <f t="shared" si="90"/>
        <v>-7.0030895983522112E-3</v>
      </c>
      <c r="AL218" s="28" t="s">
        <v>486</v>
      </c>
      <c r="AM218" s="28" t="s">
        <v>482</v>
      </c>
      <c r="AN218" s="28" t="s">
        <v>487</v>
      </c>
      <c r="AO218" s="28" t="s">
        <v>488</v>
      </c>
      <c r="AP218" s="28" t="s">
        <v>489</v>
      </c>
      <c r="AQ218" s="28" t="s">
        <v>73</v>
      </c>
      <c r="AR218" s="28" t="s">
        <v>20</v>
      </c>
      <c r="AS218" s="73">
        <v>234.44693369999999</v>
      </c>
      <c r="AT218" s="8">
        <v>21.42</v>
      </c>
      <c r="AU218" s="73" t="s">
        <v>482</v>
      </c>
      <c r="AV218" s="73" t="b">
        <f t="shared" si="104"/>
        <v>1</v>
      </c>
      <c r="AW218" s="79">
        <v>0</v>
      </c>
      <c r="AX218" s="45" t="str">
        <f t="shared" si="105"/>
        <v/>
      </c>
      <c r="AY218" s="29" t="str">
        <f t="shared" si="106"/>
        <v/>
      </c>
      <c r="AZ218" s="29" t="str">
        <f t="shared" si="107"/>
        <v/>
      </c>
      <c r="BA218" s="29" t="s">
        <v>699</v>
      </c>
      <c r="BB218" s="29">
        <f t="shared" si="108"/>
        <v>0</v>
      </c>
      <c r="BC218">
        <f t="shared" si="109"/>
        <v>0</v>
      </c>
      <c r="BD218" s="78" t="str" cm="1">
        <f t="array" ref="BD218">IF(BC218&lt;&gt;1, "", IF(AK218&gt;0, INT(AK218/SUMPRODUCT(($AK$3:$AK$1000&gt;0)*($AK$3:$AK$1000), ($BC$3:$BC$1000))*$AB$12/AT218), INT(AK218/SUMPRODUCT(($AK$3:$AK$1000&lt;0)*($AK$3:$AK$1000), ($BC$3:$BC$1000))*$AB$13/AT218)))</f>
        <v/>
      </c>
      <c r="BE218" t="str">
        <f t="shared" si="110"/>
        <v/>
      </c>
      <c r="BF218" s="65" t="str">
        <f t="shared" si="111"/>
        <v/>
      </c>
    </row>
    <row r="219" spans="2:58" x14ac:dyDescent="0.3">
      <c r="B219" s="18" t="s">
        <v>1419</v>
      </c>
      <c r="C219" s="18" t="s">
        <v>1475</v>
      </c>
      <c r="D219" s="18" t="s">
        <v>1499</v>
      </c>
      <c r="E219" s="44" t="s">
        <v>1477</v>
      </c>
      <c r="F219" s="18" t="s">
        <v>26</v>
      </c>
      <c r="G219" s="18" t="s">
        <v>10</v>
      </c>
      <c r="H219" s="19">
        <v>2961.7128081600003</v>
      </c>
      <c r="I219" s="18">
        <v>-1641</v>
      </c>
      <c r="J219" s="20">
        <v>77.62</v>
      </c>
      <c r="K219" s="19">
        <v>-127374.42000000001</v>
      </c>
      <c r="L219" s="12">
        <f t="shared" si="91"/>
        <v>-8.4916280000000011E-3</v>
      </c>
      <c r="M219" s="12">
        <f t="shared" si="92"/>
        <v>-9.2687950566426314E-3</v>
      </c>
      <c r="N219" s="15" t="str">
        <f t="shared" si="93"/>
        <v/>
      </c>
      <c r="O219" s="15" t="str">
        <f t="shared" si="94"/>
        <v/>
      </c>
      <c r="P219" s="15">
        <f t="shared" si="95"/>
        <v>1</v>
      </c>
      <c r="Q219" s="15" t="str">
        <f t="shared" si="96"/>
        <v>SellShort</v>
      </c>
      <c r="R219" s="55">
        <f t="shared" si="97"/>
        <v>150</v>
      </c>
      <c r="S219" s="33">
        <f t="shared" si="98"/>
        <v>11643</v>
      </c>
      <c r="T219" s="33" t="str">
        <f t="shared" si="99"/>
        <v/>
      </c>
      <c r="U219" s="15" t="str">
        <f t="shared" si="100"/>
        <v/>
      </c>
      <c r="V219" s="15">
        <f t="shared" si="101"/>
        <v>1.5</v>
      </c>
      <c r="W219" s="62">
        <f t="shared" si="102"/>
        <v>1.2883277505797475E-4</v>
      </c>
      <c r="X219" s="15"/>
      <c r="Y219" s="1">
        <f t="shared" si="103"/>
        <v>7.7716705664263031E-4</v>
      </c>
      <c r="AH219" s="35">
        <v>45714</v>
      </c>
      <c r="AI219" s="31" t="s">
        <v>1418</v>
      </c>
      <c r="AJ219" s="32">
        <v>-7.0000000000000001E-3</v>
      </c>
      <c r="AK219" s="28">
        <f t="shared" si="90"/>
        <v>-7.2090628218331584E-3</v>
      </c>
      <c r="AL219" s="28" t="s">
        <v>1471</v>
      </c>
      <c r="AM219" s="28" t="s">
        <v>1418</v>
      </c>
      <c r="AN219" s="28" t="s">
        <v>1472</v>
      </c>
      <c r="AO219" s="28" t="s">
        <v>1473</v>
      </c>
      <c r="AP219" s="28" t="s">
        <v>1474</v>
      </c>
      <c r="AQ219" s="28" t="s">
        <v>73</v>
      </c>
      <c r="AR219" s="28" t="s">
        <v>14</v>
      </c>
      <c r="AS219" s="73">
        <v>1040.35993831</v>
      </c>
      <c r="AT219" s="8">
        <v>33.79</v>
      </c>
      <c r="AU219" s="73" t="s">
        <v>1418</v>
      </c>
      <c r="AV219" s="73" t="b">
        <f t="shared" si="104"/>
        <v>1</v>
      </c>
      <c r="AW219" s="79">
        <v>0</v>
      </c>
      <c r="AX219" s="45" t="str">
        <f t="shared" si="105"/>
        <v/>
      </c>
      <c r="AY219" s="29" t="str">
        <f t="shared" si="106"/>
        <v/>
      </c>
      <c r="AZ219" s="29" t="str">
        <f t="shared" si="107"/>
        <v/>
      </c>
      <c r="BA219" s="29" t="s">
        <v>699</v>
      </c>
      <c r="BB219" s="29">
        <f t="shared" si="108"/>
        <v>0</v>
      </c>
      <c r="BC219">
        <f t="shared" si="109"/>
        <v>0</v>
      </c>
      <c r="BD219" s="78" t="str" cm="1">
        <f t="array" ref="BD219">IF(BC219&lt;&gt;1, "", IF(AK219&gt;0, INT(AK219/SUMPRODUCT(($AK$3:$AK$1000&gt;0)*($AK$3:$AK$1000), ($BC$3:$BC$1000))*$AB$12/AT219), INT(AK219/SUMPRODUCT(($AK$3:$AK$1000&lt;0)*($AK$3:$AK$1000), ($BC$3:$BC$1000))*$AB$13/AT219)))</f>
        <v/>
      </c>
      <c r="BE219" t="str">
        <f t="shared" si="110"/>
        <v/>
      </c>
      <c r="BF219" s="65" t="str">
        <f t="shared" si="111"/>
        <v/>
      </c>
    </row>
    <row r="220" spans="2:58" x14ac:dyDescent="0.3">
      <c r="B220" s="18" t="s">
        <v>708</v>
      </c>
      <c r="C220" s="18" t="s">
        <v>734</v>
      </c>
      <c r="D220" s="18" t="s">
        <v>760</v>
      </c>
      <c r="E220" s="44" t="s">
        <v>956</v>
      </c>
      <c r="F220" s="18" t="s">
        <v>23</v>
      </c>
      <c r="G220" s="18" t="s">
        <v>10</v>
      </c>
      <c r="H220" s="19">
        <v>98371.249338180001</v>
      </c>
      <c r="I220" s="18">
        <v>-747</v>
      </c>
      <c r="J220" s="20">
        <v>171.21</v>
      </c>
      <c r="K220" s="19">
        <v>-127893.87000000001</v>
      </c>
      <c r="L220" s="12">
        <f t="shared" si="91"/>
        <v>-8.5262580000000001E-3</v>
      </c>
      <c r="M220" s="12">
        <f t="shared" si="92"/>
        <v>-8.5478887744593161E-3</v>
      </c>
      <c r="N220" s="15" t="str">
        <f t="shared" si="93"/>
        <v/>
      </c>
      <c r="O220" s="15" t="str">
        <f t="shared" si="94"/>
        <v/>
      </c>
      <c r="P220" s="15" t="str">
        <f t="shared" si="95"/>
        <v/>
      </c>
      <c r="Q220" s="15" t="str">
        <f t="shared" si="96"/>
        <v/>
      </c>
      <c r="R220" s="55" t="str">
        <f t="shared" si="97"/>
        <v/>
      </c>
      <c r="S220" s="33" t="str">
        <f t="shared" si="98"/>
        <v/>
      </c>
      <c r="T220" s="33" t="str">
        <f t="shared" si="99"/>
        <v/>
      </c>
      <c r="U220" s="15" t="str">
        <f t="shared" si="100"/>
        <v/>
      </c>
      <c r="V220" s="15" t="str">
        <f t="shared" si="101"/>
        <v/>
      </c>
      <c r="W220" s="62" t="str">
        <f t="shared" si="102"/>
        <v/>
      </c>
      <c r="X220" s="15"/>
      <c r="Y220" s="1">
        <f t="shared" si="103"/>
        <v>2.1630774459316035E-5</v>
      </c>
      <c r="AH220" s="35">
        <v>45714</v>
      </c>
      <c r="AI220" s="31" t="s">
        <v>1649</v>
      </c>
      <c r="AJ220" s="32">
        <v>-7.1999999999999998E-3</v>
      </c>
      <c r="AK220" s="28">
        <f t="shared" si="90"/>
        <v>-7.4150360453141056E-3</v>
      </c>
      <c r="AL220" s="28" t="s">
        <v>1773</v>
      </c>
      <c r="AM220" s="28" t="s">
        <v>1649</v>
      </c>
      <c r="AN220" s="28" t="s">
        <v>1774</v>
      </c>
      <c r="AO220" s="28" t="s">
        <v>1775</v>
      </c>
      <c r="AP220" s="28" t="s">
        <v>1776</v>
      </c>
      <c r="AQ220" s="28" t="s">
        <v>73</v>
      </c>
      <c r="AR220" s="28" t="s">
        <v>19</v>
      </c>
      <c r="AS220" s="73">
        <v>1673.2858885600001</v>
      </c>
      <c r="AT220" s="8">
        <v>11.44</v>
      </c>
      <c r="AU220" s="73" t="s">
        <v>1649</v>
      </c>
      <c r="AV220" s="73" t="b">
        <f t="shared" si="104"/>
        <v>1</v>
      </c>
      <c r="AW220" s="79">
        <v>0</v>
      </c>
      <c r="AX220" s="45" t="str">
        <f t="shared" si="105"/>
        <v/>
      </c>
      <c r="AY220" s="29" t="str">
        <f t="shared" si="106"/>
        <v/>
      </c>
      <c r="AZ220" s="29" t="str">
        <f t="shared" si="107"/>
        <v/>
      </c>
      <c r="BA220" s="29" t="s">
        <v>699</v>
      </c>
      <c r="BB220" s="29">
        <f t="shared" si="108"/>
        <v>0</v>
      </c>
      <c r="BC220">
        <f t="shared" si="109"/>
        <v>0</v>
      </c>
      <c r="BD220" s="78" t="str" cm="1">
        <f t="array" ref="BD220">IF(BC220&lt;&gt;1, "", IF(AK220&gt;0, INT(AK220/SUMPRODUCT(($AK$3:$AK$1000&gt;0)*($AK$3:$AK$1000), ($BC$3:$BC$1000))*$AB$12/AT220), INT(AK220/SUMPRODUCT(($AK$3:$AK$1000&lt;0)*($AK$3:$AK$1000), ($BC$3:$BC$1000))*$AB$13/AT220)))</f>
        <v/>
      </c>
      <c r="BE220" t="str">
        <f t="shared" si="110"/>
        <v/>
      </c>
      <c r="BF220" s="65" t="str">
        <f t="shared" si="111"/>
        <v/>
      </c>
    </row>
    <row r="221" spans="2:58" x14ac:dyDescent="0.3">
      <c r="B221" s="18" t="s">
        <v>265</v>
      </c>
      <c r="C221" s="18" t="s">
        <v>271</v>
      </c>
      <c r="D221" s="18" t="s">
        <v>275</v>
      </c>
      <c r="E221" s="44" t="s">
        <v>273</v>
      </c>
      <c r="F221" s="18" t="s">
        <v>11</v>
      </c>
      <c r="G221" s="18" t="s">
        <v>10</v>
      </c>
      <c r="H221" s="19">
        <v>4213.43316641</v>
      </c>
      <c r="I221" s="18">
        <v>-10387</v>
      </c>
      <c r="J221" s="20">
        <v>12.414999999999999</v>
      </c>
      <c r="K221" s="19">
        <v>-128954.605</v>
      </c>
      <c r="L221" s="12">
        <f t="shared" si="91"/>
        <v>-8.5969736666666671E-3</v>
      </c>
      <c r="M221" s="12">
        <f t="shared" si="92"/>
        <v>-9.5777548918640522E-3</v>
      </c>
      <c r="N221" s="15" t="str">
        <f t="shared" si="93"/>
        <v/>
      </c>
      <c r="O221" s="15" t="str">
        <f t="shared" si="94"/>
        <v/>
      </c>
      <c r="P221" s="15">
        <f t="shared" si="95"/>
        <v>1</v>
      </c>
      <c r="Q221" s="15" t="str">
        <f t="shared" si="96"/>
        <v>SellShort</v>
      </c>
      <c r="R221" s="55">
        <f t="shared" si="97"/>
        <v>1184</v>
      </c>
      <c r="S221" s="33">
        <f t="shared" si="98"/>
        <v>14699.359999999999</v>
      </c>
      <c r="T221" s="33" t="str">
        <f t="shared" si="99"/>
        <v/>
      </c>
      <c r="U221" s="15" t="str">
        <f t="shared" si="100"/>
        <v/>
      </c>
      <c r="V221" s="15">
        <f t="shared" si="101"/>
        <v>11.84</v>
      </c>
      <c r="W221" s="62">
        <f t="shared" si="102"/>
        <v>8.0547724526782122E-4</v>
      </c>
      <c r="X221" s="15"/>
      <c r="Y221" s="1">
        <f t="shared" si="103"/>
        <v>9.8078122519738506E-4</v>
      </c>
      <c r="AH221" s="35">
        <v>45714</v>
      </c>
      <c r="AI221" s="31" t="s">
        <v>1521</v>
      </c>
      <c r="AJ221" s="32">
        <v>-7.4999999999999997E-3</v>
      </c>
      <c r="AK221" s="28">
        <f t="shared" si="90"/>
        <v>-7.7239958805355264E-3</v>
      </c>
      <c r="AL221" s="28" t="s">
        <v>1599</v>
      </c>
      <c r="AM221" s="28" t="s">
        <v>1521</v>
      </c>
      <c r="AN221" s="28" t="s">
        <v>1600</v>
      </c>
      <c r="AO221" s="28" t="s">
        <v>1601</v>
      </c>
      <c r="AP221" s="28" t="s">
        <v>1602</v>
      </c>
      <c r="AQ221" s="28" t="s">
        <v>73</v>
      </c>
      <c r="AR221" s="28" t="s">
        <v>19</v>
      </c>
      <c r="AS221" s="73">
        <v>3021.5880868456302</v>
      </c>
      <c r="AT221" s="8">
        <v>4.78</v>
      </c>
      <c r="AU221" s="73" t="s">
        <v>1521</v>
      </c>
      <c r="AV221" s="73" t="b">
        <f t="shared" si="104"/>
        <v>1</v>
      </c>
      <c r="AW221" s="79">
        <v>0</v>
      </c>
      <c r="AX221" s="45" t="str">
        <f t="shared" si="105"/>
        <v/>
      </c>
      <c r="AY221" s="29" t="str">
        <f t="shared" si="106"/>
        <v/>
      </c>
      <c r="AZ221" s="29" t="str">
        <f t="shared" si="107"/>
        <v/>
      </c>
      <c r="BA221" s="29" t="s">
        <v>699</v>
      </c>
      <c r="BB221" s="29">
        <f t="shared" si="108"/>
        <v>0</v>
      </c>
      <c r="BC221">
        <f t="shared" si="109"/>
        <v>0</v>
      </c>
      <c r="BD221" s="78" t="str" cm="1">
        <f t="array" ref="BD221">IF(BC221&lt;&gt;1, "", IF(AK221&gt;0, INT(AK221/SUMPRODUCT(($AK$3:$AK$1000&gt;0)*($AK$3:$AK$1000), ($BC$3:$BC$1000))*$AB$12/AT221), INT(AK221/SUMPRODUCT(($AK$3:$AK$1000&lt;0)*($AK$3:$AK$1000), ($BC$3:$BC$1000))*$AB$13/AT221)))</f>
        <v/>
      </c>
      <c r="BE221" t="str">
        <f t="shared" si="110"/>
        <v/>
      </c>
      <c r="BF221" s="65" t="str">
        <f t="shared" si="111"/>
        <v/>
      </c>
    </row>
    <row r="222" spans="2:58" x14ac:dyDescent="0.3">
      <c r="B222" s="18" t="s">
        <v>244</v>
      </c>
      <c r="C222" s="18" t="s">
        <v>250</v>
      </c>
      <c r="D222" s="18" t="s">
        <v>260</v>
      </c>
      <c r="E222" s="44" t="s">
        <v>252</v>
      </c>
      <c r="F222" s="18" t="s">
        <v>20</v>
      </c>
      <c r="G222" s="18" t="s">
        <v>10</v>
      </c>
      <c r="H222" s="19">
        <v>253.17356894</v>
      </c>
      <c r="I222" s="18">
        <v>-32999</v>
      </c>
      <c r="J222" s="20">
        <v>3.94</v>
      </c>
      <c r="K222" s="19">
        <v>-130016.06</v>
      </c>
      <c r="L222" s="12">
        <f t="shared" si="91"/>
        <v>-8.6677373333333332E-3</v>
      </c>
      <c r="M222" s="12">
        <f t="shared" si="92"/>
        <v>-9.0628218331616859E-3</v>
      </c>
      <c r="N222" s="15" t="str">
        <f t="shared" si="93"/>
        <v/>
      </c>
      <c r="O222" s="15" t="str">
        <f t="shared" si="94"/>
        <v/>
      </c>
      <c r="P222" s="15">
        <f t="shared" si="95"/>
        <v>1</v>
      </c>
      <c r="Q222" s="15" t="str">
        <f t="shared" si="96"/>
        <v>SellShort</v>
      </c>
      <c r="R222" s="55">
        <f t="shared" si="97"/>
        <v>1504</v>
      </c>
      <c r="S222" s="33">
        <f t="shared" si="98"/>
        <v>5925.76</v>
      </c>
      <c r="T222" s="33" t="str">
        <f t="shared" si="99"/>
        <v/>
      </c>
      <c r="U222" s="15" t="str">
        <f t="shared" si="100"/>
        <v/>
      </c>
      <c r="V222" s="15">
        <f t="shared" si="101"/>
        <v>15.040000000000001</v>
      </c>
      <c r="W222" s="62">
        <f t="shared" si="102"/>
        <v>2.538071065989848E-3</v>
      </c>
      <c r="X222" s="15"/>
      <c r="Y222" s="1">
        <f t="shared" si="103"/>
        <v>3.9508449982835273E-4</v>
      </c>
      <c r="AH222" s="35">
        <v>45714</v>
      </c>
      <c r="AI222" s="31" t="s">
        <v>1102</v>
      </c>
      <c r="AJ222" s="32">
        <v>-7.4999999999999997E-3</v>
      </c>
      <c r="AK222" s="28">
        <f t="shared" si="90"/>
        <v>-7.7239958805355264E-3</v>
      </c>
      <c r="AL222" s="28" t="s">
        <v>1253</v>
      </c>
      <c r="AM222" s="28" t="s">
        <v>1102</v>
      </c>
      <c r="AN222" s="28" t="s">
        <v>1782</v>
      </c>
      <c r="AO222" s="28" t="s">
        <v>1254</v>
      </c>
      <c r="AP222" s="28" t="s">
        <v>1255</v>
      </c>
      <c r="AQ222" s="28" t="s">
        <v>73</v>
      </c>
      <c r="AR222" s="28" t="s">
        <v>14</v>
      </c>
      <c r="AS222" s="73">
        <v>71114.532389999993</v>
      </c>
      <c r="AT222" s="8">
        <v>52.47</v>
      </c>
      <c r="AU222" s="73" t="s">
        <v>1102</v>
      </c>
      <c r="AV222" s="73" t="b">
        <f t="shared" si="104"/>
        <v>1</v>
      </c>
      <c r="AW222" s="79">
        <v>0</v>
      </c>
      <c r="AX222" s="45" t="str">
        <f t="shared" si="105"/>
        <v/>
      </c>
      <c r="AY222" s="29" t="str">
        <f t="shared" si="106"/>
        <v/>
      </c>
      <c r="AZ222" s="29" t="str">
        <f t="shared" si="107"/>
        <v/>
      </c>
      <c r="BA222" s="29" t="s">
        <v>699</v>
      </c>
      <c r="BB222" s="29">
        <f t="shared" si="108"/>
        <v>0</v>
      </c>
      <c r="BC222">
        <f t="shared" si="109"/>
        <v>0</v>
      </c>
      <c r="BD222" s="78" t="str" cm="1">
        <f t="array" ref="BD222">IF(BC222&lt;&gt;1, "", IF(AK222&gt;0, INT(AK222/SUMPRODUCT(($AK$3:$AK$1000&gt;0)*($AK$3:$AK$1000), ($BC$3:$BC$1000))*$AB$12/AT222), INT(AK222/SUMPRODUCT(($AK$3:$AK$1000&lt;0)*($AK$3:$AK$1000), ($BC$3:$BC$1000))*$AB$13/AT222)))</f>
        <v/>
      </c>
      <c r="BE222" t="str">
        <f t="shared" si="110"/>
        <v/>
      </c>
      <c r="BF222" s="65" t="str">
        <f t="shared" si="111"/>
        <v/>
      </c>
    </row>
    <row r="223" spans="2:58" x14ac:dyDescent="0.3">
      <c r="B223" s="18" t="s">
        <v>907</v>
      </c>
      <c r="C223" s="18" t="s">
        <v>934</v>
      </c>
      <c r="D223" s="18" t="s">
        <v>945</v>
      </c>
      <c r="E223" s="44" t="s">
        <v>936</v>
      </c>
      <c r="F223" s="18" t="s">
        <v>11</v>
      </c>
      <c r="G223" s="18" t="s">
        <v>10</v>
      </c>
      <c r="H223" s="19">
        <v>2571.6350268399997</v>
      </c>
      <c r="I223" s="18">
        <v>-2170</v>
      </c>
      <c r="J223" s="20">
        <v>60.44</v>
      </c>
      <c r="K223" s="19">
        <v>-131154.79999999999</v>
      </c>
      <c r="L223" s="12">
        <f t="shared" si="91"/>
        <v>-8.743653333333332E-3</v>
      </c>
      <c r="M223" s="12">
        <f t="shared" si="92"/>
        <v>-9.4747682801235803E-3</v>
      </c>
      <c r="N223" s="15" t="str">
        <f t="shared" si="93"/>
        <v/>
      </c>
      <c r="O223" s="15" t="str">
        <f t="shared" si="94"/>
        <v/>
      </c>
      <c r="P223" s="15">
        <f t="shared" si="95"/>
        <v>1</v>
      </c>
      <c r="Q223" s="15" t="str">
        <f t="shared" si="96"/>
        <v>SellShort</v>
      </c>
      <c r="R223" s="55">
        <f t="shared" si="97"/>
        <v>181</v>
      </c>
      <c r="S223" s="33">
        <f t="shared" si="98"/>
        <v>10939.64</v>
      </c>
      <c r="T223" s="33" t="str">
        <f t="shared" si="99"/>
        <v/>
      </c>
      <c r="U223" s="15" t="str">
        <f t="shared" si="100"/>
        <v/>
      </c>
      <c r="V223" s="15">
        <f t="shared" si="101"/>
        <v>1.81</v>
      </c>
      <c r="W223" s="62">
        <f t="shared" si="102"/>
        <v>1.6545334215751158E-4</v>
      </c>
      <c r="X223" s="15"/>
      <c r="Y223" s="1">
        <f t="shared" si="103"/>
        <v>7.3111494679024835E-4</v>
      </c>
      <c r="AH223" s="35">
        <v>45714</v>
      </c>
      <c r="AI223" s="31" t="s">
        <v>1103</v>
      </c>
      <c r="AJ223" s="32">
        <v>-7.4999999999999997E-3</v>
      </c>
      <c r="AK223" s="28">
        <f t="shared" si="90"/>
        <v>-7.7239958805355264E-3</v>
      </c>
      <c r="AL223" s="28" t="s">
        <v>1256</v>
      </c>
      <c r="AM223" s="28" t="s">
        <v>1103</v>
      </c>
      <c r="AN223" s="28" t="s">
        <v>1783</v>
      </c>
      <c r="AO223" s="28" t="s">
        <v>1257</v>
      </c>
      <c r="AP223" s="28" t="s">
        <v>1258</v>
      </c>
      <c r="AQ223" s="28" t="s">
        <v>73</v>
      </c>
      <c r="AR223" s="28" t="s">
        <v>23</v>
      </c>
      <c r="AS223" s="73">
        <v>14757.6</v>
      </c>
      <c r="AT223" s="8">
        <v>343.2</v>
      </c>
      <c r="AU223" s="73" t="s">
        <v>1103</v>
      </c>
      <c r="AV223" s="73" t="b">
        <f t="shared" si="104"/>
        <v>1</v>
      </c>
      <c r="AW223" s="79">
        <v>0</v>
      </c>
      <c r="AX223" s="45" t="str">
        <f t="shared" si="105"/>
        <v/>
      </c>
      <c r="AY223" s="29" t="str">
        <f t="shared" si="106"/>
        <v/>
      </c>
      <c r="AZ223" s="29" t="str">
        <f t="shared" si="107"/>
        <v/>
      </c>
      <c r="BA223" s="29" t="s">
        <v>699</v>
      </c>
      <c r="BB223" s="29">
        <f t="shared" si="108"/>
        <v>0</v>
      </c>
      <c r="BC223">
        <f t="shared" si="109"/>
        <v>0</v>
      </c>
      <c r="BD223" s="78" t="str" cm="1">
        <f t="array" ref="BD223">IF(BC223&lt;&gt;1, "", IF(AK223&gt;0, INT(AK223/SUMPRODUCT(($AK$3:$AK$1000&gt;0)*($AK$3:$AK$1000), ($BC$3:$BC$1000))*$AB$12/AT223), INT(AK223/SUMPRODUCT(($AK$3:$AK$1000&lt;0)*($AK$3:$AK$1000), ($BC$3:$BC$1000))*$AB$13/AT223)))</f>
        <v/>
      </c>
      <c r="BE223" t="str">
        <f t="shared" si="110"/>
        <v/>
      </c>
      <c r="BF223" s="65" t="str">
        <f t="shared" si="111"/>
        <v/>
      </c>
    </row>
    <row r="224" spans="2:58" x14ac:dyDescent="0.3">
      <c r="B224" s="18" t="s">
        <v>659</v>
      </c>
      <c r="C224" s="18" t="s">
        <v>674</v>
      </c>
      <c r="D224" s="18" t="s">
        <v>680</v>
      </c>
      <c r="E224" s="44" t="s">
        <v>677</v>
      </c>
      <c r="F224" s="18" t="s">
        <v>26</v>
      </c>
      <c r="G224" s="18" t="s">
        <v>10</v>
      </c>
      <c r="H224" s="19">
        <v>23871.133546829999</v>
      </c>
      <c r="I224" s="18">
        <v>-888</v>
      </c>
      <c r="J224" s="20">
        <v>150.38999999999999</v>
      </c>
      <c r="K224" s="19">
        <v>-133546.31999999998</v>
      </c>
      <c r="L224" s="12">
        <f t="shared" si="91"/>
        <v>-8.9030879999999982E-3</v>
      </c>
      <c r="M224" s="12">
        <f t="shared" si="92"/>
        <v>-1.0298661174047369E-2</v>
      </c>
      <c r="N224" s="15" t="str">
        <f t="shared" si="93"/>
        <v/>
      </c>
      <c r="O224" s="15" t="str">
        <f t="shared" si="94"/>
        <v/>
      </c>
      <c r="P224" s="15">
        <f t="shared" si="95"/>
        <v>1</v>
      </c>
      <c r="Q224" s="15" t="str">
        <f t="shared" si="96"/>
        <v>SellShort</v>
      </c>
      <c r="R224" s="55">
        <f t="shared" si="97"/>
        <v>139</v>
      </c>
      <c r="S224" s="33">
        <f t="shared" si="98"/>
        <v>20904.21</v>
      </c>
      <c r="T224" s="33" t="str">
        <f t="shared" si="99"/>
        <v/>
      </c>
      <c r="U224" s="15" t="str">
        <f t="shared" si="100"/>
        <v/>
      </c>
      <c r="V224" s="15">
        <f t="shared" si="101"/>
        <v>1.3900000000000001</v>
      </c>
      <c r="W224" s="62">
        <f t="shared" si="102"/>
        <v>6.6493782831305288E-5</v>
      </c>
      <c r="X224" s="15"/>
      <c r="Y224" s="1">
        <f t="shared" si="103"/>
        <v>1.3955731740473709E-3</v>
      </c>
      <c r="AH224" s="35">
        <v>45714</v>
      </c>
      <c r="AI224" s="31" t="s">
        <v>417</v>
      </c>
      <c r="AJ224" s="32">
        <v>-7.6E-3</v>
      </c>
      <c r="AK224" s="28">
        <f t="shared" si="90"/>
        <v>-7.8269824922760009E-3</v>
      </c>
      <c r="AL224" s="28" t="s">
        <v>435</v>
      </c>
      <c r="AM224" s="28" t="s">
        <v>417</v>
      </c>
      <c r="AN224" s="28" t="s">
        <v>1784</v>
      </c>
      <c r="AO224" s="28" t="s">
        <v>436</v>
      </c>
      <c r="AP224" s="28" t="s">
        <v>437</v>
      </c>
      <c r="AQ224" s="28" t="s">
        <v>73</v>
      </c>
      <c r="AR224" s="28" t="s">
        <v>20</v>
      </c>
      <c r="AS224" s="73">
        <v>4417.1753967900004</v>
      </c>
      <c r="AT224" s="8">
        <v>59.67</v>
      </c>
      <c r="AU224" s="73" t="s">
        <v>417</v>
      </c>
      <c r="AV224" s="73" t="b">
        <f t="shared" si="104"/>
        <v>1</v>
      </c>
      <c r="AW224" s="79">
        <v>0</v>
      </c>
      <c r="AX224" s="45" t="str">
        <f t="shared" si="105"/>
        <v/>
      </c>
      <c r="AY224" s="29" t="str">
        <f t="shared" si="106"/>
        <v/>
      </c>
      <c r="AZ224" s="29" t="str">
        <f t="shared" si="107"/>
        <v/>
      </c>
      <c r="BA224" s="29" t="s">
        <v>699</v>
      </c>
      <c r="BB224" s="29">
        <f t="shared" si="108"/>
        <v>0</v>
      </c>
      <c r="BC224">
        <f t="shared" si="109"/>
        <v>0</v>
      </c>
      <c r="BD224" s="78" t="str" cm="1">
        <f t="array" ref="BD224">IF(BC224&lt;&gt;1, "", IF(AK224&gt;0, INT(AK224/SUMPRODUCT(($AK$3:$AK$1000&gt;0)*($AK$3:$AK$1000), ($BC$3:$BC$1000))*$AB$12/AT224), INT(AK224/SUMPRODUCT(($AK$3:$AK$1000&lt;0)*($AK$3:$AK$1000), ($BC$3:$BC$1000))*$AB$13/AT224)))</f>
        <v/>
      </c>
      <c r="BE224" t="str">
        <f t="shared" si="110"/>
        <v/>
      </c>
      <c r="BF224" s="65" t="str">
        <f t="shared" si="111"/>
        <v/>
      </c>
    </row>
    <row r="225" spans="2:58" x14ac:dyDescent="0.3">
      <c r="B225" s="18" t="s">
        <v>414</v>
      </c>
      <c r="C225" s="18" t="s">
        <v>426</v>
      </c>
      <c r="D225" s="18" t="s">
        <v>476</v>
      </c>
      <c r="E225" s="44" t="s">
        <v>428</v>
      </c>
      <c r="F225" s="18" t="s">
        <v>21</v>
      </c>
      <c r="G225" s="18" t="s">
        <v>10</v>
      </c>
      <c r="H225" s="19">
        <v>7582.3642957500006</v>
      </c>
      <c r="I225" s="18">
        <v>-5107</v>
      </c>
      <c r="J225" s="20">
        <v>26.17</v>
      </c>
      <c r="K225" s="19">
        <v>-133650.19</v>
      </c>
      <c r="L225" s="12">
        <f t="shared" si="91"/>
        <v>-8.9100126666666665E-3</v>
      </c>
      <c r="M225" s="12">
        <f t="shared" si="92"/>
        <v>-1.0298661174047369E-2</v>
      </c>
      <c r="N225" s="15" t="str">
        <f t="shared" si="93"/>
        <v/>
      </c>
      <c r="O225" s="15" t="str">
        <f t="shared" si="94"/>
        <v/>
      </c>
      <c r="P225" s="15">
        <f t="shared" si="95"/>
        <v>1</v>
      </c>
      <c r="Q225" s="15" t="str">
        <f t="shared" si="96"/>
        <v>SellShort</v>
      </c>
      <c r="R225" s="55">
        <f t="shared" si="97"/>
        <v>795</v>
      </c>
      <c r="S225" s="33">
        <f t="shared" si="98"/>
        <v>20805.150000000001</v>
      </c>
      <c r="T225" s="33" t="str">
        <f t="shared" si="99"/>
        <v/>
      </c>
      <c r="U225" s="15" t="str">
        <f t="shared" si="100"/>
        <v/>
      </c>
      <c r="V225" s="15">
        <f t="shared" si="101"/>
        <v>7.95</v>
      </c>
      <c r="W225" s="62">
        <f t="shared" si="102"/>
        <v>3.8211692777990065E-4</v>
      </c>
      <c r="X225" s="15"/>
      <c r="Y225" s="1">
        <f t="shared" si="103"/>
        <v>1.3886485073807027E-3</v>
      </c>
      <c r="AH225" s="35">
        <v>45714</v>
      </c>
      <c r="AI225" s="31" t="s">
        <v>1101</v>
      </c>
      <c r="AJ225" s="32">
        <v>-7.6E-3</v>
      </c>
      <c r="AK225" s="28">
        <f t="shared" si="90"/>
        <v>-7.8269824922760009E-3</v>
      </c>
      <c r="AL225" s="28" t="s">
        <v>1249</v>
      </c>
      <c r="AM225" s="28" t="s">
        <v>1101</v>
      </c>
      <c r="AN225" s="28" t="s">
        <v>1250</v>
      </c>
      <c r="AO225" s="28" t="s">
        <v>1251</v>
      </c>
      <c r="AP225" s="28" t="s">
        <v>1252</v>
      </c>
      <c r="AQ225" s="28" t="s">
        <v>73</v>
      </c>
      <c r="AR225" s="28" t="s">
        <v>21</v>
      </c>
      <c r="AS225" s="73">
        <v>3954.2660000000001</v>
      </c>
      <c r="AT225" s="8">
        <v>45.82</v>
      </c>
      <c r="AU225" s="73" t="s">
        <v>1101</v>
      </c>
      <c r="AV225" s="73" t="b">
        <f t="shared" si="104"/>
        <v>1</v>
      </c>
      <c r="AW225" s="79">
        <v>0</v>
      </c>
      <c r="AX225" s="45" t="str">
        <f t="shared" si="105"/>
        <v/>
      </c>
      <c r="AY225" s="29" t="str">
        <f t="shared" si="106"/>
        <v/>
      </c>
      <c r="AZ225" s="29" t="str">
        <f t="shared" si="107"/>
        <v/>
      </c>
      <c r="BA225" s="29" t="s">
        <v>699</v>
      </c>
      <c r="BB225" s="29">
        <f t="shared" si="108"/>
        <v>0</v>
      </c>
      <c r="BC225">
        <f t="shared" si="109"/>
        <v>0</v>
      </c>
      <c r="BD225" s="78" t="str" cm="1">
        <f t="array" ref="BD225">IF(BC225&lt;&gt;1, "", IF(AK225&gt;0, INT(AK225/SUMPRODUCT(($AK$3:$AK$1000&gt;0)*($AK$3:$AK$1000), ($BC$3:$BC$1000))*$AB$12/AT225), INT(AK225/SUMPRODUCT(($AK$3:$AK$1000&lt;0)*($AK$3:$AK$1000), ($BC$3:$BC$1000))*$AB$13/AT225)))</f>
        <v/>
      </c>
      <c r="BE225" t="str">
        <f t="shared" si="110"/>
        <v/>
      </c>
      <c r="BF225" s="65" t="str">
        <f t="shared" si="111"/>
        <v/>
      </c>
    </row>
    <row r="226" spans="2:58" x14ac:dyDescent="0.3">
      <c r="B226" s="18" t="s">
        <v>40</v>
      </c>
      <c r="C226" s="18" t="s">
        <v>51</v>
      </c>
      <c r="D226" s="18" t="s">
        <v>90</v>
      </c>
      <c r="E226" s="44" t="s">
        <v>61</v>
      </c>
      <c r="F226" s="18" t="s">
        <v>24</v>
      </c>
      <c r="G226" s="18" t="s">
        <v>10</v>
      </c>
      <c r="H226" s="19">
        <v>1109.8159518599998</v>
      </c>
      <c r="I226" s="18">
        <v>-19554</v>
      </c>
      <c r="J226" s="20">
        <v>6.93</v>
      </c>
      <c r="K226" s="19">
        <v>-135509.22</v>
      </c>
      <c r="L226" s="12">
        <f t="shared" si="91"/>
        <v>-9.033948E-3</v>
      </c>
      <c r="M226" s="12">
        <f t="shared" si="92"/>
        <v>-1.0298661174047369E-2</v>
      </c>
      <c r="N226" s="15" t="str">
        <f t="shared" si="93"/>
        <v/>
      </c>
      <c r="O226" s="15" t="str">
        <f t="shared" si="94"/>
        <v/>
      </c>
      <c r="P226" s="15">
        <f t="shared" si="95"/>
        <v>1</v>
      </c>
      <c r="Q226" s="15" t="str">
        <f t="shared" si="96"/>
        <v>SellShort</v>
      </c>
      <c r="R226" s="55">
        <f t="shared" si="97"/>
        <v>2737</v>
      </c>
      <c r="S226" s="33">
        <f t="shared" si="98"/>
        <v>18967.41</v>
      </c>
      <c r="T226" s="33" t="str">
        <f t="shared" si="99"/>
        <v/>
      </c>
      <c r="U226" s="15" t="str">
        <f t="shared" si="100"/>
        <v/>
      </c>
      <c r="V226" s="15">
        <f t="shared" si="101"/>
        <v>27.37</v>
      </c>
      <c r="W226" s="62">
        <f t="shared" si="102"/>
        <v>1.443001443001443E-3</v>
      </c>
      <c r="X226" s="15"/>
      <c r="Y226" s="1">
        <f t="shared" si="103"/>
        <v>1.2647131740473692E-3</v>
      </c>
      <c r="AH226" s="35">
        <v>45714</v>
      </c>
      <c r="AI226" s="31" t="s">
        <v>499</v>
      </c>
      <c r="AJ226" s="32">
        <v>-7.9000000000000008E-3</v>
      </c>
      <c r="AK226" s="28">
        <f t="shared" si="90"/>
        <v>-8.1359423274974235E-3</v>
      </c>
      <c r="AL226" s="28" t="s">
        <v>508</v>
      </c>
      <c r="AM226" s="28" t="s">
        <v>499</v>
      </c>
      <c r="AN226" s="28" t="s">
        <v>672</v>
      </c>
      <c r="AO226" s="28" t="s">
        <v>509</v>
      </c>
      <c r="AP226" s="28" t="s">
        <v>510</v>
      </c>
      <c r="AQ226" s="28" t="s">
        <v>73</v>
      </c>
      <c r="AR226" s="28" t="s">
        <v>26</v>
      </c>
      <c r="AS226" s="73">
        <v>3408.21470477</v>
      </c>
      <c r="AT226" s="8">
        <v>94.13</v>
      </c>
      <c r="AU226" s="73" t="s">
        <v>499</v>
      </c>
      <c r="AV226" s="73" t="b">
        <f t="shared" si="104"/>
        <v>1</v>
      </c>
      <c r="AW226" s="79">
        <v>0</v>
      </c>
      <c r="AX226" s="45" t="str">
        <f t="shared" si="105"/>
        <v/>
      </c>
      <c r="AY226" s="29" t="str">
        <f t="shared" si="106"/>
        <v/>
      </c>
      <c r="AZ226" s="29" t="str">
        <f t="shared" si="107"/>
        <v/>
      </c>
      <c r="BA226" s="29" t="s">
        <v>699</v>
      </c>
      <c r="BB226" s="29">
        <f t="shared" si="108"/>
        <v>0</v>
      </c>
      <c r="BC226">
        <f t="shared" si="109"/>
        <v>0</v>
      </c>
      <c r="BD226" s="78" t="str" cm="1">
        <f t="array" ref="BD226">IF(BC226&lt;&gt;1, "", IF(AK226&gt;0, INT(AK226/SUMPRODUCT(($AK$3:$AK$1000&gt;0)*($AK$3:$AK$1000), ($BC$3:$BC$1000))*$AB$12/AT226), INT(AK226/SUMPRODUCT(($AK$3:$AK$1000&lt;0)*($AK$3:$AK$1000), ($BC$3:$BC$1000))*$AB$13/AT226)))</f>
        <v/>
      </c>
      <c r="BE226" t="str">
        <f t="shared" si="110"/>
        <v/>
      </c>
      <c r="BF226" s="65" t="str">
        <f t="shared" si="111"/>
        <v/>
      </c>
    </row>
    <row r="227" spans="2:58" x14ac:dyDescent="0.3">
      <c r="B227" s="18" t="s">
        <v>526</v>
      </c>
      <c r="C227" s="18" t="s">
        <v>527</v>
      </c>
      <c r="D227" s="18" t="s">
        <v>531</v>
      </c>
      <c r="E227" s="44" t="s">
        <v>530</v>
      </c>
      <c r="F227" s="18" t="s">
        <v>11</v>
      </c>
      <c r="G227" s="18" t="s">
        <v>10</v>
      </c>
      <c r="H227" s="19">
        <v>1760.9374209</v>
      </c>
      <c r="I227" s="18">
        <v>-17198</v>
      </c>
      <c r="J227" s="20">
        <v>7.9</v>
      </c>
      <c r="K227" s="19">
        <v>-135864.20000000001</v>
      </c>
      <c r="L227" s="12">
        <f t="shared" si="91"/>
        <v>-9.057613333333334E-3</v>
      </c>
      <c r="M227" s="12">
        <f t="shared" si="92"/>
        <v>-1.0298661174047369E-2</v>
      </c>
      <c r="N227" s="15" t="str">
        <f t="shared" si="93"/>
        <v/>
      </c>
      <c r="O227" s="15" t="str">
        <f t="shared" si="94"/>
        <v/>
      </c>
      <c r="P227" s="15">
        <f t="shared" si="95"/>
        <v>1</v>
      </c>
      <c r="Q227" s="15" t="str">
        <f t="shared" si="96"/>
        <v>SellShort</v>
      </c>
      <c r="R227" s="55">
        <f t="shared" si="97"/>
        <v>2356</v>
      </c>
      <c r="S227" s="33">
        <f t="shared" si="98"/>
        <v>18612.400000000001</v>
      </c>
      <c r="T227" s="33" t="str">
        <f t="shared" si="99"/>
        <v/>
      </c>
      <c r="U227" s="15" t="str">
        <f t="shared" si="100"/>
        <v/>
      </c>
      <c r="V227" s="15">
        <f t="shared" si="101"/>
        <v>23.56</v>
      </c>
      <c r="W227" s="62">
        <f t="shared" si="102"/>
        <v>1.2658227848101264E-3</v>
      </c>
      <c r="X227" s="15"/>
      <c r="Y227" s="1">
        <f t="shared" si="103"/>
        <v>1.2410478407140352E-3</v>
      </c>
      <c r="AH227" s="35">
        <v>45714</v>
      </c>
      <c r="AI227" s="31" t="s">
        <v>416</v>
      </c>
      <c r="AJ227" s="32">
        <v>-8.0000000000000002E-3</v>
      </c>
      <c r="AK227" s="28">
        <f t="shared" si="90"/>
        <v>-8.2389289392378953E-3</v>
      </c>
      <c r="AL227" s="28" t="s">
        <v>432</v>
      </c>
      <c r="AM227" s="28" t="s">
        <v>416</v>
      </c>
      <c r="AN227" s="28" t="s">
        <v>464</v>
      </c>
      <c r="AO227" s="28" t="s">
        <v>433</v>
      </c>
      <c r="AP227" s="28" t="s">
        <v>434</v>
      </c>
      <c r="AQ227" s="28" t="s">
        <v>73</v>
      </c>
      <c r="AR227" s="28" t="s">
        <v>23</v>
      </c>
      <c r="AS227" s="73">
        <v>645.90595442999995</v>
      </c>
      <c r="AT227" s="8">
        <v>77.31</v>
      </c>
      <c r="AU227" s="73" t="s">
        <v>416</v>
      </c>
      <c r="AV227" s="73" t="b">
        <f t="shared" si="104"/>
        <v>1</v>
      </c>
      <c r="AW227" s="79">
        <v>0</v>
      </c>
      <c r="AX227" s="45" t="str">
        <f t="shared" si="105"/>
        <v/>
      </c>
      <c r="AY227" s="29" t="str">
        <f t="shared" si="106"/>
        <v/>
      </c>
      <c r="AZ227" s="29" t="str">
        <f t="shared" si="107"/>
        <v/>
      </c>
      <c r="BA227" s="29" t="s">
        <v>699</v>
      </c>
      <c r="BB227" s="29">
        <f t="shared" si="108"/>
        <v>0</v>
      </c>
      <c r="BC227">
        <f t="shared" si="109"/>
        <v>0</v>
      </c>
      <c r="BD227" s="78" t="str" cm="1">
        <f t="array" ref="BD227">IF(BC227&lt;&gt;1, "", IF(AK227&gt;0, INT(AK227/SUMPRODUCT(($AK$3:$AK$1000&gt;0)*($AK$3:$AK$1000), ($BC$3:$BC$1000))*$AB$12/AT227), INT(AK227/SUMPRODUCT(($AK$3:$AK$1000&lt;0)*($AK$3:$AK$1000), ($BC$3:$BC$1000))*$AB$13/AT227)))</f>
        <v/>
      </c>
      <c r="BE227" t="str">
        <f t="shared" si="110"/>
        <v/>
      </c>
      <c r="BF227" s="65" t="str">
        <f t="shared" si="111"/>
        <v/>
      </c>
    </row>
    <row r="228" spans="2:58" x14ac:dyDescent="0.3">
      <c r="B228" s="18" t="s">
        <v>952</v>
      </c>
      <c r="C228" s="18" t="s">
        <v>980</v>
      </c>
      <c r="D228" s="18" t="s">
        <v>998</v>
      </c>
      <c r="E228" s="44" t="s">
        <v>982</v>
      </c>
      <c r="F228" s="18" t="s">
        <v>11</v>
      </c>
      <c r="G228" s="18" t="s">
        <v>10</v>
      </c>
      <c r="H228" s="19">
        <v>26666.642395799998</v>
      </c>
      <c r="I228" s="18">
        <v>-3005</v>
      </c>
      <c r="J228" s="20">
        <v>45.54</v>
      </c>
      <c r="K228" s="19">
        <v>-136847.70000000001</v>
      </c>
      <c r="L228" s="12">
        <f t="shared" si="91"/>
        <v>-9.1231800000000016E-3</v>
      </c>
      <c r="M228" s="12">
        <f t="shared" si="92"/>
        <v>-1.0298661174047369E-2</v>
      </c>
      <c r="N228" s="15" t="str">
        <f t="shared" si="93"/>
        <v/>
      </c>
      <c r="O228" s="15" t="str">
        <f t="shared" si="94"/>
        <v/>
      </c>
      <c r="P228" s="15">
        <f t="shared" si="95"/>
        <v>1</v>
      </c>
      <c r="Q228" s="15" t="str">
        <f t="shared" si="96"/>
        <v>SellShort</v>
      </c>
      <c r="R228" s="55">
        <f t="shared" si="97"/>
        <v>387</v>
      </c>
      <c r="S228" s="33">
        <f t="shared" si="98"/>
        <v>17623.98</v>
      </c>
      <c r="T228" s="33" t="str">
        <f t="shared" si="99"/>
        <v/>
      </c>
      <c r="U228" s="15" t="str">
        <f t="shared" si="100"/>
        <v/>
      </c>
      <c r="V228" s="15">
        <f t="shared" si="101"/>
        <v>3.87</v>
      </c>
      <c r="W228" s="62">
        <f t="shared" si="102"/>
        <v>2.1958717610891525E-4</v>
      </c>
      <c r="X228" s="15"/>
      <c r="Y228" s="1">
        <f t="shared" si="103"/>
        <v>1.1754811740473676E-3</v>
      </c>
      <c r="AH228" s="35">
        <v>45714</v>
      </c>
      <c r="AI228" s="31" t="s">
        <v>1100</v>
      </c>
      <c r="AJ228" s="32">
        <v>-8.2000000000000007E-3</v>
      </c>
      <c r="AK228" s="28">
        <f t="shared" si="90"/>
        <v>-8.4449021627188443E-3</v>
      </c>
      <c r="AL228" s="28" t="s">
        <v>1247</v>
      </c>
      <c r="AM228" s="28" t="s">
        <v>1100</v>
      </c>
      <c r="AN228" s="28" t="s">
        <v>1788</v>
      </c>
      <c r="AO228" s="28" t="s">
        <v>1248</v>
      </c>
      <c r="AP228" s="28" t="s">
        <v>1335</v>
      </c>
      <c r="AQ228" s="28" t="s">
        <v>73</v>
      </c>
      <c r="AR228" s="28" t="s">
        <v>20</v>
      </c>
      <c r="AS228" s="73">
        <v>7945.0603356499996</v>
      </c>
      <c r="AT228" s="8">
        <v>277.36</v>
      </c>
      <c r="AU228" s="73" t="s">
        <v>1100</v>
      </c>
      <c r="AV228" s="73" t="b">
        <f t="shared" si="104"/>
        <v>1</v>
      </c>
      <c r="AW228" s="79">
        <v>0</v>
      </c>
      <c r="AX228" s="45" t="str">
        <f t="shared" si="105"/>
        <v/>
      </c>
      <c r="AY228" s="29" t="str">
        <f t="shared" si="106"/>
        <v/>
      </c>
      <c r="AZ228" s="29" t="str">
        <f t="shared" si="107"/>
        <v/>
      </c>
      <c r="BA228" s="29" t="s">
        <v>699</v>
      </c>
      <c r="BB228" s="29">
        <f t="shared" si="108"/>
        <v>0</v>
      </c>
      <c r="BC228">
        <f t="shared" si="109"/>
        <v>0</v>
      </c>
      <c r="BD228" s="78" t="str" cm="1">
        <f t="array" ref="BD228">IF(BC228&lt;&gt;1, "", IF(AK228&gt;0, INT(AK228/SUMPRODUCT(($AK$3:$AK$1000&gt;0)*($AK$3:$AK$1000), ($BC$3:$BC$1000))*$AB$12/AT228), INT(AK228/SUMPRODUCT(($AK$3:$AK$1000&lt;0)*($AK$3:$AK$1000), ($BC$3:$BC$1000))*$AB$13/AT228)))</f>
        <v/>
      </c>
      <c r="BE228" t="str">
        <f t="shared" si="110"/>
        <v/>
      </c>
      <c r="BF228" s="65" t="str">
        <f t="shared" si="111"/>
        <v/>
      </c>
    </row>
    <row r="229" spans="2:58" x14ac:dyDescent="0.3">
      <c r="B229" s="18" t="s">
        <v>588</v>
      </c>
      <c r="C229" s="18" t="s">
        <v>614</v>
      </c>
      <c r="D229" s="18" t="s">
        <v>626</v>
      </c>
      <c r="E229" s="44" t="s">
        <v>616</v>
      </c>
      <c r="F229" s="18" t="s">
        <v>23</v>
      </c>
      <c r="G229" s="18" t="s">
        <v>10</v>
      </c>
      <c r="H229" s="19">
        <v>111175.23129934999</v>
      </c>
      <c r="I229" s="18">
        <v>-494</v>
      </c>
      <c r="J229" s="20">
        <v>277.45</v>
      </c>
      <c r="K229" s="19">
        <v>-137060.29999999999</v>
      </c>
      <c r="L229" s="12">
        <f t="shared" si="91"/>
        <v>-9.1373533333333323E-3</v>
      </c>
      <c r="M229" s="12">
        <f t="shared" si="92"/>
        <v>-5.6642636457260526E-3</v>
      </c>
      <c r="N229" s="15" t="str">
        <f t="shared" si="93"/>
        <v/>
      </c>
      <c r="O229" s="15" t="str">
        <f t="shared" si="94"/>
        <v/>
      </c>
      <c r="P229" s="15">
        <f t="shared" si="95"/>
        <v>1</v>
      </c>
      <c r="Q229" s="15" t="str">
        <f t="shared" si="96"/>
        <v>BuyToCover</v>
      </c>
      <c r="R229" s="55">
        <f t="shared" si="97"/>
        <v>187</v>
      </c>
      <c r="S229" s="33">
        <f t="shared" si="98"/>
        <v>51883.15</v>
      </c>
      <c r="T229" s="33" t="str">
        <f t="shared" si="99"/>
        <v/>
      </c>
      <c r="U229" s="15" t="str">
        <f t="shared" si="100"/>
        <v/>
      </c>
      <c r="V229" s="15">
        <f t="shared" si="101"/>
        <v>1.87</v>
      </c>
      <c r="W229" s="62">
        <f t="shared" si="102"/>
        <v>3.6042530185619032E-5</v>
      </c>
      <c r="X229" s="15"/>
      <c r="Y229" s="1">
        <f t="shared" si="103"/>
        <v>-3.4730896876072797E-3</v>
      </c>
      <c r="AH229" s="35">
        <v>45714</v>
      </c>
      <c r="AI229" s="31" t="s">
        <v>704</v>
      </c>
      <c r="AJ229" s="32">
        <v>-8.2000000000000007E-3</v>
      </c>
      <c r="AK229" s="28">
        <f t="shared" si="90"/>
        <v>-8.4449021627188443E-3</v>
      </c>
      <c r="AL229" s="28" t="s">
        <v>721</v>
      </c>
      <c r="AM229" s="28" t="s">
        <v>704</v>
      </c>
      <c r="AN229" s="28" t="s">
        <v>1789</v>
      </c>
      <c r="AO229" s="28" t="s">
        <v>722</v>
      </c>
      <c r="AP229" s="28" t="s">
        <v>723</v>
      </c>
      <c r="AQ229" s="28" t="s">
        <v>73</v>
      </c>
      <c r="AR229" s="28" t="s">
        <v>19</v>
      </c>
      <c r="AS229" s="73">
        <v>785.84814494</v>
      </c>
      <c r="AT229" s="8">
        <v>5.86</v>
      </c>
      <c r="AU229" s="73" t="s">
        <v>704</v>
      </c>
      <c r="AV229" s="73" t="b">
        <f t="shared" si="104"/>
        <v>1</v>
      </c>
      <c r="AW229" s="79">
        <v>0</v>
      </c>
      <c r="AX229" s="45" t="str">
        <f t="shared" si="105"/>
        <v/>
      </c>
      <c r="AY229" s="29" t="str">
        <f t="shared" si="106"/>
        <v/>
      </c>
      <c r="AZ229" s="29" t="str">
        <f t="shared" si="107"/>
        <v/>
      </c>
      <c r="BA229" s="29" t="s">
        <v>699</v>
      </c>
      <c r="BB229" s="29">
        <f t="shared" si="108"/>
        <v>0</v>
      </c>
      <c r="BC229">
        <f t="shared" si="109"/>
        <v>0</v>
      </c>
      <c r="BD229" s="78" t="str" cm="1">
        <f t="array" ref="BD229">IF(BC229&lt;&gt;1, "", IF(AK229&gt;0, INT(AK229/SUMPRODUCT(($AK$3:$AK$1000&gt;0)*($AK$3:$AK$1000), ($BC$3:$BC$1000))*$AB$12/AT229), INT(AK229/SUMPRODUCT(($AK$3:$AK$1000&lt;0)*($AK$3:$AK$1000), ($BC$3:$BC$1000))*$AB$13/AT229)))</f>
        <v/>
      </c>
      <c r="BE229" t="str">
        <f t="shared" si="110"/>
        <v/>
      </c>
      <c r="BF229" s="65" t="str">
        <f t="shared" si="111"/>
        <v/>
      </c>
    </row>
    <row r="230" spans="2:58" x14ac:dyDescent="0.3">
      <c r="B230" s="18" t="s">
        <v>212</v>
      </c>
      <c r="C230" s="18" t="s">
        <v>216</v>
      </c>
      <c r="D230" s="18" t="s">
        <v>223</v>
      </c>
      <c r="E230" s="44" t="s">
        <v>660</v>
      </c>
      <c r="F230" s="18" t="s">
        <v>11</v>
      </c>
      <c r="G230" s="18" t="s">
        <v>10</v>
      </c>
      <c r="H230" s="19">
        <v>64676.671799999996</v>
      </c>
      <c r="I230" s="18">
        <v>-548</v>
      </c>
      <c r="J230" s="20">
        <v>250.51</v>
      </c>
      <c r="K230" s="19">
        <v>-137279.47999999998</v>
      </c>
      <c r="L230" s="12">
        <f t="shared" si="91"/>
        <v>-9.1519653333333329E-3</v>
      </c>
      <c r="M230" s="12">
        <f t="shared" si="92"/>
        <v>-1.0298661174047369E-2</v>
      </c>
      <c r="N230" s="15" t="str">
        <f t="shared" si="93"/>
        <v/>
      </c>
      <c r="O230" s="15" t="str">
        <f t="shared" si="94"/>
        <v/>
      </c>
      <c r="P230" s="15">
        <f t="shared" si="95"/>
        <v>1</v>
      </c>
      <c r="Q230" s="15" t="str">
        <f t="shared" si="96"/>
        <v>SellShort</v>
      </c>
      <c r="R230" s="55">
        <f t="shared" si="97"/>
        <v>68</v>
      </c>
      <c r="S230" s="33">
        <f t="shared" si="98"/>
        <v>17034.68</v>
      </c>
      <c r="T230" s="33" t="str">
        <f t="shared" si="99"/>
        <v/>
      </c>
      <c r="U230" s="15" t="str">
        <f t="shared" si="100"/>
        <v/>
      </c>
      <c r="V230" s="15">
        <f t="shared" si="101"/>
        <v>0.68</v>
      </c>
      <c r="W230" s="62">
        <f t="shared" si="102"/>
        <v>3.9918566125104789E-5</v>
      </c>
      <c r="X230" s="15"/>
      <c r="Y230" s="1">
        <f t="shared" si="103"/>
        <v>1.1466958407140362E-3</v>
      </c>
      <c r="AH230" s="35">
        <v>45714</v>
      </c>
      <c r="AI230" s="31" t="s">
        <v>708</v>
      </c>
      <c r="AJ230" s="32">
        <v>-8.3000000000000001E-3</v>
      </c>
      <c r="AK230" s="28">
        <f t="shared" si="90"/>
        <v>-8.5478887744593161E-3</v>
      </c>
      <c r="AL230" s="28" t="s">
        <v>734</v>
      </c>
      <c r="AM230" s="28" t="s">
        <v>708</v>
      </c>
      <c r="AN230" s="28" t="s">
        <v>1787</v>
      </c>
      <c r="AO230" s="28" t="s">
        <v>735</v>
      </c>
      <c r="AP230" s="28" t="s">
        <v>956</v>
      </c>
      <c r="AQ230" s="28" t="s">
        <v>73</v>
      </c>
      <c r="AR230" s="28" t="s">
        <v>23</v>
      </c>
      <c r="AS230" s="73">
        <v>98371.249338180001</v>
      </c>
      <c r="AT230" s="8">
        <v>171.21</v>
      </c>
      <c r="AU230" s="73" t="s">
        <v>708</v>
      </c>
      <c r="AV230" s="73" t="b">
        <f t="shared" si="104"/>
        <v>1</v>
      </c>
      <c r="AW230" s="79">
        <v>0</v>
      </c>
      <c r="AX230" s="45" t="str">
        <f t="shared" si="105"/>
        <v/>
      </c>
      <c r="AY230" s="29" t="str">
        <f t="shared" si="106"/>
        <v/>
      </c>
      <c r="AZ230" s="29" t="str">
        <f t="shared" si="107"/>
        <v/>
      </c>
      <c r="BA230" s="29" t="s">
        <v>699</v>
      </c>
      <c r="BB230" s="29">
        <f t="shared" si="108"/>
        <v>0</v>
      </c>
      <c r="BC230">
        <f t="shared" si="109"/>
        <v>0</v>
      </c>
      <c r="BD230" s="78" t="str" cm="1">
        <f t="array" ref="BD230">IF(BC230&lt;&gt;1, "", IF(AK230&gt;0, INT(AK230/SUMPRODUCT(($AK$3:$AK$1000&gt;0)*($AK$3:$AK$1000), ($BC$3:$BC$1000))*$AB$12/AT230), INT(AK230/SUMPRODUCT(($AK$3:$AK$1000&lt;0)*($AK$3:$AK$1000), ($BC$3:$BC$1000))*$AB$13/AT230)))</f>
        <v/>
      </c>
      <c r="BE230" t="str">
        <f t="shared" si="110"/>
        <v/>
      </c>
      <c r="BF230" s="65" t="str">
        <f t="shared" si="111"/>
        <v/>
      </c>
    </row>
    <row r="231" spans="2:58" x14ac:dyDescent="0.3">
      <c r="B231" s="18" t="s">
        <v>585</v>
      </c>
      <c r="C231" s="18" t="s">
        <v>645</v>
      </c>
      <c r="D231" s="18" t="s">
        <v>656</v>
      </c>
      <c r="E231" s="44" t="s">
        <v>607</v>
      </c>
      <c r="F231" s="18" t="s">
        <v>20</v>
      </c>
      <c r="G231" s="18" t="s">
        <v>10</v>
      </c>
      <c r="H231" s="19">
        <v>14055.38072605</v>
      </c>
      <c r="I231" s="18">
        <v>-1189</v>
      </c>
      <c r="J231" s="20">
        <v>115.49</v>
      </c>
      <c r="K231" s="19">
        <v>-137317.60999999999</v>
      </c>
      <c r="L231" s="12">
        <f t="shared" si="91"/>
        <v>-9.1545073333333324E-3</v>
      </c>
      <c r="M231" s="12">
        <f t="shared" si="92"/>
        <v>-9.0628218331616859E-3</v>
      </c>
      <c r="N231" s="15" t="str">
        <f t="shared" si="93"/>
        <v/>
      </c>
      <c r="O231" s="15" t="str">
        <f t="shared" si="94"/>
        <v/>
      </c>
      <c r="P231" s="15" t="str">
        <f t="shared" si="95"/>
        <v/>
      </c>
      <c r="Q231" s="15" t="str">
        <f t="shared" si="96"/>
        <v/>
      </c>
      <c r="R231" s="55" t="str">
        <f t="shared" si="97"/>
        <v/>
      </c>
      <c r="S231" s="33" t="str">
        <f t="shared" si="98"/>
        <v/>
      </c>
      <c r="T231" s="33" t="str">
        <f t="shared" si="99"/>
        <v/>
      </c>
      <c r="U231" s="15" t="str">
        <f t="shared" si="100"/>
        <v/>
      </c>
      <c r="V231" s="15" t="str">
        <f t="shared" si="101"/>
        <v/>
      </c>
      <c r="W231" s="62" t="str">
        <f t="shared" si="102"/>
        <v/>
      </c>
      <c r="X231" s="15"/>
      <c r="Y231" s="1">
        <f t="shared" si="103"/>
        <v>-9.1685500171646492E-5</v>
      </c>
      <c r="AH231" s="35">
        <v>45714</v>
      </c>
      <c r="AI231" s="31" t="s">
        <v>1332</v>
      </c>
      <c r="AJ231" s="32">
        <v>-8.5000000000000006E-3</v>
      </c>
      <c r="AK231" s="28">
        <f t="shared" si="90"/>
        <v>-8.7538619979402651E-3</v>
      </c>
      <c r="AL231" s="28" t="s">
        <v>1382</v>
      </c>
      <c r="AM231" s="28" t="s">
        <v>1332</v>
      </c>
      <c r="AN231" s="28" t="s">
        <v>1383</v>
      </c>
      <c r="AO231" s="28" t="s">
        <v>1384</v>
      </c>
      <c r="AP231" s="28" t="s">
        <v>1385</v>
      </c>
      <c r="AQ231" s="28" t="s">
        <v>73</v>
      </c>
      <c r="AR231" s="28" t="s">
        <v>23</v>
      </c>
      <c r="AS231" s="73">
        <v>1428.7408011800001</v>
      </c>
      <c r="AT231" s="8">
        <v>49.94</v>
      </c>
      <c r="AU231" s="73" t="s">
        <v>1332</v>
      </c>
      <c r="AV231" s="73" t="b">
        <f t="shared" si="104"/>
        <v>1</v>
      </c>
      <c r="AW231" s="79">
        <v>0</v>
      </c>
      <c r="AX231" s="45" t="str">
        <f t="shared" si="105"/>
        <v/>
      </c>
      <c r="AY231" s="29" t="str">
        <f t="shared" si="106"/>
        <v/>
      </c>
      <c r="AZ231" s="29" t="str">
        <f t="shared" si="107"/>
        <v/>
      </c>
      <c r="BA231" s="29" t="s">
        <v>699</v>
      </c>
      <c r="BB231" s="29">
        <f t="shared" si="108"/>
        <v>0</v>
      </c>
      <c r="BC231">
        <f t="shared" si="109"/>
        <v>0</v>
      </c>
      <c r="BD231" s="78" t="str" cm="1">
        <f t="array" ref="BD231">IF(BC231&lt;&gt;1, "", IF(AK231&gt;0, INT(AK231/SUMPRODUCT(($AK$3:$AK$1000&gt;0)*($AK$3:$AK$1000), ($BC$3:$BC$1000))*$AB$12/AT231), INT(AK231/SUMPRODUCT(($AK$3:$AK$1000&lt;0)*($AK$3:$AK$1000), ($BC$3:$BC$1000))*$AB$13/AT231)))</f>
        <v/>
      </c>
      <c r="BE231" t="str">
        <f t="shared" si="110"/>
        <v/>
      </c>
      <c r="BF231" s="65" t="str">
        <f t="shared" si="111"/>
        <v/>
      </c>
    </row>
    <row r="232" spans="2:58" x14ac:dyDescent="0.3">
      <c r="B232" s="18" t="s">
        <v>408</v>
      </c>
      <c r="C232" s="18" t="s">
        <v>409</v>
      </c>
      <c r="D232" s="18" t="s">
        <v>524</v>
      </c>
      <c r="E232" s="44" t="s">
        <v>1108</v>
      </c>
      <c r="F232" s="18" t="s">
        <v>24</v>
      </c>
      <c r="G232" s="18" t="s">
        <v>10</v>
      </c>
      <c r="H232" s="19">
        <v>57993.234952500003</v>
      </c>
      <c r="I232" s="18">
        <v>-5275</v>
      </c>
      <c r="J232" s="20">
        <v>26.1</v>
      </c>
      <c r="K232" s="19">
        <v>-137677.5</v>
      </c>
      <c r="L232" s="12">
        <f t="shared" si="91"/>
        <v>-9.1784999999999992E-3</v>
      </c>
      <c r="M232" s="12">
        <f t="shared" si="92"/>
        <v>-9.2687950566426314E-3</v>
      </c>
      <c r="N232" s="15" t="str">
        <f t="shared" si="93"/>
        <v/>
      </c>
      <c r="O232" s="15" t="str">
        <f t="shared" si="94"/>
        <v/>
      </c>
      <c r="P232" s="15" t="str">
        <f t="shared" si="95"/>
        <v/>
      </c>
      <c r="Q232" s="15" t="str">
        <f t="shared" si="96"/>
        <v/>
      </c>
      <c r="R232" s="55" t="str">
        <f t="shared" si="97"/>
        <v/>
      </c>
      <c r="S232" s="33" t="str">
        <f t="shared" si="98"/>
        <v/>
      </c>
      <c r="T232" s="33" t="str">
        <f t="shared" si="99"/>
        <v/>
      </c>
      <c r="U232" s="15" t="str">
        <f t="shared" si="100"/>
        <v/>
      </c>
      <c r="V232" s="15" t="str">
        <f t="shared" si="101"/>
        <v/>
      </c>
      <c r="W232" s="62" t="str">
        <f t="shared" si="102"/>
        <v/>
      </c>
      <c r="X232" s="15"/>
      <c r="Y232" s="1">
        <f t="shared" si="103"/>
        <v>9.029505664263221E-5</v>
      </c>
      <c r="AH232" s="35">
        <v>45714</v>
      </c>
      <c r="AI232" s="31" t="s">
        <v>394</v>
      </c>
      <c r="AJ232" s="32">
        <v>-8.6E-3</v>
      </c>
      <c r="AK232" s="28">
        <f t="shared" si="90"/>
        <v>0</v>
      </c>
      <c r="AL232" s="28" t="s">
        <v>673</v>
      </c>
      <c r="AM232" s="28" t="s">
        <v>394</v>
      </c>
      <c r="AN232" s="28" t="s">
        <v>456</v>
      </c>
      <c r="AO232" s="28" t="s">
        <v>403</v>
      </c>
      <c r="AP232" s="28" t="s">
        <v>404</v>
      </c>
      <c r="AQ232" s="28" t="s">
        <v>73</v>
      </c>
      <c r="AR232" s="28" t="s">
        <v>26</v>
      </c>
      <c r="AS232" s="73">
        <v>40455.33093525</v>
      </c>
      <c r="AT232" s="8">
        <v>70.45</v>
      </c>
      <c r="AU232" s="73" t="s">
        <v>394</v>
      </c>
      <c r="AV232" s="73" t="b">
        <f t="shared" si="104"/>
        <v>1</v>
      </c>
      <c r="AW232" s="79">
        <v>31350.25</v>
      </c>
      <c r="AX232" s="45" t="str">
        <f t="shared" si="105"/>
        <v/>
      </c>
      <c r="AY232" s="29">
        <f t="shared" si="106"/>
        <v>1</v>
      </c>
      <c r="AZ232" s="29" t="str">
        <f t="shared" si="107"/>
        <v/>
      </c>
      <c r="BA232" s="29" t="s">
        <v>699</v>
      </c>
      <c r="BB232" s="29">
        <f t="shared" si="108"/>
        <v>1</v>
      </c>
      <c r="BC232">
        <f t="shared" si="109"/>
        <v>0</v>
      </c>
      <c r="BD232" s="78" t="str" cm="1">
        <f t="array" ref="BD232">IF(BC232&lt;&gt;1, "", IF(AK232&gt;0, INT(AK232/SUMPRODUCT(($AK$3:$AK$1000&gt;0)*($AK$3:$AK$1000), ($BC$3:$BC$1000))*$AB$12/AT232), INT(AK232/SUMPRODUCT(($AK$3:$AK$1000&lt;0)*($AK$3:$AK$1000), ($BC$3:$BC$1000))*$AB$13/AT232)))</f>
        <v/>
      </c>
      <c r="BE232" t="str">
        <f t="shared" si="110"/>
        <v/>
      </c>
      <c r="BF232" s="65" t="str">
        <f t="shared" si="111"/>
        <v/>
      </c>
    </row>
    <row r="233" spans="2:58" x14ac:dyDescent="0.3">
      <c r="B233" s="18" t="s">
        <v>1104</v>
      </c>
      <c r="C233" s="18" t="s">
        <v>1259</v>
      </c>
      <c r="D233" s="18" t="s">
        <v>1317</v>
      </c>
      <c r="E233" s="44" t="s">
        <v>1262</v>
      </c>
      <c r="F233" s="18" t="s">
        <v>14</v>
      </c>
      <c r="G233" s="18" t="s">
        <v>10</v>
      </c>
      <c r="H233" s="19">
        <v>2391.2106426</v>
      </c>
      <c r="I233" s="18">
        <v>-6873</v>
      </c>
      <c r="J233" s="20">
        <v>20.28</v>
      </c>
      <c r="K233" s="19">
        <v>-139384.44</v>
      </c>
      <c r="L233" s="12">
        <f t="shared" si="91"/>
        <v>-9.2922960000000002E-3</v>
      </c>
      <c r="M233" s="12">
        <f t="shared" si="92"/>
        <v>-9.6807415036045275E-3</v>
      </c>
      <c r="N233" s="15" t="str">
        <f t="shared" si="93"/>
        <v/>
      </c>
      <c r="O233" s="15" t="str">
        <f t="shared" si="94"/>
        <v/>
      </c>
      <c r="P233" s="15">
        <f t="shared" si="95"/>
        <v>1</v>
      </c>
      <c r="Q233" s="15" t="str">
        <f t="shared" si="96"/>
        <v>SellShort</v>
      </c>
      <c r="R233" s="55">
        <f t="shared" si="97"/>
        <v>287</v>
      </c>
      <c r="S233" s="33">
        <f t="shared" si="98"/>
        <v>5820.3600000000006</v>
      </c>
      <c r="T233" s="33" t="str">
        <f t="shared" si="99"/>
        <v/>
      </c>
      <c r="U233" s="15" t="str">
        <f t="shared" si="100"/>
        <v/>
      </c>
      <c r="V233" s="15">
        <f t="shared" si="101"/>
        <v>2.87</v>
      </c>
      <c r="W233" s="62">
        <f t="shared" si="102"/>
        <v>4.9309664694280071E-4</v>
      </c>
      <c r="X233" s="15"/>
      <c r="Y233" s="1">
        <f t="shared" si="103"/>
        <v>3.8844550360452729E-4</v>
      </c>
      <c r="AH233" s="35">
        <v>45714</v>
      </c>
      <c r="AI233" s="31" t="s">
        <v>585</v>
      </c>
      <c r="AJ233" s="32">
        <v>-8.8000000000000005E-3</v>
      </c>
      <c r="AK233" s="28">
        <f t="shared" si="90"/>
        <v>-9.0628218331616859E-3</v>
      </c>
      <c r="AL233" s="28" t="s">
        <v>645</v>
      </c>
      <c r="AM233" s="28" t="s">
        <v>585</v>
      </c>
      <c r="AN233" s="28" t="s">
        <v>1792</v>
      </c>
      <c r="AO233" s="28" t="s">
        <v>606</v>
      </c>
      <c r="AP233" s="28" t="s">
        <v>607</v>
      </c>
      <c r="AQ233" s="28" t="s">
        <v>73</v>
      </c>
      <c r="AR233" s="28" t="s">
        <v>20</v>
      </c>
      <c r="AS233" s="73">
        <v>14055.38072605</v>
      </c>
      <c r="AT233" s="8">
        <v>115.49</v>
      </c>
      <c r="AU233" s="73" t="s">
        <v>585</v>
      </c>
      <c r="AV233" s="73" t="b">
        <f t="shared" si="104"/>
        <v>1</v>
      </c>
      <c r="AW233" s="79">
        <v>0</v>
      </c>
      <c r="AX233" s="45" t="str">
        <f t="shared" si="105"/>
        <v/>
      </c>
      <c r="AY233" s="29" t="str">
        <f t="shared" si="106"/>
        <v/>
      </c>
      <c r="AZ233" s="29" t="str">
        <f t="shared" si="107"/>
        <v/>
      </c>
      <c r="BA233" s="29" t="s">
        <v>699</v>
      </c>
      <c r="BB233" s="29">
        <f t="shared" si="108"/>
        <v>0</v>
      </c>
      <c r="BC233">
        <f t="shared" si="109"/>
        <v>0</v>
      </c>
      <c r="BD233" s="78" t="str" cm="1">
        <f t="array" ref="BD233">IF(BC233&lt;&gt;1, "", IF(AK233&gt;0, INT(AK233/SUMPRODUCT(($AK$3:$AK$1000&gt;0)*($AK$3:$AK$1000), ($BC$3:$BC$1000))*$AB$12/AT233), INT(AK233/SUMPRODUCT(($AK$3:$AK$1000&lt;0)*($AK$3:$AK$1000), ($BC$3:$BC$1000))*$AB$13/AT233)))</f>
        <v/>
      </c>
      <c r="BE233" t="str">
        <f t="shared" si="110"/>
        <v/>
      </c>
      <c r="BF233" s="65" t="str">
        <f t="shared" si="111"/>
        <v/>
      </c>
    </row>
    <row r="234" spans="2:58" x14ac:dyDescent="0.3">
      <c r="B234" s="18" t="s">
        <v>245</v>
      </c>
      <c r="C234" s="18" t="s">
        <v>253</v>
      </c>
      <c r="D234" s="18" t="s">
        <v>261</v>
      </c>
      <c r="E234" s="44" t="s">
        <v>255</v>
      </c>
      <c r="F234" s="18" t="s">
        <v>23</v>
      </c>
      <c r="G234" s="18" t="s">
        <v>10</v>
      </c>
      <c r="H234" s="19">
        <v>187.21284112000001</v>
      </c>
      <c r="I234" s="18">
        <v>-9280</v>
      </c>
      <c r="J234" s="20">
        <v>15.16</v>
      </c>
      <c r="K234" s="19">
        <v>-140684.79999999999</v>
      </c>
      <c r="L234" s="12">
        <f t="shared" si="91"/>
        <v>-9.3789866666666652E-3</v>
      </c>
      <c r="M234" s="12">
        <f t="shared" si="92"/>
        <v>-9.886714727085473E-3</v>
      </c>
      <c r="N234" s="15" t="str">
        <f t="shared" si="93"/>
        <v/>
      </c>
      <c r="O234" s="15" t="str">
        <f t="shared" si="94"/>
        <v/>
      </c>
      <c r="P234" s="15">
        <f t="shared" si="95"/>
        <v>1</v>
      </c>
      <c r="Q234" s="15" t="str">
        <f t="shared" si="96"/>
        <v>SellShort</v>
      </c>
      <c r="R234" s="55">
        <f t="shared" si="97"/>
        <v>502</v>
      </c>
      <c r="S234" s="33">
        <f t="shared" si="98"/>
        <v>7610.32</v>
      </c>
      <c r="T234" s="33" t="str">
        <f t="shared" si="99"/>
        <v/>
      </c>
      <c r="U234" s="15" t="str">
        <f t="shared" si="100"/>
        <v/>
      </c>
      <c r="V234" s="15">
        <f t="shared" si="101"/>
        <v>5.0200000000000005</v>
      </c>
      <c r="W234" s="62">
        <f t="shared" si="102"/>
        <v>6.596306068601584E-4</v>
      </c>
      <c r="X234" s="15"/>
      <c r="Y234" s="1">
        <f t="shared" si="103"/>
        <v>5.077280604188078E-4</v>
      </c>
      <c r="AH234" s="35">
        <v>45714</v>
      </c>
      <c r="AI234" s="31" t="s">
        <v>244</v>
      </c>
      <c r="AJ234" s="32">
        <v>-8.8000000000000005E-3</v>
      </c>
      <c r="AK234" s="28">
        <f t="shared" si="90"/>
        <v>-9.0628218331616859E-3</v>
      </c>
      <c r="AL234" s="28" t="s">
        <v>250</v>
      </c>
      <c r="AM234" s="28" t="s">
        <v>244</v>
      </c>
      <c r="AN234" s="28" t="s">
        <v>444</v>
      </c>
      <c r="AO234" s="28" t="s">
        <v>251</v>
      </c>
      <c r="AP234" s="28" t="s">
        <v>252</v>
      </c>
      <c r="AQ234" s="28" t="s">
        <v>73</v>
      </c>
      <c r="AR234" s="28" t="s">
        <v>20</v>
      </c>
      <c r="AS234" s="73">
        <v>253.17356894</v>
      </c>
      <c r="AT234" s="8">
        <v>3.94</v>
      </c>
      <c r="AU234" s="73" t="s">
        <v>244</v>
      </c>
      <c r="AV234" s="73" t="b">
        <f t="shared" si="104"/>
        <v>1</v>
      </c>
      <c r="AW234" s="79">
        <v>0</v>
      </c>
      <c r="AX234" s="45" t="str">
        <f t="shared" si="105"/>
        <v/>
      </c>
      <c r="AY234" s="29" t="str">
        <f t="shared" si="106"/>
        <v/>
      </c>
      <c r="AZ234" s="29" t="str">
        <f t="shared" si="107"/>
        <v/>
      </c>
      <c r="BA234" s="29" t="s">
        <v>699</v>
      </c>
      <c r="BB234" s="29">
        <f t="shared" si="108"/>
        <v>0</v>
      </c>
      <c r="BC234">
        <f t="shared" si="109"/>
        <v>0</v>
      </c>
      <c r="BD234" s="78" t="str" cm="1">
        <f t="array" ref="BD234">IF(BC234&lt;&gt;1, "", IF(AK234&gt;0, INT(AK234/SUMPRODUCT(($AK$3:$AK$1000&gt;0)*($AK$3:$AK$1000), ($BC$3:$BC$1000))*$AB$12/AT234), INT(AK234/SUMPRODUCT(($AK$3:$AK$1000&lt;0)*($AK$3:$AK$1000), ($BC$3:$BC$1000))*$AB$13/AT234)))</f>
        <v/>
      </c>
      <c r="BE234" t="str">
        <f t="shared" si="110"/>
        <v/>
      </c>
      <c r="BF234" s="65" t="str">
        <f t="shared" si="111"/>
        <v/>
      </c>
    </row>
    <row r="235" spans="2:58" x14ac:dyDescent="0.3">
      <c r="B235" s="18" t="s">
        <v>705</v>
      </c>
      <c r="C235" s="18" t="s">
        <v>724</v>
      </c>
      <c r="D235" s="18" t="s">
        <v>839</v>
      </c>
      <c r="E235" s="44" t="s">
        <v>726</v>
      </c>
      <c r="F235" s="18" t="s">
        <v>20</v>
      </c>
      <c r="G235" s="18" t="s">
        <v>10</v>
      </c>
      <c r="H235" s="19">
        <v>21370.562983200001</v>
      </c>
      <c r="I235" s="18">
        <v>-1318</v>
      </c>
      <c r="J235" s="20">
        <v>107.35</v>
      </c>
      <c r="K235" s="19">
        <v>-141487.29999999999</v>
      </c>
      <c r="L235" s="12">
        <f t="shared" si="91"/>
        <v>-9.4324866666666667E-3</v>
      </c>
      <c r="M235" s="12">
        <f t="shared" si="92"/>
        <v>-9.2687950566426314E-3</v>
      </c>
      <c r="N235" s="15" t="str">
        <f t="shared" si="93"/>
        <v/>
      </c>
      <c r="O235" s="15" t="str">
        <f t="shared" si="94"/>
        <v/>
      </c>
      <c r="P235" s="15" t="str">
        <f t="shared" si="95"/>
        <v/>
      </c>
      <c r="Q235" s="15" t="str">
        <f t="shared" si="96"/>
        <v/>
      </c>
      <c r="R235" s="55" t="str">
        <f t="shared" si="97"/>
        <v/>
      </c>
      <c r="S235" s="33" t="str">
        <f t="shared" si="98"/>
        <v/>
      </c>
      <c r="T235" s="33" t="str">
        <f t="shared" si="99"/>
        <v/>
      </c>
      <c r="U235" s="15" t="str">
        <f t="shared" si="100"/>
        <v/>
      </c>
      <c r="V235" s="15" t="str">
        <f t="shared" si="101"/>
        <v/>
      </c>
      <c r="W235" s="62" t="str">
        <f t="shared" si="102"/>
        <v/>
      </c>
      <c r="X235" s="15"/>
      <c r="Y235" s="1">
        <f t="shared" si="103"/>
        <v>-1.6369161002403529E-4</v>
      </c>
      <c r="AH235" s="35">
        <v>45714</v>
      </c>
      <c r="AI235" s="31" t="s">
        <v>408</v>
      </c>
      <c r="AJ235" s="32">
        <v>-8.9999999999999993E-3</v>
      </c>
      <c r="AK235" s="28">
        <f t="shared" si="90"/>
        <v>-9.2687950566426314E-3</v>
      </c>
      <c r="AL235" s="28" t="s">
        <v>409</v>
      </c>
      <c r="AM235" s="28" t="s">
        <v>408</v>
      </c>
      <c r="AN235" s="28" t="s">
        <v>1793</v>
      </c>
      <c r="AO235" s="28" t="s">
        <v>410</v>
      </c>
      <c r="AP235" s="28" t="s">
        <v>1108</v>
      </c>
      <c r="AQ235" s="28" t="s">
        <v>73</v>
      </c>
      <c r="AR235" s="28" t="s">
        <v>24</v>
      </c>
      <c r="AS235" s="73">
        <v>57993.234952500003</v>
      </c>
      <c r="AT235" s="8">
        <v>26.1</v>
      </c>
      <c r="AU235" s="73" t="s">
        <v>408</v>
      </c>
      <c r="AV235" s="73" t="b">
        <f t="shared" si="104"/>
        <v>1</v>
      </c>
      <c r="AW235" s="79">
        <v>0</v>
      </c>
      <c r="AX235" s="45" t="str">
        <f t="shared" si="105"/>
        <v/>
      </c>
      <c r="AY235" s="29" t="str">
        <f t="shared" si="106"/>
        <v/>
      </c>
      <c r="AZ235" s="29" t="str">
        <f t="shared" si="107"/>
        <v/>
      </c>
      <c r="BA235" s="29" t="s">
        <v>699</v>
      </c>
      <c r="BB235" s="29">
        <f t="shared" si="108"/>
        <v>0</v>
      </c>
      <c r="BC235">
        <f t="shared" si="109"/>
        <v>0</v>
      </c>
      <c r="BD235" s="78" t="str" cm="1">
        <f t="array" ref="BD235">IF(BC235&lt;&gt;1, "", IF(AK235&gt;0, INT(AK235/SUMPRODUCT(($AK$3:$AK$1000&gt;0)*($AK$3:$AK$1000), ($BC$3:$BC$1000))*$AB$12/AT235), INT(AK235/SUMPRODUCT(($AK$3:$AK$1000&lt;0)*($AK$3:$AK$1000), ($BC$3:$BC$1000))*$AB$13/AT235)))</f>
        <v/>
      </c>
      <c r="BE235" t="str">
        <f t="shared" si="110"/>
        <v/>
      </c>
      <c r="BF235" s="65" t="str">
        <f t="shared" si="111"/>
        <v/>
      </c>
    </row>
    <row r="236" spans="2:58" x14ac:dyDescent="0.3">
      <c r="B236" s="18" t="s">
        <v>419</v>
      </c>
      <c r="C236" s="18" t="s">
        <v>441</v>
      </c>
      <c r="D236" s="18" t="s">
        <v>481</v>
      </c>
      <c r="E236" s="44" t="s">
        <v>442</v>
      </c>
      <c r="F236" s="18" t="s">
        <v>11</v>
      </c>
      <c r="G236" s="18" t="s">
        <v>10</v>
      </c>
      <c r="H236" s="19">
        <v>1420.1402660800002</v>
      </c>
      <c r="I236" s="18">
        <v>-39274</v>
      </c>
      <c r="J236" s="20">
        <v>3.68</v>
      </c>
      <c r="K236" s="19">
        <v>-144528.32000000001</v>
      </c>
      <c r="L236" s="12">
        <f t="shared" si="91"/>
        <v>-9.6352213333333343E-3</v>
      </c>
      <c r="M236" s="12">
        <f t="shared" si="92"/>
        <v>0</v>
      </c>
      <c r="N236" s="15" t="str">
        <f t="shared" si="93"/>
        <v/>
      </c>
      <c r="O236" s="15">
        <f t="shared" si="94"/>
        <v>1</v>
      </c>
      <c r="P236" s="15" t="str">
        <f t="shared" si="95"/>
        <v/>
      </c>
      <c r="Q236" s="15" t="str">
        <f t="shared" si="96"/>
        <v/>
      </c>
      <c r="R236" s="55" t="str">
        <f t="shared" si="97"/>
        <v/>
      </c>
      <c r="S236" s="33" t="str">
        <f t="shared" si="98"/>
        <v/>
      </c>
      <c r="T236" s="33" t="str">
        <f t="shared" si="99"/>
        <v>BuyToCover</v>
      </c>
      <c r="U236" s="15">
        <f t="shared" si="100"/>
        <v>39274</v>
      </c>
      <c r="V236" s="15" t="str">
        <f t="shared" si="101"/>
        <v/>
      </c>
      <c r="W236" s="62" t="str">
        <f t="shared" si="102"/>
        <v/>
      </c>
      <c r="X236" s="15"/>
      <c r="Y236" s="1">
        <f t="shared" si="103"/>
        <v>-9.6352213333333343E-3</v>
      </c>
      <c r="AH236" s="35">
        <v>45714</v>
      </c>
      <c r="AI236" s="31" t="s">
        <v>1419</v>
      </c>
      <c r="AJ236" s="32">
        <v>-8.9999999999999993E-3</v>
      </c>
      <c r="AK236" s="28">
        <f t="shared" si="90"/>
        <v>-9.2687950566426314E-3</v>
      </c>
      <c r="AL236" s="28" t="s">
        <v>1475</v>
      </c>
      <c r="AM236" s="28" t="s">
        <v>1419</v>
      </c>
      <c r="AN236" s="28" t="s">
        <v>1786</v>
      </c>
      <c r="AO236" s="28" t="s">
        <v>1476</v>
      </c>
      <c r="AP236" s="28" t="s">
        <v>1477</v>
      </c>
      <c r="AQ236" s="28" t="s">
        <v>73</v>
      </c>
      <c r="AR236" s="28" t="s">
        <v>26</v>
      </c>
      <c r="AS236" s="73">
        <v>2961.7128081599999</v>
      </c>
      <c r="AT236" s="8">
        <v>77.62</v>
      </c>
      <c r="AU236" s="73" t="s">
        <v>1419</v>
      </c>
      <c r="AV236" s="73" t="b">
        <f t="shared" si="104"/>
        <v>1</v>
      </c>
      <c r="AW236" s="79">
        <v>0</v>
      </c>
      <c r="AX236" s="45" t="str">
        <f t="shared" si="105"/>
        <v/>
      </c>
      <c r="AY236" s="29" t="str">
        <f t="shared" si="106"/>
        <v/>
      </c>
      <c r="AZ236" s="29" t="str">
        <f t="shared" si="107"/>
        <v/>
      </c>
      <c r="BA236" s="29" t="s">
        <v>699</v>
      </c>
      <c r="BB236" s="29">
        <f t="shared" si="108"/>
        <v>0</v>
      </c>
      <c r="BC236">
        <f t="shared" si="109"/>
        <v>0</v>
      </c>
      <c r="BD236" s="78" t="str" cm="1">
        <f t="array" ref="BD236">IF(BC236&lt;&gt;1, "", IF(AK236&gt;0, INT(AK236/SUMPRODUCT(($AK$3:$AK$1000&gt;0)*($AK$3:$AK$1000), ($BC$3:$BC$1000))*$AB$12/AT236), INT(AK236/SUMPRODUCT(($AK$3:$AK$1000&lt;0)*($AK$3:$AK$1000), ($BC$3:$BC$1000))*$AB$13/AT236)))</f>
        <v/>
      </c>
      <c r="BE236" t="str">
        <f t="shared" si="110"/>
        <v/>
      </c>
      <c r="BF236" s="65" t="str">
        <f t="shared" si="111"/>
        <v/>
      </c>
    </row>
    <row r="237" spans="2:58" x14ac:dyDescent="0.3">
      <c r="B237" s="18" t="s">
        <v>196</v>
      </c>
      <c r="C237" s="18" t="s">
        <v>204</v>
      </c>
      <c r="D237" s="18" t="s">
        <v>209</v>
      </c>
      <c r="E237" s="44" t="s">
        <v>206</v>
      </c>
      <c r="F237" s="18" t="s">
        <v>20</v>
      </c>
      <c r="G237" s="18" t="s">
        <v>10</v>
      </c>
      <c r="H237" s="19">
        <v>2995.4253521000001</v>
      </c>
      <c r="I237" s="18">
        <v>-4481</v>
      </c>
      <c r="J237" s="20">
        <v>32.299999999999997</v>
      </c>
      <c r="K237" s="19">
        <v>-144736.29999999999</v>
      </c>
      <c r="L237" s="12">
        <f t="shared" si="91"/>
        <v>-9.6490866666666657E-3</v>
      </c>
      <c r="M237" s="12">
        <f t="shared" si="92"/>
        <v>-1.0298661174047369E-2</v>
      </c>
      <c r="N237" s="15" t="str">
        <f t="shared" si="93"/>
        <v/>
      </c>
      <c r="O237" s="15" t="str">
        <f t="shared" si="94"/>
        <v/>
      </c>
      <c r="P237" s="15">
        <f t="shared" si="95"/>
        <v>1</v>
      </c>
      <c r="Q237" s="15" t="str">
        <f t="shared" si="96"/>
        <v>SellShort</v>
      </c>
      <c r="R237" s="55">
        <f t="shared" si="97"/>
        <v>301</v>
      </c>
      <c r="S237" s="33">
        <f t="shared" si="98"/>
        <v>9722.2999999999993</v>
      </c>
      <c r="T237" s="33" t="str">
        <f t="shared" si="99"/>
        <v/>
      </c>
      <c r="U237" s="15" t="str">
        <f t="shared" si="100"/>
        <v/>
      </c>
      <c r="V237" s="15">
        <f t="shared" si="101"/>
        <v>3.0100000000000002</v>
      </c>
      <c r="W237" s="62">
        <f t="shared" si="102"/>
        <v>3.0959752321981431E-4</v>
      </c>
      <c r="X237" s="15"/>
      <c r="Y237" s="1">
        <f t="shared" si="103"/>
        <v>6.4957450738070341E-4</v>
      </c>
      <c r="AH237" s="35">
        <v>45714</v>
      </c>
      <c r="AI237" s="31" t="s">
        <v>705</v>
      </c>
      <c r="AJ237" s="32">
        <v>-8.9999999999999993E-3</v>
      </c>
      <c r="AK237" s="28">
        <f t="shared" si="90"/>
        <v>-9.2687950566426314E-3</v>
      </c>
      <c r="AL237" s="28" t="s">
        <v>724</v>
      </c>
      <c r="AM237" s="28" t="s">
        <v>705</v>
      </c>
      <c r="AN237" s="28" t="s">
        <v>1794</v>
      </c>
      <c r="AO237" s="28" t="s">
        <v>725</v>
      </c>
      <c r="AP237" s="28" t="s">
        <v>726</v>
      </c>
      <c r="AQ237" s="28" t="s">
        <v>73</v>
      </c>
      <c r="AR237" s="28" t="s">
        <v>20</v>
      </c>
      <c r="AS237" s="73">
        <v>21370.562983200001</v>
      </c>
      <c r="AT237" s="8">
        <v>107.35</v>
      </c>
      <c r="AU237" s="73" t="s">
        <v>705</v>
      </c>
      <c r="AV237" s="73" t="b">
        <f t="shared" si="104"/>
        <v>1</v>
      </c>
      <c r="AW237" s="79">
        <v>0</v>
      </c>
      <c r="AX237" s="45" t="str">
        <f t="shared" si="105"/>
        <v/>
      </c>
      <c r="AY237" s="29" t="str">
        <f t="shared" si="106"/>
        <v/>
      </c>
      <c r="AZ237" s="29" t="str">
        <f t="shared" si="107"/>
        <v/>
      </c>
      <c r="BA237" s="29" t="s">
        <v>699</v>
      </c>
      <c r="BB237" s="29">
        <f t="shared" si="108"/>
        <v>0</v>
      </c>
      <c r="BC237">
        <f t="shared" si="109"/>
        <v>0</v>
      </c>
      <c r="BD237" s="78" t="str" cm="1">
        <f t="array" ref="BD237">IF(BC237&lt;&gt;1, "", IF(AK237&gt;0, INT(AK237/SUMPRODUCT(($AK$3:$AK$1000&gt;0)*($AK$3:$AK$1000), ($BC$3:$BC$1000))*$AB$12/AT237), INT(AK237/SUMPRODUCT(($AK$3:$AK$1000&lt;0)*($AK$3:$AK$1000), ($BC$3:$BC$1000))*$AB$13/AT237)))</f>
        <v/>
      </c>
      <c r="BE237" t="str">
        <f t="shared" si="110"/>
        <v/>
      </c>
      <c r="BF237" s="65" t="str">
        <f t="shared" si="111"/>
        <v/>
      </c>
    </row>
    <row r="238" spans="2:58" x14ac:dyDescent="0.3">
      <c r="B238" s="18" t="s">
        <v>1106</v>
      </c>
      <c r="C238" s="18" t="s">
        <v>1267</v>
      </c>
      <c r="D238" s="18" t="s">
        <v>1318</v>
      </c>
      <c r="E238" s="44" t="s">
        <v>1270</v>
      </c>
      <c r="F238" s="18" t="s">
        <v>14</v>
      </c>
      <c r="G238" s="18" t="s">
        <v>10</v>
      </c>
      <c r="H238" s="19">
        <v>13324.565699069999</v>
      </c>
      <c r="I238" s="18">
        <v>-1054</v>
      </c>
      <c r="J238" s="20">
        <v>138.57</v>
      </c>
      <c r="K238" s="19">
        <v>-146052.78</v>
      </c>
      <c r="L238" s="12">
        <f t="shared" si="91"/>
        <v>-9.7368520000000007E-3</v>
      </c>
      <c r="M238" s="12">
        <f t="shared" si="92"/>
        <v>-9.6807415036045275E-3</v>
      </c>
      <c r="N238" s="15" t="str">
        <f t="shared" si="93"/>
        <v/>
      </c>
      <c r="O238" s="15" t="str">
        <f t="shared" si="94"/>
        <v/>
      </c>
      <c r="P238" s="15" t="str">
        <f t="shared" si="95"/>
        <v/>
      </c>
      <c r="Q238" s="15" t="str">
        <f t="shared" si="96"/>
        <v/>
      </c>
      <c r="R238" s="55" t="str">
        <f t="shared" si="97"/>
        <v/>
      </c>
      <c r="S238" s="33" t="str">
        <f t="shared" si="98"/>
        <v/>
      </c>
      <c r="T238" s="33" t="str">
        <f t="shared" si="99"/>
        <v/>
      </c>
      <c r="U238" s="15" t="str">
        <f t="shared" si="100"/>
        <v/>
      </c>
      <c r="V238" s="15" t="str">
        <f t="shared" si="101"/>
        <v/>
      </c>
      <c r="W238" s="62" t="str">
        <f t="shared" si="102"/>
        <v/>
      </c>
      <c r="X238" s="15"/>
      <c r="Y238" s="1">
        <f t="shared" si="103"/>
        <v>-5.6110496395473178E-5</v>
      </c>
      <c r="AH238" s="35">
        <v>45714</v>
      </c>
      <c r="AI238" s="31" t="s">
        <v>907</v>
      </c>
      <c r="AJ238" s="32">
        <v>-9.1999999999999998E-3</v>
      </c>
      <c r="AK238" s="28">
        <f t="shared" si="90"/>
        <v>-9.4747682801235803E-3</v>
      </c>
      <c r="AL238" s="28" t="s">
        <v>934</v>
      </c>
      <c r="AM238" s="28" t="s">
        <v>907</v>
      </c>
      <c r="AN238" s="28" t="s">
        <v>1791</v>
      </c>
      <c r="AO238" s="28" t="s">
        <v>935</v>
      </c>
      <c r="AP238" s="28" t="s">
        <v>936</v>
      </c>
      <c r="AQ238" s="28" t="s">
        <v>73</v>
      </c>
      <c r="AR238" s="28" t="s">
        <v>11</v>
      </c>
      <c r="AS238" s="73">
        <v>2571.6350268400001</v>
      </c>
      <c r="AT238" s="8">
        <v>60.44</v>
      </c>
      <c r="AU238" s="73" t="s">
        <v>907</v>
      </c>
      <c r="AV238" s="73" t="b">
        <f t="shared" si="104"/>
        <v>1</v>
      </c>
      <c r="AW238" s="79">
        <v>0</v>
      </c>
      <c r="AX238" s="45" t="str">
        <f t="shared" si="105"/>
        <v/>
      </c>
      <c r="AY238" s="29" t="str">
        <f t="shared" si="106"/>
        <v/>
      </c>
      <c r="AZ238" s="29" t="str">
        <f t="shared" si="107"/>
        <v/>
      </c>
      <c r="BA238" s="29" t="s">
        <v>699</v>
      </c>
      <c r="BB238" s="29">
        <f t="shared" si="108"/>
        <v>0</v>
      </c>
      <c r="BC238">
        <f t="shared" si="109"/>
        <v>0</v>
      </c>
      <c r="BD238" s="78" t="str" cm="1">
        <f t="array" ref="BD238">IF(BC238&lt;&gt;1, "", IF(AK238&gt;0, INT(AK238/SUMPRODUCT(($AK$3:$AK$1000&gt;0)*($AK$3:$AK$1000), ($BC$3:$BC$1000))*$AB$12/AT238), INT(AK238/SUMPRODUCT(($AK$3:$AK$1000&lt;0)*($AK$3:$AK$1000), ($BC$3:$BC$1000))*$AB$13/AT238)))</f>
        <v/>
      </c>
      <c r="BE238" t="str">
        <f t="shared" si="110"/>
        <v/>
      </c>
      <c r="BF238" s="65" t="str">
        <f t="shared" si="111"/>
        <v/>
      </c>
    </row>
    <row r="239" spans="2:58" x14ac:dyDescent="0.3">
      <c r="B239" s="18" t="s">
        <v>42</v>
      </c>
      <c r="C239" s="18" t="s">
        <v>54</v>
      </c>
      <c r="D239" s="18" t="s">
        <v>88</v>
      </c>
      <c r="E239" s="44" t="s">
        <v>1852</v>
      </c>
      <c r="F239" s="18" t="s">
        <v>24</v>
      </c>
      <c r="G239" s="18" t="s">
        <v>10</v>
      </c>
      <c r="H239" s="19">
        <v>3328.3169938999999</v>
      </c>
      <c r="I239" s="18">
        <v>-7531</v>
      </c>
      <c r="J239" s="20">
        <v>19.420000000000002</v>
      </c>
      <c r="K239" s="19">
        <v>-146252.02000000002</v>
      </c>
      <c r="L239" s="12">
        <f t="shared" si="91"/>
        <v>-9.7501346666666686E-3</v>
      </c>
      <c r="M239" s="12">
        <f t="shared" si="92"/>
        <v>-1.0298661174047369E-2</v>
      </c>
      <c r="N239" s="15" t="str">
        <f t="shared" si="93"/>
        <v/>
      </c>
      <c r="O239" s="15" t="str">
        <f t="shared" si="94"/>
        <v/>
      </c>
      <c r="P239" s="15">
        <f t="shared" si="95"/>
        <v>1</v>
      </c>
      <c r="Q239" s="15" t="str">
        <f t="shared" si="96"/>
        <v>SellShort</v>
      </c>
      <c r="R239" s="55">
        <f t="shared" si="97"/>
        <v>423</v>
      </c>
      <c r="S239" s="33">
        <f t="shared" si="98"/>
        <v>8214.66</v>
      </c>
      <c r="T239" s="33" t="str">
        <f t="shared" si="99"/>
        <v/>
      </c>
      <c r="U239" s="15" t="str">
        <f t="shared" si="100"/>
        <v/>
      </c>
      <c r="V239" s="15">
        <f t="shared" si="101"/>
        <v>4.2300000000000004</v>
      </c>
      <c r="W239" s="62">
        <f t="shared" si="102"/>
        <v>5.1493305870236878E-4</v>
      </c>
      <c r="X239" s="15"/>
      <c r="Y239" s="1">
        <f t="shared" si="103"/>
        <v>5.4852650738070052E-4</v>
      </c>
      <c r="AH239" s="35">
        <v>45714</v>
      </c>
      <c r="AI239" s="31" t="s">
        <v>265</v>
      </c>
      <c r="AJ239" s="32">
        <v>-9.2999999999999992E-3</v>
      </c>
      <c r="AK239" s="28">
        <f t="shared" si="90"/>
        <v>-9.5777548918640522E-3</v>
      </c>
      <c r="AL239" s="28" t="s">
        <v>271</v>
      </c>
      <c r="AM239" s="28" t="s">
        <v>265</v>
      </c>
      <c r="AN239" s="28" t="s">
        <v>1795</v>
      </c>
      <c r="AO239" s="28" t="s">
        <v>272</v>
      </c>
      <c r="AP239" s="28" t="s">
        <v>273</v>
      </c>
      <c r="AQ239" s="28" t="s">
        <v>73</v>
      </c>
      <c r="AR239" s="28" t="s">
        <v>11</v>
      </c>
      <c r="AS239" s="73">
        <v>4213.43316641</v>
      </c>
      <c r="AT239" s="8">
        <v>12.414999999999999</v>
      </c>
      <c r="AU239" s="73" t="s">
        <v>265</v>
      </c>
      <c r="AV239" s="73" t="b">
        <f t="shared" si="104"/>
        <v>1</v>
      </c>
      <c r="AW239" s="79">
        <v>0</v>
      </c>
      <c r="AX239" s="45" t="str">
        <f t="shared" si="105"/>
        <v/>
      </c>
      <c r="AY239" s="29" t="str">
        <f t="shared" si="106"/>
        <v/>
      </c>
      <c r="AZ239" s="29" t="str">
        <f t="shared" si="107"/>
        <v/>
      </c>
      <c r="BA239" s="29" t="s">
        <v>699</v>
      </c>
      <c r="BB239" s="29">
        <f t="shared" si="108"/>
        <v>0</v>
      </c>
      <c r="BC239">
        <f t="shared" si="109"/>
        <v>0</v>
      </c>
      <c r="BD239" s="78" t="str" cm="1">
        <f t="array" ref="BD239">IF(BC239&lt;&gt;1, "", IF(AK239&gt;0, INT(AK239/SUMPRODUCT(($AK$3:$AK$1000&gt;0)*($AK$3:$AK$1000), ($BC$3:$BC$1000))*$AB$12/AT239), INT(AK239/SUMPRODUCT(($AK$3:$AK$1000&lt;0)*($AK$3:$AK$1000), ($BC$3:$BC$1000))*$AB$13/AT239)))</f>
        <v/>
      </c>
      <c r="BE239" t="str">
        <f t="shared" si="110"/>
        <v/>
      </c>
      <c r="BF239" s="65" t="str">
        <f t="shared" si="111"/>
        <v/>
      </c>
    </row>
    <row r="240" spans="2:58" x14ac:dyDescent="0.3">
      <c r="B240" s="18" t="s">
        <v>34</v>
      </c>
      <c r="C240" s="18" t="s">
        <v>58</v>
      </c>
      <c r="D240" s="18" t="s">
        <v>89</v>
      </c>
      <c r="E240" s="44" t="s">
        <v>65</v>
      </c>
      <c r="F240" s="18" t="s">
        <v>11</v>
      </c>
      <c r="G240" s="18" t="s">
        <v>10</v>
      </c>
      <c r="H240" s="19">
        <v>1374.9873306400002</v>
      </c>
      <c r="I240" s="18">
        <v>-13802</v>
      </c>
      <c r="J240" s="20">
        <v>10.67</v>
      </c>
      <c r="K240" s="19">
        <v>-147267.34</v>
      </c>
      <c r="L240" s="12">
        <f t="shared" si="91"/>
        <v>-9.8178226666666667E-3</v>
      </c>
      <c r="M240" s="12">
        <f t="shared" si="92"/>
        <v>-1.0298661174047369E-2</v>
      </c>
      <c r="N240" s="15" t="str">
        <f t="shared" si="93"/>
        <v/>
      </c>
      <c r="O240" s="15" t="str">
        <f t="shared" si="94"/>
        <v/>
      </c>
      <c r="P240" s="15">
        <f t="shared" si="95"/>
        <v>1</v>
      </c>
      <c r="Q240" s="15" t="str">
        <f t="shared" si="96"/>
        <v>SellShort</v>
      </c>
      <c r="R240" s="55">
        <f t="shared" si="97"/>
        <v>675</v>
      </c>
      <c r="S240" s="33">
        <f t="shared" si="98"/>
        <v>7202.25</v>
      </c>
      <c r="T240" s="33" t="str">
        <f t="shared" si="99"/>
        <v/>
      </c>
      <c r="U240" s="15" t="str">
        <f t="shared" si="100"/>
        <v/>
      </c>
      <c r="V240" s="15">
        <f t="shared" si="101"/>
        <v>6.75</v>
      </c>
      <c r="W240" s="62">
        <f t="shared" si="102"/>
        <v>9.372071227741331E-4</v>
      </c>
      <c r="X240" s="15"/>
      <c r="Y240" s="1">
        <f t="shared" si="103"/>
        <v>4.8083850738070248E-4</v>
      </c>
      <c r="AH240" s="35">
        <v>45714</v>
      </c>
      <c r="AI240" s="31" t="s">
        <v>1104</v>
      </c>
      <c r="AJ240" s="32">
        <v>-9.4000000000000004E-3</v>
      </c>
      <c r="AK240" s="28">
        <f t="shared" si="90"/>
        <v>-9.6807415036045275E-3</v>
      </c>
      <c r="AL240" s="28" t="s">
        <v>1259</v>
      </c>
      <c r="AM240" s="28" t="s">
        <v>1104</v>
      </c>
      <c r="AN240" s="28" t="s">
        <v>1260</v>
      </c>
      <c r="AO240" s="28" t="s">
        <v>1261</v>
      </c>
      <c r="AP240" s="28" t="s">
        <v>1262</v>
      </c>
      <c r="AQ240" s="28" t="s">
        <v>73</v>
      </c>
      <c r="AR240" s="28" t="s">
        <v>14</v>
      </c>
      <c r="AS240" s="73">
        <v>2391.2106426</v>
      </c>
      <c r="AT240" s="8">
        <v>20.28</v>
      </c>
      <c r="AU240" s="73" t="s">
        <v>1104</v>
      </c>
      <c r="AV240" s="73" t="b">
        <f t="shared" si="104"/>
        <v>1</v>
      </c>
      <c r="AW240" s="79">
        <v>0</v>
      </c>
      <c r="AX240" s="45" t="str">
        <f t="shared" si="105"/>
        <v/>
      </c>
      <c r="AY240" s="29" t="str">
        <f t="shared" si="106"/>
        <v/>
      </c>
      <c r="AZ240" s="29" t="str">
        <f t="shared" si="107"/>
        <v/>
      </c>
      <c r="BA240" s="29" t="s">
        <v>699</v>
      </c>
      <c r="BB240" s="29">
        <f t="shared" si="108"/>
        <v>0</v>
      </c>
      <c r="BC240">
        <f t="shared" si="109"/>
        <v>0</v>
      </c>
      <c r="BD240" s="78" t="str" cm="1">
        <f t="array" ref="BD240">IF(BC240&lt;&gt;1, "", IF(AK240&gt;0, INT(AK240/SUMPRODUCT(($AK$3:$AK$1000&gt;0)*($AK$3:$AK$1000), ($BC$3:$BC$1000))*$AB$12/AT240), INT(AK240/SUMPRODUCT(($AK$3:$AK$1000&lt;0)*($AK$3:$AK$1000), ($BC$3:$BC$1000))*$AB$13/AT240)))</f>
        <v/>
      </c>
      <c r="BE240" t="str">
        <f t="shared" si="110"/>
        <v/>
      </c>
      <c r="BF240" s="65" t="str">
        <f t="shared" si="111"/>
        <v/>
      </c>
    </row>
    <row r="241" spans="2:58" x14ac:dyDescent="0.3">
      <c r="B241" s="18" t="s">
        <v>1523</v>
      </c>
      <c r="C241" s="18" t="s">
        <v>1605</v>
      </c>
      <c r="D241" s="18" t="s">
        <v>1631</v>
      </c>
      <c r="E241" s="44" t="s">
        <v>1608</v>
      </c>
      <c r="F241" s="18" t="s">
        <v>19</v>
      </c>
      <c r="G241" s="18" t="s">
        <v>10</v>
      </c>
      <c r="H241" s="19">
        <v>3250.2595837499998</v>
      </c>
      <c r="I241" s="18">
        <v>-29051</v>
      </c>
      <c r="J241" s="20">
        <v>5.09</v>
      </c>
      <c r="K241" s="19">
        <v>-147869.59</v>
      </c>
      <c r="L241" s="12">
        <f t="shared" si="91"/>
        <v>-9.8579726666666659E-3</v>
      </c>
      <c r="M241" s="12">
        <f t="shared" si="92"/>
        <v>-1.0298661174047369E-2</v>
      </c>
      <c r="N241" s="15" t="str">
        <f t="shared" si="93"/>
        <v/>
      </c>
      <c r="O241" s="15" t="str">
        <f t="shared" si="94"/>
        <v/>
      </c>
      <c r="P241" s="15">
        <f t="shared" si="95"/>
        <v>1</v>
      </c>
      <c r="Q241" s="15" t="str">
        <f t="shared" si="96"/>
        <v>SellShort</v>
      </c>
      <c r="R241" s="55">
        <f t="shared" si="97"/>
        <v>1298</v>
      </c>
      <c r="S241" s="33">
        <f t="shared" si="98"/>
        <v>6606.82</v>
      </c>
      <c r="T241" s="33" t="str">
        <f t="shared" si="99"/>
        <v/>
      </c>
      <c r="U241" s="15" t="str">
        <f t="shared" si="100"/>
        <v/>
      </c>
      <c r="V241" s="15">
        <f t="shared" si="101"/>
        <v>12.98</v>
      </c>
      <c r="W241" s="62">
        <f t="shared" si="102"/>
        <v>1.964636542239686E-3</v>
      </c>
      <c r="X241" s="15"/>
      <c r="Y241" s="1">
        <f t="shared" si="103"/>
        <v>4.4068850738070327E-4</v>
      </c>
      <c r="AH241" s="35">
        <v>45714</v>
      </c>
      <c r="AI241" s="31" t="s">
        <v>589</v>
      </c>
      <c r="AJ241" s="32">
        <v>-9.4000000000000004E-3</v>
      </c>
      <c r="AK241" s="28">
        <f t="shared" si="90"/>
        <v>-9.6807415036045275E-3</v>
      </c>
      <c r="AL241" s="28" t="s">
        <v>617</v>
      </c>
      <c r="AM241" s="28" t="s">
        <v>589</v>
      </c>
      <c r="AN241" s="28" t="s">
        <v>1796</v>
      </c>
      <c r="AO241" s="28" t="s">
        <v>618</v>
      </c>
      <c r="AP241" s="28" t="s">
        <v>1650</v>
      </c>
      <c r="AQ241" s="28" t="s">
        <v>73</v>
      </c>
      <c r="AR241" s="28" t="s">
        <v>19</v>
      </c>
      <c r="AS241" s="73">
        <v>5359.8845139699997</v>
      </c>
      <c r="AT241" s="8">
        <v>562.73</v>
      </c>
      <c r="AU241" s="73" t="s">
        <v>589</v>
      </c>
      <c r="AV241" s="73" t="b">
        <f t="shared" si="104"/>
        <v>1</v>
      </c>
      <c r="AW241" s="79">
        <v>0</v>
      </c>
      <c r="AX241" s="45" t="str">
        <f t="shared" si="105"/>
        <v/>
      </c>
      <c r="AY241" s="29" t="str">
        <f t="shared" si="106"/>
        <v/>
      </c>
      <c r="AZ241" s="29" t="str">
        <f t="shared" si="107"/>
        <v/>
      </c>
      <c r="BA241" s="29" t="s">
        <v>699</v>
      </c>
      <c r="BB241" s="29">
        <f t="shared" si="108"/>
        <v>0</v>
      </c>
      <c r="BC241">
        <f t="shared" si="109"/>
        <v>0</v>
      </c>
      <c r="BD241" s="78" t="str" cm="1">
        <f t="array" ref="BD241">IF(BC241&lt;&gt;1, "", IF(AK241&gt;0, INT(AK241/SUMPRODUCT(($AK$3:$AK$1000&gt;0)*($AK$3:$AK$1000), ($BC$3:$BC$1000))*$AB$12/AT241), INT(AK241/SUMPRODUCT(($AK$3:$AK$1000&lt;0)*($AK$3:$AK$1000), ($BC$3:$BC$1000))*$AB$13/AT241)))</f>
        <v/>
      </c>
      <c r="BE241" t="str">
        <f t="shared" si="110"/>
        <v/>
      </c>
      <c r="BF241" s="65" t="str">
        <f t="shared" si="111"/>
        <v/>
      </c>
    </row>
    <row r="242" spans="2:58" x14ac:dyDescent="0.3">
      <c r="B242" s="18" t="s">
        <v>589</v>
      </c>
      <c r="C242" s="18" t="s">
        <v>617</v>
      </c>
      <c r="D242" s="18" t="s">
        <v>627</v>
      </c>
      <c r="E242" s="44" t="s">
        <v>1650</v>
      </c>
      <c r="F242" s="18" t="s">
        <v>19</v>
      </c>
      <c r="G242" s="18" t="s">
        <v>10</v>
      </c>
      <c r="H242" s="19">
        <v>5359.8845139700006</v>
      </c>
      <c r="I242" s="18">
        <v>-263</v>
      </c>
      <c r="J242" s="20">
        <v>562.73</v>
      </c>
      <c r="K242" s="19">
        <v>-147997.99</v>
      </c>
      <c r="L242" s="12">
        <f t="shared" si="91"/>
        <v>-9.8665326666666654E-3</v>
      </c>
      <c r="M242" s="12">
        <f t="shared" si="92"/>
        <v>-9.6807415036045275E-3</v>
      </c>
      <c r="N242" s="15" t="str">
        <f t="shared" si="93"/>
        <v/>
      </c>
      <c r="O242" s="15" t="str">
        <f t="shared" si="94"/>
        <v/>
      </c>
      <c r="P242" s="15" t="str">
        <f t="shared" si="95"/>
        <v/>
      </c>
      <c r="Q242" s="15" t="str">
        <f t="shared" si="96"/>
        <v/>
      </c>
      <c r="R242" s="55" t="str">
        <f t="shared" si="97"/>
        <v/>
      </c>
      <c r="S242" s="33" t="str">
        <f t="shared" si="98"/>
        <v/>
      </c>
      <c r="T242" s="33" t="str">
        <f t="shared" si="99"/>
        <v/>
      </c>
      <c r="U242" s="15" t="str">
        <f t="shared" si="100"/>
        <v/>
      </c>
      <c r="V242" s="15" t="str">
        <f t="shared" si="101"/>
        <v/>
      </c>
      <c r="W242" s="62" t="str">
        <f t="shared" si="102"/>
        <v/>
      </c>
      <c r="X242" s="15"/>
      <c r="Y242" s="1">
        <f t="shared" si="103"/>
        <v>-1.8579116306213783E-4</v>
      </c>
      <c r="AH242" s="35">
        <v>45714</v>
      </c>
      <c r="AI242" s="31" t="s">
        <v>703</v>
      </c>
      <c r="AJ242" s="32">
        <v>-9.4000000000000004E-3</v>
      </c>
      <c r="AK242" s="28">
        <f t="shared" si="90"/>
        <v>-9.6807415036045275E-3</v>
      </c>
      <c r="AL242" s="28" t="s">
        <v>718</v>
      </c>
      <c r="AM242" s="28" t="s">
        <v>703</v>
      </c>
      <c r="AN242" s="28" t="s">
        <v>1785</v>
      </c>
      <c r="AO242" s="28" t="s">
        <v>719</v>
      </c>
      <c r="AP242" s="28" t="s">
        <v>720</v>
      </c>
      <c r="AQ242" s="28" t="s">
        <v>73</v>
      </c>
      <c r="AR242" s="28" t="s">
        <v>13</v>
      </c>
      <c r="AS242" s="73">
        <v>137782.732812</v>
      </c>
      <c r="AT242" s="8">
        <v>212</v>
      </c>
      <c r="AU242" s="73" t="s">
        <v>703</v>
      </c>
      <c r="AV242" s="73" t="b">
        <f t="shared" si="104"/>
        <v>1</v>
      </c>
      <c r="AW242" s="79">
        <v>0</v>
      </c>
      <c r="AX242" s="45" t="str">
        <f t="shared" si="105"/>
        <v/>
      </c>
      <c r="AY242" s="29" t="str">
        <f t="shared" si="106"/>
        <v/>
      </c>
      <c r="AZ242" s="29" t="str">
        <f t="shared" si="107"/>
        <v/>
      </c>
      <c r="BA242" s="29" t="s">
        <v>699</v>
      </c>
      <c r="BB242" s="29">
        <f t="shared" si="108"/>
        <v>0</v>
      </c>
      <c r="BC242">
        <f t="shared" si="109"/>
        <v>0</v>
      </c>
      <c r="BD242" s="78" t="str" cm="1">
        <f t="array" ref="BD242">IF(BC242&lt;&gt;1, "", IF(AK242&gt;0, INT(AK242/SUMPRODUCT(($AK$3:$AK$1000&gt;0)*($AK$3:$AK$1000), ($BC$3:$BC$1000))*$AB$12/AT242), INT(AK242/SUMPRODUCT(($AK$3:$AK$1000&lt;0)*($AK$3:$AK$1000), ($BC$3:$BC$1000))*$AB$13/AT242)))</f>
        <v/>
      </c>
      <c r="BE242" t="str">
        <f t="shared" si="110"/>
        <v/>
      </c>
      <c r="BF242" s="65" t="str">
        <f t="shared" si="111"/>
        <v/>
      </c>
    </row>
    <row r="243" spans="2:58" x14ac:dyDescent="0.3">
      <c r="B243" s="18" t="s">
        <v>1421</v>
      </c>
      <c r="C243" s="18" t="s">
        <v>1481</v>
      </c>
      <c r="D243" s="18" t="s">
        <v>1501</v>
      </c>
      <c r="E243" s="44" t="s">
        <v>1483</v>
      </c>
      <c r="F243" s="18" t="s">
        <v>21</v>
      </c>
      <c r="G243" s="18" t="s">
        <v>10</v>
      </c>
      <c r="H243" s="19">
        <v>3261.8469332400005</v>
      </c>
      <c r="I243" s="18">
        <v>-5571</v>
      </c>
      <c r="J243" s="20">
        <v>26.67</v>
      </c>
      <c r="K243" s="19">
        <v>-148578.57</v>
      </c>
      <c r="L243" s="12">
        <f t="shared" si="91"/>
        <v>-9.9052380000000002E-3</v>
      </c>
      <c r="M243" s="12">
        <f t="shared" si="92"/>
        <v>-9.9897013388259483E-3</v>
      </c>
      <c r="N243" s="15" t="str">
        <f t="shared" si="93"/>
        <v/>
      </c>
      <c r="O243" s="15" t="str">
        <f t="shared" si="94"/>
        <v/>
      </c>
      <c r="P243" s="15" t="str">
        <f t="shared" si="95"/>
        <v/>
      </c>
      <c r="Q243" s="15" t="str">
        <f t="shared" si="96"/>
        <v/>
      </c>
      <c r="R243" s="55" t="str">
        <f t="shared" si="97"/>
        <v/>
      </c>
      <c r="S243" s="33" t="str">
        <f t="shared" si="98"/>
        <v/>
      </c>
      <c r="T243" s="33" t="str">
        <f t="shared" si="99"/>
        <v/>
      </c>
      <c r="U243" s="15" t="str">
        <f t="shared" si="100"/>
        <v/>
      </c>
      <c r="V243" s="15" t="str">
        <f t="shared" si="101"/>
        <v/>
      </c>
      <c r="W243" s="62" t="str">
        <f t="shared" si="102"/>
        <v/>
      </c>
      <c r="X243" s="15"/>
      <c r="Y243" s="1">
        <f t="shared" si="103"/>
        <v>8.44633388259481E-5</v>
      </c>
      <c r="AH243" s="35">
        <v>45714</v>
      </c>
      <c r="AI243" s="31" t="s">
        <v>1106</v>
      </c>
      <c r="AJ243" s="32">
        <v>-9.4000000000000004E-3</v>
      </c>
      <c r="AK243" s="28">
        <f t="shared" si="90"/>
        <v>-9.6807415036045275E-3</v>
      </c>
      <c r="AL243" s="28" t="s">
        <v>1267</v>
      </c>
      <c r="AM243" s="28" t="s">
        <v>1106</v>
      </c>
      <c r="AN243" s="28" t="s">
        <v>1268</v>
      </c>
      <c r="AO243" s="28" t="s">
        <v>1269</v>
      </c>
      <c r="AP243" s="28" t="s">
        <v>1270</v>
      </c>
      <c r="AQ243" s="28" t="s">
        <v>73</v>
      </c>
      <c r="AR243" s="28" t="s">
        <v>14</v>
      </c>
      <c r="AS243" s="73">
        <v>13324.565699070001</v>
      </c>
      <c r="AT243" s="8">
        <v>138.57</v>
      </c>
      <c r="AU243" s="73" t="s">
        <v>1106</v>
      </c>
      <c r="AV243" s="73" t="b">
        <f t="shared" si="104"/>
        <v>1</v>
      </c>
      <c r="AW243" s="79">
        <v>0</v>
      </c>
      <c r="AX243" s="45" t="str">
        <f t="shared" si="105"/>
        <v/>
      </c>
      <c r="AY243" s="29" t="str">
        <f t="shared" si="106"/>
        <v/>
      </c>
      <c r="AZ243" s="29" t="str">
        <f t="shared" si="107"/>
        <v/>
      </c>
      <c r="BA243" s="29" t="s">
        <v>699</v>
      </c>
      <c r="BB243" s="29">
        <f t="shared" si="108"/>
        <v>0</v>
      </c>
      <c r="BC243">
        <f t="shared" si="109"/>
        <v>0</v>
      </c>
      <c r="BD243" s="78" t="str" cm="1">
        <f t="array" ref="BD243">IF(BC243&lt;&gt;1, "", IF(AK243&gt;0, INT(AK243/SUMPRODUCT(($AK$3:$AK$1000&gt;0)*($AK$3:$AK$1000), ($BC$3:$BC$1000))*$AB$12/AT243), INT(AK243/SUMPRODUCT(($AK$3:$AK$1000&lt;0)*($AK$3:$AK$1000), ($BC$3:$BC$1000))*$AB$13/AT243)))</f>
        <v/>
      </c>
      <c r="BE243" t="str">
        <f t="shared" si="110"/>
        <v/>
      </c>
      <c r="BF243" s="65" t="str">
        <f t="shared" si="111"/>
        <v/>
      </c>
    </row>
    <row r="244" spans="2:58" x14ac:dyDescent="0.3">
      <c r="B244" s="18" t="s">
        <v>233</v>
      </c>
      <c r="C244" s="18" t="s">
        <v>236</v>
      </c>
      <c r="D244" s="18" t="s">
        <v>241</v>
      </c>
      <c r="E244" s="44" t="s">
        <v>238</v>
      </c>
      <c r="F244" s="18" t="s">
        <v>20</v>
      </c>
      <c r="G244" s="18" t="s">
        <v>10</v>
      </c>
      <c r="H244" s="19">
        <v>2870.4210152999999</v>
      </c>
      <c r="I244" s="18">
        <v>-3962</v>
      </c>
      <c r="J244" s="20">
        <v>37.65</v>
      </c>
      <c r="K244" s="19">
        <v>-149169.29999999999</v>
      </c>
      <c r="L244" s="12">
        <f t="shared" si="91"/>
        <v>-9.9446199999999995E-3</v>
      </c>
      <c r="M244" s="12">
        <f t="shared" si="92"/>
        <v>-1.0092687950566422E-2</v>
      </c>
      <c r="N244" s="15" t="str">
        <f t="shared" si="93"/>
        <v/>
      </c>
      <c r="O244" s="15" t="str">
        <f t="shared" si="94"/>
        <v/>
      </c>
      <c r="P244" s="15" t="str">
        <f t="shared" si="95"/>
        <v/>
      </c>
      <c r="Q244" s="15" t="str">
        <f t="shared" si="96"/>
        <v/>
      </c>
      <c r="R244" s="55" t="str">
        <f t="shared" si="97"/>
        <v/>
      </c>
      <c r="S244" s="33" t="str">
        <f t="shared" si="98"/>
        <v/>
      </c>
      <c r="T244" s="33" t="str">
        <f t="shared" si="99"/>
        <v/>
      </c>
      <c r="U244" s="15" t="str">
        <f t="shared" si="100"/>
        <v/>
      </c>
      <c r="V244" s="15" t="str">
        <f t="shared" si="101"/>
        <v/>
      </c>
      <c r="W244" s="62" t="str">
        <f t="shared" si="102"/>
        <v/>
      </c>
      <c r="X244" s="15"/>
      <c r="Y244" s="1">
        <f t="shared" si="103"/>
        <v>1.4806795056642244E-4</v>
      </c>
      <c r="AH244" s="35">
        <v>45714</v>
      </c>
      <c r="AI244" s="31" t="s">
        <v>245</v>
      </c>
      <c r="AJ244" s="32">
        <v>-9.5999999999999992E-3</v>
      </c>
      <c r="AK244" s="28">
        <f t="shared" si="90"/>
        <v>-9.886714727085473E-3</v>
      </c>
      <c r="AL244" s="28" t="s">
        <v>253</v>
      </c>
      <c r="AM244" s="28" t="s">
        <v>245</v>
      </c>
      <c r="AN244" s="28" t="s">
        <v>466</v>
      </c>
      <c r="AO244" s="28" t="s">
        <v>254</v>
      </c>
      <c r="AP244" s="28" t="s">
        <v>255</v>
      </c>
      <c r="AQ244" s="28" t="s">
        <v>73</v>
      </c>
      <c r="AR244" s="28" t="s">
        <v>23</v>
      </c>
      <c r="AS244" s="73">
        <v>187.21284112000001</v>
      </c>
      <c r="AT244" s="8">
        <v>15.16</v>
      </c>
      <c r="AU244" s="73" t="s">
        <v>245</v>
      </c>
      <c r="AV244" s="73" t="b">
        <f t="shared" si="104"/>
        <v>1</v>
      </c>
      <c r="AW244" s="79">
        <v>0</v>
      </c>
      <c r="AX244" s="45" t="str">
        <f t="shared" si="105"/>
        <v/>
      </c>
      <c r="AY244" s="29" t="str">
        <f t="shared" si="106"/>
        <v/>
      </c>
      <c r="AZ244" s="29" t="str">
        <f t="shared" si="107"/>
        <v/>
      </c>
      <c r="BA244" s="29" t="s">
        <v>699</v>
      </c>
      <c r="BB244" s="29">
        <f t="shared" si="108"/>
        <v>0</v>
      </c>
      <c r="BC244">
        <f t="shared" si="109"/>
        <v>0</v>
      </c>
      <c r="BD244" s="78" t="str" cm="1">
        <f t="array" ref="BD244">IF(BC244&lt;&gt;1, "", IF(AK244&gt;0, INT(AK244/SUMPRODUCT(($AK$3:$AK$1000&gt;0)*($AK$3:$AK$1000), ($BC$3:$BC$1000))*$AB$12/AT244), INT(AK244/SUMPRODUCT(($AK$3:$AK$1000&lt;0)*($AK$3:$AK$1000), ($BC$3:$BC$1000))*$AB$13/AT244)))</f>
        <v/>
      </c>
      <c r="BE244" t="str">
        <f t="shared" si="110"/>
        <v/>
      </c>
      <c r="BF244" s="65" t="str">
        <f t="shared" si="111"/>
        <v/>
      </c>
    </row>
    <row r="245" spans="2:58" x14ac:dyDescent="0.3">
      <c r="B245" s="18" t="s">
        <v>264</v>
      </c>
      <c r="C245" s="18" t="s">
        <v>267</v>
      </c>
      <c r="D245" s="18" t="s">
        <v>274</v>
      </c>
      <c r="E245" s="44" t="s">
        <v>270</v>
      </c>
      <c r="F245" s="18" t="s">
        <v>20</v>
      </c>
      <c r="G245" s="18" t="s">
        <v>10</v>
      </c>
      <c r="H245" s="19">
        <v>218.83510453000002</v>
      </c>
      <c r="I245" s="18">
        <v>-31856</v>
      </c>
      <c r="J245" s="20">
        <v>4.6900000000000004</v>
      </c>
      <c r="K245" s="19">
        <v>-149404.64000000001</v>
      </c>
      <c r="L245" s="12">
        <f t="shared" si="91"/>
        <v>-9.9603093333333337E-3</v>
      </c>
      <c r="M245" s="12">
        <f t="shared" si="92"/>
        <v>-1.0298661174047369E-2</v>
      </c>
      <c r="N245" s="15" t="str">
        <f t="shared" si="93"/>
        <v/>
      </c>
      <c r="O245" s="15" t="str">
        <f t="shared" si="94"/>
        <v/>
      </c>
      <c r="P245" s="15">
        <f t="shared" si="95"/>
        <v>1</v>
      </c>
      <c r="Q245" s="15" t="str">
        <f t="shared" si="96"/>
        <v>SellShort</v>
      </c>
      <c r="R245" s="55">
        <f t="shared" si="97"/>
        <v>1082</v>
      </c>
      <c r="S245" s="33">
        <f t="shared" si="98"/>
        <v>5074.5800000000008</v>
      </c>
      <c r="T245" s="33" t="str">
        <f t="shared" si="99"/>
        <v/>
      </c>
      <c r="U245" s="15" t="str">
        <f t="shared" si="100"/>
        <v/>
      </c>
      <c r="V245" s="15">
        <f t="shared" si="101"/>
        <v>10.82</v>
      </c>
      <c r="W245" s="62">
        <f t="shared" si="102"/>
        <v>2.1321961620469078E-3</v>
      </c>
      <c r="X245" s="15"/>
      <c r="Y245" s="1">
        <f t="shared" si="103"/>
        <v>3.3835184071403547E-4</v>
      </c>
      <c r="AH245" s="35">
        <v>45714</v>
      </c>
      <c r="AI245" s="31" t="s">
        <v>1421</v>
      </c>
      <c r="AJ245" s="32">
        <v>-9.7000000000000003E-3</v>
      </c>
      <c r="AK245" s="28">
        <f t="shared" si="90"/>
        <v>-9.9897013388259483E-3</v>
      </c>
      <c r="AL245" s="28" t="s">
        <v>1481</v>
      </c>
      <c r="AM245" s="28" t="s">
        <v>1421</v>
      </c>
      <c r="AN245" s="28" t="s">
        <v>1797</v>
      </c>
      <c r="AO245" s="28" t="s">
        <v>1482</v>
      </c>
      <c r="AP245" s="28" t="s">
        <v>1483</v>
      </c>
      <c r="AQ245" s="28" t="s">
        <v>73</v>
      </c>
      <c r="AR245" s="28" t="s">
        <v>21</v>
      </c>
      <c r="AS245" s="73">
        <v>3261.84693324</v>
      </c>
      <c r="AT245" s="8">
        <v>26.67</v>
      </c>
      <c r="AU245" s="73" t="s">
        <v>1421</v>
      </c>
      <c r="AV245" s="73" t="b">
        <f t="shared" si="104"/>
        <v>1</v>
      </c>
      <c r="AW245" s="79">
        <v>0</v>
      </c>
      <c r="AX245" s="45" t="str">
        <f t="shared" si="105"/>
        <v/>
      </c>
      <c r="AY245" s="29" t="str">
        <f t="shared" si="106"/>
        <v/>
      </c>
      <c r="AZ245" s="29" t="str">
        <f t="shared" si="107"/>
        <v/>
      </c>
      <c r="BA245" s="29" t="s">
        <v>699</v>
      </c>
      <c r="BB245" s="29">
        <f t="shared" si="108"/>
        <v>0</v>
      </c>
      <c r="BC245">
        <f t="shared" si="109"/>
        <v>0</v>
      </c>
      <c r="BD245" s="78" t="str" cm="1">
        <f t="array" ref="BD245">IF(BC245&lt;&gt;1, "", IF(AK245&gt;0, INT(AK245/SUMPRODUCT(($AK$3:$AK$1000&gt;0)*($AK$3:$AK$1000), ($BC$3:$BC$1000))*$AB$12/AT245), INT(AK245/SUMPRODUCT(($AK$3:$AK$1000&lt;0)*($AK$3:$AK$1000), ($BC$3:$BC$1000))*$AB$13/AT245)))</f>
        <v/>
      </c>
      <c r="BE245" t="str">
        <f t="shared" si="110"/>
        <v/>
      </c>
      <c r="BF245" s="65" t="str">
        <f t="shared" si="111"/>
        <v/>
      </c>
    </row>
    <row r="246" spans="2:58" x14ac:dyDescent="0.3">
      <c r="B246" s="18" t="s">
        <v>707</v>
      </c>
      <c r="C246" s="18" t="s">
        <v>731</v>
      </c>
      <c r="D246" s="18" t="s">
        <v>759</v>
      </c>
      <c r="E246" s="44" t="s">
        <v>850</v>
      </c>
      <c r="F246" s="18" t="s">
        <v>24</v>
      </c>
      <c r="G246" s="18" t="s">
        <v>10</v>
      </c>
      <c r="H246" s="19">
        <v>2825.5704321500002</v>
      </c>
      <c r="I246" s="18">
        <v>-8648</v>
      </c>
      <c r="J246" s="20">
        <v>17.45</v>
      </c>
      <c r="K246" s="19">
        <v>-150907.6</v>
      </c>
      <c r="L246" s="12">
        <f t="shared" si="91"/>
        <v>-1.0060506666666667E-2</v>
      </c>
      <c r="M246" s="12">
        <f t="shared" si="92"/>
        <v>-1.0298661174047369E-2</v>
      </c>
      <c r="N246" s="15" t="str">
        <f t="shared" si="93"/>
        <v/>
      </c>
      <c r="O246" s="15" t="str">
        <f t="shared" si="94"/>
        <v/>
      </c>
      <c r="P246" s="15">
        <f t="shared" si="95"/>
        <v>1</v>
      </c>
      <c r="Q246" s="15" t="str">
        <f t="shared" si="96"/>
        <v>SellShort</v>
      </c>
      <c r="R246" s="55">
        <f t="shared" si="97"/>
        <v>204</v>
      </c>
      <c r="S246" s="33">
        <f t="shared" si="98"/>
        <v>3559.7999999999997</v>
      </c>
      <c r="T246" s="33" t="str">
        <f t="shared" si="99"/>
        <v/>
      </c>
      <c r="U246" s="15" t="str">
        <f t="shared" si="100"/>
        <v/>
      </c>
      <c r="V246" s="15">
        <f t="shared" si="101"/>
        <v>2.04</v>
      </c>
      <c r="W246" s="62">
        <f t="shared" si="102"/>
        <v>5.7306590257879663E-4</v>
      </c>
      <c r="X246" s="15"/>
      <c r="Y246" s="1">
        <f t="shared" si="103"/>
        <v>2.3815450738070253E-4</v>
      </c>
      <c r="AH246" s="35">
        <v>45714</v>
      </c>
      <c r="AI246" s="31" t="s">
        <v>233</v>
      </c>
      <c r="AJ246" s="32">
        <v>-9.7999999999999997E-3</v>
      </c>
      <c r="AK246" s="28">
        <f t="shared" si="90"/>
        <v>-1.0092687950566422E-2</v>
      </c>
      <c r="AL246" s="28" t="s">
        <v>236</v>
      </c>
      <c r="AM246" s="28" t="s">
        <v>233</v>
      </c>
      <c r="AN246" s="28" t="s">
        <v>470</v>
      </c>
      <c r="AO246" s="28" t="s">
        <v>237</v>
      </c>
      <c r="AP246" s="28" t="s">
        <v>238</v>
      </c>
      <c r="AQ246" s="28" t="s">
        <v>73</v>
      </c>
      <c r="AR246" s="28" t="s">
        <v>20</v>
      </c>
      <c r="AS246" s="73">
        <v>2870.4210152999999</v>
      </c>
      <c r="AT246" s="8">
        <v>37.65</v>
      </c>
      <c r="AU246" s="73" t="s">
        <v>233</v>
      </c>
      <c r="AV246" s="73" t="b">
        <f t="shared" si="104"/>
        <v>1</v>
      </c>
      <c r="AW246" s="79">
        <v>0</v>
      </c>
      <c r="AX246" s="45" t="str">
        <f t="shared" si="105"/>
        <v/>
      </c>
      <c r="AY246" s="29" t="str">
        <f t="shared" si="106"/>
        <v/>
      </c>
      <c r="AZ246" s="29" t="str">
        <f t="shared" si="107"/>
        <v/>
      </c>
      <c r="BA246" s="29" t="s">
        <v>699</v>
      </c>
      <c r="BB246" s="29">
        <f t="shared" si="108"/>
        <v>0</v>
      </c>
      <c r="BC246">
        <f t="shared" si="109"/>
        <v>0</v>
      </c>
      <c r="BD246" s="78" t="str" cm="1">
        <f t="array" ref="BD246">IF(BC246&lt;&gt;1, "", IF(AK246&gt;0, INT(AK246/SUMPRODUCT(($AK$3:$AK$1000&gt;0)*($AK$3:$AK$1000), ($BC$3:$BC$1000))*$AB$12/AT246), INT(AK246/SUMPRODUCT(($AK$3:$AK$1000&lt;0)*($AK$3:$AK$1000), ($BC$3:$BC$1000))*$AB$13/AT246)))</f>
        <v/>
      </c>
      <c r="BE246" t="str">
        <f t="shared" si="110"/>
        <v/>
      </c>
      <c r="BF246" s="65" t="str">
        <f t="shared" si="111"/>
        <v/>
      </c>
    </row>
    <row r="247" spans="2:58" x14ac:dyDescent="0.3">
      <c r="B247" s="18" t="s">
        <v>247</v>
      </c>
      <c r="C247" s="18" t="s">
        <v>257</v>
      </c>
      <c r="D247" s="18" t="s">
        <v>262</v>
      </c>
      <c r="E247" s="44" t="s">
        <v>258</v>
      </c>
      <c r="F247" s="18" t="s">
        <v>13</v>
      </c>
      <c r="G247" s="18" t="s">
        <v>10</v>
      </c>
      <c r="H247" s="19">
        <v>638.11009515000012</v>
      </c>
      <c r="I247" s="18">
        <v>-26933</v>
      </c>
      <c r="J247" s="20">
        <v>5.61</v>
      </c>
      <c r="K247" s="19">
        <v>-151094.13</v>
      </c>
      <c r="L247" s="12">
        <f t="shared" si="91"/>
        <v>-1.0072942E-2</v>
      </c>
      <c r="M247" s="12">
        <f t="shared" si="92"/>
        <v>-1.0298661174047369E-2</v>
      </c>
      <c r="N247" s="15" t="str">
        <f t="shared" si="93"/>
        <v/>
      </c>
      <c r="O247" s="15" t="str">
        <f t="shared" si="94"/>
        <v/>
      </c>
      <c r="P247" s="15">
        <f t="shared" si="95"/>
        <v>1</v>
      </c>
      <c r="Q247" s="15" t="str">
        <f t="shared" si="96"/>
        <v>SellShort</v>
      </c>
      <c r="R247" s="55">
        <f t="shared" si="97"/>
        <v>603</v>
      </c>
      <c r="S247" s="33">
        <f t="shared" si="98"/>
        <v>3382.8300000000004</v>
      </c>
      <c r="T247" s="33" t="str">
        <f t="shared" si="99"/>
        <v/>
      </c>
      <c r="U247" s="15" t="str">
        <f t="shared" si="100"/>
        <v/>
      </c>
      <c r="V247" s="15">
        <f t="shared" si="101"/>
        <v>6.03</v>
      </c>
      <c r="W247" s="62">
        <f t="shared" si="102"/>
        <v>1.7825311942959001E-3</v>
      </c>
      <c r="X247" s="15"/>
      <c r="Y247" s="1">
        <f t="shared" si="103"/>
        <v>2.2571917404736949E-4</v>
      </c>
      <c r="AH247" s="35">
        <v>45714</v>
      </c>
      <c r="AI247" s="31" t="s">
        <v>706</v>
      </c>
      <c r="AJ247" s="32">
        <v>-9.9000000000000008E-3</v>
      </c>
      <c r="AK247" s="28">
        <f t="shared" si="90"/>
        <v>-1.0195674562306897E-2</v>
      </c>
      <c r="AL247" s="28" t="s">
        <v>727</v>
      </c>
      <c r="AM247" s="28" t="s">
        <v>706</v>
      </c>
      <c r="AN247" s="28" t="s">
        <v>728</v>
      </c>
      <c r="AO247" s="28" t="s">
        <v>729</v>
      </c>
      <c r="AP247" s="28" t="s">
        <v>730</v>
      </c>
      <c r="AQ247" s="28" t="s">
        <v>73</v>
      </c>
      <c r="AR247" s="28" t="s">
        <v>11</v>
      </c>
      <c r="AS247" s="73">
        <v>3065.08</v>
      </c>
      <c r="AT247" s="8">
        <v>70.3</v>
      </c>
      <c r="AU247" s="73" t="s">
        <v>706</v>
      </c>
      <c r="AV247" s="73" t="b">
        <f t="shared" si="104"/>
        <v>1</v>
      </c>
      <c r="AW247" s="79">
        <v>0</v>
      </c>
      <c r="AX247" s="45" t="str">
        <f t="shared" si="105"/>
        <v/>
      </c>
      <c r="AY247" s="29" t="str">
        <f t="shared" si="106"/>
        <v/>
      </c>
      <c r="AZ247" s="29" t="str">
        <f t="shared" si="107"/>
        <v/>
      </c>
      <c r="BA247" s="29" t="s">
        <v>699</v>
      </c>
      <c r="BB247" s="29">
        <f t="shared" si="108"/>
        <v>0</v>
      </c>
      <c r="BC247">
        <f t="shared" si="109"/>
        <v>0</v>
      </c>
      <c r="BD247" s="78" t="str" cm="1">
        <f t="array" ref="BD247">IF(BC247&lt;&gt;1, "", IF(AK247&gt;0, INT(AK247/SUMPRODUCT(($AK$3:$AK$1000&gt;0)*($AK$3:$AK$1000), ($BC$3:$BC$1000))*$AB$12/AT247), INT(AK247/SUMPRODUCT(($AK$3:$AK$1000&lt;0)*($AK$3:$AK$1000), ($BC$3:$BC$1000))*$AB$13/AT247)))</f>
        <v/>
      </c>
      <c r="BE247" t="str">
        <f t="shared" si="110"/>
        <v/>
      </c>
      <c r="BF247" s="65" t="str">
        <f t="shared" si="111"/>
        <v/>
      </c>
    </row>
    <row r="248" spans="2:58" x14ac:dyDescent="0.3">
      <c r="B248" s="18" t="s">
        <v>371</v>
      </c>
      <c r="C248" s="18" t="s">
        <v>377</v>
      </c>
      <c r="D248" s="18" t="s">
        <v>382</v>
      </c>
      <c r="E248" s="44" t="s">
        <v>379</v>
      </c>
      <c r="F248" s="18" t="s">
        <v>24</v>
      </c>
      <c r="G248" s="18" t="s">
        <v>10</v>
      </c>
      <c r="H248" s="19">
        <v>1549.4670771299998</v>
      </c>
      <c r="I248" s="18">
        <v>-17549</v>
      </c>
      <c r="J248" s="20">
        <v>8.61</v>
      </c>
      <c r="K248" s="19">
        <v>-151096.88999999998</v>
      </c>
      <c r="L248" s="12">
        <f t="shared" si="91"/>
        <v>-1.0073125999999998E-2</v>
      </c>
      <c r="M248" s="12">
        <f t="shared" si="92"/>
        <v>-1.0298661174047369E-2</v>
      </c>
      <c r="N248" s="15" t="str">
        <f t="shared" si="93"/>
        <v/>
      </c>
      <c r="O248" s="15" t="str">
        <f t="shared" si="94"/>
        <v/>
      </c>
      <c r="P248" s="15">
        <f t="shared" si="95"/>
        <v>1</v>
      </c>
      <c r="Q248" s="15" t="str">
        <f t="shared" si="96"/>
        <v>SellShort</v>
      </c>
      <c r="R248" s="55">
        <f t="shared" si="97"/>
        <v>392</v>
      </c>
      <c r="S248" s="33">
        <f t="shared" si="98"/>
        <v>3375.12</v>
      </c>
      <c r="T248" s="33" t="str">
        <f t="shared" si="99"/>
        <v/>
      </c>
      <c r="U248" s="15" t="str">
        <f t="shared" si="100"/>
        <v/>
      </c>
      <c r="V248" s="15">
        <f t="shared" si="101"/>
        <v>3.92</v>
      </c>
      <c r="W248" s="62">
        <f t="shared" si="102"/>
        <v>1.1614401858304297E-3</v>
      </c>
      <c r="X248" s="15"/>
      <c r="Y248" s="1">
        <f t="shared" si="103"/>
        <v>2.2553517404737093E-4</v>
      </c>
      <c r="AH248" s="35">
        <v>45714</v>
      </c>
      <c r="AI248" s="31" t="s">
        <v>1008</v>
      </c>
      <c r="AJ248" s="32">
        <v>-9.9000000000000008E-3</v>
      </c>
      <c r="AK248" s="28">
        <f t="shared" si="90"/>
        <v>-1.0195674562306897E-2</v>
      </c>
      <c r="AL248" s="28" t="s">
        <v>1035</v>
      </c>
      <c r="AM248" s="28" t="s">
        <v>1008</v>
      </c>
      <c r="AN248" s="28" t="s">
        <v>1036</v>
      </c>
      <c r="AO248" s="28" t="s">
        <v>1037</v>
      </c>
      <c r="AP248" s="28" t="s">
        <v>1038</v>
      </c>
      <c r="AQ248" s="28" t="s">
        <v>73</v>
      </c>
      <c r="AR248" s="28" t="s">
        <v>24</v>
      </c>
      <c r="AS248" s="73">
        <v>4034.0273099400001</v>
      </c>
      <c r="AT248" s="8">
        <v>27.66</v>
      </c>
      <c r="AU248" s="73" t="s">
        <v>1008</v>
      </c>
      <c r="AV248" s="73" t="b">
        <f t="shared" si="104"/>
        <v>1</v>
      </c>
      <c r="AW248" s="79">
        <v>0</v>
      </c>
      <c r="AX248" s="45" t="str">
        <f t="shared" si="105"/>
        <v/>
      </c>
      <c r="AY248" s="29" t="str">
        <f t="shared" si="106"/>
        <v/>
      </c>
      <c r="AZ248" s="29" t="str">
        <f t="shared" si="107"/>
        <v/>
      </c>
      <c r="BA248" s="29" t="s">
        <v>699</v>
      </c>
      <c r="BB248" s="29">
        <f t="shared" si="108"/>
        <v>0</v>
      </c>
      <c r="BC248">
        <f t="shared" si="109"/>
        <v>0</v>
      </c>
      <c r="BD248" s="78" t="str" cm="1">
        <f t="array" ref="BD248">IF(BC248&lt;&gt;1, "", IF(AK248&gt;0, INT(AK248/SUMPRODUCT(($AK$3:$AK$1000&gt;0)*($AK$3:$AK$1000), ($BC$3:$BC$1000))*$AB$12/AT248), INT(AK248/SUMPRODUCT(($AK$3:$AK$1000&lt;0)*($AK$3:$AK$1000), ($BC$3:$BC$1000))*$AB$13/AT248)))</f>
        <v/>
      </c>
      <c r="BE248" t="str">
        <f t="shared" si="110"/>
        <v/>
      </c>
      <c r="BF248" s="65" t="str">
        <f t="shared" si="111"/>
        <v/>
      </c>
    </row>
    <row r="249" spans="2:58" x14ac:dyDescent="0.3">
      <c r="B249" s="18" t="s">
        <v>195</v>
      </c>
      <c r="C249" s="18" t="s">
        <v>200</v>
      </c>
      <c r="D249" s="18" t="s">
        <v>208</v>
      </c>
      <c r="E249" s="44" t="s">
        <v>203</v>
      </c>
      <c r="F249" s="18" t="s">
        <v>20</v>
      </c>
      <c r="G249" s="18" t="s">
        <v>10</v>
      </c>
      <c r="H249" s="19">
        <v>392.56905428999994</v>
      </c>
      <c r="I249" s="18">
        <v>-5688</v>
      </c>
      <c r="J249" s="20">
        <v>26.61</v>
      </c>
      <c r="K249" s="19">
        <v>-151357.68</v>
      </c>
      <c r="L249" s="12">
        <f t="shared" si="91"/>
        <v>-1.0090511999999999E-2</v>
      </c>
      <c r="M249" s="12">
        <f t="shared" si="92"/>
        <v>-1.0298661174047369E-2</v>
      </c>
      <c r="N249" s="15" t="str">
        <f t="shared" si="93"/>
        <v/>
      </c>
      <c r="O249" s="15" t="str">
        <f t="shared" si="94"/>
        <v/>
      </c>
      <c r="P249" s="15">
        <f t="shared" si="95"/>
        <v>1</v>
      </c>
      <c r="Q249" s="15" t="str">
        <f t="shared" si="96"/>
        <v>SellShort</v>
      </c>
      <c r="R249" s="55">
        <f t="shared" si="97"/>
        <v>117</v>
      </c>
      <c r="S249" s="33">
        <f t="shared" si="98"/>
        <v>3113.37</v>
      </c>
      <c r="T249" s="33" t="str">
        <f t="shared" si="99"/>
        <v/>
      </c>
      <c r="U249" s="15" t="str">
        <f t="shared" si="100"/>
        <v/>
      </c>
      <c r="V249" s="15">
        <f t="shared" si="101"/>
        <v>1.17</v>
      </c>
      <c r="W249" s="62">
        <f t="shared" si="102"/>
        <v>3.7579857196542651E-4</v>
      </c>
      <c r="X249" s="15"/>
      <c r="Y249" s="1">
        <f t="shared" si="103"/>
        <v>2.0814917404736975E-4</v>
      </c>
      <c r="AH249" s="35">
        <v>45714</v>
      </c>
      <c r="AI249" s="31" t="s">
        <v>777</v>
      </c>
      <c r="AJ249" s="32">
        <v>-0.01</v>
      </c>
      <c r="AK249" s="28">
        <f t="shared" si="90"/>
        <v>-1.0298661174047369E-2</v>
      </c>
      <c r="AL249" s="28" t="s">
        <v>823</v>
      </c>
      <c r="AM249" s="28" t="s">
        <v>777</v>
      </c>
      <c r="AN249" s="28" t="s">
        <v>824</v>
      </c>
      <c r="AO249" s="28" t="s">
        <v>825</v>
      </c>
      <c r="AP249" s="28" t="s">
        <v>826</v>
      </c>
      <c r="AQ249" s="28" t="s">
        <v>73</v>
      </c>
      <c r="AR249" s="28" t="s">
        <v>23</v>
      </c>
      <c r="AS249" s="73">
        <v>22381.4141482903</v>
      </c>
      <c r="AT249" s="8">
        <v>56.85</v>
      </c>
      <c r="AU249" s="73" t="s">
        <v>777</v>
      </c>
      <c r="AV249" s="73" t="b">
        <f t="shared" si="104"/>
        <v>1</v>
      </c>
      <c r="AW249" s="79">
        <v>0</v>
      </c>
      <c r="AX249" s="45" t="str">
        <f t="shared" si="105"/>
        <v/>
      </c>
      <c r="AY249" s="29" t="str">
        <f t="shared" si="106"/>
        <v/>
      </c>
      <c r="AZ249" s="29" t="str">
        <f t="shared" si="107"/>
        <v/>
      </c>
      <c r="BA249" s="29" t="s">
        <v>699</v>
      </c>
      <c r="BB249" s="29">
        <f t="shared" si="108"/>
        <v>0</v>
      </c>
      <c r="BC249">
        <f t="shared" si="109"/>
        <v>0</v>
      </c>
      <c r="BD249" s="78" t="str" cm="1">
        <f t="array" ref="BD249">IF(BC249&lt;&gt;1, "", IF(AK249&gt;0, INT(AK249/SUMPRODUCT(($AK$3:$AK$1000&gt;0)*($AK$3:$AK$1000), ($BC$3:$BC$1000))*$AB$12/AT249), INT(AK249/SUMPRODUCT(($AK$3:$AK$1000&lt;0)*($AK$3:$AK$1000), ($BC$3:$BC$1000))*$AB$13/AT249)))</f>
        <v/>
      </c>
      <c r="BE249" t="str">
        <f t="shared" si="110"/>
        <v/>
      </c>
      <c r="BF249" s="65" t="str">
        <f t="shared" si="111"/>
        <v/>
      </c>
    </row>
    <row r="250" spans="2:58" x14ac:dyDescent="0.3">
      <c r="B250" s="18" t="s">
        <v>32</v>
      </c>
      <c r="C250" s="18" t="s">
        <v>56</v>
      </c>
      <c r="D250" s="18" t="s">
        <v>87</v>
      </c>
      <c r="E250" s="44" t="s">
        <v>227</v>
      </c>
      <c r="F250" s="18" t="s">
        <v>11</v>
      </c>
      <c r="G250" s="18" t="s">
        <v>10</v>
      </c>
      <c r="H250" s="19">
        <v>867.53432497999995</v>
      </c>
      <c r="I250" s="18">
        <v>-5782</v>
      </c>
      <c r="J250" s="20">
        <v>26.23</v>
      </c>
      <c r="K250" s="19">
        <v>-151661.86000000002</v>
      </c>
      <c r="L250" s="12">
        <f t="shared" si="91"/>
        <v>-1.0110790666666668E-2</v>
      </c>
      <c r="M250" s="12">
        <f t="shared" si="92"/>
        <v>-1.0298661174047369E-2</v>
      </c>
      <c r="N250" s="15" t="str">
        <f t="shared" si="93"/>
        <v/>
      </c>
      <c r="O250" s="15" t="str">
        <f t="shared" si="94"/>
        <v/>
      </c>
      <c r="P250" s="15" t="str">
        <f t="shared" si="95"/>
        <v/>
      </c>
      <c r="Q250" s="15" t="str">
        <f t="shared" si="96"/>
        <v/>
      </c>
      <c r="R250" s="55" t="str">
        <f t="shared" si="97"/>
        <v/>
      </c>
      <c r="S250" s="33" t="str">
        <f t="shared" si="98"/>
        <v/>
      </c>
      <c r="T250" s="33" t="str">
        <f t="shared" si="99"/>
        <v/>
      </c>
      <c r="U250" s="15" t="str">
        <f t="shared" si="100"/>
        <v/>
      </c>
      <c r="V250" s="15" t="str">
        <f t="shared" si="101"/>
        <v/>
      </c>
      <c r="W250" s="62" t="str">
        <f t="shared" si="102"/>
        <v/>
      </c>
      <c r="X250" s="15"/>
      <c r="Y250" s="1">
        <f t="shared" si="103"/>
        <v>1.8787050738070139E-4</v>
      </c>
      <c r="AH250" s="35">
        <v>45714</v>
      </c>
      <c r="AI250" s="31" t="s">
        <v>371</v>
      </c>
      <c r="AJ250" s="32">
        <v>-0.01</v>
      </c>
      <c r="AK250" s="28">
        <f t="shared" si="90"/>
        <v>-1.0298661174047369E-2</v>
      </c>
      <c r="AL250" s="28" t="s">
        <v>377</v>
      </c>
      <c r="AM250" s="28" t="s">
        <v>371</v>
      </c>
      <c r="AN250" s="28" t="s">
        <v>467</v>
      </c>
      <c r="AO250" s="28" t="s">
        <v>378</v>
      </c>
      <c r="AP250" s="28" t="s">
        <v>379</v>
      </c>
      <c r="AQ250" s="28" t="s">
        <v>73</v>
      </c>
      <c r="AR250" s="28" t="s">
        <v>24</v>
      </c>
      <c r="AS250" s="73">
        <v>1549.46707713</v>
      </c>
      <c r="AT250" s="8">
        <v>8.61</v>
      </c>
      <c r="AU250" s="73" t="s">
        <v>371</v>
      </c>
      <c r="AV250" s="73" t="b">
        <f t="shared" si="104"/>
        <v>1</v>
      </c>
      <c r="AW250" s="79">
        <v>0</v>
      </c>
      <c r="AX250" s="45" t="str">
        <f t="shared" si="105"/>
        <v/>
      </c>
      <c r="AY250" s="29" t="str">
        <f t="shared" si="106"/>
        <v/>
      </c>
      <c r="AZ250" s="29" t="str">
        <f t="shared" si="107"/>
        <v/>
      </c>
      <c r="BA250" s="29" t="s">
        <v>699</v>
      </c>
      <c r="BB250" s="29">
        <f t="shared" si="108"/>
        <v>0</v>
      </c>
      <c r="BC250">
        <f t="shared" si="109"/>
        <v>0</v>
      </c>
      <c r="BD250" s="78" t="str" cm="1">
        <f t="array" ref="BD250">IF(BC250&lt;&gt;1, "", IF(AK250&gt;0, INT(AK250/SUMPRODUCT(($AK$3:$AK$1000&gt;0)*($AK$3:$AK$1000), ($BC$3:$BC$1000))*$AB$12/AT250), INT(AK250/SUMPRODUCT(($AK$3:$AK$1000&lt;0)*($AK$3:$AK$1000), ($BC$3:$BC$1000))*$AB$13/AT250)))</f>
        <v/>
      </c>
      <c r="BE250" t="str">
        <f t="shared" si="110"/>
        <v/>
      </c>
      <c r="BF250" s="65" t="str">
        <f t="shared" si="111"/>
        <v/>
      </c>
    </row>
    <row r="251" spans="2:58" x14ac:dyDescent="0.3">
      <c r="B251" s="18" t="s">
        <v>954</v>
      </c>
      <c r="C251" s="18" t="s">
        <v>987</v>
      </c>
      <c r="D251" s="18" t="s">
        <v>1000</v>
      </c>
      <c r="E251" s="44" t="s">
        <v>990</v>
      </c>
      <c r="F251" s="18" t="s">
        <v>20</v>
      </c>
      <c r="G251" s="18" t="s">
        <v>10</v>
      </c>
      <c r="H251" s="19">
        <v>1825.1546023500002</v>
      </c>
      <c r="I251" s="18">
        <v>-7279</v>
      </c>
      <c r="J251" s="20">
        <v>20.85</v>
      </c>
      <c r="K251" s="19">
        <v>-151767.15000000002</v>
      </c>
      <c r="L251" s="12">
        <f t="shared" si="91"/>
        <v>-1.0117810000000001E-2</v>
      </c>
      <c r="M251" s="12">
        <f t="shared" si="92"/>
        <v>-1.0298661174047369E-2</v>
      </c>
      <c r="N251" s="15" t="str">
        <f t="shared" si="93"/>
        <v/>
      </c>
      <c r="O251" s="15" t="str">
        <f t="shared" si="94"/>
        <v/>
      </c>
      <c r="P251" s="15" t="str">
        <f t="shared" si="95"/>
        <v/>
      </c>
      <c r="Q251" s="15" t="str">
        <f t="shared" si="96"/>
        <v/>
      </c>
      <c r="R251" s="55" t="str">
        <f t="shared" si="97"/>
        <v/>
      </c>
      <c r="S251" s="33" t="str">
        <f t="shared" si="98"/>
        <v/>
      </c>
      <c r="T251" s="33" t="str">
        <f t="shared" si="99"/>
        <v/>
      </c>
      <c r="U251" s="15" t="str">
        <f t="shared" si="100"/>
        <v/>
      </c>
      <c r="V251" s="15" t="str">
        <f t="shared" si="101"/>
        <v/>
      </c>
      <c r="W251" s="62" t="str">
        <f t="shared" si="102"/>
        <v/>
      </c>
      <c r="X251" s="15"/>
      <c r="Y251" s="1">
        <f t="shared" si="103"/>
        <v>1.8085117404736777E-4</v>
      </c>
      <c r="AH251" s="35">
        <v>45714</v>
      </c>
      <c r="AI251" s="31" t="s">
        <v>229</v>
      </c>
      <c r="AJ251" s="32">
        <v>-0.01</v>
      </c>
      <c r="AK251" s="28">
        <f t="shared" si="90"/>
        <v>-1.0298661174047369E-2</v>
      </c>
      <c r="AL251" s="28" t="s">
        <v>230</v>
      </c>
      <c r="AM251" s="28" t="s">
        <v>229</v>
      </c>
      <c r="AN251" s="28" t="s">
        <v>468</v>
      </c>
      <c r="AO251" s="28" t="s">
        <v>235</v>
      </c>
      <c r="AP251" s="28" t="s">
        <v>232</v>
      </c>
      <c r="AQ251" s="28" t="s">
        <v>73</v>
      </c>
      <c r="AR251" s="28" t="s">
        <v>23</v>
      </c>
      <c r="AS251" s="73">
        <v>418.41232547999999</v>
      </c>
      <c r="AT251" s="8">
        <v>5.08</v>
      </c>
      <c r="AU251" s="73" t="s">
        <v>229</v>
      </c>
      <c r="AV251" s="73" t="b">
        <f t="shared" si="104"/>
        <v>1</v>
      </c>
      <c r="AW251" s="79">
        <v>0</v>
      </c>
      <c r="AX251" s="45" t="str">
        <f t="shared" si="105"/>
        <v/>
      </c>
      <c r="AY251" s="29" t="str">
        <f t="shared" si="106"/>
        <v/>
      </c>
      <c r="AZ251" s="29" t="str">
        <f t="shared" si="107"/>
        <v/>
      </c>
      <c r="BA251" s="29" t="s">
        <v>699</v>
      </c>
      <c r="BB251" s="29">
        <f t="shared" si="108"/>
        <v>0</v>
      </c>
      <c r="BC251">
        <f t="shared" si="109"/>
        <v>0</v>
      </c>
      <c r="BD251" s="78" t="str" cm="1">
        <f t="array" ref="BD251">IF(BC251&lt;&gt;1, "", IF(AK251&gt;0, INT(AK251/SUMPRODUCT(($AK$3:$AK$1000&gt;0)*($AK$3:$AK$1000), ($BC$3:$BC$1000))*$AB$12/AT251), INT(AK251/SUMPRODUCT(($AK$3:$AK$1000&lt;0)*($AK$3:$AK$1000), ($BC$3:$BC$1000))*$AB$13/AT251)))</f>
        <v/>
      </c>
      <c r="BE251" t="str">
        <f t="shared" si="110"/>
        <v/>
      </c>
      <c r="BF251" s="65" t="str">
        <f t="shared" si="111"/>
        <v/>
      </c>
    </row>
    <row r="252" spans="2:58" x14ac:dyDescent="0.3">
      <c r="B252" s="18" t="s">
        <v>1009</v>
      </c>
      <c r="C252" s="18" t="s">
        <v>1039</v>
      </c>
      <c r="D252" s="18" t="s">
        <v>1058</v>
      </c>
      <c r="E252" s="44" t="s">
        <v>1401</v>
      </c>
      <c r="F252" s="18" t="s">
        <v>24</v>
      </c>
      <c r="G252" s="18" t="s">
        <v>10</v>
      </c>
      <c r="H252" s="19">
        <v>730.49839199999997</v>
      </c>
      <c r="I252" s="18">
        <v>-9732</v>
      </c>
      <c r="J252" s="20">
        <v>15.6</v>
      </c>
      <c r="K252" s="19">
        <v>-151819.19999999998</v>
      </c>
      <c r="L252" s="12">
        <f t="shared" si="91"/>
        <v>-1.0121279999999998E-2</v>
      </c>
      <c r="M252" s="12">
        <f t="shared" si="92"/>
        <v>-1.0298661174047369E-2</v>
      </c>
      <c r="N252" s="15" t="str">
        <f t="shared" si="93"/>
        <v/>
      </c>
      <c r="O252" s="15" t="str">
        <f t="shared" si="94"/>
        <v/>
      </c>
      <c r="P252" s="15" t="str">
        <f t="shared" si="95"/>
        <v/>
      </c>
      <c r="Q252" s="15" t="str">
        <f t="shared" si="96"/>
        <v/>
      </c>
      <c r="R252" s="55" t="str">
        <f t="shared" si="97"/>
        <v/>
      </c>
      <c r="S252" s="33" t="str">
        <f t="shared" si="98"/>
        <v/>
      </c>
      <c r="T252" s="33" t="str">
        <f t="shared" si="99"/>
        <v/>
      </c>
      <c r="U252" s="15" t="str">
        <f t="shared" si="100"/>
        <v/>
      </c>
      <c r="V252" s="15" t="str">
        <f t="shared" si="101"/>
        <v/>
      </c>
      <c r="W252" s="62" t="str">
        <f t="shared" si="102"/>
        <v/>
      </c>
      <c r="X252" s="15"/>
      <c r="Y252" s="1">
        <f t="shared" si="103"/>
        <v>1.7738117404737103E-4</v>
      </c>
      <c r="AH252" s="35">
        <v>45714</v>
      </c>
      <c r="AI252" s="31" t="s">
        <v>212</v>
      </c>
      <c r="AJ252" s="32">
        <v>-0.01</v>
      </c>
      <c r="AK252" s="28">
        <f t="shared" si="90"/>
        <v>-1.0298661174047369E-2</v>
      </c>
      <c r="AL252" s="28" t="s">
        <v>216</v>
      </c>
      <c r="AM252" s="28" t="s">
        <v>212</v>
      </c>
      <c r="AN252" s="28" t="s">
        <v>1798</v>
      </c>
      <c r="AO252" s="28" t="s">
        <v>217</v>
      </c>
      <c r="AP252" s="28" t="s">
        <v>660</v>
      </c>
      <c r="AQ252" s="28" t="s">
        <v>73</v>
      </c>
      <c r="AR252" s="28" t="s">
        <v>11</v>
      </c>
      <c r="AS252" s="73">
        <v>64676.671799999996</v>
      </c>
      <c r="AT252" s="8">
        <v>250.51</v>
      </c>
      <c r="AU252" s="73" t="s">
        <v>212</v>
      </c>
      <c r="AV252" s="73" t="b">
        <f t="shared" si="104"/>
        <v>1</v>
      </c>
      <c r="AW252" s="79">
        <v>0</v>
      </c>
      <c r="AX252" s="45" t="str">
        <f t="shared" si="105"/>
        <v/>
      </c>
      <c r="AY252" s="29" t="str">
        <f t="shared" si="106"/>
        <v/>
      </c>
      <c r="AZ252" s="29" t="str">
        <f t="shared" si="107"/>
        <v/>
      </c>
      <c r="BA252" s="29" t="s">
        <v>699</v>
      </c>
      <c r="BB252" s="29">
        <f t="shared" si="108"/>
        <v>0</v>
      </c>
      <c r="BC252">
        <f t="shared" si="109"/>
        <v>0</v>
      </c>
      <c r="BD252" s="78" t="str" cm="1">
        <f t="array" ref="BD252">IF(BC252&lt;&gt;1, "", IF(AK252&gt;0, INT(AK252/SUMPRODUCT(($AK$3:$AK$1000&gt;0)*($AK$3:$AK$1000), ($BC$3:$BC$1000))*$AB$12/AT252), INT(AK252/SUMPRODUCT(($AK$3:$AK$1000&lt;0)*($AK$3:$AK$1000), ($BC$3:$BC$1000))*$AB$13/AT252)))</f>
        <v/>
      </c>
      <c r="BE252" t="str">
        <f t="shared" si="110"/>
        <v/>
      </c>
      <c r="BF252" s="65" t="str">
        <f t="shared" si="111"/>
        <v/>
      </c>
    </row>
    <row r="253" spans="2:58" x14ac:dyDescent="0.3">
      <c r="B253" s="18" t="s">
        <v>710</v>
      </c>
      <c r="C253" s="18" t="s">
        <v>740</v>
      </c>
      <c r="D253" s="18" t="s">
        <v>762</v>
      </c>
      <c r="E253" s="44" t="s">
        <v>742</v>
      </c>
      <c r="F253" s="18" t="s">
        <v>11</v>
      </c>
      <c r="G253" s="18" t="s">
        <v>10</v>
      </c>
      <c r="H253" s="19">
        <v>7689.4127735399998</v>
      </c>
      <c r="I253" s="18">
        <v>-722</v>
      </c>
      <c r="J253" s="20">
        <v>211.22</v>
      </c>
      <c r="K253" s="19">
        <v>-152500.84</v>
      </c>
      <c r="L253" s="12">
        <f t="shared" si="91"/>
        <v>-1.0166722666666666E-2</v>
      </c>
      <c r="M253" s="12">
        <f t="shared" si="92"/>
        <v>-1.0298661174047369E-2</v>
      </c>
      <c r="N253" s="15" t="str">
        <f t="shared" si="93"/>
        <v/>
      </c>
      <c r="O253" s="15" t="str">
        <f t="shared" si="94"/>
        <v/>
      </c>
      <c r="P253" s="15" t="str">
        <f t="shared" si="95"/>
        <v/>
      </c>
      <c r="Q253" s="15" t="str">
        <f t="shared" si="96"/>
        <v/>
      </c>
      <c r="R253" s="55" t="str">
        <f t="shared" si="97"/>
        <v/>
      </c>
      <c r="S253" s="33" t="str">
        <f t="shared" si="98"/>
        <v/>
      </c>
      <c r="T253" s="33" t="str">
        <f t="shared" si="99"/>
        <v/>
      </c>
      <c r="U253" s="15" t="str">
        <f t="shared" si="100"/>
        <v/>
      </c>
      <c r="V253" s="15" t="str">
        <f t="shared" si="101"/>
        <v/>
      </c>
      <c r="W253" s="62" t="str">
        <f t="shared" si="102"/>
        <v/>
      </c>
      <c r="X253" s="15"/>
      <c r="Y253" s="1">
        <f t="shared" si="103"/>
        <v>1.3193850738070327E-4</v>
      </c>
      <c r="AH253" s="35">
        <v>45714</v>
      </c>
      <c r="AI253" s="31" t="s">
        <v>1009</v>
      </c>
      <c r="AJ253" s="32">
        <v>-0.01</v>
      </c>
      <c r="AK253" s="28">
        <f t="shared" si="90"/>
        <v>-1.0298661174047369E-2</v>
      </c>
      <c r="AL253" s="28" t="s">
        <v>1039</v>
      </c>
      <c r="AM253" s="28" t="s">
        <v>1009</v>
      </c>
      <c r="AN253" s="28" t="s">
        <v>1799</v>
      </c>
      <c r="AO253" s="28" t="s">
        <v>1040</v>
      </c>
      <c r="AP253" s="28" t="s">
        <v>1401</v>
      </c>
      <c r="AQ253" s="28" t="s">
        <v>73</v>
      </c>
      <c r="AR253" s="28" t="s">
        <v>24</v>
      </c>
      <c r="AS253" s="73">
        <v>730.49839199999997</v>
      </c>
      <c r="AT253" s="8">
        <v>15.6</v>
      </c>
      <c r="AU253" s="73" t="s">
        <v>1009</v>
      </c>
      <c r="AV253" s="73" t="b">
        <f t="shared" si="104"/>
        <v>1</v>
      </c>
      <c r="AW253" s="79">
        <v>0</v>
      </c>
      <c r="AX253" s="45" t="str">
        <f t="shared" si="105"/>
        <v/>
      </c>
      <c r="AY253" s="29" t="str">
        <f t="shared" si="106"/>
        <v/>
      </c>
      <c r="AZ253" s="29" t="str">
        <f t="shared" si="107"/>
        <v/>
      </c>
      <c r="BA253" s="29" t="s">
        <v>699</v>
      </c>
      <c r="BB253" s="29">
        <f t="shared" si="108"/>
        <v>0</v>
      </c>
      <c r="BC253">
        <f t="shared" si="109"/>
        <v>0</v>
      </c>
      <c r="BD253" s="78" t="str" cm="1">
        <f t="array" ref="BD253">IF(BC253&lt;&gt;1, "", IF(AK253&gt;0, INT(AK253/SUMPRODUCT(($AK$3:$AK$1000&gt;0)*($AK$3:$AK$1000), ($BC$3:$BC$1000))*$AB$12/AT253), INT(AK253/SUMPRODUCT(($AK$3:$AK$1000&lt;0)*($AK$3:$AK$1000), ($BC$3:$BC$1000))*$AB$13/AT253)))</f>
        <v/>
      </c>
      <c r="BE253" t="str">
        <f t="shared" si="110"/>
        <v/>
      </c>
      <c r="BF253" s="65" t="str">
        <f t="shared" si="111"/>
        <v/>
      </c>
    </row>
    <row r="254" spans="2:58" x14ac:dyDescent="0.3">
      <c r="B254" s="18" t="s">
        <v>711</v>
      </c>
      <c r="C254" s="18" t="s">
        <v>743</v>
      </c>
      <c r="D254" s="18" t="s">
        <v>763</v>
      </c>
      <c r="E254" s="44" t="s">
        <v>1402</v>
      </c>
      <c r="F254" s="18" t="s">
        <v>11</v>
      </c>
      <c r="G254" s="18" t="s">
        <v>10</v>
      </c>
      <c r="H254" s="19">
        <v>2658.0409625000002</v>
      </c>
      <c r="I254" s="18">
        <v>-1639</v>
      </c>
      <c r="J254" s="20">
        <v>93.14</v>
      </c>
      <c r="K254" s="19">
        <v>-152656.46</v>
      </c>
      <c r="L254" s="12">
        <f t="shared" si="91"/>
        <v>-1.0177097333333333E-2</v>
      </c>
      <c r="M254" s="12">
        <f t="shared" si="92"/>
        <v>-1.0298661174047369E-2</v>
      </c>
      <c r="N254" s="15" t="str">
        <f t="shared" si="93"/>
        <v/>
      </c>
      <c r="O254" s="15" t="str">
        <f t="shared" si="94"/>
        <v/>
      </c>
      <c r="P254" s="15" t="str">
        <f t="shared" si="95"/>
        <v/>
      </c>
      <c r="Q254" s="15" t="str">
        <f t="shared" si="96"/>
        <v/>
      </c>
      <c r="R254" s="55" t="str">
        <f t="shared" si="97"/>
        <v/>
      </c>
      <c r="S254" s="33" t="str">
        <f t="shared" si="98"/>
        <v/>
      </c>
      <c r="T254" s="33" t="str">
        <f t="shared" si="99"/>
        <v/>
      </c>
      <c r="U254" s="15" t="str">
        <f t="shared" si="100"/>
        <v/>
      </c>
      <c r="V254" s="15" t="str">
        <f t="shared" si="101"/>
        <v/>
      </c>
      <c r="W254" s="62" t="str">
        <f t="shared" si="102"/>
        <v/>
      </c>
      <c r="X254" s="15"/>
      <c r="Y254" s="1">
        <f t="shared" si="103"/>
        <v>1.2156384071403646E-4</v>
      </c>
      <c r="AH254" s="35">
        <v>45714</v>
      </c>
      <c r="AI254" s="31" t="s">
        <v>309</v>
      </c>
      <c r="AJ254" s="32">
        <v>-0.01</v>
      </c>
      <c r="AK254" s="28">
        <f t="shared" si="90"/>
        <v>-1.0298661174047369E-2</v>
      </c>
      <c r="AL254" s="28" t="s">
        <v>313</v>
      </c>
      <c r="AM254" s="28" t="s">
        <v>309</v>
      </c>
      <c r="AN254" s="28" t="s">
        <v>518</v>
      </c>
      <c r="AO254" s="28" t="s">
        <v>519</v>
      </c>
      <c r="AP254" s="28" t="s">
        <v>314</v>
      </c>
      <c r="AQ254" s="28" t="s">
        <v>73</v>
      </c>
      <c r="AR254" s="28" t="s">
        <v>23</v>
      </c>
      <c r="AS254" s="73">
        <v>1310.1988893</v>
      </c>
      <c r="AT254" s="8">
        <v>10.85</v>
      </c>
      <c r="AU254" s="73" t="s">
        <v>309</v>
      </c>
      <c r="AV254" s="73" t="b">
        <f t="shared" si="104"/>
        <v>1</v>
      </c>
      <c r="AW254" s="79">
        <v>0</v>
      </c>
      <c r="AX254" s="45" t="str">
        <f t="shared" si="105"/>
        <v/>
      </c>
      <c r="AY254" s="29" t="str">
        <f t="shared" si="106"/>
        <v/>
      </c>
      <c r="AZ254" s="29" t="str">
        <f t="shared" si="107"/>
        <v/>
      </c>
      <c r="BA254" s="29" t="s">
        <v>699</v>
      </c>
      <c r="BB254" s="29">
        <f t="shared" si="108"/>
        <v>0</v>
      </c>
      <c r="BC254">
        <f t="shared" si="109"/>
        <v>0</v>
      </c>
      <c r="BD254" s="78" t="str" cm="1">
        <f t="array" ref="BD254">IF(BC254&lt;&gt;1, "", IF(AK254&gt;0, INT(AK254/SUMPRODUCT(($AK$3:$AK$1000&gt;0)*($AK$3:$AK$1000), ($BC$3:$BC$1000))*$AB$12/AT254), INT(AK254/SUMPRODUCT(($AK$3:$AK$1000&lt;0)*($AK$3:$AK$1000), ($BC$3:$BC$1000))*$AB$13/AT254)))</f>
        <v/>
      </c>
      <c r="BE254" t="str">
        <f t="shared" si="110"/>
        <v/>
      </c>
      <c r="BF254" s="65" t="str">
        <f t="shared" si="111"/>
        <v/>
      </c>
    </row>
    <row r="255" spans="2:58" x14ac:dyDescent="0.3">
      <c r="B255" s="18" t="s">
        <v>709</v>
      </c>
      <c r="C255" s="18" t="s">
        <v>736</v>
      </c>
      <c r="D255" s="18" t="s">
        <v>761</v>
      </c>
      <c r="E255" s="44" t="s">
        <v>739</v>
      </c>
      <c r="F255" s="18" t="s">
        <v>23</v>
      </c>
      <c r="G255" s="18" t="s">
        <v>10</v>
      </c>
      <c r="H255" s="19">
        <v>16543.213346640001</v>
      </c>
      <c r="I255" s="18">
        <v>-4662</v>
      </c>
      <c r="J255" s="20">
        <v>32.86</v>
      </c>
      <c r="K255" s="19">
        <v>-153193.32</v>
      </c>
      <c r="L255" s="12">
        <f t="shared" si="91"/>
        <v>-1.0212888E-2</v>
      </c>
      <c r="M255" s="12">
        <f t="shared" si="92"/>
        <v>-1.0298661174047369E-2</v>
      </c>
      <c r="N255" s="15" t="str">
        <f t="shared" si="93"/>
        <v/>
      </c>
      <c r="O255" s="15" t="str">
        <f t="shared" si="94"/>
        <v/>
      </c>
      <c r="P255" s="15" t="str">
        <f t="shared" si="95"/>
        <v/>
      </c>
      <c r="Q255" s="15" t="str">
        <f t="shared" si="96"/>
        <v/>
      </c>
      <c r="R255" s="55" t="str">
        <f t="shared" si="97"/>
        <v/>
      </c>
      <c r="S255" s="33" t="str">
        <f t="shared" si="98"/>
        <v/>
      </c>
      <c r="T255" s="33" t="str">
        <f t="shared" si="99"/>
        <v/>
      </c>
      <c r="U255" s="15" t="str">
        <f t="shared" si="100"/>
        <v/>
      </c>
      <c r="V255" s="15" t="str">
        <f t="shared" si="101"/>
        <v/>
      </c>
      <c r="W255" s="62" t="str">
        <f t="shared" si="102"/>
        <v/>
      </c>
      <c r="X255" s="15"/>
      <c r="Y255" s="1">
        <f t="shared" si="103"/>
        <v>8.5773174047369324E-5</v>
      </c>
      <c r="AH255" s="35">
        <v>45714</v>
      </c>
      <c r="AI255" s="31" t="s">
        <v>1012</v>
      </c>
      <c r="AJ255" s="32">
        <v>-0.01</v>
      </c>
      <c r="AK255" s="28">
        <f t="shared" si="90"/>
        <v>-1.0298661174047369E-2</v>
      </c>
      <c r="AL255" s="28" t="s">
        <v>1047</v>
      </c>
      <c r="AM255" s="28" t="s">
        <v>1012</v>
      </c>
      <c r="AN255" s="28" t="s">
        <v>1048</v>
      </c>
      <c r="AO255" s="28" t="s">
        <v>1049</v>
      </c>
      <c r="AP255" s="28" t="s">
        <v>1336</v>
      </c>
      <c r="AQ255" s="28" t="s">
        <v>73</v>
      </c>
      <c r="AR255" s="28" t="s">
        <v>13</v>
      </c>
      <c r="AS255" s="73">
        <v>6402.7369777599997</v>
      </c>
      <c r="AT255" s="8">
        <v>163.12</v>
      </c>
      <c r="AU255" s="73" t="s">
        <v>1012</v>
      </c>
      <c r="AV255" s="73" t="b">
        <f t="shared" si="104"/>
        <v>1</v>
      </c>
      <c r="AW255" s="79">
        <v>0</v>
      </c>
      <c r="AX255" s="45" t="str">
        <f t="shared" si="105"/>
        <v/>
      </c>
      <c r="AY255" s="29" t="str">
        <f t="shared" si="106"/>
        <v/>
      </c>
      <c r="AZ255" s="29" t="str">
        <f t="shared" si="107"/>
        <v/>
      </c>
      <c r="BA255" s="29" t="s">
        <v>699</v>
      </c>
      <c r="BB255" s="29">
        <f t="shared" si="108"/>
        <v>0</v>
      </c>
      <c r="BC255">
        <f t="shared" si="109"/>
        <v>0</v>
      </c>
      <c r="BD255" s="78" t="str" cm="1">
        <f t="array" ref="BD255">IF(BC255&lt;&gt;1, "", IF(AK255&gt;0, INT(AK255/SUMPRODUCT(($AK$3:$AK$1000&gt;0)*($AK$3:$AK$1000), ($BC$3:$BC$1000))*$AB$12/AT255), INT(AK255/SUMPRODUCT(($AK$3:$AK$1000&lt;0)*($AK$3:$AK$1000), ($BC$3:$BC$1000))*$AB$13/AT255)))</f>
        <v/>
      </c>
      <c r="BE255" t="str">
        <f t="shared" si="110"/>
        <v/>
      </c>
      <c r="BF255" s="65" t="str">
        <f t="shared" si="111"/>
        <v/>
      </c>
    </row>
    <row r="256" spans="2:58" x14ac:dyDescent="0.3">
      <c r="B256" s="18" t="s">
        <v>1008</v>
      </c>
      <c r="C256" s="18" t="s">
        <v>1035</v>
      </c>
      <c r="D256" s="18" t="s">
        <v>1056</v>
      </c>
      <c r="E256" s="44" t="s">
        <v>1038</v>
      </c>
      <c r="F256" s="18" t="s">
        <v>24</v>
      </c>
      <c r="G256" s="18" t="s">
        <v>10</v>
      </c>
      <c r="H256" s="19">
        <v>4034.0273099400001</v>
      </c>
      <c r="I256" s="18">
        <v>-5543</v>
      </c>
      <c r="J256" s="20">
        <v>27.66</v>
      </c>
      <c r="K256" s="19">
        <v>-153319.38</v>
      </c>
      <c r="L256" s="12">
        <f t="shared" si="91"/>
        <v>-1.0221292E-2</v>
      </c>
      <c r="M256" s="12">
        <f t="shared" si="92"/>
        <v>-1.0195674562306897E-2</v>
      </c>
      <c r="N256" s="15" t="str">
        <f t="shared" si="93"/>
        <v/>
      </c>
      <c r="O256" s="15" t="str">
        <f t="shared" si="94"/>
        <v/>
      </c>
      <c r="P256" s="15" t="str">
        <f t="shared" si="95"/>
        <v/>
      </c>
      <c r="Q256" s="15" t="str">
        <f t="shared" si="96"/>
        <v/>
      </c>
      <c r="R256" s="55" t="str">
        <f t="shared" si="97"/>
        <v/>
      </c>
      <c r="S256" s="33" t="str">
        <f t="shared" si="98"/>
        <v/>
      </c>
      <c r="T256" s="33" t="str">
        <f t="shared" si="99"/>
        <v/>
      </c>
      <c r="U256" s="15" t="str">
        <f t="shared" si="100"/>
        <v/>
      </c>
      <c r="V256" s="15" t="str">
        <f t="shared" si="101"/>
        <v/>
      </c>
      <c r="W256" s="62" t="str">
        <f t="shared" si="102"/>
        <v/>
      </c>
      <c r="X256" s="15"/>
      <c r="Y256" s="1">
        <f t="shared" si="103"/>
        <v>-2.5617437693102596E-5</v>
      </c>
      <c r="AH256" s="35">
        <v>45714</v>
      </c>
      <c r="AI256" s="31" t="s">
        <v>584</v>
      </c>
      <c r="AJ256" s="32">
        <v>-0.01</v>
      </c>
      <c r="AK256" s="28">
        <f t="shared" si="90"/>
        <v>-1.0298661174047369E-2</v>
      </c>
      <c r="AL256" s="28" t="s">
        <v>604</v>
      </c>
      <c r="AM256" s="28" t="s">
        <v>584</v>
      </c>
      <c r="AN256" s="28" t="s">
        <v>1800</v>
      </c>
      <c r="AO256" s="28" t="s">
        <v>605</v>
      </c>
      <c r="AP256" s="28" t="s">
        <v>1403</v>
      </c>
      <c r="AQ256" s="28" t="s">
        <v>73</v>
      </c>
      <c r="AR256" s="28" t="s">
        <v>11</v>
      </c>
      <c r="AS256" s="73">
        <v>4892.1735281000001</v>
      </c>
      <c r="AT256" s="8">
        <v>153.94999999999999</v>
      </c>
      <c r="AU256" s="73" t="s">
        <v>584</v>
      </c>
      <c r="AV256" s="73" t="b">
        <f t="shared" si="104"/>
        <v>1</v>
      </c>
      <c r="AW256" s="79">
        <v>0</v>
      </c>
      <c r="AX256" s="45" t="str">
        <f t="shared" si="105"/>
        <v/>
      </c>
      <c r="AY256" s="29" t="str">
        <f t="shared" si="106"/>
        <v/>
      </c>
      <c r="AZ256" s="29" t="str">
        <f t="shared" si="107"/>
        <v/>
      </c>
      <c r="BA256" s="29" t="s">
        <v>699</v>
      </c>
      <c r="BB256" s="29">
        <f t="shared" si="108"/>
        <v>0</v>
      </c>
      <c r="BC256">
        <f t="shared" si="109"/>
        <v>0</v>
      </c>
      <c r="BD256" s="78" t="str" cm="1">
        <f t="array" ref="BD256">IF(BC256&lt;&gt;1, "", IF(AK256&gt;0, INT(AK256/SUMPRODUCT(($AK$3:$AK$1000&gt;0)*($AK$3:$AK$1000), ($BC$3:$BC$1000))*$AB$12/AT256), INT(AK256/SUMPRODUCT(($AK$3:$AK$1000&lt;0)*($AK$3:$AK$1000), ($BC$3:$BC$1000))*$AB$13/AT256)))</f>
        <v/>
      </c>
      <c r="BE256" t="str">
        <f t="shared" si="110"/>
        <v/>
      </c>
      <c r="BF256" s="65" t="str">
        <f t="shared" si="111"/>
        <v/>
      </c>
    </row>
    <row r="257" spans="2:58" x14ac:dyDescent="0.3">
      <c r="B257" s="18" t="s">
        <v>630</v>
      </c>
      <c r="C257" s="18" t="s">
        <v>643</v>
      </c>
      <c r="D257" s="18" t="s">
        <v>652</v>
      </c>
      <c r="E257" s="44" t="s">
        <v>637</v>
      </c>
      <c r="F257" s="18" t="s">
        <v>11</v>
      </c>
      <c r="G257" s="18" t="s">
        <v>10</v>
      </c>
      <c r="H257" s="19">
        <v>1672.1480948800001</v>
      </c>
      <c r="I257" s="18">
        <v>-2403</v>
      </c>
      <c r="J257" s="20">
        <v>63.92</v>
      </c>
      <c r="K257" s="19">
        <v>-153599.76</v>
      </c>
      <c r="L257" s="12">
        <f t="shared" si="91"/>
        <v>-1.0239984000000001E-2</v>
      </c>
      <c r="M257" s="12">
        <f t="shared" si="92"/>
        <v>-1.0298661174047369E-2</v>
      </c>
      <c r="N257" s="15" t="str">
        <f t="shared" si="93"/>
        <v/>
      </c>
      <c r="O257" s="15" t="str">
        <f t="shared" si="94"/>
        <v/>
      </c>
      <c r="P257" s="15" t="str">
        <f t="shared" si="95"/>
        <v/>
      </c>
      <c r="Q257" s="15" t="str">
        <f t="shared" si="96"/>
        <v/>
      </c>
      <c r="R257" s="55" t="str">
        <f t="shared" si="97"/>
        <v/>
      </c>
      <c r="S257" s="33" t="str">
        <f t="shared" si="98"/>
        <v/>
      </c>
      <c r="T257" s="33" t="str">
        <f t="shared" si="99"/>
        <v/>
      </c>
      <c r="U257" s="15" t="str">
        <f t="shared" si="100"/>
        <v/>
      </c>
      <c r="V257" s="15" t="str">
        <f t="shared" si="101"/>
        <v/>
      </c>
      <c r="W257" s="62" t="str">
        <f t="shared" si="102"/>
        <v/>
      </c>
      <c r="X257" s="15"/>
      <c r="Y257" s="1">
        <f t="shared" si="103"/>
        <v>5.8677174047368566E-5</v>
      </c>
      <c r="AH257" s="35">
        <v>45714</v>
      </c>
      <c r="AI257" s="31" t="s">
        <v>535</v>
      </c>
      <c r="AJ257" s="32">
        <v>-0.01</v>
      </c>
      <c r="AK257" s="28">
        <f t="shared" si="90"/>
        <v>-1.0298661174047369E-2</v>
      </c>
      <c r="AL257" s="28" t="s">
        <v>545</v>
      </c>
      <c r="AM257" s="28" t="s">
        <v>535</v>
      </c>
      <c r="AN257" s="28" t="s">
        <v>546</v>
      </c>
      <c r="AO257" s="28" t="s">
        <v>547</v>
      </c>
      <c r="AP257" s="28" t="s">
        <v>548</v>
      </c>
      <c r="AQ257" s="28" t="s">
        <v>73</v>
      </c>
      <c r="AR257" s="28" t="s">
        <v>23</v>
      </c>
      <c r="AS257" s="73">
        <v>5286.3875478</v>
      </c>
      <c r="AT257" s="8">
        <v>102.78</v>
      </c>
      <c r="AU257" s="73" t="s">
        <v>535</v>
      </c>
      <c r="AV257" s="73" t="b">
        <f t="shared" si="104"/>
        <v>1</v>
      </c>
      <c r="AW257" s="79">
        <v>0</v>
      </c>
      <c r="AX257" s="45" t="str">
        <f t="shared" si="105"/>
        <v/>
      </c>
      <c r="AY257" s="29" t="str">
        <f t="shared" si="106"/>
        <v/>
      </c>
      <c r="AZ257" s="29" t="str">
        <f t="shared" si="107"/>
        <v/>
      </c>
      <c r="BA257" s="29" t="s">
        <v>699</v>
      </c>
      <c r="BB257" s="29">
        <f t="shared" si="108"/>
        <v>0</v>
      </c>
      <c r="BC257">
        <f t="shared" si="109"/>
        <v>0</v>
      </c>
      <c r="BD257" s="78" t="str" cm="1">
        <f t="array" ref="BD257">IF(BC257&lt;&gt;1, "", IF(AK257&gt;0, INT(AK257/SUMPRODUCT(($AK$3:$AK$1000&gt;0)*($AK$3:$AK$1000), ($BC$3:$BC$1000))*$AB$12/AT257), INT(AK257/SUMPRODUCT(($AK$3:$AK$1000&lt;0)*($AK$3:$AK$1000), ($BC$3:$BC$1000))*$AB$13/AT257)))</f>
        <v/>
      </c>
      <c r="BE257" t="str">
        <f t="shared" si="110"/>
        <v/>
      </c>
      <c r="BF257" s="65" t="str">
        <f t="shared" si="111"/>
        <v/>
      </c>
    </row>
    <row r="258" spans="2:58" x14ac:dyDescent="0.3">
      <c r="B258" s="18" t="s">
        <v>953</v>
      </c>
      <c r="C258" s="18" t="s">
        <v>983</v>
      </c>
      <c r="D258" s="18" t="s">
        <v>999</v>
      </c>
      <c r="E258" s="44" t="s">
        <v>986</v>
      </c>
      <c r="F258" s="18" t="s">
        <v>11</v>
      </c>
      <c r="G258" s="18" t="s">
        <v>10</v>
      </c>
      <c r="H258" s="19">
        <v>1609.7848855200002</v>
      </c>
      <c r="I258" s="18">
        <v>-3587</v>
      </c>
      <c r="J258" s="20">
        <v>42.84</v>
      </c>
      <c r="K258" s="19">
        <v>-153667.08000000002</v>
      </c>
      <c r="L258" s="12">
        <f t="shared" si="91"/>
        <v>-1.0244472000000001E-2</v>
      </c>
      <c r="M258" s="12">
        <f t="shared" si="92"/>
        <v>-5.252317198764159E-3</v>
      </c>
      <c r="N258" s="15" t="str">
        <f t="shared" si="93"/>
        <v/>
      </c>
      <c r="O258" s="15" t="str">
        <f t="shared" si="94"/>
        <v/>
      </c>
      <c r="P258" s="15">
        <f t="shared" si="95"/>
        <v>1</v>
      </c>
      <c r="Q258" s="15" t="str">
        <f t="shared" si="96"/>
        <v>BuyToCover</v>
      </c>
      <c r="R258" s="55">
        <f t="shared" si="97"/>
        <v>1747</v>
      </c>
      <c r="S258" s="33">
        <f t="shared" si="98"/>
        <v>74841.48000000001</v>
      </c>
      <c r="T258" s="33" t="str">
        <f t="shared" si="99"/>
        <v/>
      </c>
      <c r="U258" s="15" t="str">
        <f t="shared" si="100"/>
        <v/>
      </c>
      <c r="V258" s="15">
        <f t="shared" si="101"/>
        <v>17.47</v>
      </c>
      <c r="W258" s="62">
        <f t="shared" si="102"/>
        <v>2.3342670401493927E-4</v>
      </c>
      <c r="X258" s="15"/>
      <c r="Y258" s="1">
        <f t="shared" si="103"/>
        <v>-4.9921548012358419E-3</v>
      </c>
      <c r="AH258" s="35">
        <v>45714</v>
      </c>
      <c r="AI258" s="31" t="s">
        <v>30</v>
      </c>
      <c r="AJ258" s="32">
        <v>-0.01</v>
      </c>
      <c r="AK258" s="28">
        <f t="shared" si="90"/>
        <v>-1.0298661174047369E-2</v>
      </c>
      <c r="AL258" s="28" t="s">
        <v>52</v>
      </c>
      <c r="AM258" s="28" t="s">
        <v>30</v>
      </c>
      <c r="AN258" s="28" t="s">
        <v>469</v>
      </c>
      <c r="AO258" s="28" t="s">
        <v>81</v>
      </c>
      <c r="AP258" s="28" t="s">
        <v>62</v>
      </c>
      <c r="AQ258" s="28" t="s">
        <v>73</v>
      </c>
      <c r="AR258" s="28" t="s">
        <v>13</v>
      </c>
      <c r="AS258" s="73">
        <v>1249.20471453</v>
      </c>
      <c r="AT258" s="8">
        <v>189.17</v>
      </c>
      <c r="AU258" s="73" t="s">
        <v>30</v>
      </c>
      <c r="AV258" s="73" t="b">
        <f t="shared" si="104"/>
        <v>1</v>
      </c>
      <c r="AW258" s="79">
        <v>0</v>
      </c>
      <c r="AX258" s="45" t="str">
        <f t="shared" si="105"/>
        <v/>
      </c>
      <c r="AY258" s="29" t="str">
        <f t="shared" si="106"/>
        <v/>
      </c>
      <c r="AZ258" s="29" t="str">
        <f t="shared" si="107"/>
        <v/>
      </c>
      <c r="BA258" s="29" t="s">
        <v>699</v>
      </c>
      <c r="BB258" s="29">
        <f t="shared" si="108"/>
        <v>0</v>
      </c>
      <c r="BC258">
        <f t="shared" si="109"/>
        <v>0</v>
      </c>
      <c r="BD258" s="78" t="str" cm="1">
        <f t="array" ref="BD258">IF(BC258&lt;&gt;1, "", IF(AK258&gt;0, INT(AK258/SUMPRODUCT(($AK$3:$AK$1000&gt;0)*($AK$3:$AK$1000), ($BC$3:$BC$1000))*$AB$12/AT258), INT(AK258/SUMPRODUCT(($AK$3:$AK$1000&lt;0)*($AK$3:$AK$1000), ($BC$3:$BC$1000))*$AB$13/AT258)))</f>
        <v/>
      </c>
      <c r="BE258" t="str">
        <f t="shared" si="110"/>
        <v/>
      </c>
      <c r="BF258" s="65" t="str">
        <f t="shared" si="111"/>
        <v/>
      </c>
    </row>
    <row r="259" spans="2:58" x14ac:dyDescent="0.3">
      <c r="B259" s="18" t="s">
        <v>47</v>
      </c>
      <c r="C259" s="18" t="s">
        <v>53</v>
      </c>
      <c r="D259" s="18" t="s">
        <v>92</v>
      </c>
      <c r="E259" s="44" t="s">
        <v>210</v>
      </c>
      <c r="F259" s="18" t="s">
        <v>24</v>
      </c>
      <c r="G259" s="18" t="s">
        <v>10</v>
      </c>
      <c r="H259" s="19">
        <v>445.54098040000002</v>
      </c>
      <c r="I259" s="18">
        <v>-3674</v>
      </c>
      <c r="J259" s="20">
        <v>41.84</v>
      </c>
      <c r="K259" s="19">
        <v>-153720.16</v>
      </c>
      <c r="L259" s="12">
        <f t="shared" si="91"/>
        <v>-1.0248010666666666E-2</v>
      </c>
      <c r="M259" s="12">
        <f t="shared" si="92"/>
        <v>-1.0298661174047369E-2</v>
      </c>
      <c r="N259" s="15" t="str">
        <f t="shared" si="93"/>
        <v/>
      </c>
      <c r="O259" s="15" t="str">
        <f t="shared" si="94"/>
        <v/>
      </c>
      <c r="P259" s="15" t="str">
        <f t="shared" si="95"/>
        <v/>
      </c>
      <c r="Q259" s="15" t="str">
        <f t="shared" si="96"/>
        <v/>
      </c>
      <c r="R259" s="55" t="str">
        <f t="shared" si="97"/>
        <v/>
      </c>
      <c r="S259" s="33" t="str">
        <f t="shared" si="98"/>
        <v/>
      </c>
      <c r="T259" s="33" t="str">
        <f t="shared" si="99"/>
        <v/>
      </c>
      <c r="U259" s="15" t="str">
        <f t="shared" si="100"/>
        <v/>
      </c>
      <c r="V259" s="15" t="str">
        <f t="shared" si="101"/>
        <v/>
      </c>
      <c r="W259" s="62" t="str">
        <f t="shared" si="102"/>
        <v/>
      </c>
      <c r="X259" s="15"/>
      <c r="Y259" s="1">
        <f t="shared" si="103"/>
        <v>5.0650507380702731E-5</v>
      </c>
      <c r="AH259" s="35">
        <v>45714</v>
      </c>
      <c r="AI259" s="31" t="s">
        <v>905</v>
      </c>
      <c r="AJ259" s="32">
        <v>-0.01</v>
      </c>
      <c r="AK259" s="28">
        <f t="shared" ref="AK259:AK301" si="112">IF(BB259=1, 0, IF(AJ259&gt;0, AJ259/SUMIFS($AJ$3:$AJ$501, $BB$3:$BB$501, "&lt;&gt;1", $AJ$3:$AJ$501, "&gt;0"), AJ259/-SUMIFS($AJ$3:$AJ$501, $BB$3:$BB$501, "&lt;&gt;1", $AJ$3:$AJ$501, "&lt;0")))</f>
        <v>-1.0298661174047369E-2</v>
      </c>
      <c r="AL259" s="28" t="s">
        <v>928</v>
      </c>
      <c r="AM259" s="28" t="s">
        <v>905</v>
      </c>
      <c r="AN259" s="28" t="s">
        <v>929</v>
      </c>
      <c r="AO259" s="28" t="s">
        <v>930</v>
      </c>
      <c r="AP259" s="28" t="s">
        <v>931</v>
      </c>
      <c r="AQ259" s="28" t="s">
        <v>73</v>
      </c>
      <c r="AR259" s="28" t="s">
        <v>23</v>
      </c>
      <c r="AS259" s="73">
        <v>486.94788776000001</v>
      </c>
      <c r="AT259" s="8">
        <v>48.74</v>
      </c>
      <c r="AU259" s="73" t="s">
        <v>905</v>
      </c>
      <c r="AV259" s="73" t="b">
        <f t="shared" si="104"/>
        <v>1</v>
      </c>
      <c r="AW259" s="79">
        <v>0</v>
      </c>
      <c r="AX259" s="45" t="str">
        <f t="shared" si="105"/>
        <v/>
      </c>
      <c r="AY259" s="29" t="str">
        <f t="shared" si="106"/>
        <v/>
      </c>
      <c r="AZ259" s="29" t="str">
        <f t="shared" si="107"/>
        <v/>
      </c>
      <c r="BA259" s="29" t="s">
        <v>699</v>
      </c>
      <c r="BB259" s="29">
        <f t="shared" si="108"/>
        <v>0</v>
      </c>
      <c r="BC259">
        <f t="shared" si="109"/>
        <v>0</v>
      </c>
      <c r="BD259" s="78" t="str" cm="1">
        <f t="array" ref="BD259">IF(BC259&lt;&gt;1, "", IF(AK259&gt;0, INT(AK259/SUMPRODUCT(($AK$3:$AK$1000&gt;0)*($AK$3:$AK$1000), ($BC$3:$BC$1000))*$AB$12/AT259), INT(AK259/SUMPRODUCT(($AK$3:$AK$1000&lt;0)*($AK$3:$AK$1000), ($BC$3:$BC$1000))*$AB$13/AT259)))</f>
        <v/>
      </c>
      <c r="BE259" t="str">
        <f t="shared" si="110"/>
        <v/>
      </c>
      <c r="BF259" s="65" t="str">
        <f t="shared" si="111"/>
        <v/>
      </c>
    </row>
    <row r="260" spans="2:58" x14ac:dyDescent="0.3">
      <c r="B260" s="18" t="s">
        <v>418</v>
      </c>
      <c r="C260" s="18" t="s">
        <v>438</v>
      </c>
      <c r="D260" s="18" t="s">
        <v>480</v>
      </c>
      <c r="E260" s="44" t="s">
        <v>440</v>
      </c>
      <c r="F260" s="18" t="s">
        <v>24</v>
      </c>
      <c r="G260" s="18" t="s">
        <v>10</v>
      </c>
      <c r="H260" s="19">
        <v>2599.04300371</v>
      </c>
      <c r="I260" s="18">
        <v>-5288</v>
      </c>
      <c r="J260" s="20">
        <v>29.17</v>
      </c>
      <c r="K260" s="19">
        <v>-154250.96000000002</v>
      </c>
      <c r="L260" s="12">
        <f t="shared" ref="L260:L287" si="113">IF(K260&gt;0,K260/$AB$22,K260/$AB$23)</f>
        <v>-1.0283397333333335E-2</v>
      </c>
      <c r="M260" s="12">
        <f t="shared" ref="M260:M287" si="114">IFERROR(VLOOKUP(B260,$AI$3:$AK$501,3,FALSE),0)</f>
        <v>-1.0298661174047369E-2</v>
      </c>
      <c r="N260" s="15" t="str">
        <f t="shared" ref="N260:N287" si="115">IF(OR(AND(L260&lt;0,M260&gt;0),AND(L260&gt;0,M260&lt;0)),1,"")</f>
        <v/>
      </c>
      <c r="O260" s="15" t="str">
        <f t="shared" ref="O260:O287" si="116">IF(M260=0,1,"")</f>
        <v/>
      </c>
      <c r="P260" s="15" t="str">
        <f t="shared" ref="P260:P287" si="117">IFERROR(IF(ABS(L260/M260-1)&gt;$Q$2,1,""),"")</f>
        <v/>
      </c>
      <c r="Q260" s="15" t="str">
        <f t="shared" ref="Q260:Q287" si="118">IF(P260&lt;&gt;1, "", IF(AND(L260&gt;0, M260&gt;L260), "Buy", IF(AND(L260&gt;0, M260&lt;L260), "Sell", IF(AND(L260&lt;0, M260&gt;L260), "BuyToCover", IF(AND(L260&lt;0, M260&lt;L260), "SellShort", "")))))</f>
        <v/>
      </c>
      <c r="R260" s="55" t="str">
        <f t="shared" ref="R260:R287" si="119">IFERROR(IF(INT(P260*(ABS(ABS(L260-M260)/ABS(L260)*I260)))=0,1,INT(P260*(ABS(ABS(L260-M260)/ABS(L260)*I260)))),"")</f>
        <v/>
      </c>
      <c r="S260" s="33" t="str">
        <f t="shared" ref="S260:S287" si="120">IFERROR(R260*J260,"")</f>
        <v/>
      </c>
      <c r="T260" s="33" t="str">
        <f t="shared" ref="T260:T287" si="121">IF(O260&lt;&gt;1,"",IF(K260&gt;0,"Sell","BuyToCover"))</f>
        <v/>
      </c>
      <c r="U260" s="15" t="str">
        <f t="shared" ref="U260:U287" si="122">IFERROR(INT(ABS(O260*I260)),"")</f>
        <v/>
      </c>
      <c r="V260" s="15" t="str">
        <f t="shared" ref="V260:V287" si="123">IFERROR(R260*0.01,"")</f>
        <v/>
      </c>
      <c r="W260" s="62" t="str">
        <f t="shared" ref="W260:W287" si="124">IFERROR(V260/S260,"")</f>
        <v/>
      </c>
      <c r="X260" s="15"/>
      <c r="Y260" s="1">
        <f t="shared" ref="Y260:Y287" si="125">L260-M260</f>
        <v>1.5263840714034582E-5</v>
      </c>
      <c r="AH260" s="35">
        <v>45714</v>
      </c>
      <c r="AI260" s="31" t="s">
        <v>682</v>
      </c>
      <c r="AJ260" s="32">
        <v>-0.01</v>
      </c>
      <c r="AK260" s="28">
        <f t="shared" si="112"/>
        <v>-1.0298661174047369E-2</v>
      </c>
      <c r="AL260" s="28" t="s">
        <v>686</v>
      </c>
      <c r="AM260" s="28" t="s">
        <v>682</v>
      </c>
      <c r="AN260" s="28" t="s">
        <v>1801</v>
      </c>
      <c r="AO260" s="28" t="s">
        <v>687</v>
      </c>
      <c r="AP260" s="28" t="s">
        <v>688</v>
      </c>
      <c r="AQ260" s="28" t="s">
        <v>73</v>
      </c>
      <c r="AR260" s="28" t="s">
        <v>13</v>
      </c>
      <c r="AS260" s="73">
        <v>14887.01819268</v>
      </c>
      <c r="AT260" s="8">
        <v>196.44</v>
      </c>
      <c r="AU260" s="73" t="s">
        <v>682</v>
      </c>
      <c r="AV260" s="73" t="b">
        <f t="shared" ref="AV260:AV301" si="126">AU260=AI260</f>
        <v>1</v>
      </c>
      <c r="AW260" s="79">
        <v>0</v>
      </c>
      <c r="AX260" s="45" t="str">
        <f t="shared" ref="AX260:AX301" si="127">IF(OR(AND(ISNUMBER(AW260), AW260 &gt; 0, AJ260 &gt; 0), AND(ISNUMBER(AW260), AW260 &lt; 0, AJ260 &lt; 0)), 1, "")</f>
        <v/>
      </c>
      <c r="AY260" s="29" t="str">
        <f t="shared" ref="AY260:AY301" si="128">IF(OR(AND(AW260&gt;0,AJ260&lt;0),AND(AW260&lt;0,AJ260&gt;0)),1,"")</f>
        <v/>
      </c>
      <c r="AZ260" s="29" t="str">
        <f t="shared" ref="AZ260:AZ301" si="129">IF(AQ260="United States of America","", 1)</f>
        <v/>
      </c>
      <c r="BA260" s="29" t="s">
        <v>699</v>
      </c>
      <c r="BB260" s="29">
        <f t="shared" ref="BB260:BB301" si="130">MAX(AZ260,AY260,BA260)</f>
        <v>0</v>
      </c>
      <c r="BC260">
        <f t="shared" ref="BC260:BC301" si="131">IF(AND(ISNA(VLOOKUP(AI260,$B$3:$Y$500,3,FALSE)),BB260=0),1,0)</f>
        <v>0</v>
      </c>
      <c r="BD260" s="78" t="str" cm="1">
        <f t="array" ref="BD260">IF(BC260&lt;&gt;1, "", IF(AK260&gt;0, INT(AK260/SUMPRODUCT(($AK$3:$AK$1000&gt;0)*($AK$3:$AK$1000), ($BC$3:$BC$1000))*$AB$12/AT260), INT(AK260/SUMPRODUCT(($AK$3:$AK$1000&lt;0)*($AK$3:$AK$1000), ($BC$3:$BC$1000))*$AB$13/AT260)))</f>
        <v/>
      </c>
      <c r="BE260" t="str">
        <f t="shared" ref="BE260:BE301" si="132">IF(BC260&lt;&gt;1,"",IF(AK260&gt;0,"Buy","SellShort"))</f>
        <v/>
      </c>
      <c r="BF260" s="65" t="str">
        <f t="shared" ref="BF260:BF301" si="133">IFERROR(BD260*AT260,"")</f>
        <v/>
      </c>
    </row>
    <row r="261" spans="2:58" x14ac:dyDescent="0.3">
      <c r="B261" s="18" t="s">
        <v>557</v>
      </c>
      <c r="C261" s="18" t="s">
        <v>570</v>
      </c>
      <c r="D261" s="18" t="s">
        <v>577</v>
      </c>
      <c r="E261" s="44" t="s">
        <v>572</v>
      </c>
      <c r="F261" s="18" t="s">
        <v>23</v>
      </c>
      <c r="G261" s="18" t="s">
        <v>10</v>
      </c>
      <c r="H261" s="19">
        <v>541.98670454000001</v>
      </c>
      <c r="I261" s="18">
        <v>-17570</v>
      </c>
      <c r="J261" s="20">
        <v>8.7799999999999994</v>
      </c>
      <c r="K261" s="19">
        <v>-154264.59999999998</v>
      </c>
      <c r="L261" s="12">
        <f t="shared" si="113"/>
        <v>-1.0284306666666665E-2</v>
      </c>
      <c r="M261" s="12">
        <f t="shared" si="114"/>
        <v>-1.0298661174047369E-2</v>
      </c>
      <c r="N261" s="15" t="str">
        <f t="shared" si="115"/>
        <v/>
      </c>
      <c r="O261" s="15" t="str">
        <f t="shared" si="116"/>
        <v/>
      </c>
      <c r="P261" s="15" t="str">
        <f t="shared" si="117"/>
        <v/>
      </c>
      <c r="Q261" s="15" t="str">
        <f t="shared" si="118"/>
        <v/>
      </c>
      <c r="R261" s="55" t="str">
        <f t="shared" si="119"/>
        <v/>
      </c>
      <c r="S261" s="33" t="str">
        <f t="shared" si="120"/>
        <v/>
      </c>
      <c r="T261" s="33" t="str">
        <f t="shared" si="121"/>
        <v/>
      </c>
      <c r="U261" s="15" t="str">
        <f t="shared" si="122"/>
        <v/>
      </c>
      <c r="V261" s="15" t="str">
        <f t="shared" si="123"/>
        <v/>
      </c>
      <c r="W261" s="62" t="str">
        <f t="shared" si="124"/>
        <v/>
      </c>
      <c r="X261" s="15"/>
      <c r="Y261" s="1">
        <f t="shared" si="125"/>
        <v>1.4354507380704568E-5</v>
      </c>
      <c r="AH261" s="35">
        <v>45714</v>
      </c>
      <c r="AI261" s="31" t="s">
        <v>952</v>
      </c>
      <c r="AJ261" s="32">
        <v>-0.01</v>
      </c>
      <c r="AK261" s="28">
        <f t="shared" si="112"/>
        <v>-1.0298661174047369E-2</v>
      </c>
      <c r="AL261" s="28" t="s">
        <v>980</v>
      </c>
      <c r="AM261" s="28" t="s">
        <v>952</v>
      </c>
      <c r="AN261" s="28" t="s">
        <v>1802</v>
      </c>
      <c r="AO261" s="28" t="s">
        <v>981</v>
      </c>
      <c r="AP261" s="28" t="s">
        <v>982</v>
      </c>
      <c r="AQ261" s="28" t="s">
        <v>73</v>
      </c>
      <c r="AR261" s="28" t="s">
        <v>11</v>
      </c>
      <c r="AS261" s="73">
        <v>26666.642395800001</v>
      </c>
      <c r="AT261" s="8">
        <v>45.54</v>
      </c>
      <c r="AU261" s="73" t="s">
        <v>952</v>
      </c>
      <c r="AV261" s="73" t="b">
        <f t="shared" si="126"/>
        <v>1</v>
      </c>
      <c r="AW261" s="79">
        <v>0</v>
      </c>
      <c r="AX261" s="45" t="str">
        <f t="shared" si="127"/>
        <v/>
      </c>
      <c r="AY261" s="29" t="str">
        <f t="shared" si="128"/>
        <v/>
      </c>
      <c r="AZ261" s="29" t="str">
        <f t="shared" si="129"/>
        <v/>
      </c>
      <c r="BA261" s="29" t="s">
        <v>699</v>
      </c>
      <c r="BB261" s="29">
        <f t="shared" si="130"/>
        <v>0</v>
      </c>
      <c r="BC261">
        <f t="shared" si="131"/>
        <v>0</v>
      </c>
      <c r="BD261" s="78" t="str" cm="1">
        <f t="array" ref="BD261">IF(BC261&lt;&gt;1, "", IF(AK261&gt;0, INT(AK261/SUMPRODUCT(($AK$3:$AK$1000&gt;0)*($AK$3:$AK$1000), ($BC$3:$BC$1000))*$AB$12/AT261), INT(AK261/SUMPRODUCT(($AK$3:$AK$1000&lt;0)*($AK$3:$AK$1000), ($BC$3:$BC$1000))*$AB$13/AT261)))</f>
        <v/>
      </c>
      <c r="BE261" t="str">
        <f t="shared" si="132"/>
        <v/>
      </c>
      <c r="BF261" s="65" t="str">
        <f t="shared" si="133"/>
        <v/>
      </c>
    </row>
    <row r="262" spans="2:58" x14ac:dyDescent="0.3">
      <c r="B262" s="18" t="s">
        <v>1011</v>
      </c>
      <c r="C262" s="18" t="s">
        <v>1044</v>
      </c>
      <c r="D262" s="18" t="s">
        <v>1059</v>
      </c>
      <c r="E262" s="44" t="s">
        <v>1046</v>
      </c>
      <c r="F262" s="18" t="s">
        <v>20</v>
      </c>
      <c r="G262" s="18" t="s">
        <v>10</v>
      </c>
      <c r="H262" s="19">
        <v>15917.6740849</v>
      </c>
      <c r="I262" s="18">
        <v>-702</v>
      </c>
      <c r="J262" s="20">
        <v>220.15</v>
      </c>
      <c r="K262" s="19">
        <v>-154545.30000000002</v>
      </c>
      <c r="L262" s="12">
        <f t="shared" si="113"/>
        <v>-1.0303020000000001E-2</v>
      </c>
      <c r="M262" s="12">
        <f t="shared" si="114"/>
        <v>-1.0298661174047369E-2</v>
      </c>
      <c r="N262" s="15" t="str">
        <f t="shared" si="115"/>
        <v/>
      </c>
      <c r="O262" s="15" t="str">
        <f t="shared" si="116"/>
        <v/>
      </c>
      <c r="P262" s="15" t="str">
        <f t="shared" si="117"/>
        <v/>
      </c>
      <c r="Q262" s="15" t="str">
        <f t="shared" si="118"/>
        <v/>
      </c>
      <c r="R262" s="55" t="str">
        <f t="shared" si="119"/>
        <v/>
      </c>
      <c r="S262" s="33" t="str">
        <f t="shared" si="120"/>
        <v/>
      </c>
      <c r="T262" s="33" t="str">
        <f t="shared" si="121"/>
        <v/>
      </c>
      <c r="U262" s="15" t="str">
        <f t="shared" si="122"/>
        <v/>
      </c>
      <c r="V262" s="15" t="str">
        <f t="shared" si="123"/>
        <v/>
      </c>
      <c r="W262" s="62" t="str">
        <f t="shared" si="124"/>
        <v/>
      </c>
      <c r="X262" s="15"/>
      <c r="Y262" s="1">
        <f t="shared" si="125"/>
        <v>-4.3588259526321227E-6</v>
      </c>
      <c r="AH262" s="35">
        <v>45714</v>
      </c>
      <c r="AI262" s="31" t="s">
        <v>586</v>
      </c>
      <c r="AJ262" s="32">
        <v>-0.01</v>
      </c>
      <c r="AK262" s="28">
        <f t="shared" si="112"/>
        <v>-1.0298661174047369E-2</v>
      </c>
      <c r="AL262" s="28" t="s">
        <v>608</v>
      </c>
      <c r="AM262" s="28" t="s">
        <v>586</v>
      </c>
      <c r="AN262" s="28" t="s">
        <v>609</v>
      </c>
      <c r="AO262" s="28" t="s">
        <v>610</v>
      </c>
      <c r="AP262" s="28" t="s">
        <v>611</v>
      </c>
      <c r="AQ262" s="28" t="s">
        <v>73</v>
      </c>
      <c r="AR262" s="28" t="s">
        <v>23</v>
      </c>
      <c r="AS262" s="73">
        <v>643.74690439999995</v>
      </c>
      <c r="AT262" s="8">
        <v>33.200000000000003</v>
      </c>
      <c r="AU262" s="73" t="s">
        <v>586</v>
      </c>
      <c r="AV262" s="73" t="b">
        <f t="shared" si="126"/>
        <v>1</v>
      </c>
      <c r="AW262" s="79">
        <v>0</v>
      </c>
      <c r="AX262" s="45" t="str">
        <f t="shared" si="127"/>
        <v/>
      </c>
      <c r="AY262" s="29" t="str">
        <f t="shared" si="128"/>
        <v/>
      </c>
      <c r="AZ262" s="29" t="str">
        <f t="shared" si="129"/>
        <v/>
      </c>
      <c r="BA262" s="29" t="s">
        <v>699</v>
      </c>
      <c r="BB262" s="29">
        <f t="shared" si="130"/>
        <v>0</v>
      </c>
      <c r="BC262">
        <f t="shared" si="131"/>
        <v>0</v>
      </c>
      <c r="BD262" s="78" t="str" cm="1">
        <f t="array" ref="BD262">IF(BC262&lt;&gt;1, "", IF(AK262&gt;0, INT(AK262/SUMPRODUCT(($AK$3:$AK$1000&gt;0)*($AK$3:$AK$1000), ($BC$3:$BC$1000))*$AB$12/AT262), INT(AK262/SUMPRODUCT(($AK$3:$AK$1000&lt;0)*($AK$3:$AK$1000), ($BC$3:$BC$1000))*$AB$13/AT262)))</f>
        <v/>
      </c>
      <c r="BE262" t="str">
        <f t="shared" si="132"/>
        <v/>
      </c>
      <c r="BF262" s="65" t="str">
        <f t="shared" si="133"/>
        <v/>
      </c>
    </row>
    <row r="263" spans="2:58" x14ac:dyDescent="0.3">
      <c r="B263" s="18" t="s">
        <v>777</v>
      </c>
      <c r="C263" s="18" t="s">
        <v>823</v>
      </c>
      <c r="D263" s="18" t="s">
        <v>842</v>
      </c>
      <c r="E263" s="44" t="s">
        <v>826</v>
      </c>
      <c r="F263" s="18" t="s">
        <v>23</v>
      </c>
      <c r="G263" s="18" t="s">
        <v>10</v>
      </c>
      <c r="H263" s="19">
        <v>21444.711976499999</v>
      </c>
      <c r="I263" s="18">
        <v>-2721</v>
      </c>
      <c r="J263" s="20">
        <v>56.85</v>
      </c>
      <c r="K263" s="19">
        <v>-154688.85</v>
      </c>
      <c r="L263" s="12">
        <f t="shared" si="113"/>
        <v>-1.031259E-2</v>
      </c>
      <c r="M263" s="12">
        <f t="shared" si="114"/>
        <v>-1.0298661174047369E-2</v>
      </c>
      <c r="N263" s="15" t="str">
        <f t="shared" si="115"/>
        <v/>
      </c>
      <c r="O263" s="15" t="str">
        <f t="shared" si="116"/>
        <v/>
      </c>
      <c r="P263" s="15" t="str">
        <f t="shared" si="117"/>
        <v/>
      </c>
      <c r="Q263" s="15" t="str">
        <f t="shared" si="118"/>
        <v/>
      </c>
      <c r="R263" s="55" t="str">
        <f t="shared" si="119"/>
        <v/>
      </c>
      <c r="S263" s="33" t="str">
        <f t="shared" si="120"/>
        <v/>
      </c>
      <c r="T263" s="33" t="str">
        <f t="shared" si="121"/>
        <v/>
      </c>
      <c r="U263" s="15" t="str">
        <f t="shared" si="122"/>
        <v/>
      </c>
      <c r="V263" s="15" t="str">
        <f t="shared" si="123"/>
        <v/>
      </c>
      <c r="W263" s="62" t="str">
        <f t="shared" si="124"/>
        <v/>
      </c>
      <c r="X263" s="15"/>
      <c r="Y263" s="1">
        <f t="shared" si="125"/>
        <v>-1.3928825952630799E-5</v>
      </c>
      <c r="AH263" s="35">
        <v>45714</v>
      </c>
      <c r="AI263" s="31" t="s">
        <v>31</v>
      </c>
      <c r="AJ263" s="32">
        <v>-0.01</v>
      </c>
      <c r="AK263" s="28">
        <f t="shared" si="112"/>
        <v>-1.0298661174047369E-2</v>
      </c>
      <c r="AL263" s="28" t="s">
        <v>55</v>
      </c>
      <c r="AM263" s="28" t="s">
        <v>31</v>
      </c>
      <c r="AN263" s="28" t="s">
        <v>471</v>
      </c>
      <c r="AO263" s="28" t="s">
        <v>80</v>
      </c>
      <c r="AP263" s="28" t="s">
        <v>64</v>
      </c>
      <c r="AQ263" s="28" t="s">
        <v>73</v>
      </c>
      <c r="AR263" s="28" t="s">
        <v>11</v>
      </c>
      <c r="AS263" s="73">
        <v>575.66399999999999</v>
      </c>
      <c r="AT263" s="8">
        <v>7.16</v>
      </c>
      <c r="AU263" s="73" t="s">
        <v>31</v>
      </c>
      <c r="AV263" s="73" t="b">
        <f t="shared" si="126"/>
        <v>1</v>
      </c>
      <c r="AW263" s="79">
        <v>0</v>
      </c>
      <c r="AX263" s="45" t="str">
        <f t="shared" si="127"/>
        <v/>
      </c>
      <c r="AY263" s="29" t="str">
        <f t="shared" si="128"/>
        <v/>
      </c>
      <c r="AZ263" s="29" t="str">
        <f t="shared" si="129"/>
        <v/>
      </c>
      <c r="BA263" s="29" t="s">
        <v>699</v>
      </c>
      <c r="BB263" s="29">
        <f t="shared" si="130"/>
        <v>0</v>
      </c>
      <c r="BC263">
        <f t="shared" si="131"/>
        <v>0</v>
      </c>
      <c r="BD263" s="78" t="str" cm="1">
        <f t="array" ref="BD263">IF(BC263&lt;&gt;1, "", IF(AK263&gt;0, INT(AK263/SUMPRODUCT(($AK$3:$AK$1000&gt;0)*($AK$3:$AK$1000), ($BC$3:$BC$1000))*$AB$12/AT263), INT(AK263/SUMPRODUCT(($AK$3:$AK$1000&lt;0)*($AK$3:$AK$1000), ($BC$3:$BC$1000))*$AB$13/AT263)))</f>
        <v/>
      </c>
      <c r="BE263" t="str">
        <f t="shared" si="132"/>
        <v/>
      </c>
      <c r="BF263" s="65" t="str">
        <f t="shared" si="133"/>
        <v/>
      </c>
    </row>
    <row r="264" spans="2:58" x14ac:dyDescent="0.3">
      <c r="B264" s="18" t="s">
        <v>317</v>
      </c>
      <c r="C264" s="18" t="s">
        <v>320</v>
      </c>
      <c r="D264" s="18" t="s">
        <v>324</v>
      </c>
      <c r="E264" s="44" t="s">
        <v>322</v>
      </c>
      <c r="F264" s="18" t="s">
        <v>23</v>
      </c>
      <c r="G264" s="18" t="s">
        <v>10</v>
      </c>
      <c r="H264" s="19">
        <v>4047.9413476999998</v>
      </c>
      <c r="I264" s="18">
        <v>-1389</v>
      </c>
      <c r="J264" s="20">
        <v>111.55</v>
      </c>
      <c r="K264" s="19">
        <v>-154942.94999999998</v>
      </c>
      <c r="L264" s="12">
        <f t="shared" si="113"/>
        <v>-1.0329529999999998E-2</v>
      </c>
      <c r="M264" s="12">
        <f t="shared" si="114"/>
        <v>-1.0298661174047369E-2</v>
      </c>
      <c r="N264" s="15" t="str">
        <f t="shared" si="115"/>
        <v/>
      </c>
      <c r="O264" s="15" t="str">
        <f t="shared" si="116"/>
        <v/>
      </c>
      <c r="P264" s="15" t="str">
        <f t="shared" si="117"/>
        <v/>
      </c>
      <c r="Q264" s="15" t="str">
        <f t="shared" si="118"/>
        <v/>
      </c>
      <c r="R264" s="55" t="str">
        <f t="shared" si="119"/>
        <v/>
      </c>
      <c r="S264" s="33" t="str">
        <f t="shared" si="120"/>
        <v/>
      </c>
      <c r="T264" s="33" t="str">
        <f t="shared" si="121"/>
        <v/>
      </c>
      <c r="U264" s="15" t="str">
        <f t="shared" si="122"/>
        <v/>
      </c>
      <c r="V264" s="15" t="str">
        <f t="shared" si="123"/>
        <v/>
      </c>
      <c r="W264" s="62" t="str">
        <f t="shared" si="124"/>
        <v/>
      </c>
      <c r="X264" s="15"/>
      <c r="Y264" s="1">
        <f t="shared" si="125"/>
        <v>-3.0868825952629075E-5</v>
      </c>
      <c r="AH264" s="35">
        <v>45714</v>
      </c>
      <c r="AI264" s="31" t="s">
        <v>1107</v>
      </c>
      <c r="AJ264" s="32">
        <v>-0.01</v>
      </c>
      <c r="AK264" s="28">
        <f t="shared" si="112"/>
        <v>-1.0298661174047369E-2</v>
      </c>
      <c r="AL264" s="28" t="s">
        <v>1271</v>
      </c>
      <c r="AM264" s="28" t="s">
        <v>1107</v>
      </c>
      <c r="AN264" s="28" t="s">
        <v>1803</v>
      </c>
      <c r="AO264" s="28" t="s">
        <v>1272</v>
      </c>
      <c r="AP264" s="28" t="s">
        <v>1525</v>
      </c>
      <c r="AQ264" s="28" t="s">
        <v>73</v>
      </c>
      <c r="AR264" s="28" t="s">
        <v>20</v>
      </c>
      <c r="AS264" s="73">
        <v>11438.4</v>
      </c>
      <c r="AT264" s="8">
        <v>142.97999999999999</v>
      </c>
      <c r="AU264" s="73" t="s">
        <v>1107</v>
      </c>
      <c r="AV264" s="73" t="b">
        <f t="shared" si="126"/>
        <v>1</v>
      </c>
      <c r="AW264" s="79">
        <v>0</v>
      </c>
      <c r="AX264" s="45" t="str">
        <f t="shared" si="127"/>
        <v/>
      </c>
      <c r="AY264" s="29" t="str">
        <f t="shared" si="128"/>
        <v/>
      </c>
      <c r="AZ264" s="29" t="str">
        <f t="shared" si="129"/>
        <v/>
      </c>
      <c r="BA264" s="29" t="s">
        <v>699</v>
      </c>
      <c r="BB264" s="29">
        <f t="shared" si="130"/>
        <v>0</v>
      </c>
      <c r="BC264">
        <f t="shared" si="131"/>
        <v>0</v>
      </c>
      <c r="BD264" s="78" t="str" cm="1">
        <f t="array" ref="BD264">IF(BC264&lt;&gt;1, "", IF(AK264&gt;0, INT(AK264/SUMPRODUCT(($AK$3:$AK$1000&gt;0)*($AK$3:$AK$1000), ($BC$3:$BC$1000))*$AB$12/AT264), INT(AK264/SUMPRODUCT(($AK$3:$AK$1000&lt;0)*($AK$3:$AK$1000), ($BC$3:$BC$1000))*$AB$13/AT264)))</f>
        <v/>
      </c>
      <c r="BE264" t="str">
        <f t="shared" si="132"/>
        <v/>
      </c>
      <c r="BF264" s="65" t="str">
        <f t="shared" si="133"/>
        <v/>
      </c>
    </row>
    <row r="265" spans="2:58" x14ac:dyDescent="0.3">
      <c r="B265" s="18" t="s">
        <v>584</v>
      </c>
      <c r="C265" s="18" t="s">
        <v>604</v>
      </c>
      <c r="D265" s="18" t="s">
        <v>624</v>
      </c>
      <c r="E265" s="44" t="s">
        <v>1403</v>
      </c>
      <c r="F265" s="18" t="s">
        <v>11</v>
      </c>
      <c r="G265" s="18" t="s">
        <v>10</v>
      </c>
      <c r="H265" s="19">
        <v>4892.1735280999992</v>
      </c>
      <c r="I265" s="18">
        <v>-1007</v>
      </c>
      <c r="J265" s="20">
        <v>153.94999999999999</v>
      </c>
      <c r="K265" s="19">
        <v>-155027.65</v>
      </c>
      <c r="L265" s="12">
        <f t="shared" si="113"/>
        <v>-1.0335176666666666E-2</v>
      </c>
      <c r="M265" s="12">
        <f t="shared" si="114"/>
        <v>-1.0298661174047369E-2</v>
      </c>
      <c r="N265" s="15" t="str">
        <f t="shared" si="115"/>
        <v/>
      </c>
      <c r="O265" s="15" t="str">
        <f t="shared" si="116"/>
        <v/>
      </c>
      <c r="P265" s="15" t="str">
        <f t="shared" si="117"/>
        <v/>
      </c>
      <c r="Q265" s="15" t="str">
        <f t="shared" si="118"/>
        <v/>
      </c>
      <c r="R265" s="55" t="str">
        <f t="shared" si="119"/>
        <v/>
      </c>
      <c r="S265" s="33" t="str">
        <f t="shared" si="120"/>
        <v/>
      </c>
      <c r="T265" s="33" t="str">
        <f t="shared" si="121"/>
        <v/>
      </c>
      <c r="U265" s="15" t="str">
        <f t="shared" si="122"/>
        <v/>
      </c>
      <c r="V265" s="15" t="str">
        <f t="shared" si="123"/>
        <v/>
      </c>
      <c r="W265" s="62" t="str">
        <f t="shared" si="124"/>
        <v/>
      </c>
      <c r="X265" s="15"/>
      <c r="Y265" s="1">
        <f t="shared" si="125"/>
        <v>-3.6515492619296902E-5</v>
      </c>
      <c r="AH265" s="35">
        <v>45714</v>
      </c>
      <c r="AI265" s="31" t="s">
        <v>709</v>
      </c>
      <c r="AJ265" s="32">
        <v>-0.01</v>
      </c>
      <c r="AK265" s="28">
        <f t="shared" si="112"/>
        <v>-1.0298661174047369E-2</v>
      </c>
      <c r="AL265" s="28" t="s">
        <v>736</v>
      </c>
      <c r="AM265" s="28" t="s">
        <v>709</v>
      </c>
      <c r="AN265" s="28" t="s">
        <v>737</v>
      </c>
      <c r="AO265" s="28" t="s">
        <v>738</v>
      </c>
      <c r="AP265" s="28" t="s">
        <v>739</v>
      </c>
      <c r="AQ265" s="28" t="s">
        <v>73</v>
      </c>
      <c r="AR265" s="28" t="s">
        <v>23</v>
      </c>
      <c r="AS265" s="73">
        <v>17285.481021458501</v>
      </c>
      <c r="AT265" s="8">
        <v>32.86</v>
      </c>
      <c r="AU265" s="73" t="s">
        <v>709</v>
      </c>
      <c r="AV265" s="73" t="b">
        <f t="shared" si="126"/>
        <v>1</v>
      </c>
      <c r="AW265" s="79">
        <v>0</v>
      </c>
      <c r="AX265" s="45" t="str">
        <f t="shared" si="127"/>
        <v/>
      </c>
      <c r="AY265" s="29" t="str">
        <f t="shared" si="128"/>
        <v/>
      </c>
      <c r="AZ265" s="29" t="str">
        <f t="shared" si="129"/>
        <v/>
      </c>
      <c r="BA265" s="29" t="s">
        <v>699</v>
      </c>
      <c r="BB265" s="29">
        <f t="shared" si="130"/>
        <v>0</v>
      </c>
      <c r="BC265">
        <f t="shared" si="131"/>
        <v>0</v>
      </c>
      <c r="BD265" s="78" t="str" cm="1">
        <f t="array" ref="BD265">IF(BC265&lt;&gt;1, "", IF(AK265&gt;0, INT(AK265/SUMPRODUCT(($AK$3:$AK$1000&gt;0)*($AK$3:$AK$1000), ($BC$3:$BC$1000))*$AB$12/AT265), INT(AK265/SUMPRODUCT(($AK$3:$AK$1000&lt;0)*($AK$3:$AK$1000), ($BC$3:$BC$1000))*$AB$13/AT265)))</f>
        <v/>
      </c>
      <c r="BE265" t="str">
        <f t="shared" si="132"/>
        <v/>
      </c>
      <c r="BF265" s="65" t="str">
        <f t="shared" si="133"/>
        <v/>
      </c>
    </row>
    <row r="266" spans="2:58" x14ac:dyDescent="0.3">
      <c r="B266" s="18" t="s">
        <v>682</v>
      </c>
      <c r="C266" s="18" t="s">
        <v>686</v>
      </c>
      <c r="D266" s="18" t="s">
        <v>700</v>
      </c>
      <c r="E266" s="44" t="s">
        <v>688</v>
      </c>
      <c r="F266" s="18" t="s">
        <v>13</v>
      </c>
      <c r="G266" s="18" t="s">
        <v>10</v>
      </c>
      <c r="H266" s="19">
        <v>14887.01819268</v>
      </c>
      <c r="I266" s="18">
        <v>-790</v>
      </c>
      <c r="J266" s="20">
        <v>196.44</v>
      </c>
      <c r="K266" s="19">
        <v>-155187.6</v>
      </c>
      <c r="L266" s="12">
        <f t="shared" si="113"/>
        <v>-1.034584E-2</v>
      </c>
      <c r="M266" s="12">
        <f t="shared" si="114"/>
        <v>-1.0298661174047369E-2</v>
      </c>
      <c r="N266" s="15" t="str">
        <f t="shared" si="115"/>
        <v/>
      </c>
      <c r="O266" s="15" t="str">
        <f t="shared" si="116"/>
        <v/>
      </c>
      <c r="P266" s="15" t="str">
        <f t="shared" si="117"/>
        <v/>
      </c>
      <c r="Q266" s="15" t="str">
        <f t="shared" si="118"/>
        <v/>
      </c>
      <c r="R266" s="55" t="str">
        <f t="shared" si="119"/>
        <v/>
      </c>
      <c r="S266" s="33" t="str">
        <f t="shared" si="120"/>
        <v/>
      </c>
      <c r="T266" s="33" t="str">
        <f t="shared" si="121"/>
        <v/>
      </c>
      <c r="U266" s="15" t="str">
        <f t="shared" si="122"/>
        <v/>
      </c>
      <c r="V266" s="15" t="str">
        <f t="shared" si="123"/>
        <v/>
      </c>
      <c r="W266" s="62" t="str">
        <f t="shared" si="124"/>
        <v/>
      </c>
      <c r="X266" s="15"/>
      <c r="Y266" s="1">
        <f t="shared" si="125"/>
        <v>-4.7178825952631093E-5</v>
      </c>
      <c r="AH266" s="35">
        <v>45714</v>
      </c>
      <c r="AI266" s="31" t="s">
        <v>906</v>
      </c>
      <c r="AJ266" s="32">
        <v>-0.01</v>
      </c>
      <c r="AK266" s="28">
        <f t="shared" si="112"/>
        <v>-1.0298661174047369E-2</v>
      </c>
      <c r="AL266" s="28" t="s">
        <v>932</v>
      </c>
      <c r="AM266" s="28" t="s">
        <v>906</v>
      </c>
      <c r="AN266" s="28" t="s">
        <v>1804</v>
      </c>
      <c r="AO266" s="28" t="s">
        <v>933</v>
      </c>
      <c r="AP266" s="28" t="s">
        <v>1526</v>
      </c>
      <c r="AQ266" s="28" t="s">
        <v>73</v>
      </c>
      <c r="AR266" s="28" t="s">
        <v>11</v>
      </c>
      <c r="AS266" s="73">
        <v>1179.89307072</v>
      </c>
      <c r="AT266" s="8">
        <v>10.08</v>
      </c>
      <c r="AU266" s="73" t="s">
        <v>906</v>
      </c>
      <c r="AV266" s="73" t="b">
        <f t="shared" si="126"/>
        <v>1</v>
      </c>
      <c r="AW266" s="79">
        <v>0</v>
      </c>
      <c r="AX266" s="45" t="str">
        <f t="shared" si="127"/>
        <v/>
      </c>
      <c r="AY266" s="29" t="str">
        <f t="shared" si="128"/>
        <v/>
      </c>
      <c r="AZ266" s="29" t="str">
        <f t="shared" si="129"/>
        <v/>
      </c>
      <c r="BA266" s="29" t="s">
        <v>699</v>
      </c>
      <c r="BB266" s="29">
        <f t="shared" si="130"/>
        <v>0</v>
      </c>
      <c r="BC266">
        <f t="shared" si="131"/>
        <v>0</v>
      </c>
      <c r="BD266" s="78" t="str" cm="1">
        <f t="array" ref="BD266">IF(BC266&lt;&gt;1, "", IF(AK266&gt;0, INT(AK266/SUMPRODUCT(($AK$3:$AK$1000&gt;0)*($AK$3:$AK$1000), ($BC$3:$BC$1000))*$AB$12/AT266), INT(AK266/SUMPRODUCT(($AK$3:$AK$1000&lt;0)*($AK$3:$AK$1000), ($BC$3:$BC$1000))*$AB$13/AT266)))</f>
        <v/>
      </c>
      <c r="BE266" t="str">
        <f t="shared" si="132"/>
        <v/>
      </c>
      <c r="BF266" s="65" t="str">
        <f t="shared" si="133"/>
        <v/>
      </c>
    </row>
    <row r="267" spans="2:58" x14ac:dyDescent="0.3">
      <c r="B267" s="18" t="s">
        <v>587</v>
      </c>
      <c r="C267" s="18" t="s">
        <v>612</v>
      </c>
      <c r="D267" s="18" t="s">
        <v>898</v>
      </c>
      <c r="E267" s="44" t="s">
        <v>613</v>
      </c>
      <c r="F267" s="18" t="s">
        <v>14</v>
      </c>
      <c r="G267" s="18" t="s">
        <v>10</v>
      </c>
      <c r="H267" s="19">
        <v>168.05790274</v>
      </c>
      <c r="I267" s="18">
        <v>-20824</v>
      </c>
      <c r="J267" s="20">
        <v>7.46</v>
      </c>
      <c r="K267" s="19">
        <v>-155347.04</v>
      </c>
      <c r="L267" s="12">
        <f t="shared" si="113"/>
        <v>-1.0356469333333333E-2</v>
      </c>
      <c r="M267" s="12">
        <f t="shared" si="114"/>
        <v>-1.0298661174047369E-2</v>
      </c>
      <c r="N267" s="15" t="str">
        <f t="shared" si="115"/>
        <v/>
      </c>
      <c r="O267" s="15" t="str">
        <f t="shared" si="116"/>
        <v/>
      </c>
      <c r="P267" s="15" t="str">
        <f t="shared" si="117"/>
        <v/>
      </c>
      <c r="Q267" s="15" t="str">
        <f t="shared" si="118"/>
        <v/>
      </c>
      <c r="R267" s="55" t="str">
        <f t="shared" si="119"/>
        <v/>
      </c>
      <c r="S267" s="33" t="str">
        <f t="shared" si="120"/>
        <v/>
      </c>
      <c r="T267" s="33" t="str">
        <f t="shared" si="121"/>
        <v/>
      </c>
      <c r="U267" s="15" t="str">
        <f t="shared" si="122"/>
        <v/>
      </c>
      <c r="V267" s="15" t="str">
        <f t="shared" si="123"/>
        <v/>
      </c>
      <c r="W267" s="62" t="str">
        <f t="shared" si="124"/>
        <v/>
      </c>
      <c r="X267" s="15"/>
      <c r="Y267" s="1">
        <f t="shared" si="125"/>
        <v>-5.7808159285964097E-5</v>
      </c>
      <c r="AH267" s="35">
        <v>45714</v>
      </c>
      <c r="AI267" s="31" t="s">
        <v>446</v>
      </c>
      <c r="AJ267" s="32">
        <v>-0.01</v>
      </c>
      <c r="AK267" s="28">
        <f t="shared" si="112"/>
        <v>-1.0298661174047369E-2</v>
      </c>
      <c r="AL267" s="28" t="s">
        <v>457</v>
      </c>
      <c r="AM267" s="28" t="s">
        <v>446</v>
      </c>
      <c r="AN267" s="28" t="s">
        <v>1805</v>
      </c>
      <c r="AO267" s="28" t="s">
        <v>458</v>
      </c>
      <c r="AP267" s="28" t="s">
        <v>459</v>
      </c>
      <c r="AQ267" s="28" t="s">
        <v>73</v>
      </c>
      <c r="AR267" s="28" t="s">
        <v>23</v>
      </c>
      <c r="AS267" s="73">
        <v>6702.56</v>
      </c>
      <c r="AT267" s="8">
        <v>65.2</v>
      </c>
      <c r="AU267" s="73" t="s">
        <v>446</v>
      </c>
      <c r="AV267" s="73" t="b">
        <f t="shared" si="126"/>
        <v>1</v>
      </c>
      <c r="AW267" s="79">
        <v>0</v>
      </c>
      <c r="AX267" s="45" t="str">
        <f t="shared" si="127"/>
        <v/>
      </c>
      <c r="AY267" s="29" t="str">
        <f t="shared" si="128"/>
        <v/>
      </c>
      <c r="AZ267" s="29" t="str">
        <f t="shared" si="129"/>
        <v/>
      </c>
      <c r="BA267" s="29" t="s">
        <v>699</v>
      </c>
      <c r="BB267" s="29">
        <f t="shared" si="130"/>
        <v>0</v>
      </c>
      <c r="BC267">
        <f t="shared" si="131"/>
        <v>0</v>
      </c>
      <c r="BD267" s="78" t="str" cm="1">
        <f t="array" ref="BD267">IF(BC267&lt;&gt;1, "", IF(AK267&gt;0, INT(AK267/SUMPRODUCT(($AK$3:$AK$1000&gt;0)*($AK$3:$AK$1000), ($BC$3:$BC$1000))*$AB$12/AT267), INT(AK267/SUMPRODUCT(($AK$3:$AK$1000&lt;0)*($AK$3:$AK$1000), ($BC$3:$BC$1000))*$AB$13/AT267)))</f>
        <v/>
      </c>
      <c r="BE267" t="str">
        <f t="shared" si="132"/>
        <v/>
      </c>
      <c r="BF267" s="65" t="str">
        <f t="shared" si="133"/>
        <v/>
      </c>
    </row>
    <row r="268" spans="2:58" x14ac:dyDescent="0.3">
      <c r="B268" s="18" t="s">
        <v>1415</v>
      </c>
      <c r="C268" s="18" t="s">
        <v>1462</v>
      </c>
      <c r="D268" s="18" t="s">
        <v>1495</v>
      </c>
      <c r="E268" s="44" t="s">
        <v>1463</v>
      </c>
      <c r="F268" s="18" t="s">
        <v>25</v>
      </c>
      <c r="G268" s="18" t="s">
        <v>10</v>
      </c>
      <c r="H268" s="19">
        <v>5914.8320451600002</v>
      </c>
      <c r="I268" s="18">
        <v>-9223</v>
      </c>
      <c r="J268" s="20">
        <v>16.86</v>
      </c>
      <c r="K268" s="19">
        <v>-155499.78</v>
      </c>
      <c r="L268" s="12">
        <f t="shared" si="113"/>
        <v>-1.0366652000000001E-2</v>
      </c>
      <c r="M268" s="12">
        <f t="shared" si="114"/>
        <v>0</v>
      </c>
      <c r="N268" s="15" t="str">
        <f t="shared" si="115"/>
        <v/>
      </c>
      <c r="O268" s="15">
        <f t="shared" si="116"/>
        <v>1</v>
      </c>
      <c r="P268" s="15" t="str">
        <f t="shared" si="117"/>
        <v/>
      </c>
      <c r="Q268" s="15" t="str">
        <f t="shared" si="118"/>
        <v/>
      </c>
      <c r="R268" s="55" t="str">
        <f t="shared" si="119"/>
        <v/>
      </c>
      <c r="S268" s="33" t="str">
        <f t="shared" si="120"/>
        <v/>
      </c>
      <c r="T268" s="33" t="str">
        <f t="shared" si="121"/>
        <v>BuyToCover</v>
      </c>
      <c r="U268" s="15">
        <f t="shared" si="122"/>
        <v>9223</v>
      </c>
      <c r="V268" s="15" t="str">
        <f t="shared" si="123"/>
        <v/>
      </c>
      <c r="W268" s="62" t="str">
        <f t="shared" si="124"/>
        <v/>
      </c>
      <c r="X268" s="15"/>
      <c r="Y268" s="1">
        <f t="shared" si="125"/>
        <v>-1.0366652000000001E-2</v>
      </c>
      <c r="AH268" s="35">
        <v>45714</v>
      </c>
      <c r="AI268" s="31" t="s">
        <v>1011</v>
      </c>
      <c r="AJ268" s="32">
        <v>-0.01</v>
      </c>
      <c r="AK268" s="28">
        <f t="shared" si="112"/>
        <v>-1.0298661174047369E-2</v>
      </c>
      <c r="AL268" s="28" t="s">
        <v>1044</v>
      </c>
      <c r="AM268" s="28" t="s">
        <v>1011</v>
      </c>
      <c r="AN268" s="28" t="s">
        <v>1806</v>
      </c>
      <c r="AO268" s="28" t="s">
        <v>1045</v>
      </c>
      <c r="AP268" s="28" t="s">
        <v>1046</v>
      </c>
      <c r="AQ268" s="28" t="s">
        <v>73</v>
      </c>
      <c r="AR268" s="28" t="s">
        <v>20</v>
      </c>
      <c r="AS268" s="73">
        <v>15917.6740849</v>
      </c>
      <c r="AT268" s="8">
        <v>220.15</v>
      </c>
      <c r="AU268" s="73" t="s">
        <v>1011</v>
      </c>
      <c r="AV268" s="73" t="b">
        <f t="shared" si="126"/>
        <v>1</v>
      </c>
      <c r="AW268" s="79">
        <v>0</v>
      </c>
      <c r="AX268" s="45" t="str">
        <f t="shared" si="127"/>
        <v/>
      </c>
      <c r="AY268" s="29" t="str">
        <f t="shared" si="128"/>
        <v/>
      </c>
      <c r="AZ268" s="29" t="str">
        <f t="shared" si="129"/>
        <v/>
      </c>
      <c r="BA268" s="29" t="s">
        <v>699</v>
      </c>
      <c r="BB268" s="29">
        <f t="shared" si="130"/>
        <v>0</v>
      </c>
      <c r="BC268">
        <f t="shared" si="131"/>
        <v>0</v>
      </c>
      <c r="BD268" s="78" t="str" cm="1">
        <f t="array" ref="BD268">IF(BC268&lt;&gt;1, "", IF(AK268&gt;0, INT(AK268/SUMPRODUCT(($AK$3:$AK$1000&gt;0)*($AK$3:$AK$1000), ($BC$3:$BC$1000))*$AB$12/AT268), INT(AK268/SUMPRODUCT(($AK$3:$AK$1000&lt;0)*($AK$3:$AK$1000), ($BC$3:$BC$1000))*$AB$13/AT268)))</f>
        <v/>
      </c>
      <c r="BE268" t="str">
        <f t="shared" si="132"/>
        <v/>
      </c>
      <c r="BF268" s="65" t="str">
        <f t="shared" si="133"/>
        <v/>
      </c>
    </row>
    <row r="269" spans="2:58" x14ac:dyDescent="0.3">
      <c r="B269" s="18" t="s">
        <v>33</v>
      </c>
      <c r="C269" s="18" t="s">
        <v>57</v>
      </c>
      <c r="D269" s="18" t="s">
        <v>91</v>
      </c>
      <c r="E269" s="44" t="s">
        <v>105</v>
      </c>
      <c r="F269" s="18" t="s">
        <v>20</v>
      </c>
      <c r="G269" s="18" t="s">
        <v>10</v>
      </c>
      <c r="H269" s="19">
        <v>7619.9716881600007</v>
      </c>
      <c r="I269" s="18">
        <v>-3762</v>
      </c>
      <c r="J269" s="20">
        <v>41.34</v>
      </c>
      <c r="K269" s="19">
        <v>-155521.08000000002</v>
      </c>
      <c r="L269" s="12">
        <f t="shared" si="113"/>
        <v>-1.0368072000000001E-2</v>
      </c>
      <c r="M269" s="12">
        <f t="shared" si="114"/>
        <v>-1.0298661174047369E-2</v>
      </c>
      <c r="N269" s="15" t="str">
        <f t="shared" si="115"/>
        <v/>
      </c>
      <c r="O269" s="15" t="str">
        <f t="shared" si="116"/>
        <v/>
      </c>
      <c r="P269" s="15" t="str">
        <f t="shared" si="117"/>
        <v/>
      </c>
      <c r="Q269" s="15" t="str">
        <f t="shared" si="118"/>
        <v/>
      </c>
      <c r="R269" s="55" t="str">
        <f t="shared" si="119"/>
        <v/>
      </c>
      <c r="S269" s="33" t="str">
        <f t="shared" si="120"/>
        <v/>
      </c>
      <c r="T269" s="33" t="str">
        <f t="shared" si="121"/>
        <v/>
      </c>
      <c r="U269" s="15" t="str">
        <f t="shared" si="122"/>
        <v/>
      </c>
      <c r="V269" s="15" t="str">
        <f t="shared" si="123"/>
        <v/>
      </c>
      <c r="W269" s="62" t="str">
        <f t="shared" si="124"/>
        <v/>
      </c>
      <c r="X269" s="15"/>
      <c r="Y269" s="1">
        <f t="shared" si="125"/>
        <v>-6.9410825952631594E-5</v>
      </c>
      <c r="AH269" s="35">
        <v>45714</v>
      </c>
      <c r="AI269" s="31" t="s">
        <v>659</v>
      </c>
      <c r="AJ269" s="32">
        <v>-0.01</v>
      </c>
      <c r="AK269" s="28">
        <f t="shared" si="112"/>
        <v>-1.0298661174047369E-2</v>
      </c>
      <c r="AL269" s="28" t="s">
        <v>674</v>
      </c>
      <c r="AM269" s="28" t="s">
        <v>659</v>
      </c>
      <c r="AN269" s="28" t="s">
        <v>675</v>
      </c>
      <c r="AO269" s="28" t="s">
        <v>676</v>
      </c>
      <c r="AP269" s="28" t="s">
        <v>677</v>
      </c>
      <c r="AQ269" s="28" t="s">
        <v>73</v>
      </c>
      <c r="AR269" s="28" t="s">
        <v>26</v>
      </c>
      <c r="AS269" s="73">
        <v>23871.133546829999</v>
      </c>
      <c r="AT269" s="8">
        <v>150.38999999999999</v>
      </c>
      <c r="AU269" s="73" t="s">
        <v>659</v>
      </c>
      <c r="AV269" s="73" t="b">
        <f t="shared" si="126"/>
        <v>1</v>
      </c>
      <c r="AW269" s="79">
        <v>0</v>
      </c>
      <c r="AX269" s="45" t="str">
        <f t="shared" si="127"/>
        <v/>
      </c>
      <c r="AY269" s="29" t="str">
        <f t="shared" si="128"/>
        <v/>
      </c>
      <c r="AZ269" s="29" t="str">
        <f t="shared" si="129"/>
        <v/>
      </c>
      <c r="BA269" s="29" t="s">
        <v>699</v>
      </c>
      <c r="BB269" s="29">
        <f t="shared" si="130"/>
        <v>0</v>
      </c>
      <c r="BC269">
        <f t="shared" si="131"/>
        <v>0</v>
      </c>
      <c r="BD269" s="78" t="str" cm="1">
        <f t="array" ref="BD269">IF(BC269&lt;&gt;1, "", IF(AK269&gt;0, INT(AK269/SUMPRODUCT(($AK$3:$AK$1000&gt;0)*($AK$3:$AK$1000), ($BC$3:$BC$1000))*$AB$12/AT269), INT(AK269/SUMPRODUCT(($AK$3:$AK$1000&lt;0)*($AK$3:$AK$1000), ($BC$3:$BC$1000))*$AB$13/AT269)))</f>
        <v/>
      </c>
      <c r="BE269" t="str">
        <f t="shared" si="132"/>
        <v/>
      </c>
      <c r="BF269" s="65" t="str">
        <f t="shared" si="133"/>
        <v/>
      </c>
    </row>
    <row r="270" spans="2:58" x14ac:dyDescent="0.3">
      <c r="B270" s="18" t="s">
        <v>31</v>
      </c>
      <c r="C270" s="18" t="s">
        <v>55</v>
      </c>
      <c r="D270" s="18" t="s">
        <v>86</v>
      </c>
      <c r="E270" s="44" t="s">
        <v>64</v>
      </c>
      <c r="F270" s="18" t="s">
        <v>11</v>
      </c>
      <c r="G270" s="18" t="s">
        <v>10</v>
      </c>
      <c r="H270" s="19">
        <v>575.66399999999999</v>
      </c>
      <c r="I270" s="18">
        <v>-21728</v>
      </c>
      <c r="J270" s="20">
        <v>7.16</v>
      </c>
      <c r="K270" s="19">
        <v>-155572.48000000001</v>
      </c>
      <c r="L270" s="12">
        <f t="shared" si="113"/>
        <v>-1.0371498666666668E-2</v>
      </c>
      <c r="M270" s="12">
        <f t="shared" si="114"/>
        <v>-1.0298661174047369E-2</v>
      </c>
      <c r="N270" s="15" t="str">
        <f t="shared" si="115"/>
        <v/>
      </c>
      <c r="O270" s="15" t="str">
        <f t="shared" si="116"/>
        <v/>
      </c>
      <c r="P270" s="15" t="str">
        <f t="shared" si="117"/>
        <v/>
      </c>
      <c r="Q270" s="15" t="str">
        <f t="shared" si="118"/>
        <v/>
      </c>
      <c r="R270" s="55" t="str">
        <f t="shared" si="119"/>
        <v/>
      </c>
      <c r="S270" s="33" t="str">
        <f t="shared" si="120"/>
        <v/>
      </c>
      <c r="T270" s="33" t="str">
        <f t="shared" si="121"/>
        <v/>
      </c>
      <c r="U270" s="15" t="str">
        <f t="shared" si="122"/>
        <v/>
      </c>
      <c r="V270" s="15" t="str">
        <f t="shared" si="123"/>
        <v/>
      </c>
      <c r="W270" s="62" t="str">
        <f t="shared" si="124"/>
        <v/>
      </c>
      <c r="X270" s="15"/>
      <c r="Y270" s="1">
        <f t="shared" si="125"/>
        <v>-7.2837492619298727E-5</v>
      </c>
      <c r="AH270" s="35">
        <v>45714</v>
      </c>
      <c r="AI270" s="31" t="s">
        <v>393</v>
      </c>
      <c r="AJ270" s="32">
        <v>-0.01</v>
      </c>
      <c r="AK270" s="28">
        <f t="shared" si="112"/>
        <v>-1.0298661174047369E-2</v>
      </c>
      <c r="AL270" s="28" t="s">
        <v>401</v>
      </c>
      <c r="AM270" s="28" t="s">
        <v>393</v>
      </c>
      <c r="AN270" s="28" t="s">
        <v>465</v>
      </c>
      <c r="AO270" s="28" t="s">
        <v>402</v>
      </c>
      <c r="AP270" s="28" t="s">
        <v>1527</v>
      </c>
      <c r="AQ270" s="28" t="s">
        <v>73</v>
      </c>
      <c r="AR270" s="28" t="s">
        <v>26</v>
      </c>
      <c r="AS270" s="73">
        <v>3797.1576137400002</v>
      </c>
      <c r="AT270" s="8">
        <v>65.58</v>
      </c>
      <c r="AU270" s="73" t="s">
        <v>393</v>
      </c>
      <c r="AV270" s="73" t="b">
        <f t="shared" si="126"/>
        <v>1</v>
      </c>
      <c r="AW270" s="79">
        <v>0</v>
      </c>
      <c r="AX270" s="45" t="str">
        <f t="shared" si="127"/>
        <v/>
      </c>
      <c r="AY270" s="29" t="str">
        <f t="shared" si="128"/>
        <v/>
      </c>
      <c r="AZ270" s="29" t="str">
        <f t="shared" si="129"/>
        <v/>
      </c>
      <c r="BA270" s="29" t="s">
        <v>699</v>
      </c>
      <c r="BB270" s="29">
        <f t="shared" si="130"/>
        <v>0</v>
      </c>
      <c r="BC270">
        <f t="shared" si="131"/>
        <v>0</v>
      </c>
      <c r="BD270" s="78" t="str" cm="1">
        <f t="array" ref="BD270">IF(BC270&lt;&gt;1, "", IF(AK270&gt;0, INT(AK270/SUMPRODUCT(($AK$3:$AK$1000&gt;0)*($AK$3:$AK$1000), ($BC$3:$BC$1000))*$AB$12/AT270), INT(AK270/SUMPRODUCT(($AK$3:$AK$1000&lt;0)*($AK$3:$AK$1000), ($BC$3:$BC$1000))*$AB$13/AT270)))</f>
        <v/>
      </c>
      <c r="BE270" t="str">
        <f t="shared" si="132"/>
        <v/>
      </c>
      <c r="BF270" s="65" t="str">
        <f t="shared" si="133"/>
        <v/>
      </c>
    </row>
    <row r="271" spans="2:58" x14ac:dyDescent="0.3">
      <c r="B271" s="18" t="s">
        <v>906</v>
      </c>
      <c r="C271" s="18" t="s">
        <v>932</v>
      </c>
      <c r="D271" s="18" t="s">
        <v>944</v>
      </c>
      <c r="E271" s="44" t="s">
        <v>1526</v>
      </c>
      <c r="F271" s="18" t="s">
        <v>11</v>
      </c>
      <c r="G271" s="18" t="s">
        <v>10</v>
      </c>
      <c r="H271" s="19">
        <v>1179.89307072</v>
      </c>
      <c r="I271" s="18">
        <v>-15436</v>
      </c>
      <c r="J271" s="20">
        <v>10.08</v>
      </c>
      <c r="K271" s="19">
        <v>-155594.88</v>
      </c>
      <c r="L271" s="12">
        <f t="shared" si="113"/>
        <v>-1.0372992000000001E-2</v>
      </c>
      <c r="M271" s="12">
        <f t="shared" si="114"/>
        <v>-1.0298661174047369E-2</v>
      </c>
      <c r="N271" s="15" t="str">
        <f t="shared" si="115"/>
        <v/>
      </c>
      <c r="O271" s="15" t="str">
        <f t="shared" si="116"/>
        <v/>
      </c>
      <c r="P271" s="15" t="str">
        <f t="shared" si="117"/>
        <v/>
      </c>
      <c r="Q271" s="15" t="str">
        <f t="shared" si="118"/>
        <v/>
      </c>
      <c r="R271" s="55" t="str">
        <f t="shared" si="119"/>
        <v/>
      </c>
      <c r="S271" s="33" t="str">
        <f t="shared" si="120"/>
        <v/>
      </c>
      <c r="T271" s="33" t="str">
        <f t="shared" si="121"/>
        <v/>
      </c>
      <c r="U271" s="15" t="str">
        <f t="shared" si="122"/>
        <v/>
      </c>
      <c r="V271" s="15" t="str">
        <f t="shared" si="123"/>
        <v/>
      </c>
      <c r="W271" s="62" t="str">
        <f t="shared" si="124"/>
        <v/>
      </c>
      <c r="X271" s="15"/>
      <c r="Y271" s="1">
        <f t="shared" si="125"/>
        <v>-7.4330825952631865E-5</v>
      </c>
      <c r="AH271" s="35">
        <v>45714</v>
      </c>
      <c r="AI271" s="31" t="s">
        <v>47</v>
      </c>
      <c r="AJ271" s="32">
        <v>-0.01</v>
      </c>
      <c r="AK271" s="28">
        <f t="shared" si="112"/>
        <v>-1.0298661174047369E-2</v>
      </c>
      <c r="AL271" s="28" t="s">
        <v>53</v>
      </c>
      <c r="AM271" s="28" t="s">
        <v>47</v>
      </c>
      <c r="AN271" s="28" t="s">
        <v>67</v>
      </c>
      <c r="AO271" s="28" t="s">
        <v>79</v>
      </c>
      <c r="AP271" s="28" t="s">
        <v>210</v>
      </c>
      <c r="AQ271" s="28" t="s">
        <v>73</v>
      </c>
      <c r="AR271" s="28" t="s">
        <v>24</v>
      </c>
      <c r="AS271" s="73">
        <v>445.54098040000002</v>
      </c>
      <c r="AT271" s="8">
        <v>41.84</v>
      </c>
      <c r="AU271" s="73" t="s">
        <v>47</v>
      </c>
      <c r="AV271" s="73" t="b">
        <f t="shared" si="126"/>
        <v>1</v>
      </c>
      <c r="AW271" s="79">
        <v>0</v>
      </c>
      <c r="AX271" s="45" t="str">
        <f t="shared" si="127"/>
        <v/>
      </c>
      <c r="AY271" s="29" t="str">
        <f t="shared" si="128"/>
        <v/>
      </c>
      <c r="AZ271" s="29" t="str">
        <f t="shared" si="129"/>
        <v/>
      </c>
      <c r="BA271" s="29" t="s">
        <v>699</v>
      </c>
      <c r="BB271" s="29">
        <f t="shared" si="130"/>
        <v>0</v>
      </c>
      <c r="BC271">
        <f t="shared" si="131"/>
        <v>0</v>
      </c>
      <c r="BD271" s="78" t="str" cm="1">
        <f t="array" ref="BD271">IF(BC271&lt;&gt;1, "", IF(AK271&gt;0, INT(AK271/SUMPRODUCT(($AK$3:$AK$1000&gt;0)*($AK$3:$AK$1000), ($BC$3:$BC$1000))*$AB$12/AT271), INT(AK271/SUMPRODUCT(($AK$3:$AK$1000&lt;0)*($AK$3:$AK$1000), ($BC$3:$BC$1000))*$AB$13/AT271)))</f>
        <v/>
      </c>
      <c r="BE271" t="str">
        <f t="shared" si="132"/>
        <v/>
      </c>
      <c r="BF271" s="65" t="str">
        <f t="shared" si="133"/>
        <v/>
      </c>
    </row>
    <row r="272" spans="2:58" x14ac:dyDescent="0.3">
      <c r="B272" s="18" t="s">
        <v>393</v>
      </c>
      <c r="C272" s="18" t="s">
        <v>401</v>
      </c>
      <c r="D272" s="18" t="s">
        <v>496</v>
      </c>
      <c r="E272" s="44" t="s">
        <v>1527</v>
      </c>
      <c r="F272" s="18" t="s">
        <v>26</v>
      </c>
      <c r="G272" s="18" t="s">
        <v>10</v>
      </c>
      <c r="H272" s="19">
        <v>3797.1576137399998</v>
      </c>
      <c r="I272" s="18">
        <v>-2373</v>
      </c>
      <c r="J272" s="20">
        <v>65.58</v>
      </c>
      <c r="K272" s="19">
        <v>-155621.34</v>
      </c>
      <c r="L272" s="12">
        <f t="shared" si="113"/>
        <v>-1.0374756000000001E-2</v>
      </c>
      <c r="M272" s="12">
        <f t="shared" si="114"/>
        <v>-1.0298661174047369E-2</v>
      </c>
      <c r="N272" s="15" t="str">
        <f t="shared" si="115"/>
        <v/>
      </c>
      <c r="O272" s="15" t="str">
        <f t="shared" si="116"/>
        <v/>
      </c>
      <c r="P272" s="15" t="str">
        <f t="shared" si="117"/>
        <v/>
      </c>
      <c r="Q272" s="15" t="str">
        <f t="shared" si="118"/>
        <v/>
      </c>
      <c r="R272" s="55" t="str">
        <f t="shared" si="119"/>
        <v/>
      </c>
      <c r="S272" s="33" t="str">
        <f t="shared" si="120"/>
        <v/>
      </c>
      <c r="T272" s="33" t="str">
        <f t="shared" si="121"/>
        <v/>
      </c>
      <c r="U272" s="15" t="str">
        <f t="shared" si="122"/>
        <v/>
      </c>
      <c r="V272" s="15" t="str">
        <f t="shared" si="123"/>
        <v/>
      </c>
      <c r="W272" s="62" t="str">
        <f t="shared" si="124"/>
        <v/>
      </c>
      <c r="X272" s="15"/>
      <c r="Y272" s="1">
        <f t="shared" si="125"/>
        <v>-7.6094825952631451E-5</v>
      </c>
      <c r="AH272" s="35">
        <v>45714</v>
      </c>
      <c r="AI272" s="31" t="s">
        <v>583</v>
      </c>
      <c r="AJ272" s="32">
        <v>-0.01</v>
      </c>
      <c r="AK272" s="28">
        <f t="shared" si="112"/>
        <v>-1.0298661174047369E-2</v>
      </c>
      <c r="AL272" s="28" t="s">
        <v>601</v>
      </c>
      <c r="AM272" s="28" t="s">
        <v>583</v>
      </c>
      <c r="AN272" s="28" t="s">
        <v>602</v>
      </c>
      <c r="AO272" s="28" t="s">
        <v>603</v>
      </c>
      <c r="AP272" s="28" t="s">
        <v>1013</v>
      </c>
      <c r="AQ272" s="28" t="s">
        <v>73</v>
      </c>
      <c r="AR272" s="28" t="s">
        <v>14</v>
      </c>
      <c r="AS272" s="73">
        <v>394.30266999999998</v>
      </c>
      <c r="AT272" s="8">
        <v>7.43</v>
      </c>
      <c r="AU272" s="73" t="s">
        <v>583</v>
      </c>
      <c r="AV272" s="73" t="b">
        <f t="shared" si="126"/>
        <v>1</v>
      </c>
      <c r="AW272" s="79">
        <v>0</v>
      </c>
      <c r="AX272" s="45" t="str">
        <f t="shared" si="127"/>
        <v/>
      </c>
      <c r="AY272" s="29" t="str">
        <f t="shared" si="128"/>
        <v/>
      </c>
      <c r="AZ272" s="29" t="str">
        <f t="shared" si="129"/>
        <v/>
      </c>
      <c r="BA272" s="29" t="s">
        <v>699</v>
      </c>
      <c r="BB272" s="29">
        <f t="shared" si="130"/>
        <v>0</v>
      </c>
      <c r="BC272">
        <f t="shared" si="131"/>
        <v>0</v>
      </c>
      <c r="BD272" s="78" t="str" cm="1">
        <f t="array" ref="BD272">IF(BC272&lt;&gt;1, "", IF(AK272&gt;0, INT(AK272/SUMPRODUCT(($AK$3:$AK$1000&gt;0)*($AK$3:$AK$1000), ($BC$3:$BC$1000))*$AB$12/AT272), INT(AK272/SUMPRODUCT(($AK$3:$AK$1000&lt;0)*($AK$3:$AK$1000), ($BC$3:$BC$1000))*$AB$13/AT272)))</f>
        <v/>
      </c>
      <c r="BE272" t="str">
        <f t="shared" si="132"/>
        <v/>
      </c>
      <c r="BF272" s="65" t="str">
        <f t="shared" si="133"/>
        <v/>
      </c>
    </row>
    <row r="273" spans="2:58" x14ac:dyDescent="0.3">
      <c r="B273" s="18" t="s">
        <v>234</v>
      </c>
      <c r="C273" s="18" t="s">
        <v>239</v>
      </c>
      <c r="D273" s="18" t="s">
        <v>242</v>
      </c>
      <c r="E273" s="44" t="s">
        <v>240</v>
      </c>
      <c r="F273" s="18" t="s">
        <v>20</v>
      </c>
      <c r="G273" s="18" t="s">
        <v>10</v>
      </c>
      <c r="H273" s="19">
        <v>2076.5662470000002</v>
      </c>
      <c r="I273" s="18">
        <v>-9906</v>
      </c>
      <c r="J273" s="20">
        <v>15.75</v>
      </c>
      <c r="K273" s="19">
        <v>-156019.5</v>
      </c>
      <c r="L273" s="12">
        <f t="shared" si="113"/>
        <v>-1.04013E-2</v>
      </c>
      <c r="M273" s="12">
        <f t="shared" si="114"/>
        <v>-1.0298661174047369E-2</v>
      </c>
      <c r="N273" s="15" t="str">
        <f t="shared" si="115"/>
        <v/>
      </c>
      <c r="O273" s="15" t="str">
        <f t="shared" si="116"/>
        <v/>
      </c>
      <c r="P273" s="15" t="str">
        <f t="shared" si="117"/>
        <v/>
      </c>
      <c r="Q273" s="15" t="str">
        <f t="shared" si="118"/>
        <v/>
      </c>
      <c r="R273" s="55" t="str">
        <f t="shared" si="119"/>
        <v/>
      </c>
      <c r="S273" s="33" t="str">
        <f t="shared" si="120"/>
        <v/>
      </c>
      <c r="T273" s="33" t="str">
        <f t="shared" si="121"/>
        <v/>
      </c>
      <c r="U273" s="15" t="str">
        <f t="shared" si="122"/>
        <v/>
      </c>
      <c r="V273" s="15" t="str">
        <f t="shared" si="123"/>
        <v/>
      </c>
      <c r="W273" s="62" t="str">
        <f t="shared" si="124"/>
        <v/>
      </c>
      <c r="X273" s="15"/>
      <c r="Y273" s="1">
        <f t="shared" si="125"/>
        <v>-1.0263882595263132E-4</v>
      </c>
      <c r="AH273" s="35">
        <v>45714</v>
      </c>
      <c r="AI273" s="31" t="s">
        <v>447</v>
      </c>
      <c r="AJ273" s="32">
        <v>-0.01</v>
      </c>
      <c r="AK273" s="28">
        <f t="shared" si="112"/>
        <v>-1.0298661174047369E-2</v>
      </c>
      <c r="AL273" s="28" t="s">
        <v>460</v>
      </c>
      <c r="AM273" s="28" t="s">
        <v>447</v>
      </c>
      <c r="AN273" s="28" t="s">
        <v>1807</v>
      </c>
      <c r="AO273" s="28" t="s">
        <v>461</v>
      </c>
      <c r="AP273" s="28" t="s">
        <v>462</v>
      </c>
      <c r="AQ273" s="28" t="s">
        <v>73</v>
      </c>
      <c r="AR273" s="28" t="s">
        <v>26</v>
      </c>
      <c r="AS273" s="73">
        <v>44743.32400896</v>
      </c>
      <c r="AT273" s="8">
        <v>70.64</v>
      </c>
      <c r="AU273" s="73" t="s">
        <v>447</v>
      </c>
      <c r="AV273" s="73" t="b">
        <f t="shared" si="126"/>
        <v>1</v>
      </c>
      <c r="AW273" s="79">
        <v>0</v>
      </c>
      <c r="AX273" s="45" t="str">
        <f t="shared" si="127"/>
        <v/>
      </c>
      <c r="AY273" s="29" t="str">
        <f t="shared" si="128"/>
        <v/>
      </c>
      <c r="AZ273" s="29" t="str">
        <f t="shared" si="129"/>
        <v/>
      </c>
      <c r="BA273" s="29" t="s">
        <v>699</v>
      </c>
      <c r="BB273" s="29">
        <f t="shared" si="130"/>
        <v>0</v>
      </c>
      <c r="BC273">
        <f t="shared" si="131"/>
        <v>0</v>
      </c>
      <c r="BD273" s="78" t="str" cm="1">
        <f t="array" ref="BD273">IF(BC273&lt;&gt;1, "", IF(AK273&gt;0, INT(AK273/SUMPRODUCT(($AK$3:$AK$1000&gt;0)*($AK$3:$AK$1000), ($BC$3:$BC$1000))*$AB$12/AT273), INT(AK273/SUMPRODUCT(($AK$3:$AK$1000&lt;0)*($AK$3:$AK$1000), ($BC$3:$BC$1000))*$AB$13/AT273)))</f>
        <v/>
      </c>
      <c r="BE273" t="str">
        <f t="shared" si="132"/>
        <v/>
      </c>
      <c r="BF273" s="65" t="str">
        <f t="shared" si="133"/>
        <v/>
      </c>
    </row>
    <row r="274" spans="2:58" x14ac:dyDescent="0.3">
      <c r="B274" s="18" t="s">
        <v>556</v>
      </c>
      <c r="C274" s="18" t="s">
        <v>566</v>
      </c>
      <c r="D274" s="18" t="s">
        <v>576</v>
      </c>
      <c r="E274" s="44" t="s">
        <v>569</v>
      </c>
      <c r="F274" s="18" t="s">
        <v>23</v>
      </c>
      <c r="G274" s="18" t="s">
        <v>10</v>
      </c>
      <c r="H274" s="19">
        <v>1446.9461730099999</v>
      </c>
      <c r="I274" s="18">
        <v>-11234</v>
      </c>
      <c r="J274" s="20">
        <v>13.91</v>
      </c>
      <c r="K274" s="19">
        <v>-156264.94</v>
      </c>
      <c r="L274" s="12">
        <f t="shared" si="113"/>
        <v>-1.0417662666666667E-2</v>
      </c>
      <c r="M274" s="12">
        <f t="shared" si="114"/>
        <v>-1.0298661174047369E-2</v>
      </c>
      <c r="N274" s="15" t="str">
        <f t="shared" si="115"/>
        <v/>
      </c>
      <c r="O274" s="15" t="str">
        <f t="shared" si="116"/>
        <v/>
      </c>
      <c r="P274" s="15" t="str">
        <f t="shared" si="117"/>
        <v/>
      </c>
      <c r="Q274" s="15" t="str">
        <f t="shared" si="118"/>
        <v/>
      </c>
      <c r="R274" s="55" t="str">
        <f t="shared" si="119"/>
        <v/>
      </c>
      <c r="S274" s="33" t="str">
        <f t="shared" si="120"/>
        <v/>
      </c>
      <c r="T274" s="33" t="str">
        <f t="shared" si="121"/>
        <v/>
      </c>
      <c r="U274" s="15" t="str">
        <f t="shared" si="122"/>
        <v/>
      </c>
      <c r="V274" s="15" t="str">
        <f t="shared" si="123"/>
        <v/>
      </c>
      <c r="W274" s="62" t="str">
        <f t="shared" si="124"/>
        <v/>
      </c>
      <c r="X274" s="15"/>
      <c r="Y274" s="1">
        <f t="shared" si="125"/>
        <v>-1.1900149261929831E-4</v>
      </c>
      <c r="AH274" s="35">
        <v>45714</v>
      </c>
      <c r="AI274" s="31" t="s">
        <v>587</v>
      </c>
      <c r="AJ274" s="32">
        <v>-0.01</v>
      </c>
      <c r="AK274" s="28">
        <f t="shared" si="112"/>
        <v>-1.0298661174047369E-2</v>
      </c>
      <c r="AL274" s="28" t="s">
        <v>612</v>
      </c>
      <c r="AM274" s="28" t="s">
        <v>587</v>
      </c>
      <c r="AN274" s="28" t="s">
        <v>891</v>
      </c>
      <c r="AO274" s="28" t="s">
        <v>892</v>
      </c>
      <c r="AP274" s="28" t="s">
        <v>613</v>
      </c>
      <c r="AQ274" s="28" t="s">
        <v>73</v>
      </c>
      <c r="AR274" s="28" t="s">
        <v>14</v>
      </c>
      <c r="AS274" s="73">
        <v>168.05790274</v>
      </c>
      <c r="AT274" s="8">
        <v>7.46</v>
      </c>
      <c r="AU274" s="73" t="s">
        <v>587</v>
      </c>
      <c r="AV274" s="73" t="b">
        <f t="shared" si="126"/>
        <v>1</v>
      </c>
      <c r="AW274" s="79">
        <v>0</v>
      </c>
      <c r="AX274" s="45" t="str">
        <f t="shared" si="127"/>
        <v/>
      </c>
      <c r="AY274" s="29" t="str">
        <f t="shared" si="128"/>
        <v/>
      </c>
      <c r="AZ274" s="29" t="str">
        <f t="shared" si="129"/>
        <v/>
      </c>
      <c r="BA274" s="29" t="s">
        <v>699</v>
      </c>
      <c r="BB274" s="29">
        <f t="shared" si="130"/>
        <v>0</v>
      </c>
      <c r="BC274">
        <f t="shared" si="131"/>
        <v>0</v>
      </c>
      <c r="BD274" s="78" t="str" cm="1">
        <f t="array" ref="BD274">IF(BC274&lt;&gt;1, "", IF(AK274&gt;0, INT(AK274/SUMPRODUCT(($AK$3:$AK$1000&gt;0)*($AK$3:$AK$1000), ($BC$3:$BC$1000))*$AB$12/AT274), INT(AK274/SUMPRODUCT(($AK$3:$AK$1000&lt;0)*($AK$3:$AK$1000), ($BC$3:$BC$1000))*$AB$13/AT274)))</f>
        <v/>
      </c>
      <c r="BE274" t="str">
        <f t="shared" si="132"/>
        <v/>
      </c>
      <c r="BF274" s="65" t="str">
        <f t="shared" si="133"/>
        <v/>
      </c>
    </row>
    <row r="275" spans="2:58" x14ac:dyDescent="0.3">
      <c r="B275" s="18" t="s">
        <v>1107</v>
      </c>
      <c r="C275" s="18" t="s">
        <v>1271</v>
      </c>
      <c r="D275" s="18" t="s">
        <v>1319</v>
      </c>
      <c r="E275" s="44" t="s">
        <v>1525</v>
      </c>
      <c r="F275" s="18" t="s">
        <v>20</v>
      </c>
      <c r="G275" s="18" t="s">
        <v>10</v>
      </c>
      <c r="H275" s="19">
        <v>11438.4</v>
      </c>
      <c r="I275" s="18">
        <v>-1093</v>
      </c>
      <c r="J275" s="20">
        <v>142.97999999999999</v>
      </c>
      <c r="K275" s="19">
        <v>-156277.13999999998</v>
      </c>
      <c r="L275" s="12">
        <f t="shared" si="113"/>
        <v>-1.0418475999999999E-2</v>
      </c>
      <c r="M275" s="12">
        <f t="shared" si="114"/>
        <v>-1.0298661174047369E-2</v>
      </c>
      <c r="N275" s="15" t="str">
        <f t="shared" si="115"/>
        <v/>
      </c>
      <c r="O275" s="15" t="str">
        <f t="shared" si="116"/>
        <v/>
      </c>
      <c r="P275" s="15" t="str">
        <f t="shared" si="117"/>
        <v/>
      </c>
      <c r="Q275" s="15" t="str">
        <f t="shared" si="118"/>
        <v/>
      </c>
      <c r="R275" s="55" t="str">
        <f t="shared" si="119"/>
        <v/>
      </c>
      <c r="S275" s="33" t="str">
        <f t="shared" si="120"/>
        <v/>
      </c>
      <c r="T275" s="33" t="str">
        <f t="shared" si="121"/>
        <v/>
      </c>
      <c r="U275" s="15" t="str">
        <f t="shared" si="122"/>
        <v/>
      </c>
      <c r="V275" s="15" t="str">
        <f t="shared" si="123"/>
        <v/>
      </c>
      <c r="W275" s="62" t="str">
        <f t="shared" si="124"/>
        <v/>
      </c>
      <c r="X275" s="15"/>
      <c r="Y275" s="1">
        <f t="shared" si="125"/>
        <v>-1.1981482595263028E-4</v>
      </c>
      <c r="AH275" s="35">
        <v>45714</v>
      </c>
      <c r="AI275" s="31" t="s">
        <v>1523</v>
      </c>
      <c r="AJ275" s="32">
        <v>-0.01</v>
      </c>
      <c r="AK275" s="28">
        <f t="shared" si="112"/>
        <v>-1.0298661174047369E-2</v>
      </c>
      <c r="AL275" s="28" t="s">
        <v>1605</v>
      </c>
      <c r="AM275" s="28" t="s">
        <v>1523</v>
      </c>
      <c r="AN275" s="28" t="s">
        <v>1606</v>
      </c>
      <c r="AO275" s="28" t="s">
        <v>1607</v>
      </c>
      <c r="AP275" s="28" t="s">
        <v>1608</v>
      </c>
      <c r="AQ275" s="28" t="s">
        <v>73</v>
      </c>
      <c r="AR275" s="28" t="s">
        <v>19</v>
      </c>
      <c r="AS275" s="73">
        <v>3250.2595837499998</v>
      </c>
      <c r="AT275" s="8">
        <v>5.09</v>
      </c>
      <c r="AU275" s="73" t="s">
        <v>1523</v>
      </c>
      <c r="AV275" s="73" t="b">
        <f t="shared" si="126"/>
        <v>1</v>
      </c>
      <c r="AW275" s="79">
        <v>0</v>
      </c>
      <c r="AX275" s="45" t="str">
        <f t="shared" si="127"/>
        <v/>
      </c>
      <c r="AY275" s="29" t="str">
        <f t="shared" si="128"/>
        <v/>
      </c>
      <c r="AZ275" s="29" t="str">
        <f t="shared" si="129"/>
        <v/>
      </c>
      <c r="BA275" s="29" t="s">
        <v>699</v>
      </c>
      <c r="BB275" s="29">
        <f t="shared" si="130"/>
        <v>0</v>
      </c>
      <c r="BC275">
        <f t="shared" si="131"/>
        <v>0</v>
      </c>
      <c r="BD275" s="78" t="str" cm="1">
        <f t="array" ref="BD275">IF(BC275&lt;&gt;1, "", IF(AK275&gt;0, INT(AK275/SUMPRODUCT(($AK$3:$AK$1000&gt;0)*($AK$3:$AK$1000), ($BC$3:$BC$1000))*$AB$12/AT275), INT(AK275/SUMPRODUCT(($AK$3:$AK$1000&lt;0)*($AK$3:$AK$1000), ($BC$3:$BC$1000))*$AB$13/AT275)))</f>
        <v/>
      </c>
      <c r="BE275" t="str">
        <f t="shared" si="132"/>
        <v/>
      </c>
      <c r="BF275" s="65" t="str">
        <f t="shared" si="133"/>
        <v/>
      </c>
    </row>
    <row r="276" spans="2:58" x14ac:dyDescent="0.3">
      <c r="B276" s="18" t="s">
        <v>309</v>
      </c>
      <c r="C276" s="18" t="s">
        <v>313</v>
      </c>
      <c r="D276" s="18" t="s">
        <v>525</v>
      </c>
      <c r="E276" s="44" t="s">
        <v>314</v>
      </c>
      <c r="F276" s="18" t="s">
        <v>23</v>
      </c>
      <c r="G276" s="18" t="s">
        <v>10</v>
      </c>
      <c r="H276" s="19">
        <v>1310.1988893</v>
      </c>
      <c r="I276" s="18">
        <v>-14404</v>
      </c>
      <c r="J276" s="20">
        <v>10.85</v>
      </c>
      <c r="K276" s="19">
        <v>-156283.4</v>
      </c>
      <c r="L276" s="12">
        <f t="shared" si="113"/>
        <v>-1.0418893333333333E-2</v>
      </c>
      <c r="M276" s="12">
        <f t="shared" si="114"/>
        <v>-1.0298661174047369E-2</v>
      </c>
      <c r="N276" s="15" t="str">
        <f t="shared" si="115"/>
        <v/>
      </c>
      <c r="O276" s="15" t="str">
        <f t="shared" si="116"/>
        <v/>
      </c>
      <c r="P276" s="15" t="str">
        <f t="shared" si="117"/>
        <v/>
      </c>
      <c r="Q276" s="15" t="str">
        <f t="shared" si="118"/>
        <v/>
      </c>
      <c r="R276" s="55" t="str">
        <f t="shared" si="119"/>
        <v/>
      </c>
      <c r="S276" s="33" t="str">
        <f t="shared" si="120"/>
        <v/>
      </c>
      <c r="T276" s="33" t="str">
        <f t="shared" si="121"/>
        <v/>
      </c>
      <c r="U276" s="15" t="str">
        <f t="shared" si="122"/>
        <v/>
      </c>
      <c r="V276" s="15" t="str">
        <f t="shared" si="123"/>
        <v/>
      </c>
      <c r="W276" s="62" t="str">
        <f t="shared" si="124"/>
        <v/>
      </c>
      <c r="X276" s="15"/>
      <c r="Y276" s="1">
        <f t="shared" si="125"/>
        <v>-1.2023215928596426E-4</v>
      </c>
      <c r="AH276" s="35">
        <v>45714</v>
      </c>
      <c r="AI276" s="31" t="s">
        <v>557</v>
      </c>
      <c r="AJ276" s="32">
        <v>-0.01</v>
      </c>
      <c r="AK276" s="28">
        <f t="shared" si="112"/>
        <v>-1.0298661174047369E-2</v>
      </c>
      <c r="AL276" s="28" t="s">
        <v>570</v>
      </c>
      <c r="AM276" s="28" t="s">
        <v>557</v>
      </c>
      <c r="AN276" s="28" t="s">
        <v>1808</v>
      </c>
      <c r="AO276" s="28" t="s">
        <v>571</v>
      </c>
      <c r="AP276" s="28" t="s">
        <v>572</v>
      </c>
      <c r="AQ276" s="28" t="s">
        <v>73</v>
      </c>
      <c r="AR276" s="28" t="s">
        <v>23</v>
      </c>
      <c r="AS276" s="73">
        <v>541.98670454000001</v>
      </c>
      <c r="AT276" s="8">
        <v>8.7799999999999994</v>
      </c>
      <c r="AU276" s="73" t="s">
        <v>557</v>
      </c>
      <c r="AV276" s="73" t="b">
        <f t="shared" si="126"/>
        <v>1</v>
      </c>
      <c r="AW276" s="79">
        <v>0</v>
      </c>
      <c r="AX276" s="45" t="str">
        <f t="shared" si="127"/>
        <v/>
      </c>
      <c r="AY276" s="29" t="str">
        <f t="shared" si="128"/>
        <v/>
      </c>
      <c r="AZ276" s="29" t="str">
        <f t="shared" si="129"/>
        <v/>
      </c>
      <c r="BA276" s="29" t="s">
        <v>699</v>
      </c>
      <c r="BB276" s="29">
        <f t="shared" si="130"/>
        <v>0</v>
      </c>
      <c r="BC276">
        <f t="shared" si="131"/>
        <v>0</v>
      </c>
      <c r="BD276" s="78" t="str" cm="1">
        <f t="array" ref="BD276">IF(BC276&lt;&gt;1, "", IF(AK276&gt;0, INT(AK276/SUMPRODUCT(($AK$3:$AK$1000&gt;0)*($AK$3:$AK$1000), ($BC$3:$BC$1000))*$AB$12/AT276), INT(AK276/SUMPRODUCT(($AK$3:$AK$1000&lt;0)*($AK$3:$AK$1000), ($BC$3:$BC$1000))*$AB$13/AT276)))</f>
        <v/>
      </c>
      <c r="BE276" t="str">
        <f t="shared" si="132"/>
        <v/>
      </c>
      <c r="BF276" s="65" t="str">
        <f t="shared" si="133"/>
        <v/>
      </c>
    </row>
    <row r="277" spans="2:58" x14ac:dyDescent="0.3">
      <c r="B277" s="18" t="s">
        <v>905</v>
      </c>
      <c r="C277" s="18" t="s">
        <v>928</v>
      </c>
      <c r="D277" s="18" t="s">
        <v>943</v>
      </c>
      <c r="E277" s="44" t="s">
        <v>931</v>
      </c>
      <c r="F277" s="18" t="s">
        <v>23</v>
      </c>
      <c r="G277" s="18" t="s">
        <v>10</v>
      </c>
      <c r="H277" s="19">
        <v>486.94788776000001</v>
      </c>
      <c r="I277" s="18">
        <v>-3213</v>
      </c>
      <c r="J277" s="20">
        <v>48.74</v>
      </c>
      <c r="K277" s="19">
        <v>-156601.62</v>
      </c>
      <c r="L277" s="12">
        <f t="shared" si="113"/>
        <v>-1.0440108E-2</v>
      </c>
      <c r="M277" s="12">
        <f t="shared" si="114"/>
        <v>-1.0298661174047369E-2</v>
      </c>
      <c r="N277" s="15" t="str">
        <f t="shared" si="115"/>
        <v/>
      </c>
      <c r="O277" s="15" t="str">
        <f t="shared" si="116"/>
        <v/>
      </c>
      <c r="P277" s="15" t="str">
        <f t="shared" si="117"/>
        <v/>
      </c>
      <c r="Q277" s="15" t="str">
        <f t="shared" si="118"/>
        <v/>
      </c>
      <c r="R277" s="55" t="str">
        <f t="shared" si="119"/>
        <v/>
      </c>
      <c r="S277" s="33" t="str">
        <f t="shared" si="120"/>
        <v/>
      </c>
      <c r="T277" s="33" t="str">
        <f t="shared" si="121"/>
        <v/>
      </c>
      <c r="U277" s="15" t="str">
        <f t="shared" si="122"/>
        <v/>
      </c>
      <c r="V277" s="15" t="str">
        <f t="shared" si="123"/>
        <v/>
      </c>
      <c r="W277" s="62" t="str">
        <f t="shared" si="124"/>
        <v/>
      </c>
      <c r="X277" s="15"/>
      <c r="Y277" s="1">
        <f t="shared" si="125"/>
        <v>-1.4144682595263088E-4</v>
      </c>
      <c r="AH277" s="35">
        <v>45714</v>
      </c>
      <c r="AI277" s="31" t="s">
        <v>710</v>
      </c>
      <c r="AJ277" s="32">
        <v>-0.01</v>
      </c>
      <c r="AK277" s="28">
        <f t="shared" si="112"/>
        <v>-1.0298661174047369E-2</v>
      </c>
      <c r="AL277" s="28" t="s">
        <v>740</v>
      </c>
      <c r="AM277" s="28" t="s">
        <v>710</v>
      </c>
      <c r="AN277" s="28" t="s">
        <v>1809</v>
      </c>
      <c r="AO277" s="28" t="s">
        <v>741</v>
      </c>
      <c r="AP277" s="28" t="s">
        <v>742</v>
      </c>
      <c r="AQ277" s="28" t="s">
        <v>73</v>
      </c>
      <c r="AR277" s="28" t="s">
        <v>11</v>
      </c>
      <c r="AS277" s="73">
        <v>7689.4127735399998</v>
      </c>
      <c r="AT277" s="8">
        <v>211.22</v>
      </c>
      <c r="AU277" s="73" t="s">
        <v>710</v>
      </c>
      <c r="AV277" s="73" t="b">
        <f t="shared" si="126"/>
        <v>1</v>
      </c>
      <c r="AW277" s="79">
        <v>0</v>
      </c>
      <c r="AX277" s="45" t="str">
        <f t="shared" si="127"/>
        <v/>
      </c>
      <c r="AY277" s="29" t="str">
        <f t="shared" si="128"/>
        <v/>
      </c>
      <c r="AZ277" s="29" t="str">
        <f t="shared" si="129"/>
        <v/>
      </c>
      <c r="BA277" s="29" t="s">
        <v>699</v>
      </c>
      <c r="BB277" s="29">
        <f t="shared" si="130"/>
        <v>0</v>
      </c>
      <c r="BC277">
        <f t="shared" si="131"/>
        <v>0</v>
      </c>
      <c r="BD277" s="78" t="str" cm="1">
        <f t="array" ref="BD277">IF(BC277&lt;&gt;1, "", IF(AK277&gt;0, INT(AK277/SUMPRODUCT(($AK$3:$AK$1000&gt;0)*($AK$3:$AK$1000), ($BC$3:$BC$1000))*$AB$12/AT277), INT(AK277/SUMPRODUCT(($AK$3:$AK$1000&lt;0)*($AK$3:$AK$1000), ($BC$3:$BC$1000))*$AB$13/AT277)))</f>
        <v/>
      </c>
      <c r="BE277" t="str">
        <f t="shared" si="132"/>
        <v/>
      </c>
      <c r="BF277" s="65" t="str">
        <f t="shared" si="133"/>
        <v/>
      </c>
    </row>
    <row r="278" spans="2:58" x14ac:dyDescent="0.3">
      <c r="B278" s="18" t="s">
        <v>586</v>
      </c>
      <c r="C278" s="18" t="s">
        <v>608</v>
      </c>
      <c r="D278" s="18" t="s">
        <v>625</v>
      </c>
      <c r="E278" s="44" t="s">
        <v>611</v>
      </c>
      <c r="F278" s="18" t="s">
        <v>23</v>
      </c>
      <c r="G278" s="18" t="s">
        <v>10</v>
      </c>
      <c r="H278" s="19">
        <v>643.74690440000006</v>
      </c>
      <c r="I278" s="18">
        <v>-4725</v>
      </c>
      <c r="J278" s="20">
        <v>33.200000000000003</v>
      </c>
      <c r="K278" s="19">
        <v>-156870</v>
      </c>
      <c r="L278" s="12">
        <f t="shared" si="113"/>
        <v>-1.0458E-2</v>
      </c>
      <c r="M278" s="12">
        <f t="shared" si="114"/>
        <v>-1.0298661174047369E-2</v>
      </c>
      <c r="N278" s="15" t="str">
        <f t="shared" si="115"/>
        <v/>
      </c>
      <c r="O278" s="15" t="str">
        <f t="shared" si="116"/>
        <v/>
      </c>
      <c r="P278" s="15" t="str">
        <f t="shared" si="117"/>
        <v/>
      </c>
      <c r="Q278" s="15" t="str">
        <f t="shared" si="118"/>
        <v/>
      </c>
      <c r="R278" s="55" t="str">
        <f t="shared" si="119"/>
        <v/>
      </c>
      <c r="S278" s="33" t="str">
        <f t="shared" si="120"/>
        <v/>
      </c>
      <c r="T278" s="33" t="str">
        <f t="shared" si="121"/>
        <v/>
      </c>
      <c r="U278" s="15" t="str">
        <f t="shared" si="122"/>
        <v/>
      </c>
      <c r="V278" s="15" t="str">
        <f t="shared" si="123"/>
        <v/>
      </c>
      <c r="W278" s="62" t="str">
        <f t="shared" si="124"/>
        <v/>
      </c>
      <c r="X278" s="15"/>
      <c r="Y278" s="1">
        <f t="shared" si="125"/>
        <v>-1.5933882595263113E-4</v>
      </c>
      <c r="AH278" s="35">
        <v>45714</v>
      </c>
      <c r="AI278" s="31" t="s">
        <v>317</v>
      </c>
      <c r="AJ278" s="32">
        <v>-0.01</v>
      </c>
      <c r="AK278" s="28">
        <f t="shared" si="112"/>
        <v>-1.0298661174047369E-2</v>
      </c>
      <c r="AL278" s="28" t="s">
        <v>320</v>
      </c>
      <c r="AM278" s="28" t="s">
        <v>317</v>
      </c>
      <c r="AN278" s="28" t="s">
        <v>1810</v>
      </c>
      <c r="AO278" s="28" t="s">
        <v>321</v>
      </c>
      <c r="AP278" s="28" t="s">
        <v>322</v>
      </c>
      <c r="AQ278" s="28" t="s">
        <v>73</v>
      </c>
      <c r="AR278" s="28" t="s">
        <v>23</v>
      </c>
      <c r="AS278" s="73">
        <v>4047.9413476999998</v>
      </c>
      <c r="AT278" s="8">
        <v>111.55</v>
      </c>
      <c r="AU278" s="73" t="s">
        <v>317</v>
      </c>
      <c r="AV278" s="73" t="b">
        <f t="shared" si="126"/>
        <v>1</v>
      </c>
      <c r="AW278" s="79">
        <v>0</v>
      </c>
      <c r="AX278" s="45" t="str">
        <f t="shared" si="127"/>
        <v/>
      </c>
      <c r="AY278" s="29" t="str">
        <f t="shared" si="128"/>
        <v/>
      </c>
      <c r="AZ278" s="29" t="str">
        <f t="shared" si="129"/>
        <v/>
      </c>
      <c r="BA278" s="29" t="s">
        <v>699</v>
      </c>
      <c r="BB278" s="29">
        <f t="shared" si="130"/>
        <v>0</v>
      </c>
      <c r="BC278">
        <f t="shared" si="131"/>
        <v>0</v>
      </c>
      <c r="BD278" s="78" t="str" cm="1">
        <f t="array" ref="BD278">IF(BC278&lt;&gt;1, "", IF(AK278&gt;0, INT(AK278/SUMPRODUCT(($AK$3:$AK$1000&gt;0)*($AK$3:$AK$1000), ($BC$3:$BC$1000))*$AB$12/AT278), INT(AK278/SUMPRODUCT(($AK$3:$AK$1000&lt;0)*($AK$3:$AK$1000), ($BC$3:$BC$1000))*$AB$13/AT278)))</f>
        <v/>
      </c>
      <c r="BE278" t="str">
        <f t="shared" si="132"/>
        <v/>
      </c>
      <c r="BF278" s="65" t="str">
        <f t="shared" si="133"/>
        <v/>
      </c>
    </row>
    <row r="279" spans="2:58" x14ac:dyDescent="0.3">
      <c r="B279" s="18" t="s">
        <v>706</v>
      </c>
      <c r="C279" s="18" t="s">
        <v>727</v>
      </c>
      <c r="D279" s="18" t="s">
        <v>758</v>
      </c>
      <c r="E279" s="44" t="s">
        <v>730</v>
      </c>
      <c r="F279" s="18" t="s">
        <v>11</v>
      </c>
      <c r="G279" s="18" t="s">
        <v>10</v>
      </c>
      <c r="H279" s="19">
        <v>3065.08</v>
      </c>
      <c r="I279" s="18">
        <v>-2238</v>
      </c>
      <c r="J279" s="20">
        <v>70.3</v>
      </c>
      <c r="K279" s="19">
        <v>-157331.4</v>
      </c>
      <c r="L279" s="12">
        <f t="shared" si="113"/>
        <v>-1.048876E-2</v>
      </c>
      <c r="M279" s="12">
        <f t="shared" si="114"/>
        <v>-1.0195674562306897E-2</v>
      </c>
      <c r="N279" s="15" t="str">
        <f t="shared" si="115"/>
        <v/>
      </c>
      <c r="O279" s="15" t="str">
        <f t="shared" si="116"/>
        <v/>
      </c>
      <c r="P279" s="15">
        <f t="shared" si="117"/>
        <v>1</v>
      </c>
      <c r="Q279" s="15" t="str">
        <f t="shared" si="118"/>
        <v>BuyToCover</v>
      </c>
      <c r="R279" s="55">
        <f t="shared" si="119"/>
        <v>62</v>
      </c>
      <c r="S279" s="33">
        <f t="shared" si="120"/>
        <v>4358.5999999999995</v>
      </c>
      <c r="T279" s="33" t="str">
        <f t="shared" si="121"/>
        <v/>
      </c>
      <c r="U279" s="15" t="str">
        <f t="shared" si="122"/>
        <v/>
      </c>
      <c r="V279" s="15">
        <f t="shared" si="123"/>
        <v>0.62</v>
      </c>
      <c r="W279" s="62">
        <f t="shared" si="124"/>
        <v>1.4224751066856331E-4</v>
      </c>
      <c r="X279" s="15"/>
      <c r="Y279" s="1">
        <f t="shared" si="125"/>
        <v>-2.9308543769310247E-4</v>
      </c>
      <c r="AH279" s="35">
        <v>45714</v>
      </c>
      <c r="AI279" s="31" t="s">
        <v>500</v>
      </c>
      <c r="AJ279" s="32">
        <v>-0.01</v>
      </c>
      <c r="AK279" s="28">
        <f t="shared" si="112"/>
        <v>-1.0298661174047369E-2</v>
      </c>
      <c r="AL279" s="28" t="s">
        <v>511</v>
      </c>
      <c r="AM279" s="28" t="s">
        <v>500</v>
      </c>
      <c r="AN279" s="28" t="s">
        <v>512</v>
      </c>
      <c r="AO279" s="28" t="s">
        <v>513</v>
      </c>
      <c r="AP279" s="28" t="s">
        <v>514</v>
      </c>
      <c r="AQ279" s="28" t="s">
        <v>73</v>
      </c>
      <c r="AR279" s="28" t="s">
        <v>23</v>
      </c>
      <c r="AS279" s="73">
        <v>1206.70770616</v>
      </c>
      <c r="AT279" s="8">
        <v>13.31</v>
      </c>
      <c r="AU279" s="73" t="s">
        <v>500</v>
      </c>
      <c r="AV279" s="73" t="b">
        <f t="shared" si="126"/>
        <v>1</v>
      </c>
      <c r="AW279" s="79">
        <v>0</v>
      </c>
      <c r="AX279" s="45" t="str">
        <f t="shared" si="127"/>
        <v/>
      </c>
      <c r="AY279" s="29" t="str">
        <f t="shared" si="128"/>
        <v/>
      </c>
      <c r="AZ279" s="29" t="str">
        <f t="shared" si="129"/>
        <v/>
      </c>
      <c r="BA279" s="29" t="s">
        <v>699</v>
      </c>
      <c r="BB279" s="29">
        <f t="shared" si="130"/>
        <v>0</v>
      </c>
      <c r="BC279">
        <f t="shared" si="131"/>
        <v>0</v>
      </c>
      <c r="BD279" s="78" t="str" cm="1">
        <f t="array" ref="BD279">IF(BC279&lt;&gt;1, "", IF(AK279&gt;0, INT(AK279/SUMPRODUCT(($AK$3:$AK$1000&gt;0)*($AK$3:$AK$1000), ($BC$3:$BC$1000))*$AB$12/AT279), INT(AK279/SUMPRODUCT(($AK$3:$AK$1000&lt;0)*($AK$3:$AK$1000), ($BC$3:$BC$1000))*$AB$13/AT279)))</f>
        <v/>
      </c>
      <c r="BE279" t="str">
        <f t="shared" si="132"/>
        <v/>
      </c>
      <c r="BF279" s="65" t="str">
        <f t="shared" si="133"/>
        <v/>
      </c>
    </row>
    <row r="280" spans="2:58" x14ac:dyDescent="0.3">
      <c r="B280" s="18" t="s">
        <v>500</v>
      </c>
      <c r="C280" s="18" t="s">
        <v>511</v>
      </c>
      <c r="D280" s="18" t="s">
        <v>523</v>
      </c>
      <c r="E280" s="44" t="s">
        <v>514</v>
      </c>
      <c r="F280" s="18" t="s">
        <v>23</v>
      </c>
      <c r="G280" s="18" t="s">
        <v>10</v>
      </c>
      <c r="H280" s="19">
        <v>1206.70770616</v>
      </c>
      <c r="I280" s="18">
        <v>-11825</v>
      </c>
      <c r="J280" s="20">
        <v>13.31</v>
      </c>
      <c r="K280" s="19">
        <v>-157390.75</v>
      </c>
      <c r="L280" s="12">
        <f t="shared" si="113"/>
        <v>-1.0492716666666667E-2</v>
      </c>
      <c r="M280" s="12">
        <f t="shared" si="114"/>
        <v>-1.0298661174047369E-2</v>
      </c>
      <c r="N280" s="15" t="str">
        <f t="shared" si="115"/>
        <v/>
      </c>
      <c r="O280" s="15" t="str">
        <f t="shared" si="116"/>
        <v/>
      </c>
      <c r="P280" s="15" t="str">
        <f t="shared" si="117"/>
        <v/>
      </c>
      <c r="Q280" s="15" t="str">
        <f t="shared" si="118"/>
        <v/>
      </c>
      <c r="R280" s="55" t="str">
        <f t="shared" si="119"/>
        <v/>
      </c>
      <c r="S280" s="33" t="str">
        <f t="shared" si="120"/>
        <v/>
      </c>
      <c r="T280" s="33" t="str">
        <f t="shared" si="121"/>
        <v/>
      </c>
      <c r="U280" s="15" t="str">
        <f t="shared" si="122"/>
        <v/>
      </c>
      <c r="V280" s="15" t="str">
        <f t="shared" si="123"/>
        <v/>
      </c>
      <c r="W280" s="62" t="str">
        <f t="shared" si="124"/>
        <v/>
      </c>
      <c r="X280" s="15"/>
      <c r="Y280" s="1">
        <f t="shared" si="125"/>
        <v>-1.9405549261929805E-4</v>
      </c>
      <c r="AH280" s="35">
        <v>45714</v>
      </c>
      <c r="AI280" s="31" t="s">
        <v>630</v>
      </c>
      <c r="AJ280" s="32">
        <v>-0.01</v>
      </c>
      <c r="AK280" s="28">
        <f t="shared" si="112"/>
        <v>-1.0298661174047369E-2</v>
      </c>
      <c r="AL280" s="28" t="s">
        <v>643</v>
      </c>
      <c r="AM280" s="28" t="s">
        <v>630</v>
      </c>
      <c r="AN280" s="28" t="s">
        <v>668</v>
      </c>
      <c r="AO280" s="28" t="s">
        <v>636</v>
      </c>
      <c r="AP280" s="28" t="s">
        <v>637</v>
      </c>
      <c r="AQ280" s="28" t="s">
        <v>73</v>
      </c>
      <c r="AR280" s="28" t="s">
        <v>11</v>
      </c>
      <c r="AS280" s="73">
        <v>1672.1480948799999</v>
      </c>
      <c r="AT280" s="8">
        <v>63.92</v>
      </c>
      <c r="AU280" s="73" t="s">
        <v>630</v>
      </c>
      <c r="AV280" s="73" t="b">
        <f t="shared" si="126"/>
        <v>1</v>
      </c>
      <c r="AW280" s="79">
        <v>0</v>
      </c>
      <c r="AX280" s="45" t="str">
        <f t="shared" si="127"/>
        <v/>
      </c>
      <c r="AY280" s="29" t="str">
        <f t="shared" si="128"/>
        <v/>
      </c>
      <c r="AZ280" s="29" t="str">
        <f t="shared" si="129"/>
        <v/>
      </c>
      <c r="BA280" s="29" t="s">
        <v>699</v>
      </c>
      <c r="BB280" s="29">
        <f t="shared" si="130"/>
        <v>0</v>
      </c>
      <c r="BC280">
        <f t="shared" si="131"/>
        <v>0</v>
      </c>
      <c r="BD280" s="78" t="str" cm="1">
        <f t="array" ref="BD280">IF(BC280&lt;&gt;1, "", IF(AK280&gt;0, INT(AK280/SUMPRODUCT(($AK$3:$AK$1000&gt;0)*($AK$3:$AK$1000), ($BC$3:$BC$1000))*$AB$12/AT280), INT(AK280/SUMPRODUCT(($AK$3:$AK$1000&lt;0)*($AK$3:$AK$1000), ($BC$3:$BC$1000))*$AB$13/AT280)))</f>
        <v/>
      </c>
      <c r="BE280" t="str">
        <f t="shared" si="132"/>
        <v/>
      </c>
      <c r="BF280" s="65" t="str">
        <f t="shared" si="133"/>
        <v/>
      </c>
    </row>
    <row r="281" spans="2:58" x14ac:dyDescent="0.3">
      <c r="B281" s="18" t="s">
        <v>1012</v>
      </c>
      <c r="C281" s="18" t="s">
        <v>1047</v>
      </c>
      <c r="D281" s="18" t="s">
        <v>1060</v>
      </c>
      <c r="E281" s="44" t="s">
        <v>1336</v>
      </c>
      <c r="F281" s="18" t="s">
        <v>13</v>
      </c>
      <c r="G281" s="18" t="s">
        <v>10</v>
      </c>
      <c r="H281" s="19">
        <v>6402.7369777600006</v>
      </c>
      <c r="I281" s="18">
        <v>-966</v>
      </c>
      <c r="J281" s="20">
        <v>163.12</v>
      </c>
      <c r="K281" s="19">
        <v>-157573.92000000001</v>
      </c>
      <c r="L281" s="12">
        <f t="shared" si="113"/>
        <v>-1.0504928E-2</v>
      </c>
      <c r="M281" s="12">
        <f t="shared" si="114"/>
        <v>-1.0298661174047369E-2</v>
      </c>
      <c r="N281" s="15" t="str">
        <f t="shared" si="115"/>
        <v/>
      </c>
      <c r="O281" s="15" t="str">
        <f t="shared" si="116"/>
        <v/>
      </c>
      <c r="P281" s="15">
        <f t="shared" si="117"/>
        <v>1</v>
      </c>
      <c r="Q281" s="15" t="str">
        <f t="shared" si="118"/>
        <v>BuyToCover</v>
      </c>
      <c r="R281" s="55">
        <f t="shared" si="119"/>
        <v>18</v>
      </c>
      <c r="S281" s="33">
        <f t="shared" si="120"/>
        <v>2936.16</v>
      </c>
      <c r="T281" s="33" t="str">
        <f t="shared" si="121"/>
        <v/>
      </c>
      <c r="U281" s="15" t="str">
        <f t="shared" si="122"/>
        <v/>
      </c>
      <c r="V281" s="15">
        <f t="shared" si="123"/>
        <v>0.18</v>
      </c>
      <c r="W281" s="62">
        <f t="shared" si="124"/>
        <v>6.1304561059342819E-5</v>
      </c>
      <c r="X281" s="15"/>
      <c r="Y281" s="1">
        <f t="shared" si="125"/>
        <v>-2.0626682595263103E-4</v>
      </c>
      <c r="AH281" s="35">
        <v>45714</v>
      </c>
      <c r="AI281" s="31" t="s">
        <v>556</v>
      </c>
      <c r="AJ281" s="32">
        <v>-0.01</v>
      </c>
      <c r="AK281" s="28">
        <f t="shared" si="112"/>
        <v>-1.0298661174047369E-2</v>
      </c>
      <c r="AL281" s="28" t="s">
        <v>566</v>
      </c>
      <c r="AM281" s="28" t="s">
        <v>556</v>
      </c>
      <c r="AN281" s="28" t="s">
        <v>567</v>
      </c>
      <c r="AO281" s="28" t="s">
        <v>568</v>
      </c>
      <c r="AP281" s="28" t="s">
        <v>569</v>
      </c>
      <c r="AQ281" s="28" t="s">
        <v>73</v>
      </c>
      <c r="AR281" s="28" t="s">
        <v>23</v>
      </c>
      <c r="AS281" s="73">
        <v>1446.9461730099999</v>
      </c>
      <c r="AT281" s="8">
        <v>13.91</v>
      </c>
      <c r="AU281" s="73" t="s">
        <v>556</v>
      </c>
      <c r="AV281" s="73" t="b">
        <f t="shared" si="126"/>
        <v>1</v>
      </c>
      <c r="AW281" s="79">
        <v>0</v>
      </c>
      <c r="AX281" s="45" t="str">
        <f t="shared" si="127"/>
        <v/>
      </c>
      <c r="AY281" s="29" t="str">
        <f t="shared" si="128"/>
        <v/>
      </c>
      <c r="AZ281" s="29" t="str">
        <f t="shared" si="129"/>
        <v/>
      </c>
      <c r="BA281" s="29" t="s">
        <v>699</v>
      </c>
      <c r="BB281" s="29">
        <f t="shared" si="130"/>
        <v>0</v>
      </c>
      <c r="BC281">
        <f t="shared" si="131"/>
        <v>0</v>
      </c>
      <c r="BD281" s="78" t="str" cm="1">
        <f t="array" ref="BD281">IF(BC281&lt;&gt;1, "", IF(AK281&gt;0, INT(AK281/SUMPRODUCT(($AK$3:$AK$1000&gt;0)*($AK$3:$AK$1000), ($BC$3:$BC$1000))*$AB$12/AT281), INT(AK281/SUMPRODUCT(($AK$3:$AK$1000&lt;0)*($AK$3:$AK$1000), ($BC$3:$BC$1000))*$AB$13/AT281)))</f>
        <v/>
      </c>
      <c r="BE281" t="str">
        <f t="shared" si="132"/>
        <v/>
      </c>
      <c r="BF281" s="65" t="str">
        <f t="shared" si="133"/>
        <v/>
      </c>
    </row>
    <row r="282" spans="2:58" x14ac:dyDescent="0.3">
      <c r="B282" s="18" t="s">
        <v>229</v>
      </c>
      <c r="C282" s="18" t="s">
        <v>230</v>
      </c>
      <c r="D282" s="18" t="s">
        <v>231</v>
      </c>
      <c r="E282" s="44" t="s">
        <v>232</v>
      </c>
      <c r="F282" s="18" t="s">
        <v>23</v>
      </c>
      <c r="G282" s="18" t="s">
        <v>10</v>
      </c>
      <c r="H282" s="19">
        <v>418.41232547999999</v>
      </c>
      <c r="I282" s="18">
        <v>-31027</v>
      </c>
      <c r="J282" s="20">
        <v>5.08</v>
      </c>
      <c r="K282" s="19">
        <v>-157617.16</v>
      </c>
      <c r="L282" s="12">
        <f t="shared" si="113"/>
        <v>-1.0507810666666667E-2</v>
      </c>
      <c r="M282" s="12">
        <f t="shared" si="114"/>
        <v>-1.0298661174047369E-2</v>
      </c>
      <c r="N282" s="15" t="str">
        <f t="shared" si="115"/>
        <v/>
      </c>
      <c r="O282" s="15" t="str">
        <f t="shared" si="116"/>
        <v/>
      </c>
      <c r="P282" s="15">
        <f t="shared" si="117"/>
        <v>1</v>
      </c>
      <c r="Q282" s="15" t="str">
        <f t="shared" si="118"/>
        <v>BuyToCover</v>
      </c>
      <c r="R282" s="55">
        <f t="shared" si="119"/>
        <v>617</v>
      </c>
      <c r="S282" s="33">
        <f t="shared" si="120"/>
        <v>3134.36</v>
      </c>
      <c r="T282" s="33" t="str">
        <f t="shared" si="121"/>
        <v/>
      </c>
      <c r="U282" s="15" t="str">
        <f t="shared" si="122"/>
        <v/>
      </c>
      <c r="V282" s="15">
        <f t="shared" si="123"/>
        <v>6.17</v>
      </c>
      <c r="W282" s="62">
        <f t="shared" si="124"/>
        <v>1.968503937007874E-3</v>
      </c>
      <c r="X282" s="15"/>
      <c r="Y282" s="1">
        <f t="shared" si="125"/>
        <v>-2.0914949261929827E-4</v>
      </c>
      <c r="AH282" s="35">
        <v>45714</v>
      </c>
      <c r="AI282" s="31" t="s">
        <v>711</v>
      </c>
      <c r="AJ282" s="32">
        <v>-0.01</v>
      </c>
      <c r="AK282" s="28">
        <f t="shared" si="112"/>
        <v>-1.0298661174047369E-2</v>
      </c>
      <c r="AL282" s="28" t="s">
        <v>743</v>
      </c>
      <c r="AM282" s="28" t="s">
        <v>711</v>
      </c>
      <c r="AN282" s="28" t="s">
        <v>744</v>
      </c>
      <c r="AO282" s="28" t="s">
        <v>745</v>
      </c>
      <c r="AP282" s="28" t="s">
        <v>1402</v>
      </c>
      <c r="AQ282" s="28" t="s">
        <v>73</v>
      </c>
      <c r="AR282" s="28" t="s">
        <v>11</v>
      </c>
      <c r="AS282" s="73">
        <v>2658.0409625000002</v>
      </c>
      <c r="AT282" s="8">
        <v>93.14</v>
      </c>
      <c r="AU282" s="73" t="s">
        <v>711</v>
      </c>
      <c r="AV282" s="73" t="b">
        <f t="shared" si="126"/>
        <v>1</v>
      </c>
      <c r="AW282" s="79">
        <v>0</v>
      </c>
      <c r="AX282" s="45" t="str">
        <f t="shared" si="127"/>
        <v/>
      </c>
      <c r="AY282" s="29" t="str">
        <f t="shared" si="128"/>
        <v/>
      </c>
      <c r="AZ282" s="29" t="str">
        <f t="shared" si="129"/>
        <v/>
      </c>
      <c r="BA282" s="29" t="s">
        <v>699</v>
      </c>
      <c r="BB282" s="29">
        <f t="shared" si="130"/>
        <v>0</v>
      </c>
      <c r="BC282">
        <f t="shared" si="131"/>
        <v>0</v>
      </c>
      <c r="BD282" s="78" t="str" cm="1">
        <f t="array" ref="BD282">IF(BC282&lt;&gt;1, "", IF(AK282&gt;0, INT(AK282/SUMPRODUCT(($AK$3:$AK$1000&gt;0)*($AK$3:$AK$1000), ($BC$3:$BC$1000))*$AB$12/AT282), INT(AK282/SUMPRODUCT(($AK$3:$AK$1000&lt;0)*($AK$3:$AK$1000), ($BC$3:$BC$1000))*$AB$13/AT282)))</f>
        <v/>
      </c>
      <c r="BE282" t="str">
        <f t="shared" si="132"/>
        <v/>
      </c>
      <c r="BF282" s="65" t="str">
        <f t="shared" si="133"/>
        <v/>
      </c>
    </row>
    <row r="283" spans="2:58" x14ac:dyDescent="0.3">
      <c r="B283" s="18" t="s">
        <v>446</v>
      </c>
      <c r="C283" s="18" t="s">
        <v>457</v>
      </c>
      <c r="D283" s="18" t="s">
        <v>485</v>
      </c>
      <c r="E283" s="44" t="s">
        <v>459</v>
      </c>
      <c r="F283" s="18" t="s">
        <v>23</v>
      </c>
      <c r="G283" s="18" t="s">
        <v>10</v>
      </c>
      <c r="H283" s="19">
        <v>6702.56</v>
      </c>
      <c r="I283" s="18">
        <v>-2429</v>
      </c>
      <c r="J283" s="20">
        <v>65.2</v>
      </c>
      <c r="K283" s="19">
        <v>-158370.80000000002</v>
      </c>
      <c r="L283" s="12">
        <f t="shared" si="113"/>
        <v>-1.0558053333333334E-2</v>
      </c>
      <c r="M283" s="12">
        <f t="shared" si="114"/>
        <v>-1.0298661174047369E-2</v>
      </c>
      <c r="N283" s="15" t="str">
        <f t="shared" si="115"/>
        <v/>
      </c>
      <c r="O283" s="15" t="str">
        <f t="shared" si="116"/>
        <v/>
      </c>
      <c r="P283" s="15">
        <f t="shared" si="117"/>
        <v>1</v>
      </c>
      <c r="Q283" s="15" t="str">
        <f t="shared" si="118"/>
        <v>BuyToCover</v>
      </c>
      <c r="R283" s="55">
        <f t="shared" si="119"/>
        <v>59</v>
      </c>
      <c r="S283" s="33">
        <f t="shared" si="120"/>
        <v>3846.8</v>
      </c>
      <c r="T283" s="33" t="str">
        <f t="shared" si="121"/>
        <v/>
      </c>
      <c r="U283" s="15" t="str">
        <f t="shared" si="122"/>
        <v/>
      </c>
      <c r="V283" s="15">
        <f t="shared" si="123"/>
        <v>0.59</v>
      </c>
      <c r="W283" s="62">
        <f t="shared" si="124"/>
        <v>1.5337423312883434E-4</v>
      </c>
      <c r="X283" s="15"/>
      <c r="Y283" s="1">
        <f t="shared" si="125"/>
        <v>-2.5939215928596528E-4</v>
      </c>
      <c r="AH283" s="35">
        <v>45714</v>
      </c>
      <c r="AI283" s="31" t="s">
        <v>1105</v>
      </c>
      <c r="AJ283" s="32">
        <v>-0.01</v>
      </c>
      <c r="AK283" s="28">
        <f t="shared" si="112"/>
        <v>-1.0298661174047369E-2</v>
      </c>
      <c r="AL283" s="28" t="s">
        <v>1263</v>
      </c>
      <c r="AM283" s="28" t="s">
        <v>1105</v>
      </c>
      <c r="AN283" s="28" t="s">
        <v>1264</v>
      </c>
      <c r="AO283" s="28" t="s">
        <v>1265</v>
      </c>
      <c r="AP283" s="28" t="s">
        <v>1266</v>
      </c>
      <c r="AQ283" s="28" t="s">
        <v>73</v>
      </c>
      <c r="AR283" s="28" t="s">
        <v>19</v>
      </c>
      <c r="AS283" s="73">
        <v>2685.3319730600001</v>
      </c>
      <c r="AT283" s="8">
        <v>51.11</v>
      </c>
      <c r="AU283" s="73" t="s">
        <v>1105</v>
      </c>
      <c r="AV283" s="73" t="b">
        <f t="shared" si="126"/>
        <v>1</v>
      </c>
      <c r="AW283" s="79">
        <v>0</v>
      </c>
      <c r="AX283" s="45" t="str">
        <f t="shared" si="127"/>
        <v/>
      </c>
      <c r="AY283" s="29" t="str">
        <f t="shared" si="128"/>
        <v/>
      </c>
      <c r="AZ283" s="29" t="str">
        <f t="shared" si="129"/>
        <v/>
      </c>
      <c r="BA283" s="29" t="s">
        <v>699</v>
      </c>
      <c r="BB283" s="29">
        <f t="shared" si="130"/>
        <v>0</v>
      </c>
      <c r="BC283">
        <f t="shared" si="131"/>
        <v>0</v>
      </c>
      <c r="BD283" s="78" t="str" cm="1">
        <f t="array" ref="BD283">IF(BC283&lt;&gt;1, "", IF(AK283&gt;0, INT(AK283/SUMPRODUCT(($AK$3:$AK$1000&gt;0)*($AK$3:$AK$1000), ($BC$3:$BC$1000))*$AB$12/AT283), INT(AK283/SUMPRODUCT(($AK$3:$AK$1000&lt;0)*($AK$3:$AK$1000), ($BC$3:$BC$1000))*$AB$13/AT283)))</f>
        <v/>
      </c>
      <c r="BE283" t="str">
        <f t="shared" si="132"/>
        <v/>
      </c>
      <c r="BF283" s="65" t="str">
        <f t="shared" si="133"/>
        <v/>
      </c>
    </row>
    <row r="284" spans="2:58" x14ac:dyDescent="0.3">
      <c r="B284" s="18" t="s">
        <v>30</v>
      </c>
      <c r="C284" s="18" t="s">
        <v>52</v>
      </c>
      <c r="D284" s="18" t="s">
        <v>94</v>
      </c>
      <c r="E284" s="44" t="s">
        <v>62</v>
      </c>
      <c r="F284" s="18" t="s">
        <v>13</v>
      </c>
      <c r="G284" s="18" t="s">
        <v>10</v>
      </c>
      <c r="H284" s="19">
        <v>1249.20471453</v>
      </c>
      <c r="I284" s="18">
        <v>-841</v>
      </c>
      <c r="J284" s="20">
        <v>189.17</v>
      </c>
      <c r="K284" s="19">
        <v>-159091.97</v>
      </c>
      <c r="L284" s="12">
        <f t="shared" si="113"/>
        <v>-1.0606131333333333E-2</v>
      </c>
      <c r="M284" s="12">
        <f t="shared" si="114"/>
        <v>-1.0298661174047369E-2</v>
      </c>
      <c r="N284" s="15" t="str">
        <f t="shared" si="115"/>
        <v/>
      </c>
      <c r="O284" s="15" t="str">
        <f t="shared" si="116"/>
        <v/>
      </c>
      <c r="P284" s="15">
        <f t="shared" si="117"/>
        <v>1</v>
      </c>
      <c r="Q284" s="15" t="str">
        <f t="shared" si="118"/>
        <v>BuyToCover</v>
      </c>
      <c r="R284" s="55">
        <f t="shared" si="119"/>
        <v>24</v>
      </c>
      <c r="S284" s="33">
        <f t="shared" si="120"/>
        <v>4540.08</v>
      </c>
      <c r="T284" s="33" t="str">
        <f t="shared" si="121"/>
        <v/>
      </c>
      <c r="U284" s="15" t="str">
        <f t="shared" si="122"/>
        <v/>
      </c>
      <c r="V284" s="15">
        <f t="shared" si="123"/>
        <v>0.24</v>
      </c>
      <c r="W284" s="62">
        <f t="shared" si="124"/>
        <v>5.2862504625469154E-5</v>
      </c>
      <c r="X284" s="15"/>
      <c r="Y284" s="1">
        <f t="shared" si="125"/>
        <v>-3.0747015928596355E-4</v>
      </c>
      <c r="AH284" s="35">
        <v>45714</v>
      </c>
      <c r="AI284" s="31" t="s">
        <v>707</v>
      </c>
      <c r="AJ284" s="32">
        <v>-0.01</v>
      </c>
      <c r="AK284" s="28">
        <f t="shared" si="112"/>
        <v>-1.0298661174047369E-2</v>
      </c>
      <c r="AL284" s="28" t="s">
        <v>731</v>
      </c>
      <c r="AM284" s="28" t="s">
        <v>707</v>
      </c>
      <c r="AN284" s="28" t="s">
        <v>732</v>
      </c>
      <c r="AO284" s="28" t="s">
        <v>733</v>
      </c>
      <c r="AP284" s="28" t="s">
        <v>850</v>
      </c>
      <c r="AQ284" s="28" t="s">
        <v>73</v>
      </c>
      <c r="AR284" s="28" t="s">
        <v>24</v>
      </c>
      <c r="AS284" s="73">
        <v>2825.5704321500002</v>
      </c>
      <c r="AT284" s="8">
        <v>17.45</v>
      </c>
      <c r="AU284" s="73" t="s">
        <v>707</v>
      </c>
      <c r="AV284" s="73" t="b">
        <f t="shared" si="126"/>
        <v>1</v>
      </c>
      <c r="AW284" s="79">
        <v>0</v>
      </c>
      <c r="AX284" s="45" t="str">
        <f t="shared" si="127"/>
        <v/>
      </c>
      <c r="AY284" s="29" t="str">
        <f t="shared" si="128"/>
        <v/>
      </c>
      <c r="AZ284" s="29" t="str">
        <f t="shared" si="129"/>
        <v/>
      </c>
      <c r="BA284" s="29" t="s">
        <v>699</v>
      </c>
      <c r="BB284" s="29">
        <f t="shared" si="130"/>
        <v>0</v>
      </c>
      <c r="BC284">
        <f t="shared" si="131"/>
        <v>0</v>
      </c>
      <c r="BD284" s="78" t="str" cm="1">
        <f t="array" ref="BD284">IF(BC284&lt;&gt;1, "", IF(AK284&gt;0, INT(AK284/SUMPRODUCT(($AK$3:$AK$1000&gt;0)*($AK$3:$AK$1000), ($BC$3:$BC$1000))*$AB$12/AT284), INT(AK284/SUMPRODUCT(($AK$3:$AK$1000&lt;0)*($AK$3:$AK$1000), ($BC$3:$BC$1000))*$AB$13/AT284)))</f>
        <v/>
      </c>
      <c r="BE284" t="str">
        <f t="shared" si="132"/>
        <v/>
      </c>
      <c r="BF284" s="65" t="str">
        <f t="shared" si="133"/>
        <v/>
      </c>
    </row>
    <row r="285" spans="2:58" x14ac:dyDescent="0.3">
      <c r="B285" s="18" t="s">
        <v>1105</v>
      </c>
      <c r="C285" s="18" t="s">
        <v>1263</v>
      </c>
      <c r="D285" s="18" t="s">
        <v>1316</v>
      </c>
      <c r="E285" s="44" t="s">
        <v>1266</v>
      </c>
      <c r="F285" s="18" t="s">
        <v>19</v>
      </c>
      <c r="G285" s="18" t="s">
        <v>10</v>
      </c>
      <c r="H285" s="19">
        <v>2685.3319730600001</v>
      </c>
      <c r="I285" s="18">
        <v>-3116</v>
      </c>
      <c r="J285" s="20">
        <v>51.11</v>
      </c>
      <c r="K285" s="19">
        <v>-159258.76</v>
      </c>
      <c r="L285" s="12">
        <f t="shared" si="113"/>
        <v>-1.0617250666666668E-2</v>
      </c>
      <c r="M285" s="12">
        <f t="shared" si="114"/>
        <v>-1.0298661174047369E-2</v>
      </c>
      <c r="N285" s="15" t="str">
        <f t="shared" si="115"/>
        <v/>
      </c>
      <c r="O285" s="15" t="str">
        <f t="shared" si="116"/>
        <v/>
      </c>
      <c r="P285" s="15">
        <f t="shared" si="117"/>
        <v>1</v>
      </c>
      <c r="Q285" s="15" t="str">
        <f t="shared" si="118"/>
        <v>BuyToCover</v>
      </c>
      <c r="R285" s="55">
        <f t="shared" si="119"/>
        <v>93</v>
      </c>
      <c r="S285" s="33">
        <f t="shared" si="120"/>
        <v>4753.2299999999996</v>
      </c>
      <c r="T285" s="33" t="str">
        <f t="shared" si="121"/>
        <v/>
      </c>
      <c r="U285" s="15" t="str">
        <f t="shared" si="122"/>
        <v/>
      </c>
      <c r="V285" s="15">
        <f t="shared" si="123"/>
        <v>0.93</v>
      </c>
      <c r="W285" s="62">
        <f t="shared" si="124"/>
        <v>1.9565642731363727E-4</v>
      </c>
      <c r="X285" s="15"/>
      <c r="Y285" s="1">
        <f t="shared" si="125"/>
        <v>-3.1858949261929885E-4</v>
      </c>
      <c r="AH285" s="35">
        <v>45714</v>
      </c>
      <c r="AI285" s="31" t="s">
        <v>195</v>
      </c>
      <c r="AJ285" s="32">
        <v>-0.01</v>
      </c>
      <c r="AK285" s="28">
        <f t="shared" si="112"/>
        <v>-1.0298661174047369E-2</v>
      </c>
      <c r="AL285" s="28" t="s">
        <v>200</v>
      </c>
      <c r="AM285" s="28" t="s">
        <v>195</v>
      </c>
      <c r="AN285" s="28" t="s">
        <v>201</v>
      </c>
      <c r="AO285" s="28" t="s">
        <v>202</v>
      </c>
      <c r="AP285" s="28" t="s">
        <v>203</v>
      </c>
      <c r="AQ285" s="28" t="s">
        <v>73</v>
      </c>
      <c r="AR285" s="28" t="s">
        <v>20</v>
      </c>
      <c r="AS285" s="73">
        <v>392.56905429</v>
      </c>
      <c r="AT285" s="8">
        <v>26.61</v>
      </c>
      <c r="AU285" s="73" t="s">
        <v>195</v>
      </c>
      <c r="AV285" s="73" t="b">
        <f t="shared" si="126"/>
        <v>1</v>
      </c>
      <c r="AW285" s="79">
        <v>0</v>
      </c>
      <c r="AX285" s="45" t="str">
        <f t="shared" si="127"/>
        <v/>
      </c>
      <c r="AY285" s="29" t="str">
        <f t="shared" si="128"/>
        <v/>
      </c>
      <c r="AZ285" s="29" t="str">
        <f t="shared" si="129"/>
        <v/>
      </c>
      <c r="BA285" s="29" t="s">
        <v>699</v>
      </c>
      <c r="BB285" s="29">
        <f t="shared" si="130"/>
        <v>0</v>
      </c>
      <c r="BC285">
        <f t="shared" si="131"/>
        <v>0</v>
      </c>
      <c r="BD285" s="78" t="str" cm="1">
        <f t="array" ref="BD285">IF(BC285&lt;&gt;1, "", IF(AK285&gt;0, INT(AK285/SUMPRODUCT(($AK$3:$AK$1000&gt;0)*($AK$3:$AK$1000), ($BC$3:$BC$1000))*$AB$12/AT285), INT(AK285/SUMPRODUCT(($AK$3:$AK$1000&lt;0)*($AK$3:$AK$1000), ($BC$3:$BC$1000))*$AB$13/AT285)))</f>
        <v/>
      </c>
      <c r="BE285" t="str">
        <f t="shared" si="132"/>
        <v/>
      </c>
      <c r="BF285" s="65" t="str">
        <f t="shared" si="133"/>
        <v/>
      </c>
    </row>
    <row r="286" spans="2:58" x14ac:dyDescent="0.3">
      <c r="B286" s="18" t="s">
        <v>535</v>
      </c>
      <c r="C286" s="18" t="s">
        <v>545</v>
      </c>
      <c r="D286" s="18" t="s">
        <v>552</v>
      </c>
      <c r="E286" s="44" t="s">
        <v>548</v>
      </c>
      <c r="F286" s="18" t="s">
        <v>23</v>
      </c>
      <c r="G286" s="18" t="s">
        <v>10</v>
      </c>
      <c r="H286" s="19">
        <v>5286.3875478</v>
      </c>
      <c r="I286" s="18">
        <v>-1561</v>
      </c>
      <c r="J286" s="20">
        <v>102.78</v>
      </c>
      <c r="K286" s="19">
        <v>-160439.58000000002</v>
      </c>
      <c r="L286" s="12">
        <f t="shared" si="113"/>
        <v>-1.0695972000000002E-2</v>
      </c>
      <c r="M286" s="12">
        <f t="shared" si="114"/>
        <v>-1.0298661174047369E-2</v>
      </c>
      <c r="N286" s="15" t="str">
        <f t="shared" si="115"/>
        <v/>
      </c>
      <c r="O286" s="15" t="str">
        <f t="shared" si="116"/>
        <v/>
      </c>
      <c r="P286" s="15">
        <f t="shared" si="117"/>
        <v>1</v>
      </c>
      <c r="Q286" s="15" t="str">
        <f t="shared" si="118"/>
        <v>BuyToCover</v>
      </c>
      <c r="R286" s="55">
        <f t="shared" si="119"/>
        <v>57</v>
      </c>
      <c r="S286" s="33">
        <f t="shared" si="120"/>
        <v>5858.46</v>
      </c>
      <c r="T286" s="33" t="str">
        <f t="shared" si="121"/>
        <v/>
      </c>
      <c r="U286" s="15" t="str">
        <f t="shared" si="122"/>
        <v/>
      </c>
      <c r="V286" s="15">
        <f t="shared" si="123"/>
        <v>0.57000000000000006</v>
      </c>
      <c r="W286" s="62">
        <f t="shared" si="124"/>
        <v>9.7295193617435313E-5</v>
      </c>
      <c r="X286" s="15"/>
      <c r="Y286" s="1">
        <f t="shared" si="125"/>
        <v>-3.9731082595263235E-4</v>
      </c>
      <c r="AH286" s="35">
        <v>45714</v>
      </c>
      <c r="AI286" s="31" t="s">
        <v>32</v>
      </c>
      <c r="AJ286" s="32">
        <v>-0.01</v>
      </c>
      <c r="AK286" s="28">
        <f t="shared" si="112"/>
        <v>-1.0298661174047369E-2</v>
      </c>
      <c r="AL286" s="28" t="s">
        <v>56</v>
      </c>
      <c r="AM286" s="28" t="s">
        <v>32</v>
      </c>
      <c r="AN286" s="28" t="s">
        <v>387</v>
      </c>
      <c r="AO286" s="28" t="s">
        <v>78</v>
      </c>
      <c r="AP286" s="28" t="s">
        <v>227</v>
      </c>
      <c r="AQ286" s="28" t="s">
        <v>73</v>
      </c>
      <c r="AR286" s="28" t="s">
        <v>11</v>
      </c>
      <c r="AS286" s="73">
        <v>867.53432497999995</v>
      </c>
      <c r="AT286" s="8">
        <v>26.23</v>
      </c>
      <c r="AU286" s="73" t="s">
        <v>32</v>
      </c>
      <c r="AV286" s="73" t="b">
        <f t="shared" si="126"/>
        <v>1</v>
      </c>
      <c r="AW286" s="79">
        <v>0</v>
      </c>
      <c r="AX286" s="45" t="str">
        <f t="shared" si="127"/>
        <v/>
      </c>
      <c r="AY286" s="29" t="str">
        <f t="shared" si="128"/>
        <v/>
      </c>
      <c r="AZ286" s="29" t="str">
        <f t="shared" si="129"/>
        <v/>
      </c>
      <c r="BA286" s="29" t="s">
        <v>699</v>
      </c>
      <c r="BB286" s="29">
        <f t="shared" si="130"/>
        <v>0</v>
      </c>
      <c r="BC286">
        <f t="shared" si="131"/>
        <v>0</v>
      </c>
      <c r="BD286" s="78" t="str" cm="1">
        <f t="array" ref="BD286">IF(BC286&lt;&gt;1, "", IF(AK286&gt;0, INT(AK286/SUMPRODUCT(($AK$3:$AK$1000&gt;0)*($AK$3:$AK$1000), ($BC$3:$BC$1000))*$AB$12/AT286), INT(AK286/SUMPRODUCT(($AK$3:$AK$1000&lt;0)*($AK$3:$AK$1000), ($BC$3:$BC$1000))*$AB$13/AT286)))</f>
        <v/>
      </c>
      <c r="BE286" t="str">
        <f t="shared" si="132"/>
        <v/>
      </c>
      <c r="BF286" s="65" t="str">
        <f t="shared" si="133"/>
        <v/>
      </c>
    </row>
    <row r="287" spans="2:58" x14ac:dyDescent="0.3">
      <c r="B287" s="18" t="s">
        <v>583</v>
      </c>
      <c r="C287" s="18" t="s">
        <v>601</v>
      </c>
      <c r="D287" s="18" t="s">
        <v>623</v>
      </c>
      <c r="E287" s="44" t="s">
        <v>1013</v>
      </c>
      <c r="F287" s="18" t="s">
        <v>14</v>
      </c>
      <c r="G287" s="18" t="s">
        <v>10</v>
      </c>
      <c r="H287" s="19">
        <v>394.30266999999998</v>
      </c>
      <c r="I287" s="18">
        <v>-22418</v>
      </c>
      <c r="J287" s="20">
        <v>7.43</v>
      </c>
      <c r="K287" s="19">
        <v>-166565.74</v>
      </c>
      <c r="L287" s="12">
        <f t="shared" si="113"/>
        <v>-1.1104382666666666E-2</v>
      </c>
      <c r="M287" s="12">
        <f t="shared" si="114"/>
        <v>-1.0298661174047369E-2</v>
      </c>
      <c r="N287" s="15" t="str">
        <f t="shared" si="115"/>
        <v/>
      </c>
      <c r="O287" s="15" t="str">
        <f t="shared" si="116"/>
        <v/>
      </c>
      <c r="P287" s="15">
        <f t="shared" si="117"/>
        <v>1</v>
      </c>
      <c r="Q287" s="15" t="str">
        <f t="shared" si="118"/>
        <v>BuyToCover</v>
      </c>
      <c r="R287" s="55">
        <f t="shared" si="119"/>
        <v>1626</v>
      </c>
      <c r="S287" s="33">
        <f t="shared" si="120"/>
        <v>12081.18</v>
      </c>
      <c r="T287" s="33" t="str">
        <f t="shared" si="121"/>
        <v/>
      </c>
      <c r="U287" s="15" t="str">
        <f t="shared" si="122"/>
        <v/>
      </c>
      <c r="V287" s="15">
        <f t="shared" si="123"/>
        <v>16.260000000000002</v>
      </c>
      <c r="W287" s="62">
        <f t="shared" si="124"/>
        <v>1.3458950201884253E-3</v>
      </c>
      <c r="X287" s="15"/>
      <c r="Y287" s="1">
        <f t="shared" si="125"/>
        <v>-8.0572149261929661E-4</v>
      </c>
      <c r="AH287" s="35">
        <v>45714</v>
      </c>
      <c r="AI287" s="31" t="s">
        <v>196</v>
      </c>
      <c r="AJ287" s="32">
        <v>-0.01</v>
      </c>
      <c r="AK287" s="28">
        <f t="shared" si="112"/>
        <v>-1.0298661174047369E-2</v>
      </c>
      <c r="AL287" s="28" t="s">
        <v>204</v>
      </c>
      <c r="AM287" s="28" t="s">
        <v>196</v>
      </c>
      <c r="AN287" s="28" t="s">
        <v>472</v>
      </c>
      <c r="AO287" s="28" t="s">
        <v>205</v>
      </c>
      <c r="AP287" s="28" t="s">
        <v>206</v>
      </c>
      <c r="AQ287" s="28" t="s">
        <v>73</v>
      </c>
      <c r="AR287" s="28" t="s">
        <v>20</v>
      </c>
      <c r="AS287" s="73">
        <v>2995.4253521000001</v>
      </c>
      <c r="AT287" s="8">
        <v>32.299999999999997</v>
      </c>
      <c r="AU287" s="73" t="s">
        <v>196</v>
      </c>
      <c r="AV287" s="73" t="b">
        <f t="shared" si="126"/>
        <v>1</v>
      </c>
      <c r="AW287" s="79">
        <v>0</v>
      </c>
      <c r="AX287" s="45" t="str">
        <f t="shared" si="127"/>
        <v/>
      </c>
      <c r="AY287" s="29" t="str">
        <f t="shared" si="128"/>
        <v/>
      </c>
      <c r="AZ287" s="29" t="str">
        <f t="shared" si="129"/>
        <v/>
      </c>
      <c r="BA287" s="29" t="s">
        <v>699</v>
      </c>
      <c r="BB287" s="29">
        <f t="shared" si="130"/>
        <v>0</v>
      </c>
      <c r="BC287">
        <f t="shared" si="131"/>
        <v>0</v>
      </c>
      <c r="BD287" s="78" t="str" cm="1">
        <f t="array" ref="BD287">IF(BC287&lt;&gt;1, "", IF(AK287&gt;0, INT(AK287/SUMPRODUCT(($AK$3:$AK$1000&gt;0)*($AK$3:$AK$1000), ($BC$3:$BC$1000))*$AB$12/AT287), INT(AK287/SUMPRODUCT(($AK$3:$AK$1000&lt;0)*($AK$3:$AK$1000), ($BC$3:$BC$1000))*$AB$13/AT287)))</f>
        <v/>
      </c>
      <c r="BE287" t="str">
        <f t="shared" si="132"/>
        <v/>
      </c>
      <c r="BF287" s="65" t="str">
        <f t="shared" si="133"/>
        <v/>
      </c>
    </row>
    <row r="288" spans="2:58" x14ac:dyDescent="0.3">
      <c r="B288" s="18"/>
      <c r="C288" s="18"/>
      <c r="D288" s="18"/>
      <c r="E288" s="44"/>
      <c r="F288" s="18"/>
      <c r="G288" s="18"/>
      <c r="H288" s="19"/>
      <c r="I288" s="18"/>
      <c r="J288" s="20"/>
      <c r="K288" s="19"/>
      <c r="L288" s="12"/>
      <c r="M288" s="12"/>
      <c r="N288" s="15"/>
      <c r="O288" s="15"/>
      <c r="P288" s="15"/>
      <c r="Q288" s="15"/>
      <c r="R288" s="55"/>
      <c r="S288" s="33"/>
      <c r="T288" s="33"/>
      <c r="U288" s="15"/>
      <c r="V288" s="15"/>
      <c r="W288" s="62"/>
      <c r="X288" s="15"/>
      <c r="Y288" s="1"/>
      <c r="AH288" s="35">
        <v>45714</v>
      </c>
      <c r="AI288" s="31" t="s">
        <v>954</v>
      </c>
      <c r="AJ288" s="32">
        <v>-0.01</v>
      </c>
      <c r="AK288" s="28">
        <f t="shared" si="112"/>
        <v>-1.0298661174047369E-2</v>
      </c>
      <c r="AL288" s="28" t="s">
        <v>987</v>
      </c>
      <c r="AM288" s="28" t="s">
        <v>954</v>
      </c>
      <c r="AN288" s="28" t="s">
        <v>988</v>
      </c>
      <c r="AO288" s="28" t="s">
        <v>989</v>
      </c>
      <c r="AP288" s="28" t="s">
        <v>990</v>
      </c>
      <c r="AQ288" s="28" t="s">
        <v>73</v>
      </c>
      <c r="AR288" s="28" t="s">
        <v>20</v>
      </c>
      <c r="AS288" s="73">
        <v>1825.15460235</v>
      </c>
      <c r="AT288" s="8">
        <v>20.85</v>
      </c>
      <c r="AU288" s="73" t="s">
        <v>954</v>
      </c>
      <c r="AV288" s="73" t="b">
        <f t="shared" si="126"/>
        <v>1</v>
      </c>
      <c r="AW288" s="79">
        <v>0</v>
      </c>
      <c r="AX288" s="45" t="str">
        <f t="shared" si="127"/>
        <v/>
      </c>
      <c r="AY288" s="29" t="str">
        <f t="shared" si="128"/>
        <v/>
      </c>
      <c r="AZ288" s="29" t="str">
        <f t="shared" si="129"/>
        <v/>
      </c>
      <c r="BA288" s="29" t="s">
        <v>699</v>
      </c>
      <c r="BB288" s="29">
        <f t="shared" si="130"/>
        <v>0</v>
      </c>
      <c r="BC288">
        <f t="shared" si="131"/>
        <v>0</v>
      </c>
      <c r="BD288" s="78" t="str" cm="1">
        <f t="array" ref="BD288">IF(BC288&lt;&gt;1, "", IF(AK288&gt;0, INT(AK288/SUMPRODUCT(($AK$3:$AK$1000&gt;0)*($AK$3:$AK$1000), ($BC$3:$BC$1000))*$AB$12/AT288), INT(AK288/SUMPRODUCT(($AK$3:$AK$1000&lt;0)*($AK$3:$AK$1000), ($BC$3:$BC$1000))*$AB$13/AT288)))</f>
        <v/>
      </c>
      <c r="BE288" t="str">
        <f t="shared" si="132"/>
        <v/>
      </c>
      <c r="BF288" s="65" t="str">
        <f t="shared" si="133"/>
        <v/>
      </c>
    </row>
    <row r="289" spans="2:58" x14ac:dyDescent="0.3">
      <c r="B289" s="18"/>
      <c r="C289" s="18"/>
      <c r="D289" s="18"/>
      <c r="E289" s="44"/>
      <c r="F289" s="18"/>
      <c r="G289" s="18"/>
      <c r="H289" s="19"/>
      <c r="I289" s="18"/>
      <c r="J289" s="20"/>
      <c r="K289" s="19"/>
      <c r="L289" s="12"/>
      <c r="M289" s="12"/>
      <c r="N289" s="15"/>
      <c r="O289" s="15"/>
      <c r="P289" s="15"/>
      <c r="Q289" s="15"/>
      <c r="R289" s="55"/>
      <c r="S289" s="33"/>
      <c r="T289" s="33"/>
      <c r="U289" s="15"/>
      <c r="V289" s="15"/>
      <c r="W289" s="62"/>
      <c r="X289" s="15"/>
      <c r="Y289" s="1"/>
      <c r="AH289" s="35">
        <v>45714</v>
      </c>
      <c r="AI289" s="31" t="s">
        <v>414</v>
      </c>
      <c r="AJ289" s="32">
        <v>-0.01</v>
      </c>
      <c r="AK289" s="28">
        <f t="shared" si="112"/>
        <v>-1.0298661174047369E-2</v>
      </c>
      <c r="AL289" s="28" t="s">
        <v>426</v>
      </c>
      <c r="AM289" s="28" t="s">
        <v>414</v>
      </c>
      <c r="AN289" s="28" t="s">
        <v>463</v>
      </c>
      <c r="AO289" s="28" t="s">
        <v>427</v>
      </c>
      <c r="AP289" s="28" t="s">
        <v>428</v>
      </c>
      <c r="AQ289" s="28" t="s">
        <v>73</v>
      </c>
      <c r="AR289" s="28" t="s">
        <v>21</v>
      </c>
      <c r="AS289" s="73">
        <v>7582.3642957499997</v>
      </c>
      <c r="AT289" s="8">
        <v>26.17</v>
      </c>
      <c r="AU289" s="73" t="s">
        <v>414</v>
      </c>
      <c r="AV289" s="73" t="b">
        <f t="shared" si="126"/>
        <v>1</v>
      </c>
      <c r="AW289" s="79">
        <v>0</v>
      </c>
      <c r="AX289" s="45" t="str">
        <f t="shared" si="127"/>
        <v/>
      </c>
      <c r="AY289" s="29" t="str">
        <f t="shared" si="128"/>
        <v/>
      </c>
      <c r="AZ289" s="29" t="str">
        <f t="shared" si="129"/>
        <v/>
      </c>
      <c r="BA289" s="29" t="s">
        <v>699</v>
      </c>
      <c r="BB289" s="29">
        <f t="shared" si="130"/>
        <v>0</v>
      </c>
      <c r="BC289">
        <f t="shared" si="131"/>
        <v>0</v>
      </c>
      <c r="BD289" s="78" t="str" cm="1">
        <f t="array" ref="BD289">IF(BC289&lt;&gt;1, "", IF(AK289&gt;0, INT(AK289/SUMPRODUCT(($AK$3:$AK$1000&gt;0)*($AK$3:$AK$1000), ($BC$3:$BC$1000))*$AB$12/AT289), INT(AK289/SUMPRODUCT(($AK$3:$AK$1000&lt;0)*($AK$3:$AK$1000), ($BC$3:$BC$1000))*$AB$13/AT289)))</f>
        <v/>
      </c>
      <c r="BE289" t="str">
        <f t="shared" si="132"/>
        <v/>
      </c>
      <c r="BF289" s="65" t="str">
        <f t="shared" si="133"/>
        <v/>
      </c>
    </row>
    <row r="290" spans="2:58" x14ac:dyDescent="0.3">
      <c r="B290" s="18"/>
      <c r="C290" s="18"/>
      <c r="D290" s="18"/>
      <c r="E290" s="44"/>
      <c r="F290" s="18"/>
      <c r="G290" s="18"/>
      <c r="H290" s="19"/>
      <c r="I290" s="18"/>
      <c r="J290" s="20"/>
      <c r="K290" s="19"/>
      <c r="L290" s="12"/>
      <c r="M290" s="12"/>
      <c r="N290" s="15"/>
      <c r="O290" s="15"/>
      <c r="P290" s="15"/>
      <c r="Q290" s="15"/>
      <c r="R290" s="55"/>
      <c r="S290" s="33"/>
      <c r="T290" s="33"/>
      <c r="U290" s="15"/>
      <c r="V290" s="15"/>
      <c r="W290" s="62"/>
      <c r="X290" s="15"/>
      <c r="Y290" s="1"/>
      <c r="AH290" s="35">
        <v>45714</v>
      </c>
      <c r="AI290" s="31" t="s">
        <v>33</v>
      </c>
      <c r="AJ290" s="32">
        <v>-0.01</v>
      </c>
      <c r="AK290" s="28">
        <f t="shared" si="112"/>
        <v>-1.0298661174047369E-2</v>
      </c>
      <c r="AL290" s="28" t="s">
        <v>57</v>
      </c>
      <c r="AM290" s="28" t="s">
        <v>33</v>
      </c>
      <c r="AN290" s="28" t="s">
        <v>473</v>
      </c>
      <c r="AO290" s="28" t="s">
        <v>276</v>
      </c>
      <c r="AP290" s="28" t="s">
        <v>105</v>
      </c>
      <c r="AQ290" s="28" t="s">
        <v>73</v>
      </c>
      <c r="AR290" s="28" t="s">
        <v>20</v>
      </c>
      <c r="AS290" s="73">
        <v>7619.9716881599998</v>
      </c>
      <c r="AT290" s="8">
        <v>41.34</v>
      </c>
      <c r="AU290" s="73" t="s">
        <v>33</v>
      </c>
      <c r="AV290" s="73" t="b">
        <f t="shared" si="126"/>
        <v>1</v>
      </c>
      <c r="AW290" s="79">
        <v>0</v>
      </c>
      <c r="AX290" s="45" t="str">
        <f t="shared" si="127"/>
        <v/>
      </c>
      <c r="AY290" s="29" t="str">
        <f t="shared" si="128"/>
        <v/>
      </c>
      <c r="AZ290" s="29" t="str">
        <f t="shared" si="129"/>
        <v/>
      </c>
      <c r="BA290" s="29" t="s">
        <v>699</v>
      </c>
      <c r="BB290" s="29">
        <f t="shared" si="130"/>
        <v>0</v>
      </c>
      <c r="BC290">
        <f t="shared" si="131"/>
        <v>0</v>
      </c>
      <c r="BD290" s="78" t="str" cm="1">
        <f t="array" ref="BD290">IF(BC290&lt;&gt;1, "", IF(AK290&gt;0, INT(AK290/SUMPRODUCT(($AK$3:$AK$1000&gt;0)*($AK$3:$AK$1000), ($BC$3:$BC$1000))*$AB$12/AT290), INT(AK290/SUMPRODUCT(($AK$3:$AK$1000&lt;0)*($AK$3:$AK$1000), ($BC$3:$BC$1000))*$AB$13/AT290)))</f>
        <v/>
      </c>
      <c r="BE290" t="str">
        <f t="shared" si="132"/>
        <v/>
      </c>
      <c r="BF290" s="65" t="str">
        <f t="shared" si="133"/>
        <v/>
      </c>
    </row>
    <row r="291" spans="2:58" x14ac:dyDescent="0.3">
      <c r="B291" s="18"/>
      <c r="C291" s="18"/>
      <c r="D291" s="18"/>
      <c r="E291" s="44"/>
      <c r="F291" s="18"/>
      <c r="G291" s="18"/>
      <c r="H291" s="19"/>
      <c r="I291" s="18"/>
      <c r="J291" s="20"/>
      <c r="K291" s="19"/>
      <c r="L291" s="12"/>
      <c r="M291" s="12"/>
      <c r="N291" s="15"/>
      <c r="O291" s="15"/>
      <c r="P291" s="15"/>
      <c r="Q291" s="15"/>
      <c r="R291" s="55"/>
      <c r="S291" s="33"/>
      <c r="T291" s="33"/>
      <c r="U291" s="15"/>
      <c r="V291" s="15"/>
      <c r="W291" s="62"/>
      <c r="X291" s="15"/>
      <c r="Y291" s="1"/>
      <c r="AH291" s="35">
        <v>45714</v>
      </c>
      <c r="AI291" s="31" t="s">
        <v>534</v>
      </c>
      <c r="AJ291" s="32">
        <v>-0.01</v>
      </c>
      <c r="AK291" s="28">
        <f t="shared" si="112"/>
        <v>-1.0298661174047369E-2</v>
      </c>
      <c r="AL291" s="28" t="s">
        <v>653</v>
      </c>
      <c r="AM291" s="28" t="s">
        <v>534</v>
      </c>
      <c r="AN291" s="28" t="s">
        <v>889</v>
      </c>
      <c r="AO291" s="28" t="s">
        <v>543</v>
      </c>
      <c r="AP291" s="28" t="s">
        <v>544</v>
      </c>
      <c r="AQ291" s="28" t="s">
        <v>73</v>
      </c>
      <c r="AR291" s="28" t="s">
        <v>13</v>
      </c>
      <c r="AS291" s="73">
        <v>891.26155648999998</v>
      </c>
      <c r="AT291" s="8">
        <v>4.09</v>
      </c>
      <c r="AU291" s="73" t="s">
        <v>534</v>
      </c>
      <c r="AV291" s="73" t="b">
        <f t="shared" si="126"/>
        <v>1</v>
      </c>
      <c r="AW291" s="79">
        <v>0</v>
      </c>
      <c r="AX291" s="45" t="str">
        <f t="shared" si="127"/>
        <v/>
      </c>
      <c r="AY291" s="29" t="str">
        <f t="shared" si="128"/>
        <v/>
      </c>
      <c r="AZ291" s="29" t="str">
        <f t="shared" si="129"/>
        <v/>
      </c>
      <c r="BA291" s="29" t="s">
        <v>699</v>
      </c>
      <c r="BB291" s="29">
        <f t="shared" si="130"/>
        <v>0</v>
      </c>
      <c r="BC291">
        <f t="shared" si="131"/>
        <v>0</v>
      </c>
      <c r="BD291" s="78" t="str" cm="1">
        <f t="array" ref="BD291">IF(BC291&lt;&gt;1, "", IF(AK291&gt;0, INT(AK291/SUMPRODUCT(($AK$3:$AK$1000&gt;0)*($AK$3:$AK$1000), ($BC$3:$BC$1000))*$AB$12/AT291), INT(AK291/SUMPRODUCT(($AK$3:$AK$1000&lt;0)*($AK$3:$AK$1000), ($BC$3:$BC$1000))*$AB$13/AT291)))</f>
        <v/>
      </c>
      <c r="BE291" t="str">
        <f t="shared" si="132"/>
        <v/>
      </c>
      <c r="BF291" s="65" t="str">
        <f t="shared" si="133"/>
        <v/>
      </c>
    </row>
    <row r="292" spans="2:58" x14ac:dyDescent="0.3">
      <c r="B292" s="18"/>
      <c r="C292" s="18"/>
      <c r="D292" s="18"/>
      <c r="E292" s="44"/>
      <c r="F292" s="18"/>
      <c r="G292" s="18"/>
      <c r="H292" s="19"/>
      <c r="I292" s="18"/>
      <c r="J292" s="20"/>
      <c r="K292" s="19"/>
      <c r="L292" s="12"/>
      <c r="M292" s="12"/>
      <c r="N292" s="15"/>
      <c r="O292" s="15"/>
      <c r="P292" s="15"/>
      <c r="Q292" s="15"/>
      <c r="R292" s="55"/>
      <c r="S292" s="33"/>
      <c r="T292" s="33"/>
      <c r="U292" s="15"/>
      <c r="V292" s="15"/>
      <c r="W292" s="62"/>
      <c r="X292" s="15"/>
      <c r="Y292" s="1"/>
      <c r="AH292" s="35">
        <v>45714</v>
      </c>
      <c r="AI292" s="31" t="s">
        <v>264</v>
      </c>
      <c r="AJ292" s="32">
        <v>-0.01</v>
      </c>
      <c r="AK292" s="28">
        <f t="shared" si="112"/>
        <v>-1.0298661174047369E-2</v>
      </c>
      <c r="AL292" s="28" t="s">
        <v>267</v>
      </c>
      <c r="AM292" s="28" t="s">
        <v>264</v>
      </c>
      <c r="AN292" s="28" t="s">
        <v>268</v>
      </c>
      <c r="AO292" s="28" t="s">
        <v>269</v>
      </c>
      <c r="AP292" s="28" t="s">
        <v>270</v>
      </c>
      <c r="AQ292" s="28" t="s">
        <v>73</v>
      </c>
      <c r="AR292" s="28" t="s">
        <v>20</v>
      </c>
      <c r="AS292" s="73">
        <v>205.07502099000001</v>
      </c>
      <c r="AT292" s="8">
        <v>4.6900000000000004</v>
      </c>
      <c r="AU292" s="73" t="s">
        <v>264</v>
      </c>
      <c r="AV292" s="73" t="b">
        <f t="shared" si="126"/>
        <v>1</v>
      </c>
      <c r="AW292" s="79">
        <v>0</v>
      </c>
      <c r="AX292" s="45" t="str">
        <f t="shared" si="127"/>
        <v/>
      </c>
      <c r="AY292" s="29" t="str">
        <f t="shared" si="128"/>
        <v/>
      </c>
      <c r="AZ292" s="29" t="str">
        <f t="shared" si="129"/>
        <v/>
      </c>
      <c r="BA292" s="29" t="s">
        <v>699</v>
      </c>
      <c r="BB292" s="29">
        <f t="shared" si="130"/>
        <v>0</v>
      </c>
      <c r="BC292">
        <f t="shared" si="131"/>
        <v>0</v>
      </c>
      <c r="BD292" s="78" t="str" cm="1">
        <f t="array" ref="BD292">IF(BC292&lt;&gt;1, "", IF(AK292&gt;0, INT(AK292/SUMPRODUCT(($AK$3:$AK$1000&gt;0)*($AK$3:$AK$1000), ($BC$3:$BC$1000))*$AB$12/AT292), INT(AK292/SUMPRODUCT(($AK$3:$AK$1000&lt;0)*($AK$3:$AK$1000), ($BC$3:$BC$1000))*$AB$13/AT292)))</f>
        <v/>
      </c>
      <c r="BE292" t="str">
        <f t="shared" si="132"/>
        <v/>
      </c>
      <c r="BF292" s="65" t="str">
        <f t="shared" si="133"/>
        <v/>
      </c>
    </row>
    <row r="293" spans="2:58" x14ac:dyDescent="0.3">
      <c r="B293" s="18"/>
      <c r="C293" s="18"/>
      <c r="D293" s="18"/>
      <c r="E293" s="44"/>
      <c r="F293" s="18"/>
      <c r="G293" s="18"/>
      <c r="H293" s="19"/>
      <c r="I293" s="18"/>
      <c r="J293" s="20"/>
      <c r="K293" s="19"/>
      <c r="L293" s="12"/>
      <c r="M293" s="12"/>
      <c r="N293" s="15"/>
      <c r="O293" s="15"/>
      <c r="P293" s="15"/>
      <c r="Q293" s="15"/>
      <c r="R293" s="55"/>
      <c r="S293" s="33"/>
      <c r="T293" s="33"/>
      <c r="U293" s="15"/>
      <c r="V293" s="15"/>
      <c r="W293" s="62"/>
      <c r="X293" s="15"/>
      <c r="Y293" s="1"/>
      <c r="AH293" s="35">
        <v>45714</v>
      </c>
      <c r="AI293" s="31" t="s">
        <v>34</v>
      </c>
      <c r="AJ293" s="32">
        <v>-0.01</v>
      </c>
      <c r="AK293" s="28">
        <f t="shared" si="112"/>
        <v>-1.0298661174047369E-2</v>
      </c>
      <c r="AL293" s="28" t="s">
        <v>58</v>
      </c>
      <c r="AM293" s="28" t="s">
        <v>34</v>
      </c>
      <c r="AN293" s="28" t="s">
        <v>474</v>
      </c>
      <c r="AO293" s="28" t="s">
        <v>277</v>
      </c>
      <c r="AP293" s="28" t="s">
        <v>65</v>
      </c>
      <c r="AQ293" s="28" t="s">
        <v>73</v>
      </c>
      <c r="AR293" s="28" t="s">
        <v>11</v>
      </c>
      <c r="AS293" s="73">
        <v>1374.98733064</v>
      </c>
      <c r="AT293" s="8">
        <v>10.67</v>
      </c>
      <c r="AU293" s="73" t="s">
        <v>34</v>
      </c>
      <c r="AV293" s="73" t="b">
        <f t="shared" si="126"/>
        <v>1</v>
      </c>
      <c r="AW293" s="79">
        <v>0</v>
      </c>
      <c r="AX293" s="45" t="str">
        <f t="shared" si="127"/>
        <v/>
      </c>
      <c r="AY293" s="29" t="str">
        <f t="shared" si="128"/>
        <v/>
      </c>
      <c r="AZ293" s="29" t="str">
        <f t="shared" si="129"/>
        <v/>
      </c>
      <c r="BA293" s="29" t="s">
        <v>699</v>
      </c>
      <c r="BB293" s="29">
        <f t="shared" si="130"/>
        <v>0</v>
      </c>
      <c r="BC293">
        <f t="shared" si="131"/>
        <v>0</v>
      </c>
      <c r="BD293" s="78" t="str" cm="1">
        <f t="array" ref="BD293">IF(BC293&lt;&gt;1, "", IF(AK293&gt;0, INT(AK293/SUMPRODUCT(($AK$3:$AK$1000&gt;0)*($AK$3:$AK$1000), ($BC$3:$BC$1000))*$AB$12/AT293), INT(AK293/SUMPRODUCT(($AK$3:$AK$1000&lt;0)*($AK$3:$AK$1000), ($BC$3:$BC$1000))*$AB$13/AT293)))</f>
        <v/>
      </c>
      <c r="BE293" t="str">
        <f t="shared" si="132"/>
        <v/>
      </c>
      <c r="BF293" s="65" t="str">
        <f t="shared" si="133"/>
        <v/>
      </c>
    </row>
    <row r="294" spans="2:58" x14ac:dyDescent="0.3">
      <c r="B294" s="18"/>
      <c r="C294" s="18"/>
      <c r="D294" s="18"/>
      <c r="E294" s="44"/>
      <c r="F294" s="18"/>
      <c r="G294" s="18"/>
      <c r="H294" s="19"/>
      <c r="I294" s="18"/>
      <c r="J294" s="20"/>
      <c r="K294" s="19"/>
      <c r="L294" s="12"/>
      <c r="M294" s="12"/>
      <c r="N294" s="15"/>
      <c r="O294" s="15"/>
      <c r="P294" s="15"/>
      <c r="Q294" s="15"/>
      <c r="R294" s="55"/>
      <c r="S294" s="33"/>
      <c r="T294" s="33"/>
      <c r="U294" s="15"/>
      <c r="V294" s="15"/>
      <c r="W294" s="62"/>
      <c r="X294" s="15"/>
      <c r="Y294" s="1"/>
      <c r="AH294" s="35">
        <v>45714</v>
      </c>
      <c r="AI294" s="31" t="s">
        <v>418</v>
      </c>
      <c r="AJ294" s="32">
        <v>-0.01</v>
      </c>
      <c r="AK294" s="28">
        <f t="shared" si="112"/>
        <v>-1.0298661174047369E-2</v>
      </c>
      <c r="AL294" s="28" t="s">
        <v>438</v>
      </c>
      <c r="AM294" s="28" t="s">
        <v>418</v>
      </c>
      <c r="AN294" s="28" t="s">
        <v>443</v>
      </c>
      <c r="AO294" s="28" t="s">
        <v>439</v>
      </c>
      <c r="AP294" s="28" t="s">
        <v>440</v>
      </c>
      <c r="AQ294" s="28" t="s">
        <v>73</v>
      </c>
      <c r="AR294" s="28" t="s">
        <v>24</v>
      </c>
      <c r="AS294" s="73">
        <v>2599.04300371</v>
      </c>
      <c r="AT294" s="8">
        <v>29.17</v>
      </c>
      <c r="AU294" s="73" t="s">
        <v>418</v>
      </c>
      <c r="AV294" s="73" t="b">
        <f t="shared" si="126"/>
        <v>1</v>
      </c>
      <c r="AW294" s="79">
        <v>0</v>
      </c>
      <c r="AX294" s="45" t="str">
        <f t="shared" si="127"/>
        <v/>
      </c>
      <c r="AY294" s="29" t="str">
        <f t="shared" si="128"/>
        <v/>
      </c>
      <c r="AZ294" s="29" t="str">
        <f t="shared" si="129"/>
        <v/>
      </c>
      <c r="BA294" s="29" t="s">
        <v>699</v>
      </c>
      <c r="BB294" s="29">
        <f t="shared" si="130"/>
        <v>0</v>
      </c>
      <c r="BC294">
        <f t="shared" si="131"/>
        <v>0</v>
      </c>
      <c r="BD294" s="78" t="str" cm="1">
        <f t="array" ref="BD294">IF(BC294&lt;&gt;1, "", IF(AK294&gt;0, INT(AK294/SUMPRODUCT(($AK$3:$AK$1000&gt;0)*($AK$3:$AK$1000), ($BC$3:$BC$1000))*$AB$12/AT294), INT(AK294/SUMPRODUCT(($AK$3:$AK$1000&lt;0)*($AK$3:$AK$1000), ($BC$3:$BC$1000))*$AB$13/AT294)))</f>
        <v/>
      </c>
      <c r="BE294" t="str">
        <f t="shared" si="132"/>
        <v/>
      </c>
      <c r="BF294" s="65" t="str">
        <f t="shared" si="133"/>
        <v/>
      </c>
    </row>
    <row r="295" spans="2:58" x14ac:dyDescent="0.3">
      <c r="B295" s="18"/>
      <c r="C295" s="18"/>
      <c r="D295" s="18"/>
      <c r="E295" s="44"/>
      <c r="F295" s="18"/>
      <c r="G295" s="18"/>
      <c r="H295" s="19"/>
      <c r="I295" s="18"/>
      <c r="J295" s="20"/>
      <c r="K295" s="19"/>
      <c r="L295" s="12"/>
      <c r="M295" s="12"/>
      <c r="N295" s="15"/>
      <c r="O295" s="15"/>
      <c r="P295" s="15"/>
      <c r="Q295" s="15"/>
      <c r="R295" s="55"/>
      <c r="S295" s="33"/>
      <c r="T295" s="33"/>
      <c r="U295" s="15"/>
      <c r="V295" s="15"/>
      <c r="W295" s="62"/>
      <c r="X295" s="15"/>
      <c r="Y295" s="1"/>
      <c r="AH295" s="35">
        <v>45714</v>
      </c>
      <c r="AI295" s="31" t="s">
        <v>246</v>
      </c>
      <c r="AJ295" s="32">
        <v>-0.01</v>
      </c>
      <c r="AK295" s="28">
        <f t="shared" si="112"/>
        <v>0</v>
      </c>
      <c r="AL295" s="28" t="s">
        <v>647</v>
      </c>
      <c r="AM295" s="28" t="s">
        <v>246</v>
      </c>
      <c r="AN295" s="28" t="s">
        <v>388</v>
      </c>
      <c r="AO295" s="28" t="s">
        <v>256</v>
      </c>
      <c r="AP295" s="28" t="s">
        <v>389</v>
      </c>
      <c r="AQ295" s="28" t="s">
        <v>73</v>
      </c>
      <c r="AR295" s="28" t="s">
        <v>11</v>
      </c>
      <c r="AS295" s="73">
        <v>566.36066214000004</v>
      </c>
      <c r="AT295" s="8">
        <v>6.6150000000000002</v>
      </c>
      <c r="AU295" s="73" t="s">
        <v>246</v>
      </c>
      <c r="AV295" s="73" t="b">
        <f t="shared" si="126"/>
        <v>1</v>
      </c>
      <c r="AW295" s="79">
        <v>0</v>
      </c>
      <c r="AX295" s="45" t="str">
        <f t="shared" si="127"/>
        <v/>
      </c>
      <c r="AY295" s="29" t="str">
        <f t="shared" si="128"/>
        <v/>
      </c>
      <c r="AZ295" s="29" t="str">
        <f t="shared" si="129"/>
        <v/>
      </c>
      <c r="BA295" s="29">
        <v>1</v>
      </c>
      <c r="BB295" s="29">
        <f t="shared" si="130"/>
        <v>1</v>
      </c>
      <c r="BC295">
        <f t="shared" si="131"/>
        <v>0</v>
      </c>
      <c r="BD295" s="78" t="str" cm="1">
        <f t="array" ref="BD295">IF(BC295&lt;&gt;1, "", IF(AK295&gt;0, INT(AK295/SUMPRODUCT(($AK$3:$AK$1000&gt;0)*($AK$3:$AK$1000), ($BC$3:$BC$1000))*$AB$12/AT295), INT(AK295/SUMPRODUCT(($AK$3:$AK$1000&lt;0)*($AK$3:$AK$1000), ($BC$3:$BC$1000))*$AB$13/AT295)))</f>
        <v/>
      </c>
      <c r="BE295" t="str">
        <f t="shared" si="132"/>
        <v/>
      </c>
      <c r="BF295" s="65" t="str">
        <f t="shared" si="133"/>
        <v/>
      </c>
    </row>
    <row r="296" spans="2:58" x14ac:dyDescent="0.3">
      <c r="B296" s="18"/>
      <c r="C296" s="18"/>
      <c r="D296" s="18"/>
      <c r="E296" s="44"/>
      <c r="F296" s="18"/>
      <c r="G296" s="18"/>
      <c r="H296" s="19"/>
      <c r="I296" s="18"/>
      <c r="J296" s="20"/>
      <c r="K296" s="19"/>
      <c r="L296" s="12"/>
      <c r="M296" s="12"/>
      <c r="N296" s="15"/>
      <c r="O296" s="15"/>
      <c r="P296" s="15"/>
      <c r="Q296" s="15"/>
      <c r="R296" s="55"/>
      <c r="S296" s="33"/>
      <c r="T296" s="33"/>
      <c r="U296" s="15"/>
      <c r="V296" s="15"/>
      <c r="W296" s="62"/>
      <c r="X296" s="15"/>
      <c r="Y296" s="1"/>
      <c r="AH296" s="35">
        <v>45714</v>
      </c>
      <c r="AI296" s="31" t="s">
        <v>234</v>
      </c>
      <c r="AJ296" s="32">
        <v>-0.01</v>
      </c>
      <c r="AK296" s="28">
        <f t="shared" si="112"/>
        <v>-1.0298661174047369E-2</v>
      </c>
      <c r="AL296" s="28" t="s">
        <v>239</v>
      </c>
      <c r="AM296" s="28" t="s">
        <v>234</v>
      </c>
      <c r="AN296" s="28" t="s">
        <v>689</v>
      </c>
      <c r="AO296" s="28" t="s">
        <v>690</v>
      </c>
      <c r="AP296" s="28" t="s">
        <v>240</v>
      </c>
      <c r="AQ296" s="28" t="s">
        <v>73</v>
      </c>
      <c r="AR296" s="28" t="s">
        <v>20</v>
      </c>
      <c r="AS296" s="73">
        <v>2076.5662470000002</v>
      </c>
      <c r="AT296" s="8">
        <v>15.75</v>
      </c>
      <c r="AU296" s="73" t="s">
        <v>234</v>
      </c>
      <c r="AV296" s="73" t="b">
        <f t="shared" si="126"/>
        <v>1</v>
      </c>
      <c r="AW296" s="79">
        <v>0</v>
      </c>
      <c r="AX296" s="45" t="str">
        <f t="shared" si="127"/>
        <v/>
      </c>
      <c r="AY296" s="29" t="str">
        <f t="shared" si="128"/>
        <v/>
      </c>
      <c r="AZ296" s="29" t="str">
        <f t="shared" si="129"/>
        <v/>
      </c>
      <c r="BA296" s="29" t="s">
        <v>699</v>
      </c>
      <c r="BB296" s="29">
        <f t="shared" si="130"/>
        <v>0</v>
      </c>
      <c r="BC296">
        <f t="shared" si="131"/>
        <v>0</v>
      </c>
      <c r="BD296" s="78" t="str" cm="1">
        <f t="array" ref="BD296">IF(BC296&lt;&gt;1, "", IF(AK296&gt;0, INT(AK296/SUMPRODUCT(($AK$3:$AK$1000&gt;0)*($AK$3:$AK$1000), ($BC$3:$BC$1000))*$AB$12/AT296), INT(AK296/SUMPRODUCT(($AK$3:$AK$1000&lt;0)*($AK$3:$AK$1000), ($BC$3:$BC$1000))*$AB$13/AT296)))</f>
        <v/>
      </c>
      <c r="BE296" t="str">
        <f t="shared" si="132"/>
        <v/>
      </c>
      <c r="BF296" s="65" t="str">
        <f t="shared" si="133"/>
        <v/>
      </c>
    </row>
    <row r="297" spans="2:58" x14ac:dyDescent="0.3">
      <c r="B297" s="18"/>
      <c r="C297" s="18"/>
      <c r="D297" s="18"/>
      <c r="E297" s="44"/>
      <c r="F297" s="18"/>
      <c r="G297" s="18"/>
      <c r="H297" s="19"/>
      <c r="I297" s="18"/>
      <c r="J297" s="20"/>
      <c r="K297" s="19"/>
      <c r="L297" s="12"/>
      <c r="M297" s="12"/>
      <c r="N297" s="15"/>
      <c r="O297" s="15"/>
      <c r="P297" s="15"/>
      <c r="Q297" s="15"/>
      <c r="R297" s="55"/>
      <c r="S297" s="33"/>
      <c r="T297" s="33"/>
      <c r="U297" s="15"/>
      <c r="V297" s="15"/>
      <c r="W297" s="62"/>
      <c r="X297" s="15"/>
      <c r="Y297" s="1"/>
      <c r="AH297" s="35">
        <v>45714</v>
      </c>
      <c r="AI297" s="31" t="s">
        <v>327</v>
      </c>
      <c r="AJ297" s="32">
        <v>-0.01</v>
      </c>
      <c r="AK297" s="28">
        <f t="shared" si="112"/>
        <v>-1.0298661174047369E-2</v>
      </c>
      <c r="AL297" s="28" t="s">
        <v>332</v>
      </c>
      <c r="AM297" s="28" t="s">
        <v>327</v>
      </c>
      <c r="AN297" s="28" t="s">
        <v>691</v>
      </c>
      <c r="AO297" s="28" t="s">
        <v>692</v>
      </c>
      <c r="AP297" s="28" t="s">
        <v>333</v>
      </c>
      <c r="AQ297" s="28" t="s">
        <v>73</v>
      </c>
      <c r="AR297" s="28" t="s">
        <v>11</v>
      </c>
      <c r="AS297" s="73">
        <v>1782.54681456</v>
      </c>
      <c r="AT297" s="8">
        <v>9.26</v>
      </c>
      <c r="AU297" s="73" t="s">
        <v>327</v>
      </c>
      <c r="AV297" s="73" t="b">
        <f t="shared" si="126"/>
        <v>1</v>
      </c>
      <c r="AW297" s="79">
        <v>0</v>
      </c>
      <c r="AX297" s="45" t="str">
        <f t="shared" si="127"/>
        <v/>
      </c>
      <c r="AY297" s="29" t="str">
        <f t="shared" si="128"/>
        <v/>
      </c>
      <c r="AZ297" s="29" t="str">
        <f t="shared" si="129"/>
        <v/>
      </c>
      <c r="BA297" s="29" t="s">
        <v>699</v>
      </c>
      <c r="BB297" s="29">
        <f t="shared" si="130"/>
        <v>0</v>
      </c>
      <c r="BC297">
        <f t="shared" si="131"/>
        <v>0</v>
      </c>
      <c r="BD297" s="78" t="str" cm="1">
        <f t="array" ref="BD297">IF(BC297&lt;&gt;1, "", IF(AK297&gt;0, INT(AK297/SUMPRODUCT(($AK$3:$AK$1000&gt;0)*($AK$3:$AK$1000), ($BC$3:$BC$1000))*$AB$12/AT297), INT(AK297/SUMPRODUCT(($AK$3:$AK$1000&lt;0)*($AK$3:$AK$1000), ($BC$3:$BC$1000))*$AB$13/AT297)))</f>
        <v/>
      </c>
      <c r="BE297" t="str">
        <f t="shared" si="132"/>
        <v/>
      </c>
      <c r="BF297" s="65" t="str">
        <f t="shared" si="133"/>
        <v/>
      </c>
    </row>
    <row r="298" spans="2:58" x14ac:dyDescent="0.3">
      <c r="B298" s="18"/>
      <c r="C298" s="18"/>
      <c r="D298" s="18"/>
      <c r="E298" s="44"/>
      <c r="F298" s="18"/>
      <c r="G298" s="18"/>
      <c r="H298" s="19"/>
      <c r="I298" s="18"/>
      <c r="J298" s="20"/>
      <c r="K298" s="19"/>
      <c r="L298" s="12"/>
      <c r="M298" s="12"/>
      <c r="N298" s="15"/>
      <c r="O298" s="15"/>
      <c r="P298" s="15"/>
      <c r="Q298" s="15"/>
      <c r="R298" s="55"/>
      <c r="S298" s="33"/>
      <c r="T298" s="33"/>
      <c r="U298" s="15"/>
      <c r="V298" s="15"/>
      <c r="W298" s="62"/>
      <c r="X298" s="15"/>
      <c r="Y298" s="1"/>
      <c r="AH298" s="35">
        <v>45714</v>
      </c>
      <c r="AI298" s="31" t="s">
        <v>40</v>
      </c>
      <c r="AJ298" s="32">
        <v>-0.01</v>
      </c>
      <c r="AK298" s="28">
        <f t="shared" si="112"/>
        <v>-1.0298661174047369E-2</v>
      </c>
      <c r="AL298" s="28" t="s">
        <v>51</v>
      </c>
      <c r="AM298" s="28" t="s">
        <v>40</v>
      </c>
      <c r="AN298" s="28" t="s">
        <v>693</v>
      </c>
      <c r="AO298" s="28" t="s">
        <v>694</v>
      </c>
      <c r="AP298" s="28" t="s">
        <v>61</v>
      </c>
      <c r="AQ298" s="28" t="s">
        <v>73</v>
      </c>
      <c r="AR298" s="28" t="s">
        <v>24</v>
      </c>
      <c r="AS298" s="73">
        <v>1109.81595186</v>
      </c>
      <c r="AT298" s="8">
        <v>6.93</v>
      </c>
      <c r="AU298" s="73" t="s">
        <v>40</v>
      </c>
      <c r="AV298" s="73" t="b">
        <f t="shared" si="126"/>
        <v>1</v>
      </c>
      <c r="AW298" s="79">
        <v>0</v>
      </c>
      <c r="AX298" s="45" t="str">
        <f t="shared" si="127"/>
        <v/>
      </c>
      <c r="AY298" s="29" t="str">
        <f t="shared" si="128"/>
        <v/>
      </c>
      <c r="AZ298" s="29" t="str">
        <f t="shared" si="129"/>
        <v/>
      </c>
      <c r="BA298" s="29" t="s">
        <v>699</v>
      </c>
      <c r="BB298" s="29">
        <f t="shared" si="130"/>
        <v>0</v>
      </c>
      <c r="BC298">
        <f t="shared" si="131"/>
        <v>0</v>
      </c>
      <c r="BD298" s="78" t="str" cm="1">
        <f t="array" ref="BD298">IF(BC298&lt;&gt;1, "", IF(AK298&gt;0, INT(AK298/SUMPRODUCT(($AK$3:$AK$1000&gt;0)*($AK$3:$AK$1000), ($BC$3:$BC$1000))*$AB$12/AT298), INT(AK298/SUMPRODUCT(($AK$3:$AK$1000&lt;0)*($AK$3:$AK$1000), ($BC$3:$BC$1000))*$AB$13/AT298)))</f>
        <v/>
      </c>
      <c r="BE298" t="str">
        <f t="shared" si="132"/>
        <v/>
      </c>
      <c r="BF298" s="65" t="str">
        <f t="shared" si="133"/>
        <v/>
      </c>
    </row>
    <row r="299" spans="2:58" x14ac:dyDescent="0.3">
      <c r="B299" s="18"/>
      <c r="C299" s="18"/>
      <c r="D299" s="18"/>
      <c r="E299" s="44"/>
      <c r="F299" s="18"/>
      <c r="G299" s="18"/>
      <c r="H299" s="19"/>
      <c r="I299" s="18"/>
      <c r="J299" s="20"/>
      <c r="K299" s="19"/>
      <c r="L299" s="12"/>
      <c r="M299" s="12"/>
      <c r="N299" s="15"/>
      <c r="O299" s="15"/>
      <c r="P299" s="15"/>
      <c r="Q299" s="15"/>
      <c r="R299" s="55"/>
      <c r="S299" s="33"/>
      <c r="T299" s="33"/>
      <c r="U299" s="15"/>
      <c r="V299" s="15"/>
      <c r="W299" s="62"/>
      <c r="X299" s="15"/>
      <c r="Y299" s="1"/>
      <c r="AH299" s="35">
        <v>45714</v>
      </c>
      <c r="AI299" s="31" t="s">
        <v>526</v>
      </c>
      <c r="AJ299" s="32">
        <v>-0.01</v>
      </c>
      <c r="AK299" s="28">
        <f t="shared" si="112"/>
        <v>-1.0298661174047369E-2</v>
      </c>
      <c r="AL299" s="28" t="s">
        <v>527</v>
      </c>
      <c r="AM299" s="28" t="s">
        <v>526</v>
      </c>
      <c r="AN299" s="28" t="s">
        <v>528</v>
      </c>
      <c r="AO299" s="28" t="s">
        <v>529</v>
      </c>
      <c r="AP299" s="28" t="s">
        <v>530</v>
      </c>
      <c r="AQ299" s="28" t="s">
        <v>73</v>
      </c>
      <c r="AR299" s="28" t="s">
        <v>11</v>
      </c>
      <c r="AS299" s="73">
        <v>1760.9374209</v>
      </c>
      <c r="AT299" s="8">
        <v>7.9</v>
      </c>
      <c r="AU299" s="73" t="s">
        <v>526</v>
      </c>
      <c r="AV299" s="73" t="b">
        <f t="shared" si="126"/>
        <v>1</v>
      </c>
      <c r="AW299" s="79">
        <v>0</v>
      </c>
      <c r="AX299" s="45" t="str">
        <f t="shared" si="127"/>
        <v/>
      </c>
      <c r="AY299" s="29" t="str">
        <f t="shared" si="128"/>
        <v/>
      </c>
      <c r="AZ299" s="29" t="str">
        <f t="shared" si="129"/>
        <v/>
      </c>
      <c r="BA299" s="29" t="s">
        <v>699</v>
      </c>
      <c r="BB299" s="29">
        <f t="shared" si="130"/>
        <v>0</v>
      </c>
      <c r="BC299">
        <f t="shared" si="131"/>
        <v>0</v>
      </c>
      <c r="BD299" s="78" t="str" cm="1">
        <f t="array" ref="BD299">IF(BC299&lt;&gt;1, "", IF(AK299&gt;0, INT(AK299/SUMPRODUCT(($AK$3:$AK$1000&gt;0)*($AK$3:$AK$1000), ($BC$3:$BC$1000))*$AB$12/AT299), INT(AK299/SUMPRODUCT(($AK$3:$AK$1000&lt;0)*($AK$3:$AK$1000), ($BC$3:$BC$1000))*$AB$13/AT299)))</f>
        <v/>
      </c>
      <c r="BE299" t="str">
        <f t="shared" si="132"/>
        <v/>
      </c>
      <c r="BF299" s="65" t="str">
        <f t="shared" si="133"/>
        <v/>
      </c>
    </row>
    <row r="300" spans="2:58" x14ac:dyDescent="0.3">
      <c r="B300" s="18"/>
      <c r="C300" s="18"/>
      <c r="D300" s="18"/>
      <c r="E300" s="44"/>
      <c r="F300" s="18"/>
      <c r="G300" s="18"/>
      <c r="H300" s="19"/>
      <c r="I300" s="18"/>
      <c r="J300" s="20"/>
      <c r="K300" s="19"/>
      <c r="L300" s="12"/>
      <c r="M300" s="12"/>
      <c r="N300" s="15"/>
      <c r="O300" s="15"/>
      <c r="P300" s="15"/>
      <c r="Q300" s="15"/>
      <c r="R300" s="55"/>
      <c r="S300" s="33"/>
      <c r="T300" s="33"/>
      <c r="U300" s="15"/>
      <c r="V300" s="15"/>
      <c r="W300" s="62"/>
      <c r="X300" s="15"/>
      <c r="Y300" s="1"/>
      <c r="AH300" s="35">
        <v>45714</v>
      </c>
      <c r="AI300" s="31" t="s">
        <v>247</v>
      </c>
      <c r="AJ300" s="32">
        <v>-0.01</v>
      </c>
      <c r="AK300" s="28">
        <f t="shared" si="112"/>
        <v>-1.0298661174047369E-2</v>
      </c>
      <c r="AL300" s="28" t="s">
        <v>257</v>
      </c>
      <c r="AM300" s="28" t="s">
        <v>247</v>
      </c>
      <c r="AN300" s="28" t="s">
        <v>695</v>
      </c>
      <c r="AO300" s="28" t="s">
        <v>696</v>
      </c>
      <c r="AP300" s="28" t="s">
        <v>258</v>
      </c>
      <c r="AQ300" s="28" t="s">
        <v>73</v>
      </c>
      <c r="AR300" s="28" t="s">
        <v>13</v>
      </c>
      <c r="AS300" s="73">
        <v>638.11009515000001</v>
      </c>
      <c r="AT300" s="8">
        <v>5.61</v>
      </c>
      <c r="AU300" s="73" t="s">
        <v>247</v>
      </c>
      <c r="AV300" s="73" t="b">
        <f t="shared" si="126"/>
        <v>1</v>
      </c>
      <c r="AW300" s="79">
        <v>0</v>
      </c>
      <c r="AX300" s="45" t="str">
        <f t="shared" si="127"/>
        <v/>
      </c>
      <c r="AY300" s="29" t="str">
        <f t="shared" si="128"/>
        <v/>
      </c>
      <c r="AZ300" s="29" t="str">
        <f t="shared" si="129"/>
        <v/>
      </c>
      <c r="BA300" s="29" t="s">
        <v>699</v>
      </c>
      <c r="BB300" s="29">
        <f t="shared" si="130"/>
        <v>0</v>
      </c>
      <c r="BC300">
        <f t="shared" si="131"/>
        <v>0</v>
      </c>
      <c r="BD300" s="78" t="str" cm="1">
        <f t="array" ref="BD300">IF(BC300&lt;&gt;1, "", IF(AK300&gt;0, INT(AK300/SUMPRODUCT(($AK$3:$AK$1000&gt;0)*($AK$3:$AK$1000), ($BC$3:$BC$1000))*$AB$12/AT300), INT(AK300/SUMPRODUCT(($AK$3:$AK$1000&lt;0)*($AK$3:$AK$1000), ($BC$3:$BC$1000))*$AB$13/AT300)))</f>
        <v/>
      </c>
      <c r="BE300" t="str">
        <f t="shared" si="132"/>
        <v/>
      </c>
      <c r="BF300" s="65" t="str">
        <f t="shared" si="133"/>
        <v/>
      </c>
    </row>
    <row r="301" spans="2:58" x14ac:dyDescent="0.3">
      <c r="B301" s="18"/>
      <c r="C301" s="18"/>
      <c r="D301" s="18"/>
      <c r="E301" s="44"/>
      <c r="F301" s="18"/>
      <c r="G301" s="18"/>
      <c r="H301" s="19"/>
      <c r="I301" s="18"/>
      <c r="J301" s="20"/>
      <c r="K301" s="19"/>
      <c r="L301" s="12"/>
      <c r="M301" s="12"/>
      <c r="N301" s="15"/>
      <c r="O301" s="15"/>
      <c r="P301" s="15"/>
      <c r="Q301" s="15"/>
      <c r="R301" s="55"/>
      <c r="S301" s="33"/>
      <c r="T301" s="33"/>
      <c r="U301" s="15"/>
      <c r="V301" s="15"/>
      <c r="W301" s="62"/>
      <c r="X301" s="15"/>
      <c r="Y301" s="1"/>
      <c r="AH301" s="35">
        <v>45714</v>
      </c>
      <c r="AI301" s="31" t="s">
        <v>42</v>
      </c>
      <c r="AJ301" s="32">
        <v>-0.01</v>
      </c>
      <c r="AK301" s="28">
        <f t="shared" si="112"/>
        <v>-1.0298661174047369E-2</v>
      </c>
      <c r="AL301" s="28" t="s">
        <v>54</v>
      </c>
      <c r="AM301" s="28" t="s">
        <v>42</v>
      </c>
      <c r="AN301" s="28" t="s">
        <v>697</v>
      </c>
      <c r="AO301" s="28" t="s">
        <v>698</v>
      </c>
      <c r="AP301" s="28" t="s">
        <v>1852</v>
      </c>
      <c r="AQ301" s="28" t="s">
        <v>73</v>
      </c>
      <c r="AR301" s="28" t="s">
        <v>24</v>
      </c>
      <c r="AS301" s="73">
        <v>3328.3169938999999</v>
      </c>
      <c r="AT301" s="8">
        <v>19.420000000000002</v>
      </c>
      <c r="AU301" s="73" t="s">
        <v>42</v>
      </c>
      <c r="AV301" s="73" t="b">
        <f t="shared" si="126"/>
        <v>1</v>
      </c>
      <c r="AW301" s="79">
        <v>0</v>
      </c>
      <c r="AX301" s="45" t="str">
        <f t="shared" si="127"/>
        <v/>
      </c>
      <c r="AY301" s="29" t="str">
        <f t="shared" si="128"/>
        <v/>
      </c>
      <c r="AZ301" s="29" t="str">
        <f t="shared" si="129"/>
        <v/>
      </c>
      <c r="BA301" s="29" t="s">
        <v>699</v>
      </c>
      <c r="BB301" s="29">
        <f t="shared" si="130"/>
        <v>0</v>
      </c>
      <c r="BC301">
        <f t="shared" si="131"/>
        <v>0</v>
      </c>
      <c r="BD301" s="78" t="str" cm="1">
        <f t="array" ref="BD301">IF(BC301&lt;&gt;1, "", IF(AK301&gt;0, INT(AK301/SUMPRODUCT(($AK$3:$AK$1000&gt;0)*($AK$3:$AK$1000), ($BC$3:$BC$1000))*$AB$12/AT301), INT(AK301/SUMPRODUCT(($AK$3:$AK$1000&lt;0)*($AK$3:$AK$1000), ($BC$3:$BC$1000))*$AB$13/AT301)))</f>
        <v/>
      </c>
      <c r="BE301" t="str">
        <f t="shared" si="132"/>
        <v/>
      </c>
      <c r="BF301" s="65" t="str">
        <f t="shared" si="133"/>
        <v/>
      </c>
    </row>
    <row r="302" spans="2:58" x14ac:dyDescent="0.3">
      <c r="B302" s="18"/>
      <c r="C302" s="18"/>
      <c r="D302" s="18"/>
      <c r="E302" s="44"/>
      <c r="F302" s="18"/>
      <c r="G302" s="18"/>
      <c r="H302" s="19"/>
      <c r="I302" s="18"/>
      <c r="J302" s="20"/>
      <c r="K302" s="19"/>
      <c r="L302" s="12"/>
      <c r="M302" s="12"/>
      <c r="N302" s="15"/>
      <c r="O302" s="15"/>
      <c r="P302" s="15"/>
      <c r="Q302" s="15"/>
      <c r="R302" s="55"/>
      <c r="S302" s="33"/>
      <c r="T302" s="33"/>
      <c r="U302" s="15"/>
      <c r="V302" s="15"/>
      <c r="W302" s="62"/>
      <c r="X302" s="15"/>
      <c r="Y302" s="1"/>
      <c r="AH302" s="35"/>
      <c r="AI302" s="31"/>
      <c r="AJ302" s="32"/>
      <c r="AK302" s="28"/>
      <c r="AL302" s="28"/>
      <c r="AM302" s="28"/>
      <c r="AN302" s="28"/>
      <c r="AO302" s="28"/>
      <c r="AP302" s="28"/>
      <c r="AQ302" s="28"/>
      <c r="AR302" s="28"/>
      <c r="AS302" s="73"/>
      <c r="AT302" s="8"/>
      <c r="AU302" s="73"/>
      <c r="AV302" s="73"/>
      <c r="AW302" s="79"/>
      <c r="AX302" s="45"/>
      <c r="AY302" s="29"/>
      <c r="AZ302" s="29"/>
      <c r="BA302" s="29"/>
      <c r="BB302" s="29"/>
      <c r="BD302" s="78"/>
      <c r="BF302" s="65"/>
    </row>
    <row r="303" spans="2:58" x14ac:dyDescent="0.3">
      <c r="B303" s="18"/>
      <c r="C303" s="18"/>
      <c r="D303" s="18"/>
      <c r="E303" s="44"/>
      <c r="F303" s="18"/>
      <c r="G303" s="18"/>
      <c r="H303" s="19"/>
      <c r="I303" s="18"/>
      <c r="J303" s="20"/>
      <c r="K303" s="19"/>
      <c r="L303" s="12"/>
      <c r="M303" s="12"/>
      <c r="N303" s="15"/>
      <c r="O303" s="15"/>
      <c r="P303" s="15"/>
      <c r="Q303" s="15"/>
      <c r="R303" s="55"/>
      <c r="S303" s="33"/>
      <c r="T303" s="33"/>
      <c r="U303" s="15"/>
      <c r="V303" s="15"/>
      <c r="W303" s="62"/>
      <c r="X303" s="15"/>
      <c r="Y303" s="1"/>
      <c r="AH303" s="35"/>
      <c r="AI303" s="31"/>
      <c r="AJ303" s="32"/>
      <c r="AK303" s="28"/>
      <c r="AL303" s="28"/>
      <c r="AM303" s="28"/>
      <c r="AN303" s="28"/>
      <c r="AO303" s="28"/>
      <c r="AP303" s="28"/>
      <c r="AQ303" s="28"/>
      <c r="AR303" s="28"/>
      <c r="AS303" s="73"/>
      <c r="AT303" s="8"/>
      <c r="AU303" s="73"/>
      <c r="AV303" s="73"/>
      <c r="AW303" s="79"/>
      <c r="AX303" s="45"/>
      <c r="AY303" s="29"/>
      <c r="AZ303" s="29"/>
      <c r="BA303" s="29"/>
      <c r="BB303" s="29"/>
      <c r="BD303" s="78"/>
      <c r="BF303" s="65"/>
    </row>
    <row r="304" spans="2:58" x14ac:dyDescent="0.3">
      <c r="B304" s="18"/>
      <c r="C304" s="18"/>
      <c r="D304" s="18"/>
      <c r="E304" s="44"/>
      <c r="F304" s="18"/>
      <c r="G304" s="18"/>
      <c r="H304" s="19"/>
      <c r="I304" s="18"/>
      <c r="J304" s="20"/>
      <c r="K304" s="19"/>
      <c r="L304" s="12"/>
      <c r="M304" s="12"/>
      <c r="N304" s="15"/>
      <c r="O304" s="15"/>
      <c r="P304" s="15"/>
      <c r="Q304" s="15"/>
      <c r="R304" s="55"/>
      <c r="S304" s="33"/>
      <c r="T304" s="33"/>
      <c r="U304" s="15"/>
      <c r="V304" s="15"/>
      <c r="W304" s="62"/>
      <c r="X304" s="15"/>
      <c r="Y304" s="1"/>
      <c r="AH304" s="35"/>
      <c r="AI304" s="31"/>
      <c r="AJ304" s="32"/>
      <c r="AK304" s="28"/>
      <c r="AL304" s="28"/>
      <c r="AM304" s="28"/>
      <c r="AN304" s="28"/>
      <c r="AO304" s="28"/>
      <c r="AP304" s="28"/>
      <c r="AQ304" s="28"/>
      <c r="AR304" s="28"/>
      <c r="AS304" s="73"/>
      <c r="AT304" s="8"/>
      <c r="AU304" s="73"/>
      <c r="AV304" s="73"/>
      <c r="AW304" s="79"/>
      <c r="AX304" s="45"/>
      <c r="AY304" s="29"/>
      <c r="AZ304" s="29"/>
      <c r="BA304" s="29"/>
      <c r="BB304" s="29"/>
      <c r="BD304" s="78"/>
      <c r="BF304" s="65"/>
    </row>
    <row r="305" spans="2:58" x14ac:dyDescent="0.3">
      <c r="B305" s="18"/>
      <c r="C305" s="18"/>
      <c r="D305" s="18"/>
      <c r="E305" s="44"/>
      <c r="F305" s="18"/>
      <c r="G305" s="18"/>
      <c r="H305" s="19"/>
      <c r="I305" s="18"/>
      <c r="J305" s="20"/>
      <c r="K305" s="19"/>
      <c r="L305" s="12"/>
      <c r="M305" s="12"/>
      <c r="N305" s="15"/>
      <c r="O305" s="15"/>
      <c r="P305" s="15"/>
      <c r="Q305" s="15"/>
      <c r="R305" s="55"/>
      <c r="S305" s="33"/>
      <c r="T305" s="33"/>
      <c r="U305" s="15"/>
      <c r="V305" s="15"/>
      <c r="W305" s="62"/>
      <c r="X305" s="15"/>
      <c r="Y305" s="1"/>
      <c r="AH305" s="35"/>
      <c r="AI305" s="31"/>
      <c r="AJ305" s="32"/>
      <c r="AK305" s="28"/>
      <c r="AL305" s="28"/>
      <c r="AM305" s="28"/>
      <c r="AN305" s="28"/>
      <c r="AO305" s="28"/>
      <c r="AP305" s="28"/>
      <c r="AQ305" s="28"/>
      <c r="AR305" s="28"/>
      <c r="AS305" s="73"/>
      <c r="AT305" s="8"/>
      <c r="AU305" s="73"/>
      <c r="AV305" s="73"/>
      <c r="AW305" s="79"/>
      <c r="AX305" s="45"/>
      <c r="AY305" s="29"/>
      <c r="AZ305" s="29"/>
      <c r="BA305" s="29"/>
      <c r="BB305" s="29"/>
      <c r="BD305" s="78"/>
      <c r="BF305" s="65"/>
    </row>
    <row r="306" spans="2:58" x14ac:dyDescent="0.3">
      <c r="B306" s="18"/>
      <c r="C306" s="18"/>
      <c r="D306" s="18"/>
      <c r="E306" s="44"/>
      <c r="F306" s="18"/>
      <c r="G306" s="18"/>
      <c r="H306" s="19"/>
      <c r="I306" s="18"/>
      <c r="J306" s="20"/>
      <c r="K306" s="19"/>
      <c r="L306" s="12"/>
      <c r="M306" s="12"/>
      <c r="N306" s="15"/>
      <c r="O306" s="15"/>
      <c r="P306" s="15"/>
      <c r="Q306" s="15"/>
      <c r="R306" s="55"/>
      <c r="S306" s="33"/>
      <c r="T306" s="33"/>
      <c r="U306" s="15"/>
      <c r="V306" s="15"/>
      <c r="W306" s="62"/>
      <c r="X306" s="15"/>
      <c r="Y306" s="1"/>
      <c r="AH306" s="35"/>
      <c r="AI306" s="31"/>
      <c r="AJ306" s="32"/>
      <c r="AK306" s="28"/>
      <c r="AL306" s="28"/>
      <c r="AM306" s="28"/>
      <c r="AN306" s="28"/>
      <c r="AO306" s="28"/>
      <c r="AP306" s="28"/>
      <c r="AQ306" s="28"/>
      <c r="AR306" s="28"/>
      <c r="AS306" s="73"/>
      <c r="AT306" s="8"/>
      <c r="AU306" s="73"/>
      <c r="AV306" s="73"/>
      <c r="AW306" s="79"/>
      <c r="AX306" s="45"/>
      <c r="AY306" s="29"/>
      <c r="AZ306" s="29"/>
      <c r="BA306" s="29"/>
      <c r="BB306" s="29"/>
      <c r="BD306" s="78"/>
      <c r="BF306" s="65"/>
    </row>
    <row r="307" spans="2:58" x14ac:dyDescent="0.3">
      <c r="B307" s="18"/>
      <c r="C307" s="18"/>
      <c r="D307" s="18"/>
      <c r="E307" s="44"/>
      <c r="F307" s="18"/>
      <c r="G307" s="18"/>
      <c r="H307" s="19"/>
      <c r="I307" s="18"/>
      <c r="J307" s="20"/>
      <c r="K307" s="19"/>
      <c r="L307" s="12"/>
      <c r="M307" s="12"/>
      <c r="N307" s="15"/>
      <c r="O307" s="15"/>
      <c r="P307" s="15"/>
      <c r="Q307" s="15"/>
      <c r="R307" s="55"/>
      <c r="S307" s="33"/>
      <c r="T307" s="33"/>
      <c r="U307" s="15"/>
      <c r="V307" s="15"/>
      <c r="W307" s="62"/>
      <c r="X307" s="15"/>
      <c r="Y307" s="1"/>
      <c r="AH307" s="35"/>
      <c r="AI307" s="31"/>
      <c r="AJ307" s="32"/>
      <c r="AK307" s="28"/>
      <c r="AL307" s="28"/>
      <c r="AM307" s="28"/>
      <c r="AN307" s="28"/>
      <c r="AO307" s="28"/>
      <c r="AP307" s="28"/>
      <c r="AQ307" s="28"/>
      <c r="AR307" s="28"/>
      <c r="AS307" s="73"/>
      <c r="AT307" s="8"/>
      <c r="AU307" s="73"/>
      <c r="AV307" s="73"/>
      <c r="AW307" s="79"/>
      <c r="AX307" s="45"/>
      <c r="AY307" s="29"/>
      <c r="AZ307" s="29"/>
      <c r="BA307" s="29"/>
      <c r="BB307" s="29"/>
      <c r="BD307" s="78"/>
      <c r="BF307" s="65"/>
    </row>
    <row r="308" spans="2:58" x14ac:dyDescent="0.3">
      <c r="B308" s="18"/>
      <c r="C308" s="18"/>
      <c r="D308" s="18"/>
      <c r="E308" s="44"/>
      <c r="F308" s="18"/>
      <c r="G308" s="18"/>
      <c r="H308" s="19"/>
      <c r="I308" s="18"/>
      <c r="J308" s="20"/>
      <c r="K308" s="19"/>
      <c r="L308" s="12"/>
      <c r="M308" s="12"/>
      <c r="N308" s="15"/>
      <c r="O308" s="15"/>
      <c r="P308" s="15"/>
      <c r="Q308" s="15"/>
      <c r="R308" s="15"/>
      <c r="S308" s="15"/>
      <c r="T308" s="15"/>
      <c r="U308" s="15"/>
      <c r="V308" s="15"/>
      <c r="W308" s="15"/>
      <c r="X308" s="15"/>
      <c r="Y308" s="1"/>
      <c r="AH308" s="35"/>
      <c r="AI308" s="31"/>
      <c r="AJ308" s="32"/>
      <c r="AK308" s="28"/>
      <c r="AL308" s="28"/>
      <c r="AM308" s="28"/>
      <c r="AN308" s="28"/>
      <c r="AO308" s="28"/>
      <c r="AP308" s="28"/>
      <c r="AQ308" s="28"/>
      <c r="AR308" s="28"/>
      <c r="AS308" s="73"/>
      <c r="AT308" s="8"/>
      <c r="AU308" s="73"/>
      <c r="AV308" s="73"/>
      <c r="AW308" s="79"/>
      <c r="AX308" s="45"/>
      <c r="AY308" s="29"/>
      <c r="AZ308" s="29"/>
      <c r="BA308" s="29"/>
      <c r="BB308" s="29"/>
      <c r="BD308" s="78"/>
      <c r="BF308" s="65"/>
    </row>
    <row r="309" spans="2:58" x14ac:dyDescent="0.3">
      <c r="B309" s="18"/>
      <c r="C309" s="18"/>
      <c r="D309" s="18"/>
      <c r="E309" s="44"/>
      <c r="F309" s="18"/>
      <c r="G309" s="18"/>
      <c r="H309" s="19"/>
      <c r="I309" s="18"/>
      <c r="J309" s="20"/>
      <c r="K309" s="19"/>
      <c r="L309" s="12"/>
      <c r="M309" s="12"/>
      <c r="N309" s="15"/>
      <c r="O309" s="15"/>
      <c r="P309" s="15"/>
      <c r="Q309" s="15"/>
      <c r="R309" s="15"/>
      <c r="S309" s="15"/>
      <c r="T309" s="15"/>
      <c r="U309" s="15"/>
      <c r="V309" s="15"/>
      <c r="W309" s="15"/>
      <c r="X309" s="15"/>
      <c r="Y309" s="1"/>
      <c r="AH309" s="35"/>
      <c r="AI309" s="31"/>
      <c r="AJ309" s="32"/>
      <c r="AK309" s="28"/>
      <c r="AL309" s="28"/>
      <c r="AM309" s="28"/>
      <c r="AN309" s="28"/>
      <c r="AO309" s="28"/>
      <c r="AP309" s="28"/>
      <c r="AQ309" s="28"/>
      <c r="AR309" s="28"/>
      <c r="AS309" s="73"/>
      <c r="AT309" s="8"/>
      <c r="AU309" s="73"/>
      <c r="AV309" s="73"/>
      <c r="AW309" s="79"/>
      <c r="AX309" s="45"/>
      <c r="AY309" s="29"/>
      <c r="AZ309" s="29"/>
      <c r="BA309" s="29"/>
      <c r="BB309" s="29"/>
      <c r="BD309" s="78"/>
      <c r="BF309" s="65"/>
    </row>
    <row r="310" spans="2:58" x14ac:dyDescent="0.3">
      <c r="B310" s="18"/>
      <c r="C310" s="18"/>
      <c r="D310" s="18"/>
      <c r="E310" s="44"/>
      <c r="F310" s="18"/>
      <c r="G310" s="18"/>
      <c r="H310" s="19"/>
      <c r="I310" s="18"/>
      <c r="J310" s="20"/>
      <c r="K310" s="19"/>
      <c r="L310" s="12"/>
      <c r="M310" s="12"/>
      <c r="N310" s="15"/>
      <c r="O310" s="15"/>
      <c r="P310" s="15"/>
      <c r="Q310" s="15"/>
      <c r="R310" s="15"/>
      <c r="S310" s="15"/>
      <c r="T310" s="15"/>
      <c r="U310" s="15"/>
      <c r="V310" s="15"/>
      <c r="W310" s="15"/>
      <c r="X310" s="15"/>
      <c r="Y310" s="1"/>
      <c r="AH310" s="35"/>
      <c r="AI310" s="31"/>
      <c r="AJ310" s="32"/>
      <c r="AK310" s="28"/>
      <c r="AL310" s="28"/>
      <c r="AM310" s="28"/>
      <c r="AN310" s="28"/>
      <c r="AO310" s="28"/>
      <c r="AP310" s="28"/>
      <c r="AQ310" s="28"/>
      <c r="AR310" s="28"/>
      <c r="AS310" s="73"/>
      <c r="AT310" s="8"/>
      <c r="AU310" s="73"/>
      <c r="AV310" s="73"/>
      <c r="AW310" s="79"/>
      <c r="AX310" s="45"/>
      <c r="AY310" s="29"/>
      <c r="AZ310" s="29"/>
      <c r="BA310" s="29"/>
      <c r="BB310" s="29"/>
      <c r="BD310" s="78"/>
      <c r="BF310" s="65"/>
    </row>
    <row r="311" spans="2:58" x14ac:dyDescent="0.3">
      <c r="B311" s="18"/>
      <c r="C311" s="18"/>
      <c r="D311" s="18"/>
      <c r="E311" s="44"/>
      <c r="F311" s="18"/>
      <c r="G311" s="18"/>
      <c r="H311" s="19"/>
      <c r="I311" s="18"/>
      <c r="J311" s="20"/>
      <c r="K311" s="19"/>
      <c r="L311" s="12"/>
      <c r="M311" s="12"/>
      <c r="N311" s="15"/>
      <c r="O311" s="15"/>
      <c r="P311" s="15"/>
      <c r="Q311" s="15"/>
      <c r="R311" s="15"/>
      <c r="S311" s="15"/>
      <c r="T311" s="15"/>
      <c r="U311" s="15"/>
      <c r="V311" s="15"/>
      <c r="W311" s="15"/>
      <c r="X311" s="15"/>
      <c r="Y311" s="1"/>
      <c r="AH311" s="35"/>
      <c r="AI311" s="31"/>
      <c r="AJ311" s="32"/>
      <c r="AK311" s="28"/>
      <c r="AL311" s="28"/>
      <c r="AM311" s="28"/>
      <c r="AN311" s="28"/>
      <c r="AO311" s="28"/>
      <c r="AP311" s="28"/>
      <c r="AQ311" s="28"/>
      <c r="AR311" s="28"/>
      <c r="AS311" s="73"/>
      <c r="AT311" s="8"/>
      <c r="AU311" s="73"/>
      <c r="AV311" s="73"/>
      <c r="AW311" s="79"/>
      <c r="AX311" s="45"/>
      <c r="AY311" s="29"/>
      <c r="AZ311" s="29"/>
      <c r="BA311" s="29"/>
      <c r="BB311" s="29"/>
      <c r="BD311" s="78"/>
      <c r="BF311" s="65"/>
    </row>
    <row r="312" spans="2:58" x14ac:dyDescent="0.3">
      <c r="B312" s="18"/>
      <c r="C312" s="18"/>
      <c r="D312" s="18"/>
      <c r="E312" s="44"/>
      <c r="F312" s="18"/>
      <c r="G312" s="18"/>
      <c r="H312" s="19"/>
      <c r="I312" s="18"/>
      <c r="J312" s="20"/>
      <c r="K312" s="19"/>
      <c r="L312" s="12"/>
      <c r="M312" s="12"/>
      <c r="N312" s="15"/>
      <c r="O312" s="15"/>
      <c r="P312" s="15"/>
      <c r="Q312" s="15"/>
      <c r="R312" s="15"/>
      <c r="S312" s="15"/>
      <c r="T312" s="15"/>
      <c r="U312" s="15"/>
      <c r="V312" s="15"/>
      <c r="W312" s="15"/>
      <c r="X312" s="15"/>
      <c r="Y312" s="1"/>
      <c r="AH312" s="35"/>
      <c r="AI312" s="31"/>
      <c r="AJ312" s="32"/>
      <c r="AK312" s="28"/>
      <c r="AL312" s="28"/>
      <c r="AM312" s="28"/>
      <c r="AN312" s="28"/>
      <c r="AO312" s="28"/>
      <c r="AP312" s="28"/>
      <c r="AQ312" s="28"/>
      <c r="AR312" s="28"/>
      <c r="AS312" s="73"/>
      <c r="AT312" s="8"/>
      <c r="AU312" s="73"/>
      <c r="AV312" s="73"/>
      <c r="AW312" s="79"/>
      <c r="AX312" s="45"/>
      <c r="AY312" s="29"/>
      <c r="AZ312" s="29"/>
      <c r="BA312" s="29"/>
      <c r="BB312" s="29"/>
      <c r="BD312" s="78"/>
      <c r="BF312" s="65"/>
    </row>
    <row r="313" spans="2:58" x14ac:dyDescent="0.3">
      <c r="B313" s="18"/>
      <c r="C313" s="18"/>
      <c r="D313" s="18"/>
      <c r="E313" s="44"/>
      <c r="F313" s="18"/>
      <c r="G313" s="18"/>
      <c r="H313" s="19"/>
      <c r="I313" s="18"/>
      <c r="J313" s="20"/>
      <c r="K313" s="19"/>
      <c r="L313" s="12"/>
      <c r="M313" s="12"/>
      <c r="N313" s="15"/>
      <c r="O313" s="15"/>
      <c r="P313" s="15"/>
      <c r="Q313" s="15"/>
      <c r="R313" s="15"/>
      <c r="S313" s="15"/>
      <c r="T313" s="15"/>
      <c r="U313" s="15"/>
      <c r="V313" s="15"/>
      <c r="W313" s="15"/>
      <c r="X313" s="15"/>
      <c r="Y313" s="1"/>
      <c r="AH313" s="35"/>
      <c r="AI313" s="31"/>
      <c r="AJ313" s="32"/>
      <c r="AK313" s="28"/>
      <c r="AL313" s="28"/>
      <c r="AM313" s="28"/>
      <c r="AN313" s="28"/>
      <c r="AO313" s="28"/>
      <c r="AP313" s="28"/>
      <c r="AQ313" s="28"/>
      <c r="AR313" s="28"/>
      <c r="AS313" s="8"/>
      <c r="AT313" s="8"/>
      <c r="AU313" s="73"/>
      <c r="AV313" s="73"/>
      <c r="AW313" s="79"/>
      <c r="AX313" s="45"/>
      <c r="AY313" s="29"/>
      <c r="AZ313" s="29"/>
      <c r="BA313" s="29"/>
      <c r="BB313" s="29"/>
      <c r="BD313" s="78"/>
      <c r="BF313" s="65"/>
    </row>
    <row r="314" spans="2:58" x14ac:dyDescent="0.3">
      <c r="B314" s="18"/>
      <c r="C314" s="18"/>
      <c r="D314" s="18"/>
      <c r="E314" s="44"/>
      <c r="F314" s="18"/>
      <c r="G314" s="18"/>
      <c r="H314" s="19"/>
      <c r="I314" s="18"/>
      <c r="J314" s="20"/>
      <c r="K314" s="19"/>
      <c r="L314" s="12"/>
      <c r="M314" s="12"/>
      <c r="N314" s="15"/>
      <c r="O314" s="15"/>
      <c r="P314" s="15"/>
      <c r="Q314" s="15"/>
      <c r="R314" s="15"/>
      <c r="S314" s="15"/>
      <c r="T314" s="15"/>
      <c r="U314" s="15"/>
      <c r="V314" s="15"/>
      <c r="W314" s="15"/>
      <c r="X314" s="15"/>
      <c r="Y314" s="1"/>
      <c r="AH314" s="35"/>
      <c r="AI314" s="31"/>
      <c r="AJ314" s="32"/>
      <c r="AK314" s="28"/>
      <c r="AL314" s="28"/>
      <c r="AM314" s="28"/>
      <c r="AN314" s="28"/>
      <c r="AO314" s="28"/>
      <c r="AP314" s="28"/>
      <c r="AQ314" s="28"/>
      <c r="AR314" s="28"/>
      <c r="AS314" s="8"/>
      <c r="AT314" s="8"/>
      <c r="AU314" s="73"/>
      <c r="AV314" s="73"/>
      <c r="AW314" s="79"/>
      <c r="AX314" s="45"/>
      <c r="AY314" s="29"/>
      <c r="AZ314" s="29"/>
      <c r="BA314" s="29"/>
      <c r="BB314" s="29"/>
      <c r="BD314" s="78"/>
      <c r="BF314" s="65"/>
    </row>
    <row r="315" spans="2:58" x14ac:dyDescent="0.3">
      <c r="B315" s="18"/>
      <c r="C315" s="18"/>
      <c r="D315" s="18"/>
      <c r="E315" s="44"/>
      <c r="F315" s="18"/>
      <c r="G315" s="18"/>
      <c r="H315" s="19"/>
      <c r="I315" s="18"/>
      <c r="J315" s="20"/>
      <c r="K315" s="19"/>
      <c r="L315" s="12"/>
      <c r="M315" s="12"/>
      <c r="N315" s="15"/>
      <c r="O315" s="15"/>
      <c r="P315" s="15"/>
      <c r="Q315" s="15"/>
      <c r="R315" s="15"/>
      <c r="S315" s="15"/>
      <c r="T315" s="15"/>
      <c r="U315" s="15"/>
      <c r="V315" s="15"/>
      <c r="W315" s="15"/>
      <c r="X315" s="15"/>
      <c r="Y315" s="1"/>
      <c r="AH315" s="35"/>
      <c r="AI315" s="31"/>
      <c r="AJ315" s="32"/>
      <c r="AK315" s="28"/>
      <c r="AL315" s="28"/>
      <c r="AM315" s="28"/>
      <c r="AN315" s="28"/>
      <c r="AO315" s="28"/>
      <c r="AP315" s="28"/>
      <c r="AQ315" s="28"/>
      <c r="AR315" s="28"/>
      <c r="AS315" s="8"/>
      <c r="AT315" s="8"/>
      <c r="AU315" s="8"/>
      <c r="AV315" s="8"/>
      <c r="AW315" s="30"/>
      <c r="AX315" s="45"/>
      <c r="AY315" s="29"/>
      <c r="AZ315" s="29"/>
      <c r="BA315" s="29"/>
      <c r="BB315" s="29"/>
    </row>
    <row r="316" spans="2:58" x14ac:dyDescent="0.3">
      <c r="B316" s="18"/>
      <c r="C316" s="18"/>
      <c r="D316" s="18"/>
      <c r="E316" s="44"/>
      <c r="F316" s="18"/>
      <c r="G316" s="18"/>
      <c r="H316" s="19"/>
      <c r="I316" s="18"/>
      <c r="J316" s="20"/>
      <c r="K316" s="19"/>
      <c r="L316" s="12"/>
      <c r="M316" s="12"/>
      <c r="N316" s="15"/>
      <c r="O316" s="15"/>
      <c r="P316" s="15"/>
      <c r="Q316" s="15"/>
      <c r="R316" s="15"/>
      <c r="S316" s="15"/>
      <c r="T316" s="15"/>
      <c r="U316" s="15"/>
      <c r="V316" s="15"/>
      <c r="W316" s="15"/>
      <c r="X316" s="15"/>
      <c r="Y316" s="1"/>
      <c r="AH316" s="35"/>
      <c r="AI316" s="31"/>
      <c r="AJ316" s="32"/>
      <c r="AK316" s="28"/>
      <c r="AL316" s="28"/>
      <c r="AM316" s="28"/>
      <c r="AN316" s="28"/>
      <c r="AO316" s="28"/>
      <c r="AP316" s="28"/>
      <c r="AQ316" s="28"/>
      <c r="AR316" s="28"/>
      <c r="AS316" s="8"/>
      <c r="AT316" s="8"/>
      <c r="AU316" s="8"/>
      <c r="AV316" s="8"/>
      <c r="AW316" s="30"/>
      <c r="AX316" s="45"/>
      <c r="AY316" s="29"/>
      <c r="AZ316" s="29"/>
      <c r="BA316" s="29"/>
      <c r="BB316" s="29"/>
    </row>
    <row r="317" spans="2:58" x14ac:dyDescent="0.3">
      <c r="B317" s="18"/>
      <c r="C317" s="18"/>
      <c r="D317" s="18"/>
      <c r="E317" s="44"/>
      <c r="F317" s="18"/>
      <c r="G317" s="18"/>
      <c r="H317" s="19"/>
      <c r="I317" s="18"/>
      <c r="J317" s="20"/>
      <c r="K317" s="19"/>
      <c r="L317" s="12"/>
      <c r="M317" s="12"/>
      <c r="N317" s="15"/>
      <c r="O317" s="15"/>
      <c r="P317" s="15"/>
      <c r="Q317" s="15"/>
      <c r="R317" s="15"/>
      <c r="S317" s="15"/>
      <c r="T317" s="15"/>
      <c r="U317" s="15"/>
      <c r="V317" s="15"/>
      <c r="W317" s="15"/>
      <c r="X317" s="15"/>
      <c r="Y317" s="1"/>
      <c r="AH317" s="35"/>
      <c r="AI317" s="31"/>
      <c r="AJ317" s="32"/>
      <c r="AK317" s="28"/>
      <c r="AL317" s="28"/>
      <c r="AM317" s="28"/>
      <c r="AN317" s="28"/>
      <c r="AO317" s="28"/>
      <c r="AP317" s="28"/>
      <c r="AQ317" s="28"/>
      <c r="AR317" s="28"/>
      <c r="AS317" s="8"/>
      <c r="AT317" s="8"/>
      <c r="AU317" s="8"/>
      <c r="AV317" s="8"/>
      <c r="AW317" s="30"/>
      <c r="AX317" s="45"/>
      <c r="AY317" s="29"/>
      <c r="AZ317" s="29"/>
      <c r="BA317" s="29"/>
      <c r="BB317" s="29"/>
    </row>
    <row r="318" spans="2:58" x14ac:dyDescent="0.3">
      <c r="B318" s="18"/>
      <c r="C318" s="18"/>
      <c r="D318" s="18"/>
      <c r="E318" s="44"/>
      <c r="F318" s="18"/>
      <c r="G318" s="18"/>
      <c r="H318" s="19"/>
      <c r="I318" s="18"/>
      <c r="J318" s="20"/>
      <c r="K318" s="19"/>
      <c r="L318" s="12"/>
      <c r="M318" s="12"/>
      <c r="N318" s="15"/>
      <c r="O318" s="15"/>
      <c r="P318" s="15"/>
      <c r="Q318" s="15"/>
      <c r="R318" s="15"/>
      <c r="S318" s="15"/>
      <c r="T318" s="15"/>
      <c r="U318" s="15"/>
      <c r="V318" s="15"/>
      <c r="W318" s="15"/>
      <c r="X318" s="15"/>
      <c r="Y318" s="1"/>
      <c r="AH318" s="35"/>
      <c r="AI318" s="31"/>
      <c r="AJ318" s="32"/>
      <c r="AK318" s="32"/>
      <c r="AL318" s="28"/>
      <c r="AM318" s="28"/>
      <c r="AN318" s="28"/>
      <c r="AO318" s="28"/>
      <c r="AP318" s="28"/>
      <c r="AQ318" s="28"/>
      <c r="AR318" s="28"/>
      <c r="AS318" s="8"/>
      <c r="AT318" s="8"/>
      <c r="AU318" s="8"/>
      <c r="AV318" s="8"/>
      <c r="AW318" s="30"/>
      <c r="AX318" s="45"/>
      <c r="AY318" s="29"/>
      <c r="AZ318" s="29"/>
      <c r="BA318" s="29"/>
      <c r="BB318" s="29"/>
    </row>
    <row r="319" spans="2:58" x14ac:dyDescent="0.3">
      <c r="B319" s="18"/>
      <c r="C319" s="18"/>
      <c r="D319" s="18"/>
      <c r="E319" s="44"/>
      <c r="F319" s="18"/>
      <c r="G319" s="18"/>
      <c r="H319" s="19"/>
      <c r="I319" s="18"/>
      <c r="J319" s="20"/>
      <c r="K319" s="19"/>
      <c r="L319" s="12"/>
      <c r="M319" s="12"/>
      <c r="N319" s="15"/>
      <c r="O319" s="15"/>
      <c r="P319" s="15"/>
      <c r="Q319" s="15"/>
      <c r="R319" s="15"/>
      <c r="S319" s="15"/>
      <c r="T319" s="15"/>
      <c r="U319" s="15"/>
      <c r="V319" s="15"/>
      <c r="W319" s="15"/>
      <c r="X319" s="15"/>
      <c r="Y319" s="1"/>
      <c r="AH319" s="35"/>
      <c r="AI319" s="31"/>
      <c r="AJ319" s="32"/>
      <c r="AK319" s="32"/>
      <c r="AL319" s="28"/>
      <c r="AM319" s="28"/>
      <c r="AN319" s="28"/>
      <c r="AO319" s="28"/>
      <c r="AP319" s="28"/>
      <c r="AQ319" s="28"/>
      <c r="AR319" s="28"/>
      <c r="AS319" s="8"/>
      <c r="AT319" s="8"/>
      <c r="AU319" s="8"/>
      <c r="AV319" s="8"/>
      <c r="AW319" s="30"/>
      <c r="AX319" s="45"/>
      <c r="AY319" s="29"/>
      <c r="AZ319" s="29"/>
      <c r="BA319" s="29"/>
      <c r="BB319" s="29"/>
    </row>
    <row r="320" spans="2:58" x14ac:dyDescent="0.3">
      <c r="B320" s="18"/>
      <c r="C320" s="18"/>
      <c r="D320" s="18"/>
      <c r="E320" s="44"/>
      <c r="F320" s="18"/>
      <c r="G320" s="18"/>
      <c r="H320" s="19"/>
      <c r="I320" s="18"/>
      <c r="J320" s="20"/>
      <c r="K320" s="19"/>
      <c r="L320" s="12"/>
      <c r="M320" s="12"/>
      <c r="N320" s="15"/>
      <c r="O320" s="15"/>
      <c r="P320" s="15"/>
      <c r="Q320" s="15"/>
      <c r="R320" s="15"/>
      <c r="S320" s="15"/>
      <c r="T320" s="15"/>
      <c r="U320" s="15"/>
      <c r="V320" s="15"/>
      <c r="W320" s="15"/>
      <c r="X320" s="15"/>
      <c r="Y320" s="1"/>
      <c r="AH320" s="35"/>
      <c r="AI320" s="31"/>
      <c r="AJ320" s="32"/>
      <c r="AK320" s="32"/>
      <c r="AL320" s="28"/>
      <c r="AM320" s="28"/>
      <c r="AN320" s="28"/>
      <c r="AO320" s="28"/>
      <c r="AP320" s="28"/>
      <c r="AQ320" s="28"/>
      <c r="AR320" s="28"/>
      <c r="AS320" s="8"/>
      <c r="AT320" s="8"/>
      <c r="AU320" s="8"/>
      <c r="AV320" s="8"/>
      <c r="AW320" s="30"/>
      <c r="AX320" s="45"/>
      <c r="AY320" s="29"/>
      <c r="AZ320" s="29"/>
      <c r="BA320" s="29"/>
      <c r="BB320" s="29"/>
    </row>
    <row r="321" spans="2:54" x14ac:dyDescent="0.3">
      <c r="B321" s="18"/>
      <c r="C321" s="18"/>
      <c r="D321" s="18"/>
      <c r="E321" s="44"/>
      <c r="F321" s="18"/>
      <c r="G321" s="18"/>
      <c r="H321" s="19"/>
      <c r="I321" s="18"/>
      <c r="J321" s="20"/>
      <c r="K321" s="19"/>
      <c r="L321" s="12"/>
      <c r="M321" s="12"/>
      <c r="N321" s="15"/>
      <c r="O321" s="15"/>
      <c r="P321" s="15"/>
      <c r="Q321" s="15"/>
      <c r="R321" s="15"/>
      <c r="S321" s="15"/>
      <c r="T321" s="15"/>
      <c r="U321" s="15"/>
      <c r="V321" s="15"/>
      <c r="W321" s="15"/>
      <c r="X321" s="15"/>
      <c r="Y321" s="1"/>
      <c r="AH321" s="35"/>
      <c r="AI321" s="31"/>
      <c r="AJ321" s="32"/>
      <c r="AK321" s="32"/>
      <c r="AL321" s="28"/>
      <c r="AM321" s="28"/>
      <c r="AN321" s="28"/>
      <c r="AO321" s="28"/>
      <c r="AP321" s="28"/>
      <c r="AQ321" s="28"/>
      <c r="AR321" s="28"/>
      <c r="AS321" s="8"/>
      <c r="AT321" s="8"/>
      <c r="AU321" s="8"/>
      <c r="AV321" s="8"/>
      <c r="AW321" s="30"/>
      <c r="AX321" s="45"/>
      <c r="AY321" s="29"/>
      <c r="AZ321" s="29"/>
      <c r="BA321" s="29"/>
      <c r="BB321" s="29"/>
    </row>
    <row r="322" spans="2:54" x14ac:dyDescent="0.3">
      <c r="B322" s="18"/>
      <c r="C322" s="18"/>
      <c r="D322" s="18"/>
      <c r="E322" s="44"/>
      <c r="F322" s="18"/>
      <c r="G322" s="18"/>
      <c r="H322" s="19"/>
      <c r="I322" s="18"/>
      <c r="J322" s="20"/>
      <c r="K322" s="19"/>
      <c r="L322" s="12"/>
      <c r="M322" s="12"/>
      <c r="N322" s="15"/>
      <c r="O322" s="15"/>
      <c r="P322" s="15"/>
      <c r="Q322" s="15"/>
      <c r="R322" s="15"/>
      <c r="S322" s="15"/>
      <c r="T322" s="15"/>
      <c r="U322" s="15"/>
      <c r="V322" s="15"/>
      <c r="W322" s="15"/>
      <c r="X322" s="15"/>
      <c r="Y322" s="1"/>
      <c r="AH322" s="35"/>
      <c r="AI322" s="31"/>
      <c r="AJ322" s="32"/>
      <c r="AK322" s="32"/>
      <c r="AL322" s="28"/>
      <c r="AM322" s="28"/>
      <c r="AN322" s="28"/>
      <c r="AO322" s="28"/>
      <c r="AP322" s="28"/>
      <c r="AQ322" s="28"/>
      <c r="AR322" s="28"/>
      <c r="AS322" s="8"/>
      <c r="AT322" s="8"/>
      <c r="AU322" s="8"/>
      <c r="AV322" s="8"/>
      <c r="AW322" s="30"/>
      <c r="AX322" s="45"/>
      <c r="AY322" s="29"/>
      <c r="AZ322" s="29"/>
      <c r="BA322" s="29"/>
      <c r="BB322" s="29"/>
    </row>
    <row r="323" spans="2:54" x14ac:dyDescent="0.3">
      <c r="B323" s="18"/>
      <c r="C323" s="18"/>
      <c r="D323" s="18"/>
      <c r="E323" s="44"/>
      <c r="F323" s="18"/>
      <c r="G323" s="18"/>
      <c r="H323" s="19"/>
      <c r="I323" s="18"/>
      <c r="J323" s="20"/>
      <c r="K323" s="19"/>
      <c r="L323" s="12"/>
      <c r="M323" s="12"/>
      <c r="N323" s="15"/>
      <c r="O323" s="15"/>
      <c r="P323" s="15"/>
      <c r="Q323" s="15"/>
      <c r="R323" s="15"/>
      <c r="S323" s="15"/>
      <c r="T323" s="15"/>
      <c r="U323" s="15"/>
      <c r="V323" s="15"/>
      <c r="W323" s="15"/>
      <c r="X323" s="15"/>
      <c r="Y323" s="1"/>
      <c r="AH323" s="35"/>
      <c r="AI323" s="31"/>
      <c r="AJ323" s="32"/>
      <c r="AK323" s="32"/>
      <c r="AL323" s="28"/>
      <c r="AM323" s="28"/>
      <c r="AN323" s="28"/>
      <c r="AO323" s="28"/>
      <c r="AP323" s="28"/>
      <c r="AQ323" s="28"/>
      <c r="AR323" s="28"/>
      <c r="AS323" s="8"/>
      <c r="AT323" s="8"/>
      <c r="AU323" s="8"/>
      <c r="AV323" s="8"/>
      <c r="AW323" s="30"/>
      <c r="AX323" s="45"/>
      <c r="AY323" s="29"/>
      <c r="AZ323" s="29"/>
      <c r="BA323" s="29"/>
      <c r="BB323" s="29"/>
    </row>
    <row r="324" spans="2:54" x14ac:dyDescent="0.3">
      <c r="B324" s="18"/>
      <c r="C324" s="18"/>
      <c r="D324" s="18"/>
      <c r="E324" s="44"/>
      <c r="F324" s="18"/>
      <c r="G324" s="18"/>
      <c r="H324" s="19"/>
      <c r="I324" s="18"/>
      <c r="J324" s="20"/>
      <c r="K324" s="19"/>
      <c r="L324" s="12"/>
      <c r="M324" s="12"/>
      <c r="N324" s="15"/>
      <c r="O324" s="15"/>
      <c r="P324" s="15"/>
      <c r="Q324" s="15"/>
      <c r="R324" s="15"/>
      <c r="S324" s="15"/>
      <c r="T324" s="15"/>
      <c r="U324" s="15"/>
      <c r="V324" s="15"/>
      <c r="W324" s="15"/>
      <c r="X324" s="15"/>
      <c r="Y324" s="1"/>
      <c r="AH324" s="35"/>
      <c r="AI324" s="31"/>
      <c r="AJ324" s="32"/>
      <c r="AK324" s="32"/>
      <c r="AL324" s="28"/>
      <c r="AM324" s="28"/>
      <c r="AN324" s="28"/>
      <c r="AO324" s="28"/>
      <c r="AP324" s="28"/>
      <c r="AQ324" s="28"/>
      <c r="AR324" s="28"/>
      <c r="AS324" s="8"/>
      <c r="AT324" s="8"/>
      <c r="AU324" s="8"/>
      <c r="AV324" s="8"/>
      <c r="AW324" s="30"/>
      <c r="AX324" s="45"/>
      <c r="AY324" s="29"/>
      <c r="AZ324" s="29"/>
      <c r="BA324" s="29"/>
      <c r="BB324" s="29"/>
    </row>
    <row r="325" spans="2:54" x14ac:dyDescent="0.3">
      <c r="B325" s="18"/>
      <c r="C325" s="18"/>
      <c r="D325" s="18"/>
      <c r="E325" s="44"/>
      <c r="F325" s="18"/>
      <c r="G325" s="18"/>
      <c r="H325" s="19"/>
      <c r="I325" s="18"/>
      <c r="J325" s="20"/>
      <c r="K325" s="19"/>
      <c r="L325" s="12"/>
      <c r="M325" s="12"/>
      <c r="N325" s="15"/>
      <c r="O325" s="15"/>
      <c r="P325" s="15"/>
      <c r="Q325" s="15"/>
      <c r="R325" s="15"/>
      <c r="S325" s="15"/>
      <c r="T325" s="15"/>
      <c r="U325" s="15"/>
      <c r="V325" s="15"/>
      <c r="W325" s="15"/>
      <c r="X325" s="15"/>
      <c r="Y325" s="1"/>
      <c r="AH325" s="35"/>
      <c r="AI325" s="31"/>
      <c r="AJ325" s="32"/>
      <c r="AK325" s="32"/>
      <c r="AL325" s="28"/>
      <c r="AM325" s="28"/>
      <c r="AN325" s="28"/>
      <c r="AO325" s="28"/>
      <c r="AP325" s="28"/>
      <c r="AQ325" s="28"/>
      <c r="AR325" s="28"/>
      <c r="AS325" s="8"/>
      <c r="AT325" s="8"/>
      <c r="AU325" s="8"/>
      <c r="AV325" s="8"/>
      <c r="AW325" s="30"/>
      <c r="AX325" s="45"/>
      <c r="AY325" s="29"/>
      <c r="AZ325" s="29"/>
      <c r="BA325" s="29"/>
      <c r="BB325" s="29"/>
    </row>
    <row r="326" spans="2:54" x14ac:dyDescent="0.3">
      <c r="B326" s="18"/>
      <c r="C326" s="18"/>
      <c r="D326" s="18"/>
      <c r="E326" s="44"/>
      <c r="F326" s="18"/>
      <c r="G326" s="18"/>
      <c r="H326" s="19"/>
      <c r="I326" s="18"/>
      <c r="J326" s="20"/>
      <c r="K326" s="19"/>
      <c r="L326" s="12"/>
      <c r="M326" s="12"/>
      <c r="N326" s="15"/>
      <c r="O326" s="15"/>
      <c r="P326" s="15"/>
      <c r="Q326" s="15"/>
      <c r="R326" s="15"/>
      <c r="S326" s="15"/>
      <c r="T326" s="15"/>
      <c r="U326" s="15"/>
      <c r="V326" s="15"/>
      <c r="W326" s="15"/>
      <c r="X326" s="15"/>
      <c r="Y326" s="1"/>
      <c r="AH326" s="35"/>
      <c r="AI326" s="31"/>
      <c r="AJ326" s="32"/>
      <c r="AK326" s="32"/>
      <c r="AL326" s="28"/>
      <c r="AM326" s="28"/>
      <c r="AN326" s="28"/>
      <c r="AO326" s="28"/>
      <c r="AP326" s="28"/>
      <c r="AQ326" s="28"/>
      <c r="AR326" s="28"/>
      <c r="AS326" s="8"/>
      <c r="AT326" s="8"/>
      <c r="AU326" s="8"/>
      <c r="AV326" s="8"/>
      <c r="AW326" s="30"/>
      <c r="AX326" s="45"/>
      <c r="AY326" s="29"/>
      <c r="AZ326" s="29"/>
      <c r="BA326" s="29"/>
      <c r="BB326" s="29"/>
    </row>
    <row r="327" spans="2:54" x14ac:dyDescent="0.3">
      <c r="B327" s="18"/>
      <c r="C327" s="18"/>
      <c r="D327" s="18"/>
      <c r="E327" s="44"/>
      <c r="F327" s="18"/>
      <c r="G327" s="18"/>
      <c r="H327" s="19"/>
      <c r="I327" s="18"/>
      <c r="J327" s="20"/>
      <c r="K327" s="19"/>
      <c r="L327" s="12"/>
      <c r="M327" s="12"/>
      <c r="N327" s="15"/>
      <c r="O327" s="15"/>
      <c r="P327" s="15"/>
      <c r="Q327" s="15"/>
      <c r="R327" s="15"/>
      <c r="S327" s="15"/>
      <c r="T327" s="15"/>
      <c r="U327" s="15"/>
      <c r="V327" s="15"/>
      <c r="W327" s="15"/>
      <c r="X327" s="15"/>
      <c r="Y327" s="1"/>
      <c r="AH327" s="35"/>
      <c r="AI327" s="31"/>
      <c r="AJ327" s="32"/>
      <c r="AK327" s="32"/>
      <c r="AL327" s="28"/>
      <c r="AM327" s="28"/>
      <c r="AN327" s="28"/>
      <c r="AO327" s="28"/>
      <c r="AP327" s="28"/>
      <c r="AQ327" s="28"/>
      <c r="AR327" s="28"/>
      <c r="AS327" s="8"/>
      <c r="AT327" s="8"/>
      <c r="AU327" s="8"/>
      <c r="AV327" s="8"/>
      <c r="AW327" s="30"/>
      <c r="AX327" s="45"/>
      <c r="AY327" s="29"/>
      <c r="AZ327" s="29"/>
      <c r="BA327" s="29"/>
      <c r="BB327" s="29"/>
    </row>
    <row r="328" spans="2:54" x14ac:dyDescent="0.3">
      <c r="B328" s="18"/>
      <c r="C328" s="18"/>
      <c r="D328" s="18"/>
      <c r="E328" s="44"/>
      <c r="F328" s="18"/>
      <c r="G328" s="18"/>
      <c r="H328" s="19"/>
      <c r="I328" s="18"/>
      <c r="J328" s="20"/>
      <c r="K328" s="19"/>
      <c r="L328" s="12"/>
      <c r="M328" s="12"/>
      <c r="N328" s="15"/>
      <c r="O328" s="15"/>
      <c r="P328" s="15"/>
      <c r="Q328" s="15"/>
      <c r="R328" s="15"/>
      <c r="S328" s="15"/>
      <c r="T328" s="15"/>
      <c r="U328" s="15"/>
      <c r="V328" s="15"/>
      <c r="W328" s="15"/>
      <c r="X328" s="15"/>
      <c r="Y328" s="1"/>
      <c r="AH328" s="35"/>
      <c r="AI328" s="31"/>
      <c r="AJ328" s="32"/>
      <c r="AK328" s="32"/>
      <c r="AL328" s="28"/>
      <c r="AM328" s="28"/>
      <c r="AN328" s="28"/>
      <c r="AO328" s="28"/>
      <c r="AP328" s="28"/>
      <c r="AQ328" s="28"/>
      <c r="AR328" s="28"/>
      <c r="AS328" s="8"/>
      <c r="AT328" s="8"/>
      <c r="AU328" s="8"/>
      <c r="AV328" s="8"/>
      <c r="AW328" s="30"/>
      <c r="AX328" s="45"/>
      <c r="AY328" s="29"/>
      <c r="AZ328" s="29"/>
      <c r="BA328" s="29"/>
      <c r="BB328" s="29"/>
    </row>
    <row r="329" spans="2:54" x14ac:dyDescent="0.3">
      <c r="B329" s="18"/>
      <c r="C329" s="18"/>
      <c r="D329" s="18"/>
      <c r="E329" s="44"/>
      <c r="F329" s="18"/>
      <c r="G329" s="18"/>
      <c r="H329" s="19"/>
      <c r="I329" s="18"/>
      <c r="J329" s="20"/>
      <c r="K329" s="19"/>
      <c r="L329" s="12"/>
      <c r="M329" s="12"/>
      <c r="N329" s="15"/>
      <c r="O329" s="15"/>
      <c r="P329" s="15"/>
      <c r="Q329" s="15"/>
      <c r="R329" s="15"/>
      <c r="S329" s="15"/>
      <c r="T329" s="15"/>
      <c r="U329" s="15"/>
      <c r="V329" s="15"/>
      <c r="W329" s="15"/>
      <c r="X329" s="15"/>
      <c r="Y329" s="1"/>
      <c r="AH329" s="35"/>
      <c r="AI329" s="31"/>
      <c r="AJ329" s="32"/>
      <c r="AK329" s="32"/>
      <c r="AL329" s="28"/>
      <c r="AM329" s="28"/>
      <c r="AN329" s="28"/>
      <c r="AO329" s="28"/>
      <c r="AP329" s="28"/>
      <c r="AQ329" s="28"/>
      <c r="AR329" s="28"/>
      <c r="AS329" s="8"/>
      <c r="AT329" s="8"/>
      <c r="AU329" s="8"/>
      <c r="AV329" s="8"/>
      <c r="AW329" s="30"/>
      <c r="AX329" s="45"/>
      <c r="AY329" s="29"/>
      <c r="AZ329" s="29"/>
      <c r="BA329" s="29"/>
      <c r="BB329" s="29"/>
    </row>
    <row r="330" spans="2:54" x14ac:dyDescent="0.3">
      <c r="B330" s="18"/>
      <c r="C330" s="18"/>
      <c r="D330" s="18"/>
      <c r="E330" s="44"/>
      <c r="F330" s="18"/>
      <c r="G330" s="18"/>
      <c r="H330" s="19"/>
      <c r="I330" s="18"/>
      <c r="J330" s="20"/>
      <c r="K330" s="19"/>
      <c r="L330" s="12"/>
      <c r="M330" s="12"/>
      <c r="N330" s="15"/>
      <c r="O330" s="15"/>
      <c r="P330" s="15"/>
      <c r="Q330" s="15"/>
      <c r="R330" s="15"/>
      <c r="S330" s="15"/>
      <c r="T330" s="15"/>
      <c r="U330" s="15"/>
      <c r="V330" s="15"/>
      <c r="W330" s="15"/>
      <c r="X330" s="15"/>
      <c r="Y330" s="1"/>
      <c r="AH330" s="35"/>
      <c r="AI330" s="31"/>
      <c r="AJ330" s="32"/>
      <c r="AK330" s="32"/>
      <c r="AL330" s="28"/>
      <c r="AM330" s="28"/>
      <c r="AN330" s="28"/>
      <c r="AO330" s="28"/>
      <c r="AP330" s="28"/>
      <c r="AQ330" s="28"/>
      <c r="AR330" s="28"/>
      <c r="AS330" s="8"/>
      <c r="AT330" s="8"/>
      <c r="AU330" s="8"/>
      <c r="AV330" s="8"/>
      <c r="AW330" s="30"/>
      <c r="AX330" s="45"/>
      <c r="AY330" s="29"/>
      <c r="AZ330" s="29"/>
      <c r="BA330" s="29"/>
      <c r="BB330" s="29"/>
    </row>
    <row r="331" spans="2:54" x14ac:dyDescent="0.3">
      <c r="B331" s="18"/>
      <c r="C331" s="18"/>
      <c r="D331" s="18"/>
      <c r="E331" s="44"/>
      <c r="F331" s="18"/>
      <c r="G331" s="18"/>
      <c r="H331" s="19"/>
      <c r="I331" s="18"/>
      <c r="J331" s="20"/>
      <c r="K331" s="19"/>
      <c r="L331" s="12"/>
      <c r="M331" s="12"/>
      <c r="N331" s="15"/>
      <c r="O331" s="15"/>
      <c r="P331" s="15"/>
      <c r="Q331" s="15"/>
      <c r="R331" s="15"/>
      <c r="S331" s="15"/>
      <c r="T331" s="15"/>
      <c r="U331" s="15"/>
      <c r="V331" s="15"/>
      <c r="W331" s="15"/>
      <c r="X331" s="15"/>
      <c r="Y331" s="1"/>
      <c r="AH331" s="35"/>
      <c r="AI331" s="31"/>
      <c r="AJ331" s="32"/>
      <c r="AK331" s="32"/>
      <c r="AL331" s="28"/>
      <c r="AM331" s="28"/>
      <c r="AN331" s="28"/>
      <c r="AO331" s="28"/>
      <c r="AP331" s="28"/>
      <c r="AQ331" s="28"/>
      <c r="AR331" s="28"/>
      <c r="AS331" s="8"/>
      <c r="AT331" s="8"/>
      <c r="AU331" s="8"/>
      <c r="AV331" s="8"/>
      <c r="AW331" s="30"/>
      <c r="AX331" s="45"/>
      <c r="AY331" s="29"/>
      <c r="AZ331" s="29"/>
      <c r="BA331" s="29"/>
      <c r="BB331" s="29"/>
    </row>
    <row r="332" spans="2:54" x14ac:dyDescent="0.3">
      <c r="B332" s="18"/>
      <c r="C332" s="18"/>
      <c r="D332" s="18"/>
      <c r="E332" s="44"/>
      <c r="F332" s="18"/>
      <c r="G332" s="18"/>
      <c r="H332" s="19"/>
      <c r="I332" s="18"/>
      <c r="J332" s="20"/>
      <c r="K332" s="19"/>
      <c r="L332" s="12"/>
      <c r="M332" s="12"/>
      <c r="N332" s="15"/>
      <c r="O332" s="15"/>
      <c r="P332" s="15"/>
      <c r="Q332" s="15"/>
      <c r="R332" s="15"/>
      <c r="S332" s="15"/>
      <c r="T332" s="15"/>
      <c r="U332" s="15"/>
      <c r="V332" s="15"/>
      <c r="W332" s="15"/>
      <c r="X332" s="15"/>
      <c r="Y332" s="1"/>
      <c r="AH332" s="35"/>
      <c r="AI332" s="31"/>
      <c r="AJ332" s="32"/>
      <c r="AK332" s="32"/>
      <c r="AL332" s="28"/>
      <c r="AM332" s="28"/>
      <c r="AN332" s="28"/>
      <c r="AO332" s="28"/>
      <c r="AP332" s="28"/>
      <c r="AQ332" s="28"/>
      <c r="AR332" s="28"/>
      <c r="AS332" s="8"/>
      <c r="AT332" s="8"/>
      <c r="AU332" s="8"/>
      <c r="AV332" s="8"/>
      <c r="AW332" s="30"/>
      <c r="AX332" s="45"/>
      <c r="AY332" s="29"/>
      <c r="AZ332" s="29"/>
      <c r="BA332" s="29"/>
      <c r="BB332" s="29"/>
    </row>
    <row r="333" spans="2:54" x14ac:dyDescent="0.3">
      <c r="B333" s="18"/>
      <c r="C333" s="18"/>
      <c r="D333" s="18"/>
      <c r="E333" s="44"/>
      <c r="F333" s="18"/>
      <c r="G333" s="18"/>
      <c r="H333" s="19"/>
      <c r="I333" s="18"/>
      <c r="J333" s="20"/>
      <c r="K333" s="19"/>
      <c r="L333" s="12"/>
      <c r="M333" s="12"/>
      <c r="N333" s="15"/>
      <c r="O333" s="15"/>
      <c r="P333" s="15"/>
      <c r="Q333" s="15"/>
      <c r="R333" s="15"/>
      <c r="S333" s="15"/>
      <c r="T333" s="15"/>
      <c r="U333" s="15"/>
      <c r="V333" s="15"/>
      <c r="W333" s="15"/>
      <c r="X333" s="15"/>
      <c r="Y333" s="1"/>
      <c r="AH333" s="35"/>
      <c r="AI333" s="31"/>
      <c r="AJ333" s="32"/>
      <c r="AK333" s="32"/>
      <c r="AL333" s="28"/>
      <c r="AM333" s="28"/>
      <c r="AN333" s="28"/>
      <c r="AO333" s="28"/>
      <c r="AP333" s="28"/>
      <c r="AQ333" s="28"/>
      <c r="AR333" s="28"/>
      <c r="AS333" s="8"/>
      <c r="AT333" s="8"/>
      <c r="AU333" s="8"/>
      <c r="AV333" s="8"/>
      <c r="AW333" s="30"/>
      <c r="AX333" s="45"/>
      <c r="AY333" s="29"/>
      <c r="AZ333" s="29"/>
      <c r="BA333" s="29"/>
      <c r="BB333" s="29"/>
    </row>
    <row r="334" spans="2:54" x14ac:dyDescent="0.3">
      <c r="B334" s="18"/>
      <c r="C334" s="18"/>
      <c r="D334" s="18"/>
      <c r="E334" s="44"/>
      <c r="F334" s="18"/>
      <c r="G334" s="18"/>
      <c r="H334" s="19"/>
      <c r="I334" s="18"/>
      <c r="J334" s="20"/>
      <c r="K334" s="19"/>
      <c r="L334" s="12"/>
      <c r="M334" s="12"/>
      <c r="N334" s="15"/>
      <c r="O334" s="15"/>
      <c r="P334" s="15"/>
      <c r="Q334" s="15"/>
      <c r="R334" s="15"/>
      <c r="S334" s="15"/>
      <c r="T334" s="15"/>
      <c r="U334" s="15"/>
      <c r="V334" s="15"/>
      <c r="W334" s="15"/>
      <c r="X334" s="15"/>
      <c r="Y334" s="1"/>
      <c r="AH334" s="35"/>
      <c r="AI334" s="31"/>
      <c r="AJ334" s="32"/>
      <c r="AK334" s="32"/>
      <c r="AL334" s="28"/>
      <c r="AM334" s="28"/>
      <c r="AN334" s="28"/>
      <c r="AO334" s="28"/>
      <c r="AP334" s="28"/>
      <c r="AQ334" s="28"/>
      <c r="AR334" s="28"/>
      <c r="AS334" s="8"/>
      <c r="AT334" s="8"/>
      <c r="AU334" s="8"/>
      <c r="AV334" s="8"/>
      <c r="AW334" s="30"/>
      <c r="AX334" s="45"/>
      <c r="AY334" s="29"/>
      <c r="AZ334" s="29"/>
      <c r="BA334" s="29"/>
      <c r="BB334" s="29"/>
    </row>
    <row r="335" spans="2:54" x14ac:dyDescent="0.3">
      <c r="B335" s="18"/>
      <c r="C335" s="18"/>
      <c r="D335" s="18"/>
      <c r="E335" s="44"/>
      <c r="F335" s="18"/>
      <c r="G335" s="18"/>
      <c r="H335" s="19"/>
      <c r="I335" s="18"/>
      <c r="J335" s="20"/>
      <c r="K335" s="19"/>
      <c r="L335" s="12"/>
      <c r="M335" s="12"/>
      <c r="N335" s="15"/>
      <c r="O335" s="15"/>
      <c r="P335" s="15"/>
      <c r="Q335" s="15"/>
      <c r="R335" s="15"/>
      <c r="S335" s="15"/>
      <c r="T335" s="15"/>
      <c r="U335" s="15"/>
      <c r="V335" s="15"/>
      <c r="W335" s="15"/>
      <c r="X335" s="15"/>
      <c r="Y335" s="1"/>
      <c r="AH335" s="35"/>
      <c r="AI335" s="31"/>
      <c r="AJ335" s="32"/>
      <c r="AK335" s="32"/>
      <c r="AL335" s="28"/>
      <c r="AM335" s="28"/>
      <c r="AN335" s="28"/>
      <c r="AO335" s="28"/>
      <c r="AP335" s="28"/>
      <c r="AQ335" s="28"/>
      <c r="AR335" s="28"/>
      <c r="AS335" s="8"/>
      <c r="AT335" s="8"/>
      <c r="AU335" s="8"/>
      <c r="AV335" s="8"/>
      <c r="AW335" s="30"/>
      <c r="AX335" s="45"/>
      <c r="AY335" s="29"/>
      <c r="AZ335" s="29"/>
      <c r="BA335" s="29"/>
      <c r="BB335" s="29"/>
    </row>
    <row r="336" spans="2:54" x14ac:dyDescent="0.3">
      <c r="B336" s="18"/>
      <c r="C336" s="18"/>
      <c r="D336" s="18"/>
      <c r="E336" s="44"/>
      <c r="F336" s="18"/>
      <c r="G336" s="18"/>
      <c r="H336" s="19"/>
      <c r="I336" s="18"/>
      <c r="J336" s="20"/>
      <c r="K336" s="19"/>
      <c r="L336" s="12"/>
      <c r="M336" s="12"/>
      <c r="N336" s="15"/>
      <c r="O336" s="15"/>
      <c r="P336" s="15"/>
      <c r="Q336" s="15"/>
      <c r="R336" s="15"/>
      <c r="S336" s="15"/>
      <c r="T336" s="15"/>
      <c r="U336" s="15"/>
      <c r="V336" s="15"/>
      <c r="W336" s="15"/>
      <c r="X336" s="15"/>
      <c r="Y336" s="1"/>
      <c r="AH336" s="35"/>
      <c r="AI336" s="31"/>
      <c r="AJ336" s="32"/>
      <c r="AK336" s="32"/>
      <c r="AL336" s="28"/>
      <c r="AM336" s="28"/>
      <c r="AN336" s="28"/>
      <c r="AO336" s="28"/>
      <c r="AP336" s="28"/>
      <c r="AQ336" s="28"/>
      <c r="AR336" s="28"/>
      <c r="AS336" s="8"/>
      <c r="AT336" s="8"/>
      <c r="AU336" s="8"/>
      <c r="AV336" s="8"/>
      <c r="AW336" s="30"/>
      <c r="AX336" s="45"/>
      <c r="AY336" s="29"/>
      <c r="AZ336" s="29"/>
      <c r="BA336" s="29"/>
      <c r="BB336" s="29"/>
    </row>
    <row r="337" spans="2:54" x14ac:dyDescent="0.3">
      <c r="B337" s="18"/>
      <c r="C337" s="18"/>
      <c r="D337" s="18"/>
      <c r="E337" s="44"/>
      <c r="F337" s="18"/>
      <c r="G337" s="18"/>
      <c r="H337" s="19"/>
      <c r="I337" s="18"/>
      <c r="J337" s="20"/>
      <c r="K337" s="19"/>
      <c r="L337" s="12"/>
      <c r="M337" s="12"/>
      <c r="N337" s="15"/>
      <c r="O337" s="15"/>
      <c r="P337" s="15"/>
      <c r="Q337" s="15"/>
      <c r="R337" s="15"/>
      <c r="S337" s="15"/>
      <c r="T337" s="15"/>
      <c r="U337" s="15"/>
      <c r="V337" s="15"/>
      <c r="W337" s="15"/>
      <c r="X337" s="15"/>
      <c r="Y337" s="1"/>
      <c r="AH337" s="35"/>
      <c r="AI337" s="31"/>
      <c r="AJ337" s="32"/>
      <c r="AK337" s="32"/>
      <c r="AL337" s="28"/>
      <c r="AM337" s="28"/>
      <c r="AN337" s="28"/>
      <c r="AO337" s="28"/>
      <c r="AP337" s="28"/>
      <c r="AQ337" s="28"/>
      <c r="AR337" s="28"/>
      <c r="AS337" s="8"/>
      <c r="AT337" s="8"/>
      <c r="AU337" s="8"/>
      <c r="AV337" s="8"/>
      <c r="AW337" s="30"/>
      <c r="AX337" s="45"/>
      <c r="AY337" s="29"/>
      <c r="AZ337" s="29"/>
      <c r="BA337" s="29"/>
      <c r="BB337" s="29"/>
    </row>
    <row r="338" spans="2:54" x14ac:dyDescent="0.3">
      <c r="B338" s="18"/>
      <c r="C338" s="18"/>
      <c r="D338" s="18"/>
      <c r="E338" s="44"/>
      <c r="F338" s="18"/>
      <c r="G338" s="18"/>
      <c r="H338" s="19"/>
      <c r="I338" s="18"/>
      <c r="J338" s="20"/>
      <c r="K338" s="19"/>
      <c r="L338" s="12"/>
      <c r="M338" s="12"/>
      <c r="N338" s="15"/>
      <c r="O338" s="15"/>
      <c r="P338" s="15"/>
      <c r="Q338" s="15"/>
      <c r="R338" s="15"/>
      <c r="S338" s="15"/>
      <c r="T338" s="15"/>
      <c r="U338" s="15"/>
      <c r="V338" s="15"/>
      <c r="W338" s="15"/>
      <c r="X338" s="15"/>
      <c r="Y338" s="1"/>
      <c r="AH338" s="35"/>
      <c r="AI338" s="31"/>
      <c r="AJ338" s="32"/>
      <c r="AK338" s="32"/>
      <c r="AL338" s="28"/>
      <c r="AM338" s="28"/>
      <c r="AN338" s="28"/>
      <c r="AO338" s="28"/>
      <c r="AP338" s="28"/>
      <c r="AQ338" s="28"/>
      <c r="AR338" s="28"/>
      <c r="AS338" s="8"/>
      <c r="AT338" s="8"/>
      <c r="AU338" s="8"/>
      <c r="AV338" s="8"/>
      <c r="AW338" s="30"/>
      <c r="AX338" s="45"/>
      <c r="AY338" s="29"/>
      <c r="AZ338" s="29"/>
      <c r="BA338" s="29"/>
      <c r="BB338" s="29"/>
    </row>
    <row r="339" spans="2:54" x14ac:dyDescent="0.3">
      <c r="B339" s="18"/>
      <c r="C339" s="18"/>
      <c r="D339" s="18"/>
      <c r="E339" s="44"/>
      <c r="F339" s="18"/>
      <c r="G339" s="18"/>
      <c r="H339" s="19"/>
      <c r="I339" s="18"/>
      <c r="J339" s="20"/>
      <c r="K339" s="19"/>
      <c r="L339" s="12"/>
      <c r="M339" s="12"/>
      <c r="N339" s="15"/>
      <c r="O339" s="15"/>
      <c r="P339" s="15"/>
      <c r="Q339" s="15"/>
      <c r="R339" s="15"/>
      <c r="S339" s="15"/>
      <c r="T339" s="15"/>
      <c r="U339" s="15"/>
      <c r="V339" s="15"/>
      <c r="W339" s="15"/>
      <c r="X339" s="15"/>
      <c r="Y339" s="1"/>
      <c r="AH339" s="35"/>
      <c r="AI339" s="31"/>
      <c r="AJ339" s="32"/>
      <c r="AK339" s="32"/>
      <c r="AL339" s="28"/>
      <c r="AM339" s="28"/>
      <c r="AN339" s="28"/>
      <c r="AO339" s="28"/>
      <c r="AP339" s="28"/>
      <c r="AQ339" s="28"/>
      <c r="AR339" s="28"/>
      <c r="AS339" s="8"/>
      <c r="AT339" s="8"/>
      <c r="AU339" s="8"/>
      <c r="AV339" s="8"/>
      <c r="AW339" s="30"/>
      <c r="AX339" s="45"/>
      <c r="AY339" s="29"/>
      <c r="AZ339" s="29"/>
      <c r="BA339" s="29"/>
      <c r="BB339" s="29"/>
    </row>
    <row r="340" spans="2:54" x14ac:dyDescent="0.3">
      <c r="B340" s="18"/>
      <c r="C340" s="18"/>
      <c r="D340" s="18"/>
      <c r="E340" s="44"/>
      <c r="F340" s="18"/>
      <c r="G340" s="18"/>
      <c r="H340" s="19"/>
      <c r="I340" s="18"/>
      <c r="J340" s="20"/>
      <c r="K340" s="19"/>
      <c r="L340" s="12"/>
      <c r="M340" s="12"/>
      <c r="N340" s="15"/>
      <c r="O340" s="15"/>
      <c r="P340" s="15"/>
      <c r="Q340" s="15"/>
      <c r="R340" s="15"/>
      <c r="S340" s="15"/>
      <c r="T340" s="15"/>
      <c r="U340" s="15"/>
      <c r="V340" s="15"/>
      <c r="W340" s="15"/>
      <c r="X340" s="15"/>
      <c r="Y340" s="1"/>
      <c r="AH340" s="35"/>
      <c r="AI340" s="31"/>
      <c r="AJ340" s="32"/>
      <c r="AK340" s="32"/>
      <c r="AL340" s="28"/>
      <c r="AM340" s="28"/>
      <c r="AN340" s="28"/>
      <c r="AO340" s="28"/>
      <c r="AP340" s="28"/>
      <c r="AQ340" s="28"/>
      <c r="AR340" s="28"/>
      <c r="AS340" s="8"/>
      <c r="AT340" s="8"/>
      <c r="AU340" s="8"/>
      <c r="AV340" s="8"/>
      <c r="AW340" s="30"/>
      <c r="AX340" s="45"/>
      <c r="AY340" s="29"/>
      <c r="AZ340" s="29"/>
      <c r="BA340" s="29"/>
      <c r="BB340" s="29"/>
    </row>
    <row r="341" spans="2:54" x14ac:dyDescent="0.3">
      <c r="B341" s="18"/>
      <c r="C341" s="18"/>
      <c r="D341" s="18"/>
      <c r="E341" s="44"/>
      <c r="F341" s="18"/>
      <c r="G341" s="18"/>
      <c r="H341" s="19"/>
      <c r="I341" s="18"/>
      <c r="J341" s="20"/>
      <c r="K341" s="19"/>
      <c r="L341" s="12"/>
      <c r="M341" s="12"/>
      <c r="N341" s="15"/>
      <c r="O341" s="15"/>
      <c r="P341" s="15"/>
      <c r="Q341" s="15"/>
      <c r="R341" s="15"/>
      <c r="S341" s="15"/>
      <c r="T341" s="15"/>
      <c r="U341" s="15"/>
      <c r="V341" s="15"/>
      <c r="W341" s="15"/>
      <c r="X341" s="15"/>
      <c r="Y341" s="1"/>
      <c r="AH341" s="35"/>
      <c r="AI341" s="31"/>
      <c r="AJ341" s="32"/>
      <c r="AK341" s="32"/>
      <c r="AL341" s="28"/>
      <c r="AM341" s="28"/>
      <c r="AN341" s="28"/>
      <c r="AO341" s="28"/>
      <c r="AP341" s="28"/>
      <c r="AQ341" s="28"/>
      <c r="AR341" s="28"/>
      <c r="AS341" s="8"/>
      <c r="AT341" s="8"/>
      <c r="AU341" s="8"/>
      <c r="AV341" s="8"/>
      <c r="AW341" s="30"/>
      <c r="AX341" s="45"/>
      <c r="AY341" s="29"/>
      <c r="AZ341" s="29"/>
      <c r="BA341" s="29"/>
      <c r="BB341" s="29"/>
    </row>
    <row r="342" spans="2:54" x14ac:dyDescent="0.3">
      <c r="B342" s="18"/>
      <c r="C342" s="18"/>
      <c r="D342" s="18"/>
      <c r="E342" s="44"/>
      <c r="F342" s="18"/>
      <c r="G342" s="18"/>
      <c r="H342" s="19"/>
      <c r="I342" s="18"/>
      <c r="J342" s="20"/>
      <c r="K342" s="19"/>
      <c r="L342" s="12"/>
      <c r="M342" s="12"/>
      <c r="N342" s="15"/>
      <c r="O342" s="15"/>
      <c r="P342" s="15"/>
      <c r="Q342" s="15"/>
      <c r="R342" s="15"/>
      <c r="S342" s="15"/>
      <c r="T342" s="15"/>
      <c r="U342" s="15"/>
      <c r="V342" s="15"/>
      <c r="W342" s="15"/>
      <c r="X342" s="15"/>
      <c r="Y342" s="1"/>
      <c r="AH342" s="35"/>
      <c r="AI342" s="31"/>
      <c r="AJ342" s="32"/>
      <c r="AK342" s="32"/>
      <c r="AL342" s="28"/>
      <c r="AM342" s="28"/>
      <c r="AN342" s="28"/>
      <c r="AO342" s="28"/>
      <c r="AP342" s="28"/>
      <c r="AQ342" s="28"/>
      <c r="AR342" s="28"/>
      <c r="AS342" s="8"/>
      <c r="AT342" s="8"/>
      <c r="AU342" s="8"/>
      <c r="AV342" s="8"/>
      <c r="AW342" s="30"/>
      <c r="AX342" s="45"/>
      <c r="AY342" s="29"/>
      <c r="AZ342" s="29"/>
      <c r="BA342" s="29"/>
      <c r="BB342" s="29"/>
    </row>
    <row r="343" spans="2:54" x14ac:dyDescent="0.3">
      <c r="B343" s="18"/>
      <c r="C343" s="18"/>
      <c r="D343" s="18"/>
      <c r="E343" s="44"/>
      <c r="F343" s="18"/>
      <c r="G343" s="18"/>
      <c r="H343" s="19"/>
      <c r="I343" s="18"/>
      <c r="J343" s="20"/>
      <c r="K343" s="19"/>
      <c r="L343" s="12"/>
      <c r="M343" s="12"/>
      <c r="N343" s="15"/>
      <c r="O343" s="15"/>
      <c r="P343" s="15"/>
      <c r="Q343" s="15"/>
      <c r="R343" s="15"/>
      <c r="S343" s="15"/>
      <c r="T343" s="15"/>
      <c r="U343" s="15"/>
      <c r="V343" s="15"/>
      <c r="W343" s="15"/>
      <c r="X343" s="15"/>
      <c r="Y343" s="1"/>
      <c r="AH343" s="35"/>
      <c r="AI343" s="31"/>
      <c r="AJ343" s="32"/>
      <c r="AK343" s="32"/>
      <c r="AL343" s="28"/>
      <c r="AM343" s="28"/>
      <c r="AN343" s="28"/>
      <c r="AO343" s="28"/>
      <c r="AP343" s="28"/>
      <c r="AQ343" s="28"/>
      <c r="AR343" s="28"/>
      <c r="AS343" s="8"/>
      <c r="AT343" s="8"/>
      <c r="AU343" s="8"/>
      <c r="AV343" s="8"/>
      <c r="AW343" s="30"/>
      <c r="AX343" s="45"/>
      <c r="AY343" s="29"/>
      <c r="AZ343" s="29"/>
      <c r="BA343" s="29"/>
      <c r="BB343" s="29"/>
    </row>
    <row r="344" spans="2:54" x14ac:dyDescent="0.3">
      <c r="B344" s="18"/>
      <c r="C344" s="18"/>
      <c r="D344" s="18"/>
      <c r="E344" s="44"/>
      <c r="F344" s="18"/>
      <c r="G344" s="18"/>
      <c r="H344" s="19"/>
      <c r="I344" s="18"/>
      <c r="J344" s="20"/>
      <c r="K344" s="19"/>
      <c r="L344" s="12"/>
      <c r="M344" s="12"/>
      <c r="N344" s="15"/>
      <c r="O344" s="15"/>
      <c r="P344" s="15"/>
      <c r="Q344" s="15"/>
      <c r="R344" s="15"/>
      <c r="S344" s="15"/>
      <c r="T344" s="15"/>
      <c r="U344" s="15"/>
      <c r="V344" s="15"/>
      <c r="W344" s="15"/>
      <c r="X344" s="15"/>
      <c r="Y344" s="1"/>
      <c r="AH344" s="35"/>
      <c r="AI344" s="31"/>
      <c r="AJ344" s="32"/>
      <c r="AK344" s="32"/>
      <c r="AL344" s="28"/>
      <c r="AM344" s="28"/>
      <c r="AN344" s="28"/>
      <c r="AO344" s="28"/>
      <c r="AP344" s="28"/>
      <c r="AQ344" s="28"/>
      <c r="AR344" s="28"/>
      <c r="AS344" s="8"/>
      <c r="AT344" s="8"/>
      <c r="AU344" s="8"/>
      <c r="AV344" s="8"/>
      <c r="AW344" s="30"/>
      <c r="AX344" s="45"/>
      <c r="AY344" s="29"/>
      <c r="AZ344" s="29"/>
      <c r="BA344" s="29"/>
      <c r="BB344" s="29"/>
    </row>
    <row r="345" spans="2:54" x14ac:dyDescent="0.3">
      <c r="B345" s="18"/>
      <c r="C345" s="18"/>
      <c r="D345" s="18"/>
      <c r="E345" s="44"/>
      <c r="F345" s="18"/>
      <c r="G345" s="18"/>
      <c r="H345" s="19"/>
      <c r="I345" s="18"/>
      <c r="J345" s="20"/>
      <c r="K345" s="19"/>
      <c r="L345" s="12"/>
      <c r="M345" s="12"/>
      <c r="N345" s="15"/>
      <c r="O345" s="15"/>
      <c r="P345" s="15"/>
      <c r="Q345" s="15"/>
      <c r="R345" s="15"/>
      <c r="S345" s="15"/>
      <c r="T345" s="15"/>
      <c r="U345" s="15"/>
      <c r="V345" s="15"/>
      <c r="W345" s="15"/>
      <c r="X345" s="15"/>
      <c r="Y345" s="1"/>
      <c r="AH345" s="35"/>
      <c r="AI345" s="31"/>
      <c r="AJ345" s="32"/>
      <c r="AK345" s="32"/>
      <c r="AL345" s="28"/>
      <c r="AM345" s="28"/>
      <c r="AN345" s="28"/>
      <c r="AO345" s="28"/>
      <c r="AP345" s="28"/>
      <c r="AQ345" s="28"/>
      <c r="AR345" s="28"/>
      <c r="AS345" s="8"/>
      <c r="AT345" s="8"/>
      <c r="AU345" s="8"/>
      <c r="AV345" s="8"/>
      <c r="AW345" s="30"/>
      <c r="AX345" s="45"/>
      <c r="AY345" s="29"/>
      <c r="AZ345" s="29"/>
      <c r="BA345" s="29"/>
      <c r="BB345" s="29"/>
    </row>
    <row r="346" spans="2:54" x14ac:dyDescent="0.3">
      <c r="B346" s="18"/>
      <c r="C346" s="18"/>
      <c r="D346" s="18"/>
      <c r="E346" s="44"/>
      <c r="F346" s="18"/>
      <c r="G346" s="18"/>
      <c r="H346" s="19"/>
      <c r="I346" s="18"/>
      <c r="J346" s="20"/>
      <c r="K346" s="19"/>
      <c r="L346" s="12"/>
      <c r="M346" s="12"/>
      <c r="N346" s="15"/>
      <c r="O346" s="15"/>
      <c r="P346" s="15"/>
      <c r="Q346" s="15"/>
      <c r="R346" s="15"/>
      <c r="S346" s="15"/>
      <c r="T346" s="15"/>
      <c r="U346" s="15"/>
      <c r="V346" s="15"/>
      <c r="W346" s="15"/>
      <c r="X346" s="15"/>
      <c r="Y346" s="1"/>
      <c r="AH346" s="35"/>
      <c r="AI346" s="31"/>
      <c r="AJ346" s="32"/>
      <c r="AK346" s="32"/>
      <c r="AL346" s="28"/>
      <c r="AM346" s="28"/>
      <c r="AN346" s="28"/>
      <c r="AO346" s="28"/>
      <c r="AP346" s="28"/>
      <c r="AQ346" s="28"/>
      <c r="AR346" s="28"/>
      <c r="AS346" s="8"/>
      <c r="AT346" s="8"/>
      <c r="AU346" s="8"/>
      <c r="AV346" s="8"/>
      <c r="AW346" s="30"/>
      <c r="AX346" s="45"/>
      <c r="AY346" s="29"/>
      <c r="AZ346" s="29"/>
      <c r="BA346" s="29"/>
      <c r="BB346" s="29"/>
    </row>
    <row r="347" spans="2:54" x14ac:dyDescent="0.3">
      <c r="B347" s="18"/>
      <c r="C347" s="18"/>
      <c r="D347" s="18"/>
      <c r="E347" s="44"/>
      <c r="F347" s="18"/>
      <c r="G347" s="18"/>
      <c r="H347" s="19"/>
      <c r="I347" s="18"/>
      <c r="J347" s="20"/>
      <c r="K347" s="19"/>
      <c r="L347" s="12"/>
      <c r="M347" s="12"/>
      <c r="N347" s="15"/>
      <c r="O347" s="15"/>
      <c r="P347" s="15"/>
      <c r="Q347" s="15"/>
      <c r="R347" s="15"/>
      <c r="S347" s="15"/>
      <c r="T347" s="15"/>
      <c r="U347" s="15"/>
      <c r="V347" s="15"/>
      <c r="W347" s="15"/>
      <c r="X347" s="15"/>
      <c r="Y347" s="1"/>
      <c r="AH347" s="35"/>
      <c r="AI347" s="31"/>
      <c r="AJ347" s="32"/>
      <c r="AK347" s="32"/>
      <c r="AL347" s="28"/>
      <c r="AM347" s="28"/>
      <c r="AN347" s="28"/>
      <c r="AO347" s="28"/>
      <c r="AP347" s="28"/>
      <c r="AQ347" s="28"/>
      <c r="AR347" s="28"/>
      <c r="AS347" s="8"/>
      <c r="AT347" s="8"/>
      <c r="AU347" s="8"/>
      <c r="AV347" s="8"/>
      <c r="AW347" s="30"/>
      <c r="AX347" s="45"/>
      <c r="AY347" s="29"/>
      <c r="AZ347" s="29"/>
      <c r="BA347" s="29"/>
      <c r="BB347" s="29"/>
    </row>
    <row r="348" spans="2:54" x14ac:dyDescent="0.3">
      <c r="B348" s="18"/>
      <c r="C348" s="18"/>
      <c r="D348" s="18"/>
      <c r="E348" s="44"/>
      <c r="F348" s="18"/>
      <c r="G348" s="18"/>
      <c r="H348" s="19"/>
      <c r="I348" s="18"/>
      <c r="J348" s="20"/>
      <c r="K348" s="19"/>
      <c r="L348" s="12"/>
      <c r="M348" s="12"/>
      <c r="N348" s="15"/>
      <c r="O348" s="15"/>
      <c r="P348" s="15"/>
      <c r="Q348" s="15"/>
      <c r="R348" s="15"/>
      <c r="S348" s="15"/>
      <c r="T348" s="15"/>
      <c r="U348" s="15"/>
      <c r="V348" s="15"/>
      <c r="W348" s="15"/>
      <c r="X348" s="15"/>
      <c r="Y348" s="1"/>
      <c r="AH348" s="35"/>
      <c r="AI348" s="31"/>
      <c r="AJ348" s="32"/>
      <c r="AK348" s="32"/>
      <c r="AL348" s="28"/>
      <c r="AM348" s="28"/>
      <c r="AN348" s="28"/>
      <c r="AO348" s="28"/>
      <c r="AP348" s="28"/>
      <c r="AQ348" s="28"/>
      <c r="AR348" s="28"/>
      <c r="AS348" s="8"/>
      <c r="AT348" s="8"/>
      <c r="AU348" s="8"/>
      <c r="AV348" s="8"/>
      <c r="AW348" s="30"/>
      <c r="AX348" s="45"/>
      <c r="AY348" s="29"/>
      <c r="AZ348" s="29"/>
      <c r="BA348" s="29"/>
      <c r="BB348" s="29"/>
    </row>
    <row r="349" spans="2:54" x14ac:dyDescent="0.3">
      <c r="B349" s="18"/>
      <c r="C349" s="18"/>
      <c r="D349" s="18"/>
      <c r="E349" s="44"/>
      <c r="F349" s="18"/>
      <c r="G349" s="18"/>
      <c r="H349" s="19"/>
      <c r="I349" s="18"/>
      <c r="J349" s="20"/>
      <c r="K349" s="19"/>
      <c r="L349" s="12"/>
      <c r="M349" s="12"/>
      <c r="N349" s="15"/>
      <c r="O349" s="15"/>
      <c r="P349" s="15"/>
      <c r="Q349" s="15"/>
      <c r="R349" s="15"/>
      <c r="S349" s="15"/>
      <c r="T349" s="15"/>
      <c r="U349" s="15"/>
      <c r="V349" s="15"/>
      <c r="W349" s="15"/>
      <c r="X349" s="15"/>
      <c r="Y349" s="1"/>
      <c r="AH349" s="35"/>
      <c r="AI349" s="31"/>
      <c r="AJ349" s="32"/>
      <c r="AK349" s="32"/>
      <c r="AL349" s="28"/>
      <c r="AM349" s="28"/>
      <c r="AN349" s="28"/>
      <c r="AO349" s="28"/>
      <c r="AP349" s="28"/>
      <c r="AQ349" s="28"/>
      <c r="AR349" s="28"/>
      <c r="AS349" s="8"/>
      <c r="AT349" s="8"/>
      <c r="AU349" s="8"/>
      <c r="AV349" s="8"/>
      <c r="AW349" s="30"/>
      <c r="AX349" s="45"/>
      <c r="AY349" s="29"/>
      <c r="AZ349" s="29"/>
      <c r="BA349" s="29"/>
      <c r="BB349" s="29"/>
    </row>
    <row r="350" spans="2:54" x14ac:dyDescent="0.3">
      <c r="B350" s="18"/>
      <c r="C350" s="18"/>
      <c r="D350" s="18"/>
      <c r="E350" s="44"/>
      <c r="F350" s="18"/>
      <c r="G350" s="18"/>
      <c r="H350" s="19"/>
      <c r="I350" s="18"/>
      <c r="J350" s="20"/>
      <c r="K350" s="19"/>
      <c r="L350" s="12"/>
      <c r="M350" s="12"/>
      <c r="N350" s="15"/>
      <c r="O350" s="15"/>
      <c r="P350" s="15"/>
      <c r="Q350" s="15"/>
      <c r="R350" s="15"/>
      <c r="S350" s="15"/>
      <c r="T350" s="15"/>
      <c r="U350" s="15"/>
      <c r="V350" s="15"/>
      <c r="W350" s="15"/>
      <c r="X350" s="15"/>
      <c r="Y350" s="1"/>
      <c r="AH350" s="35"/>
      <c r="AI350" s="31"/>
      <c r="AJ350" s="32"/>
      <c r="AK350" s="32"/>
      <c r="AL350" s="28"/>
      <c r="AM350" s="28"/>
      <c r="AN350" s="28"/>
      <c r="AO350" s="28"/>
      <c r="AP350" s="28"/>
      <c r="AQ350" s="28"/>
      <c r="AR350" s="28"/>
      <c r="AS350" s="8"/>
      <c r="AT350" s="8"/>
      <c r="AU350" s="8"/>
      <c r="AV350" s="8"/>
      <c r="AW350" s="30"/>
      <c r="AX350" s="45"/>
      <c r="AY350" s="29"/>
      <c r="AZ350" s="29"/>
      <c r="BA350" s="29"/>
      <c r="BB350" s="29"/>
    </row>
    <row r="351" spans="2:54" x14ac:dyDescent="0.3">
      <c r="B351" s="18"/>
      <c r="C351" s="18"/>
      <c r="D351" s="18"/>
      <c r="E351" s="44"/>
      <c r="F351" s="18"/>
      <c r="G351" s="18"/>
      <c r="H351" s="19"/>
      <c r="I351" s="18"/>
      <c r="J351" s="20"/>
      <c r="K351" s="19"/>
      <c r="L351" s="12"/>
      <c r="M351" s="12"/>
      <c r="N351" s="15"/>
      <c r="O351" s="15"/>
      <c r="P351" s="15"/>
      <c r="Q351" s="15"/>
      <c r="R351" s="15"/>
      <c r="S351" s="15"/>
      <c r="T351" s="15"/>
      <c r="U351" s="15"/>
      <c r="V351" s="15"/>
      <c r="W351" s="15"/>
      <c r="X351" s="15"/>
      <c r="Y351" s="1"/>
      <c r="AH351" s="35"/>
      <c r="AI351" s="31"/>
      <c r="AJ351" s="32"/>
      <c r="AK351" s="32"/>
      <c r="AL351" s="28"/>
      <c r="AM351" s="28"/>
      <c r="AN351" s="28"/>
      <c r="AO351" s="28"/>
      <c r="AP351" s="28"/>
      <c r="AQ351" s="28"/>
      <c r="AR351" s="28"/>
      <c r="AS351" s="8"/>
      <c r="AT351" s="8"/>
      <c r="AU351" s="8"/>
      <c r="AV351" s="8"/>
      <c r="AW351" s="30"/>
      <c r="AX351" s="45"/>
      <c r="AY351" s="29"/>
      <c r="AZ351" s="29"/>
      <c r="BA351" s="29"/>
      <c r="BB351" s="29"/>
    </row>
    <row r="352" spans="2:54" x14ac:dyDescent="0.3">
      <c r="B352" s="18"/>
      <c r="C352" s="18"/>
      <c r="D352" s="18"/>
      <c r="E352" s="44"/>
      <c r="F352" s="18"/>
      <c r="G352" s="18"/>
      <c r="H352" s="19"/>
      <c r="I352" s="18"/>
      <c r="J352" s="20"/>
      <c r="K352" s="19"/>
      <c r="L352" s="12"/>
      <c r="M352" s="12"/>
      <c r="N352" s="15"/>
      <c r="O352" s="15"/>
      <c r="P352" s="15"/>
      <c r="Q352" s="15"/>
      <c r="R352" s="15"/>
      <c r="S352" s="15"/>
      <c r="T352" s="15"/>
      <c r="U352" s="15"/>
      <c r="V352" s="15"/>
      <c r="W352" s="15"/>
      <c r="X352" s="15"/>
      <c r="Y352" s="1"/>
      <c r="AH352" s="35"/>
      <c r="AI352" s="31"/>
      <c r="AJ352" s="32"/>
      <c r="AK352" s="32"/>
      <c r="AL352" s="28"/>
      <c r="AM352" s="28"/>
      <c r="AN352" s="28"/>
      <c r="AO352" s="28"/>
      <c r="AP352" s="28"/>
      <c r="AQ352" s="28"/>
      <c r="AR352" s="28"/>
      <c r="AS352" s="8"/>
      <c r="AT352" s="8"/>
      <c r="AU352" s="8"/>
      <c r="AV352" s="8"/>
      <c r="AW352" s="30"/>
      <c r="AX352" s="45"/>
      <c r="AY352" s="29"/>
      <c r="AZ352" s="29"/>
      <c r="BA352" s="29"/>
      <c r="BB352" s="29"/>
    </row>
    <row r="353" spans="2:54" x14ac:dyDescent="0.3">
      <c r="B353" s="18"/>
      <c r="C353" s="18"/>
      <c r="D353" s="18"/>
      <c r="E353" s="44"/>
      <c r="F353" s="18"/>
      <c r="G353" s="18"/>
      <c r="H353" s="19"/>
      <c r="I353" s="18"/>
      <c r="J353" s="20"/>
      <c r="K353" s="19"/>
      <c r="L353" s="12"/>
      <c r="M353" s="12"/>
      <c r="N353" s="15"/>
      <c r="O353" s="15"/>
      <c r="P353" s="15"/>
      <c r="Q353" s="15"/>
      <c r="R353" s="15"/>
      <c r="S353" s="15"/>
      <c r="T353" s="15"/>
      <c r="U353" s="15"/>
      <c r="V353" s="15"/>
      <c r="W353" s="15"/>
      <c r="X353" s="15"/>
      <c r="Y353" s="1"/>
      <c r="AH353" s="35"/>
      <c r="AI353" s="31"/>
      <c r="AJ353" s="32"/>
      <c r="AK353" s="32"/>
      <c r="AL353" s="28"/>
      <c r="AM353" s="28"/>
      <c r="AN353" s="28"/>
      <c r="AO353" s="28"/>
      <c r="AP353" s="28"/>
      <c r="AQ353" s="28"/>
      <c r="AR353" s="28"/>
      <c r="AS353" s="8"/>
      <c r="AT353" s="8"/>
      <c r="AU353" s="8"/>
      <c r="AV353" s="8"/>
      <c r="AW353" s="30"/>
      <c r="AX353" s="45"/>
      <c r="AY353" s="29"/>
      <c r="AZ353" s="29"/>
      <c r="BA353" s="29"/>
      <c r="BB353" s="29"/>
    </row>
    <row r="354" spans="2:54" x14ac:dyDescent="0.3">
      <c r="B354" s="18"/>
      <c r="C354" s="18"/>
      <c r="D354" s="18"/>
      <c r="E354" s="44"/>
      <c r="F354" s="18"/>
      <c r="G354" s="18"/>
      <c r="H354" s="19"/>
      <c r="I354" s="18"/>
      <c r="J354" s="20"/>
      <c r="K354" s="19"/>
      <c r="L354" s="12"/>
      <c r="M354" s="12"/>
      <c r="N354" s="15"/>
      <c r="O354" s="15"/>
      <c r="P354" s="15"/>
      <c r="Q354" s="15"/>
      <c r="R354" s="15"/>
      <c r="S354" s="15"/>
      <c r="T354" s="15"/>
      <c r="U354" s="15"/>
      <c r="V354" s="15"/>
      <c r="W354" s="15"/>
      <c r="X354" s="15"/>
      <c r="Y354" s="1"/>
      <c r="AH354" s="35"/>
      <c r="AI354" s="31"/>
      <c r="AJ354" s="32"/>
      <c r="AK354" s="32"/>
      <c r="AL354" s="28"/>
      <c r="AM354" s="28"/>
      <c r="AN354" s="28"/>
      <c r="AO354" s="28"/>
      <c r="AP354" s="28"/>
      <c r="AQ354" s="28"/>
      <c r="AR354" s="28"/>
      <c r="AS354" s="8"/>
      <c r="AT354" s="8"/>
      <c r="AU354" s="8"/>
      <c r="AV354" s="8"/>
      <c r="AW354" s="30"/>
      <c r="AX354" s="45"/>
      <c r="AY354" s="29"/>
      <c r="AZ354" s="29"/>
      <c r="BA354" s="29"/>
      <c r="BB354" s="29"/>
    </row>
    <row r="355" spans="2:54" x14ac:dyDescent="0.3">
      <c r="B355" s="18"/>
      <c r="C355" s="18"/>
      <c r="D355" s="18"/>
      <c r="E355" s="44"/>
      <c r="F355" s="18"/>
      <c r="G355" s="18"/>
      <c r="H355" s="19"/>
      <c r="I355" s="18"/>
      <c r="J355" s="20"/>
      <c r="K355" s="19"/>
      <c r="L355" s="12"/>
      <c r="M355" s="12"/>
      <c r="N355" s="15"/>
      <c r="O355" s="15"/>
      <c r="P355" s="15"/>
      <c r="Q355" s="15"/>
      <c r="R355" s="15"/>
      <c r="S355" s="15"/>
      <c r="T355" s="15"/>
      <c r="U355" s="15"/>
      <c r="V355" s="15"/>
      <c r="W355" s="15"/>
      <c r="X355" s="15"/>
      <c r="Y355" s="1"/>
      <c r="AH355" s="35"/>
      <c r="AI355" s="31"/>
      <c r="AJ355" s="32"/>
      <c r="AK355" s="32"/>
      <c r="AL355" s="28"/>
      <c r="AM355" s="28"/>
      <c r="AN355" s="28"/>
      <c r="AO355" s="28"/>
      <c r="AP355" s="28"/>
      <c r="AQ355" s="28"/>
      <c r="AR355" s="28"/>
      <c r="AS355" s="8"/>
      <c r="AT355" s="8"/>
      <c r="AU355" s="8"/>
      <c r="AV355" s="8"/>
      <c r="AW355" s="30"/>
      <c r="AX355" s="45"/>
      <c r="AY355" s="29"/>
      <c r="AZ355" s="29"/>
      <c r="BA355" s="29"/>
      <c r="BB355" s="29"/>
    </row>
    <row r="356" spans="2:54" x14ac:dyDescent="0.3">
      <c r="B356" s="18"/>
      <c r="C356" s="18"/>
      <c r="D356" s="18"/>
      <c r="E356" s="44"/>
      <c r="F356" s="18"/>
      <c r="G356" s="18"/>
      <c r="H356" s="19"/>
      <c r="I356" s="18"/>
      <c r="J356" s="20"/>
      <c r="K356" s="19"/>
      <c r="L356" s="12"/>
      <c r="M356" s="12"/>
      <c r="N356" s="15"/>
      <c r="O356" s="15"/>
      <c r="P356" s="15"/>
      <c r="Q356" s="15"/>
      <c r="R356" s="15"/>
      <c r="S356" s="15"/>
      <c r="T356" s="15"/>
      <c r="U356" s="15"/>
      <c r="V356" s="15"/>
      <c r="W356" s="15"/>
      <c r="X356" s="15"/>
      <c r="Y356" s="1"/>
      <c r="AH356" s="35"/>
      <c r="AI356" s="31"/>
      <c r="AJ356" s="32"/>
      <c r="AK356" s="32"/>
      <c r="AL356" s="28"/>
      <c r="AM356" s="28"/>
      <c r="AN356" s="28"/>
      <c r="AO356" s="28"/>
      <c r="AP356" s="28"/>
      <c r="AQ356" s="28"/>
      <c r="AR356" s="28"/>
      <c r="AS356" s="8"/>
      <c r="AT356" s="8"/>
      <c r="AU356" s="8"/>
      <c r="AV356" s="8"/>
      <c r="AW356" s="30"/>
      <c r="AX356" s="45"/>
      <c r="AY356" s="29"/>
      <c r="AZ356" s="29"/>
      <c r="BA356" s="29"/>
      <c r="BB356" s="29"/>
    </row>
    <row r="357" spans="2:54" x14ac:dyDescent="0.3">
      <c r="B357" s="18"/>
      <c r="C357" s="18"/>
      <c r="D357" s="18"/>
      <c r="E357" s="44"/>
      <c r="F357" s="18"/>
      <c r="G357" s="18"/>
      <c r="H357" s="19"/>
      <c r="I357" s="18"/>
      <c r="J357" s="20"/>
      <c r="K357" s="19"/>
      <c r="L357" s="12"/>
      <c r="M357" s="12"/>
      <c r="N357" s="15"/>
      <c r="O357" s="15"/>
      <c r="P357" s="15"/>
      <c r="Q357" s="15"/>
      <c r="R357" s="15"/>
      <c r="S357" s="15"/>
      <c r="T357" s="15"/>
      <c r="U357" s="15"/>
      <c r="V357" s="15"/>
      <c r="W357" s="15"/>
      <c r="X357" s="15"/>
      <c r="Y357" s="1"/>
      <c r="AH357" s="35"/>
      <c r="AI357" s="31"/>
      <c r="AJ357" s="32"/>
      <c r="AK357" s="32"/>
      <c r="AL357" s="28"/>
      <c r="AM357" s="28"/>
      <c r="AN357" s="28"/>
      <c r="AO357" s="28"/>
      <c r="AP357" s="28"/>
      <c r="AQ357" s="28"/>
      <c r="AR357" s="28"/>
      <c r="AS357" s="8"/>
      <c r="AT357" s="8"/>
      <c r="AU357" s="8"/>
      <c r="AV357" s="8"/>
      <c r="AW357" s="30"/>
      <c r="AX357" s="45"/>
      <c r="AY357" s="29"/>
      <c r="AZ357" s="29"/>
      <c r="BA357" s="29"/>
      <c r="BB357" s="29"/>
    </row>
    <row r="358" spans="2:54" x14ac:dyDescent="0.3">
      <c r="E358" s="11"/>
      <c r="AH358" s="35"/>
      <c r="AI358" s="31"/>
      <c r="AJ358" s="32"/>
      <c r="AK358" s="32"/>
      <c r="AL358" s="28"/>
      <c r="AM358" s="28"/>
      <c r="AN358" s="28"/>
      <c r="AO358" s="28"/>
      <c r="AP358" s="28"/>
      <c r="AQ358" s="28"/>
      <c r="AR358" s="28"/>
      <c r="AS358" s="8"/>
      <c r="AT358" s="8"/>
      <c r="AU358" s="8"/>
      <c r="AV358" s="8"/>
      <c r="AW358" s="30"/>
      <c r="AX358" s="45"/>
      <c r="AY358" s="29"/>
      <c r="AZ358" s="29"/>
      <c r="BA358" s="29"/>
      <c r="BB358" s="29"/>
    </row>
    <row r="359" spans="2:54" x14ac:dyDescent="0.3">
      <c r="E359" s="11"/>
      <c r="AH359" s="35"/>
      <c r="AI359" s="31"/>
      <c r="AJ359" s="32"/>
      <c r="AK359" s="32"/>
      <c r="AL359" s="28"/>
      <c r="AM359" s="28"/>
      <c r="AN359" s="28"/>
      <c r="AO359" s="28"/>
      <c r="AP359" s="28"/>
      <c r="AQ359" s="28"/>
      <c r="AR359" s="28"/>
      <c r="AS359" s="8"/>
      <c r="AT359" s="8"/>
      <c r="AU359" s="8"/>
      <c r="AV359" s="8"/>
      <c r="AW359" s="30"/>
      <c r="AX359" s="45"/>
      <c r="AY359" s="29"/>
      <c r="AZ359" s="29"/>
      <c r="BA359" s="29"/>
      <c r="BB359" s="29"/>
    </row>
    <row r="360" spans="2:54" x14ac:dyDescent="0.3">
      <c r="E360" s="11"/>
      <c r="AH360" s="35"/>
      <c r="AI360" s="31"/>
      <c r="AJ360" s="32"/>
      <c r="AK360" s="32"/>
      <c r="AL360" s="28"/>
      <c r="AM360" s="28"/>
      <c r="AN360" s="28"/>
      <c r="AO360" s="28"/>
      <c r="AP360" s="28"/>
      <c r="AQ360" s="28"/>
      <c r="AR360" s="28"/>
      <c r="AS360" s="8"/>
      <c r="AT360" s="8"/>
      <c r="AU360" s="8"/>
      <c r="AV360" s="8"/>
      <c r="AW360" s="30"/>
      <c r="AX360" s="45"/>
      <c r="AY360" s="29"/>
      <c r="AZ360" s="29"/>
      <c r="BA360" s="29"/>
      <c r="BB360" s="29"/>
    </row>
    <row r="361" spans="2:54" x14ac:dyDescent="0.3">
      <c r="E361" s="11"/>
      <c r="AH361" s="35"/>
      <c r="AI361" s="31"/>
      <c r="AJ361" s="32"/>
      <c r="AK361" s="32"/>
      <c r="AL361" s="28"/>
      <c r="AM361" s="28"/>
      <c r="AN361" s="28"/>
      <c r="AO361" s="28"/>
      <c r="AP361" s="28"/>
      <c r="AQ361" s="28"/>
      <c r="AR361" s="28"/>
      <c r="AS361" s="8"/>
      <c r="AT361" s="8"/>
      <c r="AU361" s="8"/>
      <c r="AV361" s="8"/>
      <c r="AW361" s="30"/>
      <c r="AX361" s="45"/>
      <c r="AY361" s="29"/>
      <c r="AZ361" s="29"/>
      <c r="BA361" s="29"/>
      <c r="BB361" s="29"/>
    </row>
    <row r="362" spans="2:54" x14ac:dyDescent="0.3">
      <c r="E362" s="11"/>
      <c r="AH362" s="35"/>
      <c r="AI362" s="31"/>
      <c r="AJ362" s="32"/>
      <c r="AK362" s="32"/>
      <c r="AL362" s="28"/>
      <c r="AM362" s="28"/>
      <c r="AN362" s="28"/>
      <c r="AO362" s="28"/>
      <c r="AP362" s="28"/>
      <c r="AQ362" s="28"/>
      <c r="AR362" s="28"/>
      <c r="AS362" s="8"/>
      <c r="AT362" s="8"/>
      <c r="AU362" s="8"/>
      <c r="AV362" s="8"/>
      <c r="AW362" s="30"/>
      <c r="AX362" s="45"/>
      <c r="AY362" s="29"/>
      <c r="AZ362" s="29"/>
      <c r="BA362" s="29"/>
      <c r="BB362" s="29"/>
    </row>
    <row r="363" spans="2:54" x14ac:dyDescent="0.3">
      <c r="E363" s="11"/>
      <c r="AH363" s="35"/>
      <c r="AI363" s="31"/>
      <c r="AJ363" s="32"/>
      <c r="AK363" s="32"/>
      <c r="AL363" s="28"/>
      <c r="AM363" s="28"/>
      <c r="AN363" s="28"/>
      <c r="AO363" s="28"/>
      <c r="AP363" s="28"/>
      <c r="AQ363" s="28"/>
      <c r="AR363" s="28"/>
      <c r="AS363" s="8"/>
      <c r="AT363" s="8"/>
      <c r="AU363" s="8"/>
      <c r="AV363" s="8"/>
      <c r="AW363" s="30"/>
      <c r="AX363" s="45"/>
      <c r="AY363" s="29"/>
      <c r="AZ363" s="29"/>
      <c r="BA363" s="29"/>
      <c r="BB363" s="29"/>
    </row>
    <row r="364" spans="2:54" x14ac:dyDescent="0.3">
      <c r="E364" s="11"/>
      <c r="AH364" s="35"/>
      <c r="AI364" s="31"/>
      <c r="AJ364" s="32"/>
      <c r="AK364" s="32"/>
      <c r="AL364" s="28"/>
      <c r="AM364" s="28"/>
      <c r="AN364" s="28"/>
      <c r="AO364" s="28"/>
      <c r="AP364" s="28"/>
      <c r="AQ364" s="28"/>
      <c r="AR364" s="28"/>
      <c r="AS364" s="8"/>
      <c r="AT364" s="8"/>
      <c r="AU364" s="8"/>
      <c r="AV364" s="8"/>
      <c r="AW364" s="30"/>
      <c r="AX364" s="45"/>
      <c r="AY364" s="29"/>
      <c r="AZ364" s="29"/>
      <c r="BA364" s="29"/>
      <c r="BB364" s="29"/>
    </row>
    <row r="365" spans="2:54" x14ac:dyDescent="0.3">
      <c r="E365" s="11"/>
      <c r="AH365" s="35"/>
      <c r="AI365" s="31"/>
      <c r="AJ365" s="32"/>
      <c r="AK365" s="32"/>
      <c r="AL365" s="28"/>
      <c r="AM365" s="28"/>
      <c r="AN365" s="28"/>
      <c r="AO365" s="28"/>
      <c r="AP365" s="28"/>
      <c r="AQ365" s="28"/>
      <c r="AR365" s="28"/>
      <c r="AS365" s="8"/>
      <c r="AT365" s="8"/>
      <c r="AU365" s="8"/>
      <c r="AV365" s="8"/>
      <c r="AW365" s="30"/>
      <c r="AX365" s="45"/>
      <c r="AY365" s="29"/>
      <c r="AZ365" s="29"/>
      <c r="BA365" s="29"/>
      <c r="BB365" s="29"/>
    </row>
    <row r="366" spans="2:54" x14ac:dyDescent="0.3">
      <c r="E366" s="11"/>
      <c r="AH366" s="35"/>
      <c r="AI366" s="31"/>
      <c r="AJ366" s="32"/>
      <c r="AK366" s="32"/>
      <c r="AL366" s="28"/>
      <c r="AM366" s="28"/>
      <c r="AN366" s="28"/>
      <c r="AO366" s="28"/>
      <c r="AP366" s="28"/>
      <c r="AQ366" s="28"/>
      <c r="AR366" s="28"/>
      <c r="AS366" s="8"/>
      <c r="AT366" s="8"/>
      <c r="AU366" s="8"/>
      <c r="AV366" s="8"/>
      <c r="AW366" s="30"/>
      <c r="AX366" s="45"/>
      <c r="AY366" s="29"/>
      <c r="AZ366" s="29"/>
      <c r="BA366" s="29"/>
      <c r="BB366" s="29"/>
    </row>
    <row r="367" spans="2:54" x14ac:dyDescent="0.3">
      <c r="E367" s="11"/>
      <c r="AH367" s="35"/>
      <c r="AI367" s="31"/>
      <c r="AJ367" s="32"/>
      <c r="AK367" s="32"/>
      <c r="AL367" s="28"/>
      <c r="AM367" s="28"/>
      <c r="AN367" s="28"/>
      <c r="AO367" s="28"/>
      <c r="AP367" s="28"/>
      <c r="AQ367" s="28"/>
      <c r="AR367" s="28"/>
      <c r="AS367" s="8"/>
      <c r="AT367" s="8"/>
      <c r="AU367" s="8"/>
      <c r="AV367" s="8"/>
      <c r="AW367" s="30"/>
      <c r="AX367" s="45"/>
      <c r="AY367" s="29"/>
      <c r="AZ367" s="29"/>
      <c r="BA367" s="29"/>
      <c r="BB367" s="29"/>
    </row>
    <row r="368" spans="2:54" x14ac:dyDescent="0.3">
      <c r="E368" s="11"/>
      <c r="AH368" s="35"/>
      <c r="AI368" s="31"/>
      <c r="AJ368" s="32"/>
      <c r="AK368" s="32"/>
      <c r="AL368" s="28"/>
      <c r="AM368" s="28"/>
      <c r="AN368" s="28"/>
      <c r="AO368" s="28"/>
      <c r="AP368" s="28"/>
      <c r="AQ368" s="28"/>
      <c r="AR368" s="28"/>
      <c r="AS368" s="8"/>
      <c r="AT368" s="8"/>
      <c r="AU368" s="8"/>
      <c r="AV368" s="8"/>
      <c r="AW368" s="30"/>
      <c r="AX368" s="45"/>
      <c r="AY368" s="29"/>
      <c r="AZ368" s="29"/>
      <c r="BA368" s="29"/>
      <c r="BB368" s="29"/>
    </row>
    <row r="369" spans="5:54" x14ac:dyDescent="0.3">
      <c r="E369" s="11"/>
      <c r="AH369" s="35"/>
      <c r="AI369" s="31"/>
      <c r="AJ369" s="32"/>
      <c r="AK369" s="32"/>
      <c r="AL369" s="28"/>
      <c r="AM369" s="28"/>
      <c r="AN369" s="28"/>
      <c r="AO369" s="28"/>
      <c r="AP369" s="28"/>
      <c r="AQ369" s="28"/>
      <c r="AR369" s="28"/>
      <c r="AS369" s="8"/>
      <c r="AT369" s="8"/>
      <c r="AU369" s="8"/>
      <c r="AV369" s="8"/>
      <c r="AW369" s="30"/>
      <c r="AX369" s="45"/>
      <c r="AY369" s="29"/>
      <c r="AZ369" s="29"/>
      <c r="BA369" s="29"/>
      <c r="BB369" s="29"/>
    </row>
    <row r="370" spans="5:54" x14ac:dyDescent="0.3">
      <c r="E370" s="11"/>
      <c r="AH370" s="35"/>
      <c r="AI370" s="31"/>
      <c r="AJ370" s="32"/>
      <c r="AK370" s="32"/>
      <c r="AL370" s="28"/>
      <c r="AM370" s="28"/>
      <c r="AN370" s="28"/>
      <c r="AO370" s="28"/>
      <c r="AP370" s="28"/>
      <c r="AQ370" s="28"/>
      <c r="AR370" s="28"/>
      <c r="AS370" s="8"/>
      <c r="AT370" s="8"/>
      <c r="AU370" s="8"/>
      <c r="AV370" s="8"/>
      <c r="AW370" s="30"/>
      <c r="AX370" s="45"/>
      <c r="AY370" s="29"/>
      <c r="AZ370" s="29"/>
      <c r="BA370" s="29"/>
      <c r="BB370" s="29"/>
    </row>
    <row r="371" spans="5:54" x14ac:dyDescent="0.3">
      <c r="E371" s="11"/>
      <c r="AH371" s="35"/>
      <c r="AI371" s="31"/>
      <c r="AJ371" s="32"/>
      <c r="AK371" s="32"/>
      <c r="AL371" s="28"/>
      <c r="AM371" s="28"/>
      <c r="AN371" s="28"/>
      <c r="AO371" s="28"/>
      <c r="AP371" s="28"/>
      <c r="AQ371" s="28"/>
      <c r="AR371" s="28"/>
      <c r="AS371" s="8"/>
      <c r="AT371" s="8"/>
      <c r="AU371" s="8"/>
      <c r="AV371" s="8"/>
      <c r="AW371" s="30"/>
      <c r="AX371" s="45"/>
      <c r="AY371" s="29"/>
      <c r="AZ371" s="29"/>
      <c r="BA371" s="29"/>
      <c r="BB371" s="29"/>
    </row>
    <row r="372" spans="5:54" x14ac:dyDescent="0.3">
      <c r="E372" s="11"/>
      <c r="AH372" s="35"/>
      <c r="AI372" s="31"/>
      <c r="AJ372" s="32"/>
      <c r="AK372" s="32"/>
      <c r="AL372" s="28"/>
      <c r="AM372" s="28"/>
      <c r="AN372" s="28"/>
      <c r="AO372" s="28"/>
      <c r="AP372" s="28"/>
      <c r="AQ372" s="28"/>
      <c r="AR372" s="28"/>
      <c r="AS372" s="8"/>
      <c r="AT372" s="8"/>
      <c r="AU372" s="8"/>
      <c r="AV372" s="8"/>
      <c r="AW372" s="30"/>
      <c r="AX372" s="45"/>
      <c r="AY372" s="29"/>
      <c r="AZ372" s="29"/>
      <c r="BA372" s="29"/>
      <c r="BB372" s="29"/>
    </row>
    <row r="373" spans="5:54" x14ac:dyDescent="0.3">
      <c r="E373" s="11"/>
      <c r="AH373" s="35"/>
      <c r="AI373" s="31"/>
      <c r="AJ373" s="32"/>
      <c r="AK373" s="32"/>
      <c r="AL373" s="28"/>
      <c r="AM373" s="28"/>
      <c r="AN373" s="28"/>
      <c r="AO373" s="28"/>
      <c r="AP373" s="28"/>
      <c r="AQ373" s="28"/>
      <c r="AR373" s="28"/>
      <c r="AS373" s="8"/>
      <c r="AT373" s="8"/>
      <c r="AU373" s="8"/>
      <c r="AV373" s="8"/>
      <c r="AW373" s="30"/>
      <c r="AX373" s="45"/>
      <c r="AY373" s="29"/>
      <c r="AZ373" s="29"/>
      <c r="BA373" s="29"/>
      <c r="BB373" s="29"/>
    </row>
    <row r="374" spans="5:54" x14ac:dyDescent="0.3">
      <c r="E374" s="11"/>
      <c r="AH374" s="35"/>
      <c r="AI374" s="31"/>
      <c r="AJ374" s="32"/>
      <c r="AK374" s="32"/>
      <c r="AL374" s="28"/>
      <c r="AM374" s="28"/>
      <c r="AN374" s="28"/>
      <c r="AO374" s="28"/>
      <c r="AP374" s="28"/>
      <c r="AQ374" s="28"/>
      <c r="AR374" s="28"/>
      <c r="AS374" s="8"/>
      <c r="AT374" s="8"/>
      <c r="AU374" s="8"/>
      <c r="AV374" s="8"/>
      <c r="AW374" s="30"/>
      <c r="AX374" s="45"/>
      <c r="AY374" s="29"/>
      <c r="AZ374" s="29"/>
      <c r="BA374" s="29"/>
      <c r="BB374" s="29"/>
    </row>
    <row r="375" spans="5:54" x14ac:dyDescent="0.3">
      <c r="E375" s="11"/>
      <c r="AH375" s="35"/>
      <c r="AI375" s="31"/>
      <c r="AJ375" s="32"/>
      <c r="AK375" s="32"/>
      <c r="AL375" s="28"/>
      <c r="AM375" s="28"/>
      <c r="AN375" s="28"/>
      <c r="AO375" s="28"/>
      <c r="AP375" s="28"/>
      <c r="AQ375" s="28"/>
      <c r="AR375" s="28"/>
      <c r="AS375" s="8"/>
      <c r="AT375" s="8"/>
      <c r="AU375" s="8"/>
      <c r="AV375" s="8"/>
      <c r="AW375" s="30"/>
      <c r="AX375" s="45"/>
      <c r="AY375" s="29"/>
      <c r="AZ375" s="29"/>
      <c r="BA375" s="29"/>
      <c r="BB375" s="29"/>
    </row>
    <row r="376" spans="5:54" x14ac:dyDescent="0.3">
      <c r="E376" s="11"/>
      <c r="AH376" s="35"/>
      <c r="AI376" s="31"/>
      <c r="AJ376" s="32"/>
      <c r="AK376" s="32"/>
      <c r="AL376" s="28"/>
      <c r="AM376" s="28"/>
      <c r="AN376" s="28"/>
      <c r="AO376" s="28"/>
      <c r="AP376" s="28"/>
      <c r="AQ376" s="28"/>
      <c r="AR376" s="28"/>
      <c r="AS376" s="8"/>
      <c r="AT376" s="8"/>
      <c r="AU376" s="8"/>
      <c r="AV376" s="8"/>
      <c r="AW376" s="30"/>
      <c r="AX376" s="45"/>
      <c r="AY376" s="29"/>
      <c r="AZ376" s="29"/>
      <c r="BA376" s="29"/>
      <c r="BB376" s="29"/>
    </row>
    <row r="377" spans="5:54" x14ac:dyDescent="0.3">
      <c r="E377" s="11"/>
      <c r="AH377" s="35"/>
      <c r="AI377" s="31"/>
      <c r="AJ377" s="32"/>
      <c r="AK377" s="32"/>
      <c r="AL377" s="28"/>
      <c r="AM377" s="28"/>
      <c r="AN377" s="28"/>
      <c r="AO377" s="28"/>
      <c r="AP377" s="28"/>
      <c r="AQ377" s="28"/>
      <c r="AR377" s="28"/>
      <c r="AS377" s="8"/>
      <c r="AT377" s="8"/>
      <c r="AU377" s="8"/>
      <c r="AV377" s="8"/>
      <c r="AW377" s="30"/>
      <c r="AX377" s="45"/>
      <c r="AY377" s="29"/>
      <c r="AZ377" s="29"/>
      <c r="BA377" s="29"/>
      <c r="BB377" s="29"/>
    </row>
    <row r="378" spans="5:54" x14ac:dyDescent="0.3">
      <c r="E378" s="11"/>
      <c r="AH378" s="35"/>
      <c r="AI378" s="31"/>
      <c r="AJ378" s="32"/>
      <c r="AK378" s="32"/>
      <c r="AL378" s="28"/>
      <c r="AM378" s="28"/>
      <c r="AN378" s="28"/>
      <c r="AO378" s="28"/>
      <c r="AP378" s="28"/>
      <c r="AQ378" s="28"/>
      <c r="AR378" s="28"/>
      <c r="AS378" s="8"/>
      <c r="AT378" s="8"/>
      <c r="AU378" s="8"/>
      <c r="AV378" s="8"/>
      <c r="AW378" s="30"/>
      <c r="AX378" s="45"/>
      <c r="AY378" s="29"/>
      <c r="AZ378" s="29"/>
      <c r="BA378" s="29"/>
      <c r="BB378" s="29"/>
    </row>
    <row r="379" spans="5:54" x14ac:dyDescent="0.3">
      <c r="E379" s="11"/>
      <c r="AH379" s="35"/>
      <c r="AI379" s="31"/>
      <c r="AJ379" s="32"/>
      <c r="AK379" s="32"/>
      <c r="AL379" s="28"/>
      <c r="AM379" s="28"/>
      <c r="AN379" s="28"/>
      <c r="AO379" s="28"/>
      <c r="AP379" s="28"/>
      <c r="AQ379" s="28"/>
      <c r="AR379" s="28"/>
      <c r="AS379" s="8"/>
      <c r="AT379" s="8"/>
      <c r="AU379" s="8"/>
      <c r="AV379" s="8"/>
      <c r="AW379" s="30"/>
      <c r="AX379" s="45"/>
      <c r="AY379" s="29"/>
      <c r="AZ379" s="29"/>
      <c r="BA379" s="29"/>
      <c r="BB379" s="29"/>
    </row>
    <row r="380" spans="5:54" x14ac:dyDescent="0.3">
      <c r="E380" s="11"/>
      <c r="AH380" s="35"/>
      <c r="AI380" s="31"/>
      <c r="AJ380" s="32"/>
      <c r="AK380" s="32"/>
      <c r="AL380" s="28"/>
      <c r="AM380" s="28"/>
      <c r="AN380" s="28"/>
      <c r="AO380" s="28"/>
      <c r="AP380" s="28"/>
      <c r="AQ380" s="28"/>
      <c r="AR380" s="28"/>
      <c r="AS380" s="8"/>
      <c r="AT380" s="8"/>
      <c r="AU380" s="8"/>
      <c r="AV380" s="8"/>
      <c r="AW380" s="30"/>
      <c r="AX380" s="45"/>
      <c r="AY380" s="29"/>
      <c r="AZ380" s="29"/>
      <c r="BA380" s="29"/>
      <c r="BB380" s="29"/>
    </row>
    <row r="381" spans="5:54" x14ac:dyDescent="0.3">
      <c r="E381" s="11"/>
      <c r="AH381" s="35"/>
      <c r="AI381" s="31"/>
      <c r="AJ381" s="32"/>
      <c r="AK381" s="32"/>
      <c r="AL381" s="28"/>
      <c r="AM381" s="28"/>
      <c r="AN381" s="28"/>
      <c r="AO381" s="28"/>
      <c r="AP381" s="28"/>
      <c r="AQ381" s="28"/>
      <c r="AR381" s="28"/>
      <c r="AS381" s="8"/>
      <c r="AT381" s="8"/>
      <c r="AU381" s="8"/>
      <c r="AV381" s="8"/>
      <c r="AW381" s="30"/>
      <c r="AX381" s="45"/>
      <c r="AY381" s="29"/>
      <c r="AZ381" s="29"/>
      <c r="BA381" s="29"/>
      <c r="BB381" s="29"/>
    </row>
    <row r="382" spans="5:54" x14ac:dyDescent="0.3">
      <c r="E382" s="11"/>
      <c r="AH382" s="35"/>
      <c r="AI382" s="31"/>
      <c r="AJ382" s="32"/>
      <c r="AK382" s="32"/>
      <c r="AL382" s="28"/>
      <c r="AM382" s="28"/>
      <c r="AN382" s="28"/>
      <c r="AO382" s="28"/>
      <c r="AP382" s="28"/>
      <c r="AQ382" s="28"/>
      <c r="AR382" s="28"/>
      <c r="AS382" s="8"/>
      <c r="AT382" s="8"/>
      <c r="AU382" s="8"/>
      <c r="AV382" s="8"/>
      <c r="AW382" s="30"/>
      <c r="AX382" s="45"/>
      <c r="AY382" s="29"/>
      <c r="AZ382" s="29"/>
      <c r="BA382" s="29"/>
      <c r="BB382" s="29"/>
    </row>
    <row r="383" spans="5:54" x14ac:dyDescent="0.3">
      <c r="E383" s="11"/>
      <c r="AH383" s="35"/>
      <c r="AI383" s="31"/>
      <c r="AJ383" s="32"/>
      <c r="AK383" s="32"/>
      <c r="AL383" s="28"/>
      <c r="AM383" s="28"/>
      <c r="AN383" s="28"/>
      <c r="AO383" s="28"/>
      <c r="AP383" s="28"/>
      <c r="AQ383" s="28"/>
      <c r="AR383" s="28"/>
      <c r="AS383" s="8"/>
      <c r="AT383" s="8"/>
      <c r="AU383" s="8"/>
      <c r="AV383" s="8"/>
      <c r="AW383" s="30"/>
      <c r="AX383" s="45"/>
      <c r="AY383" s="29"/>
      <c r="AZ383" s="29"/>
      <c r="BA383" s="29"/>
      <c r="BB383" s="29"/>
    </row>
    <row r="384" spans="5:54" x14ac:dyDescent="0.3">
      <c r="E384" s="11"/>
      <c r="AH384" s="35"/>
      <c r="AI384" s="31"/>
      <c r="AJ384" s="32"/>
      <c r="AK384" s="32"/>
      <c r="AL384" s="28"/>
      <c r="AM384" s="28"/>
      <c r="AN384" s="28"/>
      <c r="AO384" s="28"/>
      <c r="AP384" s="28"/>
      <c r="AQ384" s="28"/>
      <c r="AR384" s="28"/>
      <c r="AS384" s="8"/>
      <c r="AT384" s="8"/>
      <c r="AU384" s="8"/>
      <c r="AV384" s="8"/>
      <c r="AW384" s="30"/>
      <c r="AX384" s="45"/>
      <c r="AY384" s="29"/>
      <c r="AZ384" s="29"/>
      <c r="BA384" s="29"/>
      <c r="BB384" s="29"/>
    </row>
    <row r="385" spans="5:54" x14ac:dyDescent="0.3">
      <c r="E385" s="11"/>
      <c r="AH385" s="35"/>
      <c r="AI385" s="31"/>
      <c r="AJ385" s="32"/>
      <c r="AK385" s="32"/>
      <c r="AL385" s="28"/>
      <c r="AM385" s="28"/>
      <c r="AN385" s="28"/>
      <c r="AO385" s="28"/>
      <c r="AP385" s="28"/>
      <c r="AQ385" s="28"/>
      <c r="AR385" s="28"/>
      <c r="AS385" s="8"/>
      <c r="AT385" s="8"/>
      <c r="AU385" s="8"/>
      <c r="AV385" s="8"/>
      <c r="AW385" s="30"/>
      <c r="AX385" s="45"/>
      <c r="AY385" s="29"/>
      <c r="AZ385" s="29"/>
      <c r="BA385" s="29"/>
      <c r="BB385" s="29"/>
    </row>
    <row r="386" spans="5:54" x14ac:dyDescent="0.3">
      <c r="E386" s="11"/>
      <c r="AH386" s="35"/>
      <c r="AI386" s="31"/>
      <c r="AJ386" s="32"/>
      <c r="AK386" s="32"/>
      <c r="AL386" s="28"/>
      <c r="AM386" s="28"/>
      <c r="AN386" s="28"/>
      <c r="AO386" s="28"/>
      <c r="AP386" s="28"/>
      <c r="AQ386" s="28"/>
      <c r="AR386" s="28"/>
      <c r="AS386" s="8"/>
      <c r="AT386" s="8"/>
      <c r="AU386" s="8"/>
      <c r="AV386" s="8"/>
      <c r="AW386" s="30"/>
      <c r="AX386" s="45"/>
      <c r="AY386" s="29"/>
      <c r="AZ386" s="29"/>
      <c r="BA386" s="29"/>
      <c r="BB386" s="29"/>
    </row>
    <row r="387" spans="5:54" x14ac:dyDescent="0.3">
      <c r="E387" s="11"/>
      <c r="AH387" s="35"/>
      <c r="AI387" s="31"/>
      <c r="AJ387" s="32"/>
      <c r="AK387" s="32"/>
      <c r="AL387" s="28"/>
      <c r="AM387" s="28"/>
      <c r="AN387" s="28"/>
      <c r="AO387" s="28"/>
      <c r="AP387" s="28"/>
      <c r="AQ387" s="28"/>
      <c r="AR387" s="28"/>
      <c r="AS387" s="8"/>
      <c r="AT387" s="8"/>
      <c r="AU387" s="8"/>
      <c r="AV387" s="8"/>
      <c r="AW387" s="30"/>
      <c r="AX387" s="45"/>
      <c r="AY387" s="29"/>
      <c r="AZ387" s="29"/>
      <c r="BA387" s="29"/>
      <c r="BB387" s="29"/>
    </row>
    <row r="388" spans="5:54" x14ac:dyDescent="0.3">
      <c r="E388" s="11"/>
      <c r="AH388" s="35"/>
      <c r="AI388" s="31"/>
      <c r="AJ388" s="32"/>
      <c r="AK388" s="32"/>
      <c r="AL388" s="28"/>
      <c r="AM388" s="28"/>
      <c r="AN388" s="28"/>
      <c r="AO388" s="28"/>
      <c r="AP388" s="28"/>
      <c r="AQ388" s="28"/>
      <c r="AR388" s="28"/>
      <c r="AS388" s="8"/>
      <c r="AT388" s="8"/>
      <c r="AU388" s="8"/>
      <c r="AV388" s="8"/>
      <c r="AW388" s="30"/>
      <c r="AX388" s="45"/>
      <c r="AY388" s="29"/>
      <c r="AZ388" s="29"/>
      <c r="BA388" s="29"/>
      <c r="BB388" s="29"/>
    </row>
    <row r="389" spans="5:54" x14ac:dyDescent="0.3">
      <c r="E389" s="11"/>
      <c r="AH389" s="35"/>
      <c r="AI389" s="31"/>
      <c r="AJ389" s="32"/>
      <c r="AK389" s="32"/>
      <c r="AL389" s="28"/>
      <c r="AM389" s="28"/>
      <c r="AN389" s="28"/>
      <c r="AO389" s="28"/>
      <c r="AP389" s="28"/>
      <c r="AQ389" s="28"/>
      <c r="AR389" s="28"/>
      <c r="AS389" s="8"/>
      <c r="AT389" s="8"/>
      <c r="AU389" s="8"/>
      <c r="AV389" s="8"/>
      <c r="AW389" s="30"/>
      <c r="AX389" s="45"/>
      <c r="AY389" s="29"/>
      <c r="AZ389" s="29"/>
      <c r="BA389" s="29"/>
      <c r="BB389" s="29"/>
    </row>
    <row r="390" spans="5:54" x14ac:dyDescent="0.3">
      <c r="E390" s="11"/>
      <c r="AH390" s="35"/>
      <c r="AI390" s="31"/>
      <c r="AJ390" s="32"/>
      <c r="AK390" s="32"/>
      <c r="AL390" s="28"/>
      <c r="AM390" s="28"/>
      <c r="AN390" s="28"/>
      <c r="AO390" s="28"/>
      <c r="AP390" s="28"/>
      <c r="AQ390" s="28"/>
      <c r="AR390" s="28"/>
      <c r="AS390" s="8"/>
      <c r="AT390" s="8"/>
      <c r="AU390" s="8"/>
      <c r="AV390" s="8"/>
      <c r="AW390" s="30"/>
      <c r="AX390" s="45"/>
      <c r="AY390" s="29"/>
      <c r="AZ390" s="29"/>
      <c r="BA390" s="29"/>
      <c r="BB390" s="29"/>
    </row>
    <row r="391" spans="5:54" x14ac:dyDescent="0.3">
      <c r="E391" s="11"/>
      <c r="AH391" s="35"/>
      <c r="AI391" s="31"/>
      <c r="AJ391" s="32"/>
      <c r="AK391" s="32"/>
      <c r="AL391" s="28"/>
      <c r="AM391" s="28"/>
      <c r="AN391" s="28"/>
      <c r="AO391" s="28"/>
      <c r="AP391" s="28"/>
      <c r="AQ391" s="28"/>
      <c r="AR391" s="28"/>
      <c r="AS391" s="8"/>
      <c r="AT391" s="8"/>
      <c r="AU391" s="8"/>
      <c r="AV391" s="8"/>
      <c r="AW391" s="30"/>
      <c r="AX391" s="45"/>
      <c r="AY391" s="29"/>
      <c r="AZ391" s="29"/>
      <c r="BA391" s="29"/>
      <c r="BB391" s="29"/>
    </row>
    <row r="392" spans="5:54" x14ac:dyDescent="0.3">
      <c r="E392" s="11"/>
    </row>
    <row r="393" spans="5:54" x14ac:dyDescent="0.3">
      <c r="E393" s="11"/>
    </row>
    <row r="394" spans="5:54" x14ac:dyDescent="0.3">
      <c r="E394" s="11"/>
    </row>
    <row r="395" spans="5:54" x14ac:dyDescent="0.3">
      <c r="E395" s="11"/>
    </row>
    <row r="396" spans="5:54" x14ac:dyDescent="0.3">
      <c r="E396" s="11"/>
    </row>
    <row r="397" spans="5:54" x14ac:dyDescent="0.3">
      <c r="E397" s="11"/>
    </row>
    <row r="398" spans="5:54" x14ac:dyDescent="0.3">
      <c r="E398" s="11"/>
    </row>
    <row r="399" spans="5:54" x14ac:dyDescent="0.3">
      <c r="E399" s="11"/>
    </row>
    <row r="400" spans="5:54" x14ac:dyDescent="0.3">
      <c r="E400" s="11"/>
    </row>
    <row r="401" spans="5:5" x14ac:dyDescent="0.3">
      <c r="E401" s="11"/>
    </row>
    <row r="402" spans="5:5" x14ac:dyDescent="0.3">
      <c r="E402" s="11"/>
    </row>
    <row r="403" spans="5:5" x14ac:dyDescent="0.3">
      <c r="E403" s="11"/>
    </row>
    <row r="404" spans="5:5" x14ac:dyDescent="0.3">
      <c r="E404" s="11"/>
    </row>
    <row r="405" spans="5:5" x14ac:dyDescent="0.3">
      <c r="E405" s="11"/>
    </row>
    <row r="406" spans="5:5" x14ac:dyDescent="0.3">
      <c r="E406" s="11"/>
    </row>
    <row r="407" spans="5:5" x14ac:dyDescent="0.3">
      <c r="E407" s="11"/>
    </row>
    <row r="408" spans="5:5" x14ac:dyDescent="0.3">
      <c r="E408" s="11"/>
    </row>
    <row r="409" spans="5:5" x14ac:dyDescent="0.3">
      <c r="E409" s="11"/>
    </row>
    <row r="410" spans="5:5" x14ac:dyDescent="0.3">
      <c r="E410" s="11"/>
    </row>
    <row r="411" spans="5:5" x14ac:dyDescent="0.3">
      <c r="E411" s="11"/>
    </row>
    <row r="412" spans="5:5" x14ac:dyDescent="0.3">
      <c r="E412" s="11"/>
    </row>
    <row r="413" spans="5:5" x14ac:dyDescent="0.3">
      <c r="E413" s="11"/>
    </row>
    <row r="414" spans="5:5" x14ac:dyDescent="0.3">
      <c r="E414" s="11"/>
    </row>
    <row r="415" spans="5:5" x14ac:dyDescent="0.3">
      <c r="E415" s="11"/>
    </row>
    <row r="416" spans="5:5" x14ac:dyDescent="0.3">
      <c r="E416" s="11"/>
    </row>
    <row r="417" spans="5:5" x14ac:dyDescent="0.3">
      <c r="E417" s="11"/>
    </row>
    <row r="418" spans="5:5" x14ac:dyDescent="0.3">
      <c r="E418" s="11"/>
    </row>
    <row r="419" spans="5:5" x14ac:dyDescent="0.3">
      <c r="E419" s="11"/>
    </row>
    <row r="420" spans="5:5" x14ac:dyDescent="0.3">
      <c r="E420" s="11"/>
    </row>
    <row r="421" spans="5:5" x14ac:dyDescent="0.3">
      <c r="E421" s="11"/>
    </row>
    <row r="422" spans="5:5" x14ac:dyDescent="0.3">
      <c r="E422" s="11"/>
    </row>
    <row r="423" spans="5:5" x14ac:dyDescent="0.3">
      <c r="E423" s="11"/>
    </row>
    <row r="424" spans="5:5" x14ac:dyDescent="0.3">
      <c r="E424" s="11"/>
    </row>
    <row r="425" spans="5:5" x14ac:dyDescent="0.3">
      <c r="E425" s="11"/>
    </row>
    <row r="426" spans="5:5" x14ac:dyDescent="0.3">
      <c r="E426" s="11"/>
    </row>
    <row r="427" spans="5:5" x14ac:dyDescent="0.3">
      <c r="E427" s="11"/>
    </row>
    <row r="428" spans="5:5" x14ac:dyDescent="0.3">
      <c r="E428" s="11"/>
    </row>
    <row r="429" spans="5:5" x14ac:dyDescent="0.3">
      <c r="E429" s="11"/>
    </row>
    <row r="430" spans="5:5" x14ac:dyDescent="0.3">
      <c r="E430" s="11"/>
    </row>
    <row r="431" spans="5:5" x14ac:dyDescent="0.3">
      <c r="E431" s="11"/>
    </row>
    <row r="432" spans="5:5" x14ac:dyDescent="0.3">
      <c r="E432" s="11"/>
    </row>
    <row r="433" spans="5:5" x14ac:dyDescent="0.3">
      <c r="E433" s="11"/>
    </row>
    <row r="434" spans="5:5" x14ac:dyDescent="0.3">
      <c r="E434" s="11"/>
    </row>
    <row r="435" spans="5:5" x14ac:dyDescent="0.3">
      <c r="E435" s="11"/>
    </row>
    <row r="436" spans="5:5" x14ac:dyDescent="0.3">
      <c r="E436" s="11"/>
    </row>
    <row r="437" spans="5:5" x14ac:dyDescent="0.3">
      <c r="E437" s="11"/>
    </row>
    <row r="438" spans="5:5" x14ac:dyDescent="0.3">
      <c r="E438" s="11"/>
    </row>
    <row r="439" spans="5:5" x14ac:dyDescent="0.3">
      <c r="E439" s="11"/>
    </row>
    <row r="440" spans="5:5" x14ac:dyDescent="0.3">
      <c r="E440" s="11"/>
    </row>
    <row r="441" spans="5:5" x14ac:dyDescent="0.3">
      <c r="E441" s="11"/>
    </row>
    <row r="442" spans="5:5" x14ac:dyDescent="0.3">
      <c r="E442" s="11"/>
    </row>
    <row r="443" spans="5:5" x14ac:dyDescent="0.3">
      <c r="E443" s="11"/>
    </row>
    <row r="444" spans="5:5" x14ac:dyDescent="0.3">
      <c r="E444" s="11"/>
    </row>
    <row r="445" spans="5:5" x14ac:dyDescent="0.3">
      <c r="E445" s="11"/>
    </row>
    <row r="446" spans="5:5" x14ac:dyDescent="0.3">
      <c r="E446" s="11"/>
    </row>
    <row r="447" spans="5:5" x14ac:dyDescent="0.3">
      <c r="E447" s="11"/>
    </row>
    <row r="448" spans="5:5" x14ac:dyDescent="0.3">
      <c r="E448" s="11"/>
    </row>
    <row r="449" spans="5:5" x14ac:dyDescent="0.3">
      <c r="E449" s="11"/>
    </row>
    <row r="450" spans="5:5" x14ac:dyDescent="0.3">
      <c r="E450" s="11"/>
    </row>
    <row r="451" spans="5:5" x14ac:dyDescent="0.3">
      <c r="E451" s="11"/>
    </row>
    <row r="452" spans="5:5" x14ac:dyDescent="0.3">
      <c r="E452" s="11"/>
    </row>
    <row r="453" spans="5:5" x14ac:dyDescent="0.3">
      <c r="E453" s="11"/>
    </row>
    <row r="454" spans="5:5" x14ac:dyDescent="0.3">
      <c r="E454" s="11"/>
    </row>
    <row r="455" spans="5:5" x14ac:dyDescent="0.3">
      <c r="E455" s="11"/>
    </row>
    <row r="456" spans="5:5" x14ac:dyDescent="0.3">
      <c r="E456" s="11"/>
    </row>
    <row r="457" spans="5:5" x14ac:dyDescent="0.3">
      <c r="E457" s="11"/>
    </row>
    <row r="458" spans="5:5" x14ac:dyDescent="0.3">
      <c r="E458" s="11"/>
    </row>
    <row r="459" spans="5:5" x14ac:dyDescent="0.3">
      <c r="E459" s="11"/>
    </row>
    <row r="460" spans="5:5" x14ac:dyDescent="0.3">
      <c r="E460" s="11"/>
    </row>
    <row r="461" spans="5:5" x14ac:dyDescent="0.3">
      <c r="E461" s="11"/>
    </row>
    <row r="462" spans="5:5" x14ac:dyDescent="0.3">
      <c r="E462" s="11"/>
    </row>
    <row r="463" spans="5:5" x14ac:dyDescent="0.3">
      <c r="E463" s="11"/>
    </row>
    <row r="464" spans="5:5" x14ac:dyDescent="0.3">
      <c r="E464" s="11"/>
    </row>
    <row r="465" spans="5:5" x14ac:dyDescent="0.3">
      <c r="E465" s="11"/>
    </row>
    <row r="466" spans="5:5" x14ac:dyDescent="0.3">
      <c r="E466" s="11"/>
    </row>
    <row r="467" spans="5:5" x14ac:dyDescent="0.3">
      <c r="E467" s="11"/>
    </row>
    <row r="468" spans="5:5" x14ac:dyDescent="0.3">
      <c r="E468" s="11"/>
    </row>
    <row r="469" spans="5:5" x14ac:dyDescent="0.3">
      <c r="E469" s="11"/>
    </row>
    <row r="470" spans="5:5" x14ac:dyDescent="0.3">
      <c r="E470" s="11"/>
    </row>
    <row r="471" spans="5:5" x14ac:dyDescent="0.3">
      <c r="E471" s="11"/>
    </row>
    <row r="472" spans="5:5" x14ac:dyDescent="0.3">
      <c r="E472" s="11"/>
    </row>
    <row r="473" spans="5:5" x14ac:dyDescent="0.3">
      <c r="E473" s="11"/>
    </row>
    <row r="474" spans="5:5" x14ac:dyDescent="0.3">
      <c r="E474" s="11"/>
    </row>
    <row r="475" spans="5:5" x14ac:dyDescent="0.3">
      <c r="E475" s="11"/>
    </row>
    <row r="476" spans="5:5" x14ac:dyDescent="0.3">
      <c r="E476" s="11"/>
    </row>
    <row r="477" spans="5:5" x14ac:dyDescent="0.3">
      <c r="E477" s="11"/>
    </row>
    <row r="478" spans="5:5" x14ac:dyDescent="0.3">
      <c r="E478" s="11"/>
    </row>
    <row r="479" spans="5:5" x14ac:dyDescent="0.3">
      <c r="E479" s="11"/>
    </row>
    <row r="480" spans="5:5" x14ac:dyDescent="0.3">
      <c r="E480" s="11"/>
    </row>
    <row r="481" spans="5:5" x14ac:dyDescent="0.3">
      <c r="E481" s="11"/>
    </row>
    <row r="482" spans="5:5" x14ac:dyDescent="0.3">
      <c r="E482" s="11"/>
    </row>
    <row r="483" spans="5:5" x14ac:dyDescent="0.3">
      <c r="E483" s="11"/>
    </row>
    <row r="484" spans="5:5" x14ac:dyDescent="0.3">
      <c r="E484" s="11"/>
    </row>
    <row r="485" spans="5:5" x14ac:dyDescent="0.3">
      <c r="E485" s="11"/>
    </row>
    <row r="486" spans="5:5" x14ac:dyDescent="0.3">
      <c r="E486" s="11"/>
    </row>
    <row r="487" spans="5:5" x14ac:dyDescent="0.3">
      <c r="E487" s="11"/>
    </row>
    <row r="488" spans="5:5" x14ac:dyDescent="0.3">
      <c r="E488" s="11"/>
    </row>
    <row r="489" spans="5:5" x14ac:dyDescent="0.3">
      <c r="E489" s="11"/>
    </row>
    <row r="490" spans="5:5" x14ac:dyDescent="0.3">
      <c r="E490" s="11"/>
    </row>
    <row r="491" spans="5:5" x14ac:dyDescent="0.3">
      <c r="E491" s="11"/>
    </row>
    <row r="492" spans="5:5" x14ac:dyDescent="0.3">
      <c r="E492" s="11"/>
    </row>
    <row r="493" spans="5:5" x14ac:dyDescent="0.3">
      <c r="E493" s="11"/>
    </row>
    <row r="494" spans="5:5" x14ac:dyDescent="0.3">
      <c r="E494" s="11"/>
    </row>
    <row r="495" spans="5:5" x14ac:dyDescent="0.3">
      <c r="E495" s="11"/>
    </row>
    <row r="496" spans="5:5" x14ac:dyDescent="0.3">
      <c r="E496" s="11"/>
    </row>
    <row r="497" spans="5:5" x14ac:dyDescent="0.3">
      <c r="E497" s="11"/>
    </row>
    <row r="498" spans="5:5" x14ac:dyDescent="0.3">
      <c r="E498" s="11"/>
    </row>
    <row r="499" spans="5:5" x14ac:dyDescent="0.3">
      <c r="E499" s="11"/>
    </row>
    <row r="500" spans="5:5" x14ac:dyDescent="0.3">
      <c r="E500" s="11"/>
    </row>
    <row r="501" spans="5:5" x14ac:dyDescent="0.3">
      <c r="E501" s="11"/>
    </row>
  </sheetData>
  <autoFilter ref="BT2:BU102" xr:uid="{D0104FA8-D2E0-4CE5-9754-58A30BAF62E3}">
    <sortState xmlns:xlrd2="http://schemas.microsoft.com/office/spreadsheetml/2017/richdata2" ref="BT3:BU102">
      <sortCondition ref="BU2:BU102"/>
    </sortState>
  </autoFilter>
  <mergeCells count="8">
    <mergeCell ref="AH1:AJ1"/>
    <mergeCell ref="B1:K1"/>
    <mergeCell ref="AA30:AA31"/>
    <mergeCell ref="AB30:AB31"/>
    <mergeCell ref="AC30:AC31"/>
    <mergeCell ref="AD30:AD31"/>
    <mergeCell ref="AE16:AF16"/>
    <mergeCell ref="V1:X1"/>
  </mergeCells>
  <conditionalFormatting sqref="O3:P340">
    <cfRule type="cellIs" dxfId="3" priority="3" operator="equal">
      <formula>1</formula>
    </cfRule>
  </conditionalFormatting>
  <conditionalFormatting sqref="AL3:AL302">
    <cfRule type="duplicateValues" dxfId="2" priority="2"/>
  </conditionalFormatting>
  <conditionalFormatting sqref="AL3:AO296">
    <cfRule type="duplicateValues" dxfId="1" priority="1"/>
  </conditionalFormatting>
  <conditionalFormatting sqref="AY3:BB391">
    <cfRule type="cellIs" dxfId="0" priority="5" operator="equal">
      <formula>1</formula>
    </cfRule>
  </conditionalFormatting>
  <pageMargins left="0.7" right="0.7" top="0.75" bottom="0.75" header="0.3" footer="0.3"/>
  <pageSetup orientation="portrait" r:id="rId1"/>
  <customProperties>
    <customPr name="REFI_OFFICE_FUNCTION_CLICK_THROUGH_WORKSHEET_NAME" r:id="rId2"/>
    <customPr name="REFI_OFFICE_FUNCTION_DATA" r:id="rId3"/>
  </customProperties>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Vinesh_Portfolio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Wanchoo</dc:creator>
  <cp:lastModifiedBy>Vedant Wanchoo</cp:lastModifiedBy>
  <dcterms:created xsi:type="dcterms:W3CDTF">2024-11-12T13:41:01Z</dcterms:created>
  <dcterms:modified xsi:type="dcterms:W3CDTF">2025-02-26T13:03:17Z</dcterms:modified>
</cp:coreProperties>
</file>