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 by EBITDA" sheetId="1" r:id="rId4"/>
    <sheet state="visible" name="8 Point System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gvOJ78oSu94+U4beub0iMLSUK2Vg=="/>
    </ext>
  </extLst>
</workbook>
</file>

<file path=xl/sharedStrings.xml><?xml version="1.0" encoding="utf-8"?>
<sst xmlns="http://schemas.openxmlformats.org/spreadsheetml/2006/main" count="76" uniqueCount="64">
  <si>
    <t>8 Point System</t>
  </si>
  <si>
    <t>Formula</t>
  </si>
  <si>
    <t>EV/ EBITDA Stock Valuation model</t>
  </si>
  <si>
    <t>Sr. No.</t>
  </si>
  <si>
    <t>Name of the Parameter</t>
  </si>
  <si>
    <t>A</t>
  </si>
  <si>
    <t>This ratio tells investors how many times EBITDA they have to pay, were they to acquire the entire business.</t>
  </si>
  <si>
    <t xml:space="preserve">Ratio or Parameter </t>
  </si>
  <si>
    <t>How to calculate?</t>
  </si>
  <si>
    <t>What do we achive?</t>
  </si>
  <si>
    <t>Interpretation</t>
  </si>
  <si>
    <t>Reliance Industries</t>
  </si>
  <si>
    <t>Liquidity Ratio</t>
  </si>
  <si>
    <r>
      <rPr>
        <rFont val="Calibri"/>
        <b/>
        <sz val="11.0"/>
      </rPr>
      <t>Current ratio</t>
    </r>
    <r>
      <rPr>
        <rFont val="Calibri"/>
        <sz val="11.0"/>
      </rPr>
      <t xml:space="preserve"> = Current Assets/ Current Liabilities</t>
    </r>
  </si>
  <si>
    <t>Enterprise Value (Cr.)</t>
  </si>
  <si>
    <t>Understanding the liquidity position of the company</t>
  </si>
  <si>
    <t>Ideal: 2:1</t>
  </si>
  <si>
    <t>D8*E8*F8*G8</t>
  </si>
  <si>
    <t>Solvency ratio</t>
  </si>
  <si>
    <r>
      <rPr>
        <rFont val="Calibri"/>
        <b/>
        <sz val="11.0"/>
      </rPr>
      <t>Debt To Equity Ratio</t>
    </r>
    <r>
      <rPr>
        <rFont val="Calibri"/>
        <sz val="11.0"/>
      </rPr>
      <t xml:space="preserve"> = Total Long Term Debt/ Shareholders' Funds</t>
    </r>
  </si>
  <si>
    <t>Analysing the Capital structure</t>
  </si>
  <si>
    <t>Max: 2:1</t>
  </si>
  <si>
    <t>Profitability Ratio</t>
  </si>
  <si>
    <r>
      <rPr>
        <rFont val="Calibri"/>
        <b/>
        <sz val="11.0"/>
      </rPr>
      <t>Return on Capital Employed (ROCE)</t>
    </r>
    <r>
      <rPr>
        <rFont val="Calibri"/>
        <sz val="11.0"/>
      </rPr>
      <t xml:space="preserve"> = EBIT/ Total Capital Employed</t>
    </r>
  </si>
  <si>
    <t>Measures profitability/ Return on money invested</t>
  </si>
  <si>
    <t>Higher the better (Atleast 10%)</t>
  </si>
  <si>
    <t>Activity Ratio</t>
  </si>
  <si>
    <r>
      <rPr>
        <rFont val="Calibri"/>
        <b/>
        <sz val="11.0"/>
      </rPr>
      <t>Inventory Turnover Ratio</t>
    </r>
    <r>
      <rPr>
        <rFont val="Calibri"/>
        <sz val="11.0"/>
      </rPr>
      <t xml:space="preserve"> = COGS/ Average Inventory</t>
    </r>
  </si>
  <si>
    <t>EBITDA</t>
  </si>
  <si>
    <t>D9*E9*F9*G9</t>
  </si>
  <si>
    <t>Measures Operational Efficiency</t>
  </si>
  <si>
    <t>Higher the better (It determines the number of times inventory was replenished)</t>
  </si>
  <si>
    <t>Valuation Ratio</t>
  </si>
  <si>
    <r>
      <rPr>
        <rFont val="Calibri"/>
        <b/>
        <sz val="11.0"/>
      </rPr>
      <t>PE Ratio</t>
    </r>
    <r>
      <rPr>
        <rFont val="Calibri"/>
        <sz val="11.0"/>
      </rPr>
      <t xml:space="preserve"> = Market Price per share/ Earnings per share</t>
    </r>
  </si>
  <si>
    <t>How costly the share is</t>
  </si>
  <si>
    <t>Higher = Costly; Lower = Cheap</t>
  </si>
  <si>
    <t>B</t>
  </si>
  <si>
    <t>Other Points</t>
  </si>
  <si>
    <t>B10*C10*D10*E10*F10*G10</t>
  </si>
  <si>
    <t>H8+H9-H10</t>
  </si>
  <si>
    <t>square root formula</t>
  </si>
  <si>
    <t>Reserves to Share Capital OR 5 yrs Trend in Reserves</t>
  </si>
  <si>
    <t>Increasing trend in Reserves = Good. Higher the ratio = Better chances of getting bonus shares/ dividend</t>
  </si>
  <si>
    <t>EV/EBITDA (X)</t>
  </si>
  <si>
    <t>Free Cash Flows</t>
  </si>
  <si>
    <t>Cash flow from Operations - Purchase of Fixed Assets + Sale of Fixed Assets</t>
  </si>
  <si>
    <t>Measures free cash available with the company for operations of the business</t>
  </si>
  <si>
    <t>Higher the better</t>
  </si>
  <si>
    <t>SQRT(H11)</t>
  </si>
  <si>
    <t>Shareholding Pattern - Pledged shares</t>
  </si>
  <si>
    <t>Understand the number of shares pledged by the promoter</t>
  </si>
  <si>
    <t>More number of pledged shares = bad sign. Should be ideally 0</t>
  </si>
  <si>
    <t>Price to BV Ratio = Price per share/ Book Value per share</t>
  </si>
  <si>
    <t>H12*100</t>
  </si>
  <si>
    <t>Growth in EBITDA</t>
  </si>
  <si>
    <t>Average 3 yrs growth in EBITDA</t>
  </si>
  <si>
    <t>Expected EBITDA</t>
  </si>
  <si>
    <t>Forecasted EV</t>
  </si>
  <si>
    <t>Shares Outstanding</t>
  </si>
  <si>
    <t>Target price (Expected Price)</t>
  </si>
  <si>
    <t>Entry Price (Buying Price)</t>
  </si>
  <si>
    <t>Larsen &amp; toubro</t>
  </si>
  <si>
    <t>Target price</t>
  </si>
  <si>
    <t>Entry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</si>
</sst>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17">
    <font>
      <sz val="11.0"/>
      <color theme="1"/>
      <name val="Arial"/>
    </font>
    <font>
      <b/>
      <sz val="11.0"/>
      <color theme="1"/>
      <name val="Calibri"/>
    </font>
    <font>
      <b/>
      <sz val="11.0"/>
      <color rgb="FF303030"/>
      <name val="Arial"/>
    </font>
    <font>
      <color theme="1"/>
      <name val="Calibri"/>
    </font>
    <font>
      <sz val="14.0"/>
      <color theme="1"/>
      <name val="Quattrocento Sans"/>
    </font>
    <font>
      <sz val="9.0"/>
      <color rgb="FF303030"/>
      <name val="Arial"/>
    </font>
    <font>
      <sz val="11.0"/>
      <color theme="1"/>
      <name val="Calibri"/>
    </font>
    <font>
      <sz val="10.0"/>
      <color rgb="FF303030"/>
      <name val="Arial"/>
    </font>
    <font>
      <b/>
      <sz val="11.0"/>
      <color theme="0"/>
      <name val="Calibri"/>
    </font>
    <font>
      <sz val="11.0"/>
      <color theme="0"/>
      <name val="Calibri"/>
    </font>
    <font>
      <sz val="10.0"/>
      <color theme="1"/>
      <name val="Calibri"/>
    </font>
    <font>
      <b/>
      <sz val="10.0"/>
      <color rgb="FF303030"/>
      <name val="Arial"/>
    </font>
    <font>
      <sz val="11.0"/>
      <color rgb="FF303030"/>
      <name val="Arial"/>
    </font>
    <font>
      <sz val="12.0"/>
      <color rgb="FF303030"/>
      <name val="Arial"/>
    </font>
    <font>
      <sz val="12.0"/>
      <color theme="1"/>
      <name val="Calibri"/>
    </font>
    <font>
      <b/>
      <sz val="9.0"/>
      <color rgb="FF303030"/>
      <name val="Arial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/>
    </xf>
    <xf borderId="0" fillId="0" fontId="3" numFmtId="0" xfId="0" applyFont="1"/>
    <xf borderId="1" fillId="2" fontId="1" numFmtId="0" xfId="0" applyAlignment="1" applyBorder="1" applyFill="1" applyFont="1">
      <alignment horizontal="center"/>
    </xf>
    <xf borderId="0" fillId="0" fontId="4" numFmtId="0" xfId="0" applyFont="1"/>
    <xf borderId="0" fillId="0" fontId="5" numFmtId="0" xfId="0" applyAlignment="1" applyFont="1">
      <alignment shrinkToFit="0" vertical="center" wrapText="1"/>
    </xf>
    <xf borderId="1" fillId="0" fontId="6" numFmtId="0" xfId="0" applyBorder="1" applyFont="1"/>
    <xf borderId="0" fillId="0" fontId="1" numFmtId="0" xfId="0" applyAlignment="1" applyFont="1">
      <alignment horizontal="center"/>
    </xf>
    <xf borderId="0" fillId="0" fontId="7" numFmtId="0" xfId="0" applyAlignment="1" applyFont="1">
      <alignment shrinkToFit="0" vertical="center" wrapText="1"/>
    </xf>
    <xf borderId="2" fillId="3" fontId="7" numFmtId="4" xfId="0" applyAlignment="1" applyBorder="1" applyFill="1" applyFont="1" applyNumberFormat="1">
      <alignment horizontal="right" shrinkToFit="0" vertical="center" wrapText="1"/>
    </xf>
    <xf borderId="1" fillId="0" fontId="8" numFmtId="0" xfId="0" applyBorder="1" applyFont="1"/>
    <xf borderId="0" fillId="0" fontId="7" numFmtId="0" xfId="0" applyAlignment="1" applyFont="1">
      <alignment horizontal="right" shrinkToFit="0" vertical="center" wrapText="1"/>
    </xf>
    <xf borderId="1" fillId="0" fontId="9" numFmtId="0" xfId="0" applyBorder="1" applyFont="1"/>
    <xf borderId="2" fillId="3" fontId="7" numFmtId="0" xfId="0" applyAlignment="1" applyBorder="1" applyFont="1">
      <alignment horizontal="right" shrinkToFit="0" vertical="center" wrapText="1"/>
    </xf>
    <xf borderId="0" fillId="0" fontId="10" numFmtId="0" xfId="0" applyFont="1"/>
    <xf borderId="0" fillId="0" fontId="10" numFmtId="164" xfId="0" applyFont="1" applyNumberFormat="1"/>
    <xf borderId="2" fillId="3" fontId="10" numFmtId="164" xfId="0" applyBorder="1" applyFont="1" applyNumberFormat="1"/>
    <xf borderId="0" fillId="0" fontId="11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13" numFmtId="4" xfId="0" applyAlignment="1" applyFont="1" applyNumberFormat="1">
      <alignment horizontal="right" shrinkToFit="0" vertical="center" wrapText="1"/>
    </xf>
    <xf borderId="0" fillId="0" fontId="13" numFmtId="0" xfId="0" applyAlignment="1" applyFont="1">
      <alignment horizontal="right" shrinkToFit="0" vertical="center" wrapText="1"/>
    </xf>
    <xf borderId="0" fillId="0" fontId="14" numFmtId="0" xfId="0" applyFont="1"/>
    <xf borderId="0" fillId="0" fontId="14" numFmtId="164" xfId="0" applyFont="1" applyNumberFormat="1"/>
    <xf borderId="0" fillId="0" fontId="15" numFmtId="0" xfId="0" applyAlignment="1" applyFont="1">
      <alignment shrinkToFit="0" vertical="center" wrapText="1"/>
    </xf>
    <xf borderId="0" fillId="0" fontId="16" numFmtId="0" xfId="0" applyFont="1"/>
    <xf borderId="0" fillId="0" fontId="12" numFmtId="4" xfId="0" applyAlignment="1" applyFont="1" applyNumberFormat="1">
      <alignment horizontal="right" shrinkToFit="0" vertical="center" wrapText="1"/>
    </xf>
    <xf borderId="0" fillId="0" fontId="12" numFmtId="0" xfId="0" applyAlignment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47625" cy="47625"/>
    <xdr:pic>
      <xdr:nvPicPr>
        <xdr:cNvPr descr="https://img-d05.moneycontrol.co.in/images/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76200" cy="76200"/>
    <xdr:pic>
      <xdr:nvPicPr>
        <xdr:cNvPr descr="https://img-d05.moneycontrol.co.in/images/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76200" cy="76200"/>
    <xdr:pic>
      <xdr:nvPicPr>
        <xdr:cNvPr descr="https://img-d05.moneycontrol.co.in/images/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76200" cy="76200"/>
    <xdr:pic>
      <xdr:nvPicPr>
        <xdr:cNvPr descr="https://img-d05.moneycontrol.co.in/images/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76200" cy="76200"/>
    <xdr:pic>
      <xdr:nvPicPr>
        <xdr:cNvPr descr="https://img-d05.moneycontrol.co.in/images/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38"/>
    <col customWidth="1" min="3" max="3" width="13.13"/>
    <col customWidth="1" min="4" max="6" width="13.0"/>
    <col customWidth="1" min="7" max="7" width="11.88"/>
    <col customWidth="1" min="8" max="26" width="7.63"/>
  </cols>
  <sheetData>
    <row r="1" ht="14.25" customHeight="1">
      <c r="B1" s="2" t="s">
        <v>2</v>
      </c>
    </row>
    <row r="2" ht="14.25" customHeight="1">
      <c r="B2" s="6" t="s">
        <v>6</v>
      </c>
      <c r="C2" s="7"/>
      <c r="D2" s="7"/>
      <c r="E2" s="7"/>
      <c r="F2" s="7"/>
      <c r="G2" s="7"/>
    </row>
    <row r="3" ht="14.25" customHeight="1">
      <c r="B3" s="6"/>
      <c r="C3" s="7"/>
      <c r="D3" s="7"/>
      <c r="E3" s="7"/>
      <c r="F3" s="7"/>
      <c r="G3" s="7"/>
    </row>
    <row r="4" ht="14.25" customHeight="1">
      <c r="B4" s="1" t="s">
        <v>11</v>
      </c>
      <c r="C4" s="9">
        <v>19.0</v>
      </c>
      <c r="D4" s="9">
        <v>18.0</v>
      </c>
      <c r="E4" s="9">
        <v>17.0</v>
      </c>
      <c r="F4" s="9">
        <v>16.0</v>
      </c>
      <c r="G4" s="9">
        <v>15.0</v>
      </c>
      <c r="I4" s="4">
        <v>100.0</v>
      </c>
      <c r="J4" s="4">
        <v>40.0</v>
      </c>
      <c r="K4" s="4">
        <v>10.0</v>
      </c>
    </row>
    <row r="5" ht="14.25" customHeight="1">
      <c r="A5" s="4">
        <v>1.0</v>
      </c>
      <c r="B5" s="10" t="s">
        <v>14</v>
      </c>
      <c r="C5" s="11">
        <v>1017464.4</v>
      </c>
      <c r="D5" s="11">
        <v>653357.8</v>
      </c>
      <c r="E5" s="11">
        <v>528420.92</v>
      </c>
      <c r="F5" s="11">
        <v>424125.0</v>
      </c>
      <c r="G5" s="11">
        <v>344442.92</v>
      </c>
    </row>
    <row r="6" ht="14.25" customHeight="1">
      <c r="A6" s="4">
        <v>2.0</v>
      </c>
      <c r="B6" s="10" t="s">
        <v>28</v>
      </c>
      <c r="C6" s="13">
        <f t="shared" ref="C6:G6" si="1">+C5/C7</f>
        <v>67695.56886</v>
      </c>
      <c r="D6" s="13">
        <f t="shared" si="1"/>
        <v>59941.08257</v>
      </c>
      <c r="E6" s="13">
        <f t="shared" si="1"/>
        <v>51958.79253</v>
      </c>
      <c r="F6" s="13">
        <f t="shared" si="1"/>
        <v>47708.09899</v>
      </c>
      <c r="G6" s="13">
        <f t="shared" si="1"/>
        <v>40332.89461</v>
      </c>
    </row>
    <row r="7" ht="14.25" customHeight="1">
      <c r="A7" s="4">
        <v>3.0</v>
      </c>
      <c r="B7" s="10" t="s">
        <v>43</v>
      </c>
      <c r="C7" s="15">
        <v>15.03</v>
      </c>
      <c r="D7" s="15">
        <v>10.9</v>
      </c>
      <c r="E7" s="15">
        <v>10.17</v>
      </c>
      <c r="F7" s="15">
        <v>8.89</v>
      </c>
      <c r="G7" s="15">
        <v>8.54</v>
      </c>
    </row>
    <row r="8" ht="14.25" customHeight="1">
      <c r="A8" s="4">
        <v>4.0</v>
      </c>
      <c r="B8" s="10" t="s">
        <v>54</v>
      </c>
      <c r="C8" s="16"/>
      <c r="D8" s="16">
        <f t="shared" ref="D8:G8" si="2">+(C6-D6)/D6*100</f>
        <v>12.93684725</v>
      </c>
      <c r="E8" s="16">
        <f t="shared" si="2"/>
        <v>15.36273199</v>
      </c>
      <c r="F8" s="16">
        <f t="shared" si="2"/>
        <v>8.909794416</v>
      </c>
      <c r="G8" s="16">
        <f t="shared" si="2"/>
        <v>18.28582958</v>
      </c>
    </row>
    <row r="9" ht="14.25" customHeight="1">
      <c r="A9" s="4">
        <v>5.0</v>
      </c>
      <c r="B9" s="10" t="s">
        <v>55</v>
      </c>
      <c r="C9" s="16"/>
      <c r="D9" s="16"/>
      <c r="E9" s="16"/>
      <c r="F9" s="16"/>
      <c r="G9" s="16">
        <f>AVERAGE(D8:F8)</f>
        <v>12.40312455</v>
      </c>
      <c r="J9" s="4">
        <v>100.0</v>
      </c>
      <c r="K9" s="4">
        <f>+J9+G9</f>
        <v>112.4031246</v>
      </c>
    </row>
    <row r="10" ht="14.25" customHeight="1">
      <c r="A10" s="4">
        <v>7.0</v>
      </c>
      <c r="B10" s="10" t="s">
        <v>56</v>
      </c>
      <c r="C10" s="16"/>
      <c r="D10" s="16"/>
      <c r="E10" s="16"/>
      <c r="F10" s="16"/>
      <c r="G10" s="17">
        <f>+K10</f>
        <v>76091.93459</v>
      </c>
      <c r="J10" s="4">
        <f>+C6</f>
        <v>67695.56886</v>
      </c>
      <c r="K10" s="4">
        <f>+J10*K9/J9</f>
        <v>76091.93459</v>
      </c>
    </row>
    <row r="11" ht="14.25" customHeight="1">
      <c r="A11" s="4">
        <v>8.0</v>
      </c>
      <c r="B11" s="10" t="s">
        <v>57</v>
      </c>
      <c r="C11" s="16"/>
      <c r="D11" s="16"/>
      <c r="E11" s="16"/>
      <c r="F11" s="17"/>
      <c r="G11" s="18">
        <f>(+G10*C7)-118098</f>
        <v>1025563.777</v>
      </c>
    </row>
    <row r="12" ht="14.25" customHeight="1">
      <c r="A12" s="4">
        <v>9.0</v>
      </c>
      <c r="B12" s="10" t="s">
        <v>58</v>
      </c>
      <c r="C12" s="16"/>
      <c r="D12" s="16"/>
      <c r="E12" s="16"/>
      <c r="F12" s="17"/>
      <c r="G12" s="18">
        <v>618.82</v>
      </c>
    </row>
    <row r="13" ht="14.25" customHeight="1">
      <c r="A13" s="4">
        <v>10.0</v>
      </c>
      <c r="B13" s="19" t="s">
        <v>59</v>
      </c>
      <c r="C13" s="16"/>
      <c r="D13" s="16"/>
      <c r="E13" s="16"/>
      <c r="F13" s="17"/>
      <c r="G13" s="17">
        <f>+G11/G12</f>
        <v>1657.28932</v>
      </c>
    </row>
    <row r="14" ht="14.25" customHeight="1">
      <c r="A14" s="4">
        <v>11.0</v>
      </c>
      <c r="B14" s="19" t="s">
        <v>60</v>
      </c>
      <c r="C14" s="16"/>
      <c r="D14" s="16"/>
      <c r="E14" s="16"/>
      <c r="F14" s="17">
        <f>G14*1.1</f>
        <v>1221.422229</v>
      </c>
      <c r="G14" s="17">
        <f>+G13*0.67</f>
        <v>1110.383844</v>
      </c>
    </row>
    <row r="15" ht="14.25" customHeight="1"/>
    <row r="16" ht="14.25" customHeight="1"/>
    <row r="17" ht="14.25" customHeight="1"/>
    <row r="18" ht="14.25" customHeight="1">
      <c r="B18" s="1" t="s">
        <v>61</v>
      </c>
    </row>
    <row r="19" ht="14.25" customHeight="1">
      <c r="C19" s="4">
        <v>19.0</v>
      </c>
      <c r="D19" s="4">
        <v>18.0</v>
      </c>
      <c r="E19" s="4">
        <v>17.0</v>
      </c>
      <c r="F19" s="4">
        <v>16.0</v>
      </c>
      <c r="G19" s="4">
        <v>15.0</v>
      </c>
    </row>
    <row r="20" ht="14.25" customHeight="1">
      <c r="A20" s="4">
        <v>1.0</v>
      </c>
      <c r="B20" s="20" t="s">
        <v>14</v>
      </c>
      <c r="C20" s="21">
        <v>196739.69</v>
      </c>
      <c r="D20" s="21">
        <v>189149.97</v>
      </c>
      <c r="E20" s="21">
        <v>153093.25</v>
      </c>
      <c r="F20" s="21">
        <v>123829.26</v>
      </c>
      <c r="G20" s="21">
        <v>170573.53</v>
      </c>
    </row>
    <row r="21" ht="14.25" customHeight="1">
      <c r="A21" s="4">
        <v>2.0</v>
      </c>
      <c r="B21" s="20" t="s">
        <v>28</v>
      </c>
      <c r="C21" s="22">
        <f t="shared" ref="C21:G21" si="3">+C20/C22</f>
        <v>11451.66997</v>
      </c>
      <c r="D21" s="22">
        <f t="shared" si="3"/>
        <v>9313.144756</v>
      </c>
      <c r="E21" s="22">
        <f t="shared" si="3"/>
        <v>8397.874383</v>
      </c>
      <c r="F21" s="22">
        <f t="shared" si="3"/>
        <v>8575.433518</v>
      </c>
      <c r="G21" s="22">
        <f t="shared" si="3"/>
        <v>8769.847301</v>
      </c>
    </row>
    <row r="22" ht="14.25" customHeight="1">
      <c r="A22" s="4">
        <v>3.0</v>
      </c>
      <c r="B22" s="20" t="s">
        <v>43</v>
      </c>
      <c r="C22" s="22">
        <v>17.18</v>
      </c>
      <c r="D22" s="22">
        <v>20.31</v>
      </c>
      <c r="E22" s="22">
        <v>18.23</v>
      </c>
      <c r="F22" s="22">
        <v>14.44</v>
      </c>
      <c r="G22" s="22">
        <v>19.45</v>
      </c>
    </row>
    <row r="23" ht="14.25" customHeight="1">
      <c r="A23" s="4">
        <v>4.0</v>
      </c>
      <c r="B23" s="20" t="s">
        <v>54</v>
      </c>
      <c r="C23" s="23"/>
      <c r="D23" s="23">
        <f t="shared" ref="D23:G23" si="4">+(C22-D22)/D22*100</f>
        <v>-15.41112752</v>
      </c>
      <c r="E23" s="23">
        <f t="shared" si="4"/>
        <v>11.40976413</v>
      </c>
      <c r="F23" s="23">
        <f t="shared" si="4"/>
        <v>26.2465374</v>
      </c>
      <c r="G23" s="23">
        <f t="shared" si="4"/>
        <v>-25.75835476</v>
      </c>
    </row>
    <row r="24" ht="14.25" customHeight="1">
      <c r="A24" s="4">
        <v>5.0</v>
      </c>
      <c r="B24" s="20" t="s">
        <v>55</v>
      </c>
      <c r="C24" s="23"/>
      <c r="D24" s="23"/>
      <c r="E24" s="23"/>
      <c r="F24" s="23"/>
      <c r="G24" s="23">
        <f>+AVERAGE(D23:F23)</f>
        <v>7.415057999</v>
      </c>
    </row>
    <row r="25" ht="14.25" customHeight="1">
      <c r="A25" s="4">
        <v>7.0</v>
      </c>
      <c r="B25" s="20" t="s">
        <v>56</v>
      </c>
      <c r="C25" s="23"/>
      <c r="D25" s="23"/>
      <c r="E25" s="23"/>
      <c r="F25" s="23"/>
      <c r="G25" s="23">
        <f>+C21*1.07415058</f>
        <v>12300.81793</v>
      </c>
    </row>
    <row r="26" ht="14.25" customHeight="1">
      <c r="A26" s="4">
        <v>8.0</v>
      </c>
      <c r="B26" s="20" t="s">
        <v>57</v>
      </c>
      <c r="C26" s="23"/>
      <c r="D26" s="23"/>
      <c r="E26" s="23"/>
      <c r="F26" s="23"/>
      <c r="G26" s="24">
        <f>+G25*C22</f>
        <v>211328.0521</v>
      </c>
    </row>
    <row r="27" ht="30.0" customHeight="1">
      <c r="A27" s="4">
        <v>9.0</v>
      </c>
      <c r="B27" s="20" t="s">
        <v>58</v>
      </c>
      <c r="C27" s="23"/>
      <c r="D27" s="23"/>
      <c r="E27" s="23"/>
      <c r="F27" s="23"/>
      <c r="G27" s="23">
        <f>1380399468/10000000</f>
        <v>138.0399468</v>
      </c>
    </row>
    <row r="28" ht="14.25" customHeight="1">
      <c r="A28" s="4">
        <v>10.0</v>
      </c>
      <c r="B28" s="25" t="s">
        <v>62</v>
      </c>
      <c r="C28" s="26"/>
      <c r="D28" s="26"/>
      <c r="E28" s="26"/>
      <c r="F28" s="26"/>
      <c r="G28" s="26">
        <f>+G26/G27</f>
        <v>1530.919542</v>
      </c>
    </row>
    <row r="29" ht="14.25" customHeight="1">
      <c r="A29" s="4">
        <v>11.0</v>
      </c>
      <c r="B29" s="25" t="s">
        <v>63</v>
      </c>
      <c r="C29" s="26"/>
      <c r="D29" s="26"/>
      <c r="E29" s="26"/>
      <c r="F29" s="26"/>
      <c r="G29" s="26">
        <f>+G28*0.66</f>
        <v>1010.406898</v>
      </c>
    </row>
    <row r="30" ht="14.25" customHeight="1">
      <c r="C30" s="23"/>
      <c r="D30" s="23"/>
      <c r="E30" s="23"/>
      <c r="F30" s="23"/>
      <c r="G30" s="23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>
      <c r="B42" s="20" t="s">
        <v>14</v>
      </c>
      <c r="C42" s="27">
        <v>1017464.4</v>
      </c>
      <c r="D42" s="27">
        <v>653357.8</v>
      </c>
      <c r="E42" s="27">
        <v>528420.92</v>
      </c>
      <c r="F42" s="27">
        <v>424125.0</v>
      </c>
      <c r="G42" s="27">
        <v>344442.92</v>
      </c>
    </row>
    <row r="43" ht="14.25" customHeight="1">
      <c r="B43" s="20" t="s">
        <v>28</v>
      </c>
      <c r="C43" s="28">
        <f t="shared" ref="C43:G43" si="5">C42/C44</f>
        <v>67695.56886</v>
      </c>
      <c r="D43" s="28">
        <f t="shared" si="5"/>
        <v>59941.08257</v>
      </c>
      <c r="E43" s="28">
        <f t="shared" si="5"/>
        <v>51958.79253</v>
      </c>
      <c r="F43" s="28">
        <f t="shared" si="5"/>
        <v>47708.09899</v>
      </c>
      <c r="G43" s="28">
        <f t="shared" si="5"/>
        <v>40332.89461</v>
      </c>
    </row>
    <row r="44" ht="14.25" customHeight="1">
      <c r="B44" s="20" t="s">
        <v>43</v>
      </c>
      <c r="C44" s="28">
        <v>15.03</v>
      </c>
      <c r="D44" s="28">
        <v>10.9</v>
      </c>
      <c r="E44" s="28">
        <v>10.17</v>
      </c>
      <c r="F44" s="28">
        <v>8.89</v>
      </c>
      <c r="G44" s="28">
        <v>8.54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9.25"/>
    <col customWidth="1" min="3" max="3" width="60.5"/>
    <col customWidth="1" min="4" max="4" width="47.88"/>
    <col customWidth="1" min="5" max="5" width="77.5"/>
    <col customWidth="1" min="6" max="26" width="7.63"/>
  </cols>
  <sheetData>
    <row r="1" ht="14.25" customHeight="1">
      <c r="B1" s="1" t="s">
        <v>0</v>
      </c>
      <c r="C1" s="1"/>
    </row>
    <row r="2" ht="14.25" customHeight="1">
      <c r="A2" s="1" t="s">
        <v>3</v>
      </c>
      <c r="B2" s="1" t="s">
        <v>4</v>
      </c>
      <c r="C2" s="1"/>
    </row>
    <row r="3" ht="14.25" customHeight="1">
      <c r="A3" s="3" t="s">
        <v>5</v>
      </c>
      <c r="B3" s="5" t="s">
        <v>7</v>
      </c>
      <c r="C3" s="5" t="s">
        <v>8</v>
      </c>
      <c r="D3" s="5" t="s">
        <v>9</v>
      </c>
      <c r="E3" s="5" t="s">
        <v>10</v>
      </c>
    </row>
    <row r="4" ht="14.25" customHeight="1">
      <c r="A4" s="8">
        <v>1.0</v>
      </c>
      <c r="B4" s="8" t="s">
        <v>12</v>
      </c>
      <c r="C4" s="8" t="s">
        <v>13</v>
      </c>
      <c r="D4" s="8" t="s">
        <v>15</v>
      </c>
      <c r="E4" s="8" t="s">
        <v>16</v>
      </c>
    </row>
    <row r="5" ht="14.25" customHeight="1">
      <c r="A5" s="8">
        <v>2.0</v>
      </c>
      <c r="B5" s="8" t="s">
        <v>18</v>
      </c>
      <c r="C5" s="8" t="s">
        <v>19</v>
      </c>
      <c r="D5" s="8" t="s">
        <v>20</v>
      </c>
      <c r="E5" s="8" t="s">
        <v>21</v>
      </c>
    </row>
    <row r="6" ht="14.25" customHeight="1">
      <c r="A6" s="8">
        <v>3.0</v>
      </c>
      <c r="B6" s="8" t="s">
        <v>22</v>
      </c>
      <c r="C6" s="8" t="s">
        <v>23</v>
      </c>
      <c r="D6" s="8" t="s">
        <v>24</v>
      </c>
      <c r="E6" s="8" t="s">
        <v>25</v>
      </c>
    </row>
    <row r="7" ht="14.25" customHeight="1">
      <c r="A7" s="8">
        <v>4.0</v>
      </c>
      <c r="B7" s="8" t="s">
        <v>26</v>
      </c>
      <c r="C7" s="8" t="s">
        <v>27</v>
      </c>
      <c r="D7" s="8" t="s">
        <v>30</v>
      </c>
      <c r="E7" s="8" t="s">
        <v>31</v>
      </c>
    </row>
    <row r="8" ht="14.25" customHeight="1">
      <c r="A8" s="8">
        <v>5.0</v>
      </c>
      <c r="B8" s="8" t="s">
        <v>32</v>
      </c>
      <c r="C8" s="8" t="s">
        <v>33</v>
      </c>
      <c r="D8" s="8" t="s">
        <v>34</v>
      </c>
      <c r="E8" s="8" t="s">
        <v>35</v>
      </c>
    </row>
    <row r="9" ht="14.25" customHeight="1">
      <c r="A9" s="3" t="s">
        <v>36</v>
      </c>
      <c r="B9" s="12" t="s">
        <v>37</v>
      </c>
      <c r="C9" s="12"/>
      <c r="D9" s="14"/>
      <c r="E9" s="14"/>
    </row>
    <row r="10" ht="14.25" customHeight="1">
      <c r="A10" s="8">
        <v>6.0</v>
      </c>
      <c r="B10" s="8" t="s">
        <v>41</v>
      </c>
      <c r="C10" s="14"/>
      <c r="D10" s="14"/>
      <c r="E10" s="8" t="s">
        <v>42</v>
      </c>
    </row>
    <row r="11" ht="14.25" customHeight="1">
      <c r="A11" s="8">
        <v>7.0</v>
      </c>
      <c r="B11" s="8" t="s">
        <v>44</v>
      </c>
      <c r="C11" s="8" t="s">
        <v>45</v>
      </c>
      <c r="D11" s="8" t="s">
        <v>46</v>
      </c>
      <c r="E11" s="8" t="s">
        <v>47</v>
      </c>
    </row>
    <row r="12" ht="14.25" customHeight="1">
      <c r="A12" s="8">
        <v>8.0</v>
      </c>
      <c r="B12" s="8" t="s">
        <v>49</v>
      </c>
      <c r="C12" s="8"/>
      <c r="D12" s="8" t="s">
        <v>50</v>
      </c>
      <c r="E12" s="8" t="s">
        <v>51</v>
      </c>
    </row>
    <row r="13" ht="14.25" customHeight="1"/>
    <row r="14" ht="14.25" customHeight="1">
      <c r="C14" s="4" t="s">
        <v>52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6.5"/>
    <col customWidth="1" min="8" max="8" width="7.63"/>
    <col customWidth="1" min="9" max="9" width="25.38"/>
    <col customWidth="1" min="10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I7" s="4" t="s">
        <v>1</v>
      </c>
    </row>
    <row r="8" ht="14.25" customHeight="1">
      <c r="D8" s="4">
        <f>10/100</f>
        <v>0.1</v>
      </c>
      <c r="E8" s="4">
        <v>0.1</v>
      </c>
      <c r="F8" s="4">
        <v>0.22</v>
      </c>
      <c r="G8" s="4">
        <v>0.22</v>
      </c>
      <c r="H8" s="4">
        <f t="shared" ref="H8:H9" si="1">+D8*E8*F8*G8</f>
        <v>0.000484</v>
      </c>
      <c r="I8" s="4" t="s">
        <v>17</v>
      </c>
    </row>
    <row r="9" ht="14.25" customHeight="1">
      <c r="D9" s="4">
        <f>90/100</f>
        <v>0.9</v>
      </c>
      <c r="E9" s="4">
        <v>0.9</v>
      </c>
      <c r="F9" s="4">
        <f>6/100</f>
        <v>0.06</v>
      </c>
      <c r="G9" s="4">
        <v>0.06</v>
      </c>
      <c r="H9" s="4">
        <f t="shared" si="1"/>
        <v>0.002916</v>
      </c>
      <c r="I9" s="4" t="s">
        <v>29</v>
      </c>
    </row>
    <row r="10" ht="14.25" customHeight="1">
      <c r="B10" s="4">
        <v>0.6</v>
      </c>
      <c r="C10" s="4">
        <v>2.0</v>
      </c>
      <c r="D10" s="4">
        <v>0.1</v>
      </c>
      <c r="E10" s="4">
        <v>0.9</v>
      </c>
      <c r="F10" s="4">
        <v>0.22</v>
      </c>
      <c r="G10" s="4">
        <v>0.06</v>
      </c>
      <c r="H10" s="4">
        <f>+B10*C10*D10*E10*F10*G10</f>
        <v>0.0014256</v>
      </c>
      <c r="I10" s="4" t="s">
        <v>38</v>
      </c>
    </row>
    <row r="11" ht="14.25" customHeight="1">
      <c r="H11" s="4">
        <f>+H8+H9-H10</f>
        <v>0.0019744</v>
      </c>
      <c r="I11" s="4" t="s">
        <v>39</v>
      </c>
    </row>
    <row r="12" ht="14.25" customHeight="1">
      <c r="G12" s="4" t="s">
        <v>40</v>
      </c>
      <c r="H12" s="4">
        <f>SQRT(H11)</f>
        <v>0.04443422105</v>
      </c>
      <c r="I12" s="4" t="s">
        <v>48</v>
      </c>
    </row>
    <row r="13" ht="14.25" customHeight="1">
      <c r="H13" s="4">
        <f>+H12*100</f>
        <v>4.443422105</v>
      </c>
      <c r="I13" s="4" t="s">
        <v>53</v>
      </c>
    </row>
    <row r="14" ht="14.25" customHeight="1"/>
    <row r="15" ht="14.25" customHeight="1"/>
    <row r="16" ht="14.25" customHeight="1">
      <c r="D16" s="4">
        <v>0.2</v>
      </c>
      <c r="E16" s="4">
        <v>0.2</v>
      </c>
      <c r="F16" s="4">
        <v>0.22</v>
      </c>
      <c r="G16" s="4">
        <v>0.22</v>
      </c>
      <c r="H16" s="4">
        <f t="shared" ref="H16:H17" si="2">+D16*E16*F16*G16</f>
        <v>0.001936</v>
      </c>
    </row>
    <row r="17" ht="14.25" customHeight="1">
      <c r="D17" s="4">
        <v>0.8</v>
      </c>
      <c r="E17" s="4">
        <v>0.8</v>
      </c>
      <c r="F17" s="4">
        <f>6/100</f>
        <v>0.06</v>
      </c>
      <c r="G17" s="4">
        <v>0.06</v>
      </c>
      <c r="H17" s="4">
        <f t="shared" si="2"/>
        <v>0.002304</v>
      </c>
    </row>
    <row r="18" ht="14.25" customHeight="1">
      <c r="B18" s="4">
        <v>0.6</v>
      </c>
      <c r="C18" s="4">
        <v>2.0</v>
      </c>
      <c r="D18" s="4">
        <v>0.2</v>
      </c>
      <c r="E18" s="4">
        <v>0.8</v>
      </c>
      <c r="F18" s="4">
        <v>0.22</v>
      </c>
      <c r="G18" s="4">
        <v>0.06</v>
      </c>
      <c r="H18" s="4">
        <f>+B18*C18*D18*E18*F18*G18</f>
        <v>0.0025344</v>
      </c>
    </row>
    <row r="19" ht="14.25" customHeight="1">
      <c r="H19" s="4">
        <f>+H16+H17-H18</f>
        <v>0.0017056</v>
      </c>
    </row>
    <row r="20" ht="14.25" customHeight="1">
      <c r="G20" s="4" t="s">
        <v>40</v>
      </c>
      <c r="H20" s="4">
        <f>SQRT(H19)</f>
        <v>0.0412989104</v>
      </c>
    </row>
    <row r="21" ht="14.25" customHeight="1">
      <c r="H21" s="4">
        <f>+H20*100</f>
        <v>4.12989104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