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PWR\STUDIA IV SEMESTR\AEDB Tomczak\"/>
    </mc:Choice>
  </mc:AlternateContent>
  <xr:revisionPtr revIDLastSave="0" documentId="13_ncr:1_{3AF526F7-E770-4449-8891-6436529D2851}" xr6:coauthVersionLast="47" xr6:coauthVersionMax="47" xr10:uidLastSave="{00000000-0000-0000-0000-000000000000}"/>
  <bookViews>
    <workbookView xWindow="8760" yWindow="4635" windowWidth="13830" windowHeight="11835" firstSheet="3" activeTab="4" xr2:uid="{00000000-000D-0000-FFFF-FFFF00000000}"/>
  </bookViews>
  <sheets>
    <sheet name="CYFROWY POLSAT SA" sheetId="1" r:id="rId1"/>
    <sheet name="KONKURENCJA R.N.TV" sheetId="2" r:id="rId2"/>
    <sheet name="KONKURENCJA R.O.KOM." sheetId="3" r:id="rId3"/>
    <sheet name="A. SYNTETYCZNA" sheetId="8" r:id="rId4"/>
    <sheet name="A.PŁYNNOŚCI" sheetId="4" r:id="rId5"/>
    <sheet name="A.RENTOWNOŚCI" sheetId="5" r:id="rId6"/>
    <sheet name="A. SYTUACJI M-K." sheetId="6" r:id="rId7"/>
    <sheet name="A. POZYCJI RYNKOWEJ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7" l="1"/>
  <c r="T14" i="7"/>
  <c r="U14" i="7"/>
  <c r="S14" i="7"/>
  <c r="T18" i="7"/>
  <c r="U18" i="7"/>
  <c r="S18" i="7"/>
  <c r="S20" i="7"/>
  <c r="S22" i="7" s="1"/>
  <c r="S21" i="7"/>
  <c r="S24" i="7"/>
  <c r="S26" i="7" s="1"/>
  <c r="S25" i="7"/>
  <c r="S28" i="7"/>
  <c r="S29" i="7"/>
  <c r="T22" i="7"/>
  <c r="U22" i="7"/>
  <c r="T26" i="7"/>
  <c r="U26" i="7"/>
  <c r="T6" i="7"/>
  <c r="U6" i="7"/>
  <c r="S6" i="7"/>
  <c r="T10" i="7"/>
  <c r="U10" i="7"/>
  <c r="S10" i="7"/>
  <c r="R11" i="7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V67" i="4"/>
  <c r="V66" i="4"/>
  <c r="V65" i="4"/>
  <c r="V64" i="4"/>
  <c r="V63" i="4"/>
  <c r="V62" i="4"/>
  <c r="V61" i="4"/>
  <c r="V60" i="4"/>
  <c r="V59" i="4"/>
  <c r="V58" i="4"/>
  <c r="V57" i="4"/>
  <c r="V56" i="4"/>
  <c r="W55" i="4"/>
  <c r="X55" i="4"/>
  <c r="V55" i="4"/>
  <c r="U61" i="4"/>
  <c r="T61" i="4"/>
  <c r="S61" i="4"/>
  <c r="S58" i="4"/>
  <c r="R61" i="4"/>
  <c r="S56" i="4"/>
  <c r="T56" i="4"/>
  <c r="U56" i="4"/>
  <c r="S57" i="4"/>
  <c r="T57" i="4"/>
  <c r="U57" i="4"/>
  <c r="T58" i="4"/>
  <c r="U58" i="4"/>
  <c r="S59" i="4"/>
  <c r="T59" i="4"/>
  <c r="U59" i="4"/>
  <c r="S60" i="4"/>
  <c r="T60" i="4"/>
  <c r="U60" i="4"/>
  <c r="S62" i="4"/>
  <c r="T62" i="4"/>
  <c r="U62" i="4"/>
  <c r="S63" i="4"/>
  <c r="T63" i="4"/>
  <c r="U63" i="4"/>
  <c r="S64" i="4"/>
  <c r="T64" i="4"/>
  <c r="U64" i="4"/>
  <c r="S65" i="4"/>
  <c r="T65" i="4"/>
  <c r="U65" i="4"/>
  <c r="S66" i="4"/>
  <c r="T66" i="4"/>
  <c r="U66" i="4"/>
  <c r="S67" i="4"/>
  <c r="T67" i="4"/>
  <c r="U67" i="4"/>
  <c r="R56" i="4"/>
  <c r="R63" i="4"/>
  <c r="R62" i="4"/>
  <c r="R60" i="4"/>
  <c r="R59" i="4"/>
  <c r="R58" i="4"/>
  <c r="R57" i="4"/>
  <c r="R67" i="4"/>
  <c r="R66" i="4"/>
  <c r="R65" i="4"/>
  <c r="R64" i="4"/>
  <c r="U55" i="4"/>
  <c r="T55" i="4"/>
  <c r="S55" i="4"/>
  <c r="S54" i="4"/>
  <c r="AS15" i="8"/>
  <c r="AS14" i="8"/>
  <c r="AS13" i="8"/>
  <c r="V101" i="8"/>
  <c r="S96" i="8"/>
  <c r="S84" i="8"/>
  <c r="S80" i="8"/>
  <c r="U67" i="8"/>
  <c r="U68" i="8"/>
  <c r="U69" i="8"/>
  <c r="U70" i="8"/>
  <c r="S66" i="8"/>
  <c r="S101" i="8"/>
  <c r="S100" i="8"/>
  <c r="S99" i="8"/>
  <c r="S98" i="8"/>
  <c r="S97" i="8"/>
  <c r="S90" i="8"/>
  <c r="S95" i="8"/>
  <c r="S94" i="8"/>
  <c r="S93" i="8"/>
  <c r="S92" i="8"/>
  <c r="S91" i="8"/>
  <c r="S89" i="8"/>
  <c r="S88" i="8"/>
  <c r="S87" i="8"/>
  <c r="S86" i="8"/>
  <c r="S85" i="8"/>
  <c r="S78" i="8"/>
  <c r="S83" i="8"/>
  <c r="S82" i="8"/>
  <c r="S81" i="8"/>
  <c r="S79" i="8"/>
  <c r="S72" i="8"/>
  <c r="S77" i="8"/>
  <c r="S76" i="8"/>
  <c r="S75" i="8"/>
  <c r="S74" i="8"/>
  <c r="S73" i="8"/>
  <c r="S71" i="8"/>
  <c r="S70" i="8"/>
  <c r="S69" i="8"/>
  <c r="S68" i="8"/>
  <c r="S67" i="8"/>
  <c r="B221" i="8"/>
  <c r="L215" i="8"/>
  <c r="G208" i="8"/>
  <c r="D221" i="8"/>
  <c r="E221" i="8"/>
  <c r="F221" i="8"/>
  <c r="G221" i="8"/>
  <c r="H221" i="8"/>
  <c r="I221" i="8"/>
  <c r="J221" i="8"/>
  <c r="K221" i="8"/>
  <c r="L221" i="8"/>
  <c r="M221" i="8"/>
  <c r="C221" i="8"/>
  <c r="B216" i="8"/>
  <c r="C216" i="8"/>
  <c r="D216" i="8"/>
  <c r="D215" i="8" s="1"/>
  <c r="E216" i="8"/>
  <c r="E215" i="8" s="1"/>
  <c r="F216" i="8"/>
  <c r="G216" i="8"/>
  <c r="H216" i="8"/>
  <c r="I216" i="8"/>
  <c r="J216" i="8"/>
  <c r="K216" i="8"/>
  <c r="L216" i="8"/>
  <c r="M216" i="8"/>
  <c r="M215" i="8" s="1"/>
  <c r="B217" i="8"/>
  <c r="C217" i="8"/>
  <c r="D217" i="8"/>
  <c r="E217" i="8"/>
  <c r="F217" i="8"/>
  <c r="G217" i="8"/>
  <c r="H217" i="8"/>
  <c r="I217" i="8"/>
  <c r="J217" i="8"/>
  <c r="K217" i="8"/>
  <c r="L217" i="8"/>
  <c r="M217" i="8"/>
  <c r="B218" i="8"/>
  <c r="C218" i="8"/>
  <c r="D218" i="8"/>
  <c r="E218" i="8"/>
  <c r="N218" i="8" s="1"/>
  <c r="F218" i="8"/>
  <c r="G218" i="8"/>
  <c r="P218" i="8" s="1"/>
  <c r="H218" i="8"/>
  <c r="I218" i="8"/>
  <c r="O218" i="8" s="1"/>
  <c r="J218" i="8"/>
  <c r="K218" i="8"/>
  <c r="L218" i="8"/>
  <c r="M218" i="8"/>
  <c r="C213" i="8"/>
  <c r="D213" i="8"/>
  <c r="E213" i="8"/>
  <c r="F213" i="8"/>
  <c r="G213" i="8"/>
  <c r="H213" i="8"/>
  <c r="I213" i="8"/>
  <c r="J213" i="8"/>
  <c r="K213" i="8"/>
  <c r="L213" i="8"/>
  <c r="M213" i="8"/>
  <c r="C214" i="8"/>
  <c r="D214" i="8"/>
  <c r="E214" i="8"/>
  <c r="F214" i="8"/>
  <c r="G214" i="8"/>
  <c r="H214" i="8"/>
  <c r="I214" i="8"/>
  <c r="J214" i="8"/>
  <c r="K214" i="8"/>
  <c r="L214" i="8"/>
  <c r="M214" i="8"/>
  <c r="B213" i="8"/>
  <c r="B214" i="8"/>
  <c r="A214" i="8"/>
  <c r="N216" i="8"/>
  <c r="B209" i="8"/>
  <c r="C209" i="8"/>
  <c r="D209" i="8"/>
  <c r="E209" i="8"/>
  <c r="F209" i="8"/>
  <c r="F208" i="8" s="1"/>
  <c r="G209" i="8"/>
  <c r="H209" i="8"/>
  <c r="I209" i="8"/>
  <c r="J209" i="8"/>
  <c r="J208" i="8" s="1"/>
  <c r="K209" i="8"/>
  <c r="L209" i="8"/>
  <c r="M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P210" i="8" s="1"/>
  <c r="A221" i="8"/>
  <c r="A220" i="8"/>
  <c r="A218" i="8"/>
  <c r="A217" i="8"/>
  <c r="A216" i="8"/>
  <c r="A213" i="8"/>
  <c r="A212" i="8"/>
  <c r="A210" i="8"/>
  <c r="A209" i="8"/>
  <c r="F30" i="8"/>
  <c r="G30" i="8"/>
  <c r="E30" i="8"/>
  <c r="L30" i="8"/>
  <c r="M30" i="8"/>
  <c r="K30" i="8"/>
  <c r="I30" i="8"/>
  <c r="I203" i="8" s="1"/>
  <c r="J30" i="8"/>
  <c r="H30" i="8"/>
  <c r="H203" i="8" s="1"/>
  <c r="C202" i="8"/>
  <c r="D202" i="8"/>
  <c r="E202" i="8"/>
  <c r="F202" i="8"/>
  <c r="G202" i="8"/>
  <c r="H202" i="8"/>
  <c r="I202" i="8"/>
  <c r="J202" i="8"/>
  <c r="K202" i="8"/>
  <c r="L202" i="8"/>
  <c r="L201" i="8" s="1"/>
  <c r="M202" i="8"/>
  <c r="C203" i="8"/>
  <c r="E203" i="8"/>
  <c r="F203" i="8"/>
  <c r="G203" i="8"/>
  <c r="J203" i="8"/>
  <c r="J201" i="8" s="1"/>
  <c r="K203" i="8"/>
  <c r="L203" i="8"/>
  <c r="M203" i="8"/>
  <c r="M201" i="8" s="1"/>
  <c r="A203" i="8"/>
  <c r="B202" i="8"/>
  <c r="C199" i="8"/>
  <c r="D199" i="8"/>
  <c r="E199" i="8"/>
  <c r="F199" i="8"/>
  <c r="G199" i="8"/>
  <c r="H199" i="8"/>
  <c r="I199" i="8"/>
  <c r="I198" i="8" s="1"/>
  <c r="J199" i="8"/>
  <c r="K199" i="8"/>
  <c r="L199" i="8"/>
  <c r="M199" i="8"/>
  <c r="M198" i="8" s="1"/>
  <c r="C200" i="8"/>
  <c r="D200" i="8"/>
  <c r="E200" i="8"/>
  <c r="F200" i="8"/>
  <c r="G200" i="8"/>
  <c r="H200" i="8"/>
  <c r="I200" i="8"/>
  <c r="J200" i="8"/>
  <c r="K200" i="8"/>
  <c r="L200" i="8"/>
  <c r="M200" i="8"/>
  <c r="B199" i="8"/>
  <c r="B198" i="8" s="1"/>
  <c r="B200" i="8"/>
  <c r="A200" i="8"/>
  <c r="B196" i="8"/>
  <c r="C196" i="8"/>
  <c r="D196" i="8"/>
  <c r="P196" i="8" s="1"/>
  <c r="E196" i="8"/>
  <c r="F196" i="8"/>
  <c r="G196" i="8"/>
  <c r="H196" i="8"/>
  <c r="I196" i="8"/>
  <c r="J196" i="8"/>
  <c r="K196" i="8"/>
  <c r="L196" i="8"/>
  <c r="M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A197" i="8"/>
  <c r="A196" i="8"/>
  <c r="A195" i="8"/>
  <c r="B193" i="8"/>
  <c r="N193" i="8" s="1"/>
  <c r="C193" i="8"/>
  <c r="D193" i="8"/>
  <c r="E193" i="8"/>
  <c r="F193" i="8"/>
  <c r="G193" i="8"/>
  <c r="H193" i="8"/>
  <c r="I193" i="8"/>
  <c r="J193" i="8"/>
  <c r="K193" i="8"/>
  <c r="L193" i="8"/>
  <c r="M193" i="8"/>
  <c r="A193" i="8"/>
  <c r="D186" i="8"/>
  <c r="G186" i="8"/>
  <c r="J186" i="8"/>
  <c r="M186" i="8"/>
  <c r="A186" i="8"/>
  <c r="A185" i="8"/>
  <c r="A181" i="8"/>
  <c r="A179" i="8"/>
  <c r="A178" i="8"/>
  <c r="A176" i="8"/>
  <c r="A173" i="8"/>
  <c r="A172" i="8"/>
  <c r="A170" i="8"/>
  <c r="A169" i="8"/>
  <c r="A168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A163" i="8"/>
  <c r="AS10" i="8"/>
  <c r="AS9" i="8"/>
  <c r="AS1" i="8"/>
  <c r="AS6" i="8"/>
  <c r="AS5" i="8"/>
  <c r="AS4" i="8"/>
  <c r="AS3" i="8"/>
  <c r="AS2" i="8"/>
  <c r="AN1" i="8"/>
  <c r="AN6" i="8"/>
  <c r="AN5" i="8"/>
  <c r="AN4" i="8"/>
  <c r="AN3" i="8"/>
  <c r="AN2" i="8"/>
  <c r="Z1" i="8"/>
  <c r="S1" i="8"/>
  <c r="Z7" i="8"/>
  <c r="Z6" i="8"/>
  <c r="Z5" i="8"/>
  <c r="Z4" i="8"/>
  <c r="Z3" i="8"/>
  <c r="A50" i="8"/>
  <c r="I35" i="8"/>
  <c r="I50" i="8" s="1"/>
  <c r="J35" i="8"/>
  <c r="J50" i="8" s="1"/>
  <c r="K35" i="8"/>
  <c r="K50" i="8" s="1"/>
  <c r="L35" i="8"/>
  <c r="L50" i="8" s="1"/>
  <c r="M35" i="8"/>
  <c r="M50" i="8" s="1"/>
  <c r="H35" i="8"/>
  <c r="H50" i="8" s="1"/>
  <c r="F35" i="8"/>
  <c r="F50" i="8" s="1"/>
  <c r="G35" i="8"/>
  <c r="G50" i="8" s="1"/>
  <c r="E35" i="8"/>
  <c r="E50" i="8" s="1"/>
  <c r="D35" i="8"/>
  <c r="D50" i="8" s="1"/>
  <c r="C35" i="8"/>
  <c r="C50" i="8" s="1"/>
  <c r="B35" i="8"/>
  <c r="B50" i="8" s="1"/>
  <c r="A51" i="8"/>
  <c r="A48" i="8"/>
  <c r="A47" i="8"/>
  <c r="A45" i="8"/>
  <c r="A44" i="8"/>
  <c r="S59" i="8"/>
  <c r="AS12" i="8" s="1"/>
  <c r="S64" i="8"/>
  <c r="S63" i="8"/>
  <c r="S62" i="8"/>
  <c r="S61" i="8"/>
  <c r="S60" i="8"/>
  <c r="S53" i="8"/>
  <c r="AS17" i="8" s="1"/>
  <c r="S58" i="8"/>
  <c r="S57" i="8"/>
  <c r="S56" i="8"/>
  <c r="S55" i="8"/>
  <c r="S54" i="8"/>
  <c r="S47" i="8"/>
  <c r="AS16" i="8" s="1"/>
  <c r="S52" i="8"/>
  <c r="S51" i="8"/>
  <c r="S50" i="8"/>
  <c r="S49" i="8"/>
  <c r="S48" i="8"/>
  <c r="S41" i="8"/>
  <c r="AS11" i="8" s="1"/>
  <c r="S46" i="8"/>
  <c r="S45" i="8"/>
  <c r="S44" i="8"/>
  <c r="S43" i="8"/>
  <c r="S42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3" i="8"/>
  <c r="S18" i="8"/>
  <c r="S17" i="8"/>
  <c r="S16" i="8"/>
  <c r="S15" i="8"/>
  <c r="S14" i="8"/>
  <c r="S7" i="8"/>
  <c r="S12" i="8"/>
  <c r="S11" i="8"/>
  <c r="S10" i="8"/>
  <c r="S9" i="8"/>
  <c r="S8" i="8"/>
  <c r="S6" i="8"/>
  <c r="S5" i="8"/>
  <c r="S4" i="8"/>
  <c r="S3" i="8"/>
  <c r="S2" i="8"/>
  <c r="A123" i="8"/>
  <c r="A143" i="8" s="1"/>
  <c r="A127" i="8"/>
  <c r="A147" i="8" s="1"/>
  <c r="A131" i="8"/>
  <c r="A151" i="8" s="1"/>
  <c r="A134" i="8"/>
  <c r="A154" i="8" s="1"/>
  <c r="A137" i="8"/>
  <c r="A119" i="8"/>
  <c r="A139" i="8" s="1"/>
  <c r="A118" i="8"/>
  <c r="A138" i="8" s="1"/>
  <c r="E115" i="8"/>
  <c r="E135" i="8" s="1"/>
  <c r="E155" i="8" s="1"/>
  <c r="F115" i="8"/>
  <c r="F135" i="8" s="1"/>
  <c r="F155" i="8" s="1"/>
  <c r="G115" i="8"/>
  <c r="G135" i="8" s="1"/>
  <c r="G155" i="8" s="1"/>
  <c r="K115" i="8"/>
  <c r="K135" i="8" s="1"/>
  <c r="K155" i="8" s="1"/>
  <c r="L115" i="8"/>
  <c r="L135" i="8" s="1"/>
  <c r="L155" i="8" s="1"/>
  <c r="M115" i="8"/>
  <c r="M135" i="8" s="1"/>
  <c r="M155" i="8" s="1"/>
  <c r="A116" i="8"/>
  <c r="A136" i="8" s="1"/>
  <c r="A156" i="8" s="1"/>
  <c r="A165" i="8" s="1"/>
  <c r="A115" i="8"/>
  <c r="A135" i="8" s="1"/>
  <c r="A155" i="8" s="1"/>
  <c r="A112" i="8"/>
  <c r="A132" i="8" s="1"/>
  <c r="A152" i="8" s="1"/>
  <c r="E109" i="8"/>
  <c r="E129" i="8" s="1"/>
  <c r="F109" i="8"/>
  <c r="F129" i="8" s="1"/>
  <c r="F149" i="8" s="1"/>
  <c r="G109" i="8"/>
  <c r="G129" i="8" s="1"/>
  <c r="G149" i="8" s="1"/>
  <c r="H109" i="8"/>
  <c r="H129" i="8" s="1"/>
  <c r="H149" i="8" s="1"/>
  <c r="I109" i="8"/>
  <c r="I129" i="8" s="1"/>
  <c r="I149" i="8" s="1"/>
  <c r="J109" i="8"/>
  <c r="J129" i="8" s="1"/>
  <c r="J149" i="8" s="1"/>
  <c r="K109" i="8"/>
  <c r="K129" i="8" s="1"/>
  <c r="K149" i="8" s="1"/>
  <c r="L109" i="8"/>
  <c r="L129" i="8" s="1"/>
  <c r="L149" i="8" s="1"/>
  <c r="M109" i="8"/>
  <c r="M129" i="8" s="1"/>
  <c r="M149" i="8" s="1"/>
  <c r="A110" i="8"/>
  <c r="A113" i="8" s="1"/>
  <c r="A133" i="8" s="1"/>
  <c r="A153" i="8" s="1"/>
  <c r="A162" i="8" s="1"/>
  <c r="A109" i="8"/>
  <c r="A129" i="8" s="1"/>
  <c r="A149" i="8" s="1"/>
  <c r="A108" i="8"/>
  <c r="A128" i="8" s="1"/>
  <c r="A148" i="8" s="1"/>
  <c r="D33" i="8"/>
  <c r="D109" i="8" s="1"/>
  <c r="D129" i="8" s="1"/>
  <c r="C33" i="8"/>
  <c r="C109" i="8" s="1"/>
  <c r="B33" i="8"/>
  <c r="B109" i="8" s="1"/>
  <c r="B129" i="8" s="1"/>
  <c r="B149" i="8" s="1"/>
  <c r="A104" i="8"/>
  <c r="A124" i="8" s="1"/>
  <c r="A144" i="8" s="1"/>
  <c r="A105" i="8"/>
  <c r="A125" i="8" s="1"/>
  <c r="A145" i="8" s="1"/>
  <c r="A98" i="8"/>
  <c r="A99" i="8"/>
  <c r="A95" i="8"/>
  <c r="I32" i="8"/>
  <c r="I95" i="8" s="1"/>
  <c r="J32" i="8"/>
  <c r="J95" i="8" s="1"/>
  <c r="K32" i="8"/>
  <c r="K95" i="8" s="1"/>
  <c r="L32" i="8"/>
  <c r="L95" i="8" s="1"/>
  <c r="M32" i="8"/>
  <c r="M95" i="8" s="1"/>
  <c r="H32" i="8"/>
  <c r="H95" i="8" s="1"/>
  <c r="F32" i="8"/>
  <c r="F95" i="8" s="1"/>
  <c r="G32" i="8"/>
  <c r="G95" i="8" s="1"/>
  <c r="E32" i="8"/>
  <c r="E95" i="8" s="1"/>
  <c r="C32" i="8"/>
  <c r="C95" i="8" s="1"/>
  <c r="D32" i="8"/>
  <c r="D95" i="8" s="1"/>
  <c r="B32" i="8"/>
  <c r="B95" i="8" s="1"/>
  <c r="A96" i="8"/>
  <c r="A93" i="8"/>
  <c r="A92" i="8"/>
  <c r="A90" i="8"/>
  <c r="A89" i="8"/>
  <c r="I31" i="8"/>
  <c r="I112" i="8" s="1"/>
  <c r="I132" i="8" s="1"/>
  <c r="I152" i="8" s="1"/>
  <c r="J31" i="8"/>
  <c r="J89" i="8" s="1"/>
  <c r="K31" i="8"/>
  <c r="K112" i="8" s="1"/>
  <c r="K132" i="8" s="1"/>
  <c r="K152" i="8" s="1"/>
  <c r="L31" i="8"/>
  <c r="L92" i="8" s="1"/>
  <c r="M31" i="8"/>
  <c r="M112" i="8" s="1"/>
  <c r="M132" i="8" s="1"/>
  <c r="M152" i="8" s="1"/>
  <c r="H31" i="8"/>
  <c r="H112" i="8" s="1"/>
  <c r="H132" i="8" s="1"/>
  <c r="H152" i="8" s="1"/>
  <c r="F31" i="8"/>
  <c r="F92" i="8" s="1"/>
  <c r="G31" i="8"/>
  <c r="G92" i="8" s="1"/>
  <c r="E31" i="8"/>
  <c r="E112" i="8" s="1"/>
  <c r="E132" i="8" s="1"/>
  <c r="E152" i="8" s="1"/>
  <c r="C31" i="8"/>
  <c r="C92" i="8" s="1"/>
  <c r="D31" i="8"/>
  <c r="D92" i="8" s="1"/>
  <c r="B31" i="8"/>
  <c r="B89" i="8" s="1"/>
  <c r="A87" i="8"/>
  <c r="A86" i="8"/>
  <c r="A84" i="8"/>
  <c r="A83" i="8"/>
  <c r="A82" i="8"/>
  <c r="A77" i="8"/>
  <c r="A76" i="8"/>
  <c r="A75" i="8"/>
  <c r="A74" i="8"/>
  <c r="A73" i="8"/>
  <c r="A72" i="8"/>
  <c r="J76" i="8"/>
  <c r="K76" i="8"/>
  <c r="L76" i="8"/>
  <c r="M76" i="8"/>
  <c r="H76" i="8"/>
  <c r="F76" i="8"/>
  <c r="G76" i="8"/>
  <c r="E76" i="8"/>
  <c r="C30" i="8"/>
  <c r="C76" i="8" s="1"/>
  <c r="D30" i="8"/>
  <c r="D76" i="8" s="1"/>
  <c r="B30" i="8"/>
  <c r="B76" i="8" s="1"/>
  <c r="I29" i="8"/>
  <c r="I74" i="8" s="1"/>
  <c r="J29" i="8"/>
  <c r="J74" i="8" s="1"/>
  <c r="K29" i="8"/>
  <c r="K74" i="8" s="1"/>
  <c r="L29" i="8"/>
  <c r="L74" i="8" s="1"/>
  <c r="M29" i="8"/>
  <c r="M74" i="8" s="1"/>
  <c r="H29" i="8"/>
  <c r="H74" i="8" s="1"/>
  <c r="F29" i="8"/>
  <c r="F74" i="8" s="1"/>
  <c r="G29" i="8"/>
  <c r="G74" i="8" s="1"/>
  <c r="E29" i="8"/>
  <c r="E74" i="8" s="1"/>
  <c r="C29" i="8"/>
  <c r="C74" i="8" s="1"/>
  <c r="D29" i="8"/>
  <c r="D74" i="8" s="1"/>
  <c r="B29" i="8"/>
  <c r="B74" i="8" s="1"/>
  <c r="I28" i="8"/>
  <c r="I73" i="8" s="1"/>
  <c r="J28" i="8"/>
  <c r="J73" i="8" s="1"/>
  <c r="K28" i="8"/>
  <c r="K73" i="8" s="1"/>
  <c r="L28" i="8"/>
  <c r="L73" i="8" s="1"/>
  <c r="M28" i="8"/>
  <c r="M73" i="8" s="1"/>
  <c r="H28" i="8"/>
  <c r="H73" i="8" s="1"/>
  <c r="F28" i="8"/>
  <c r="F73" i="8" s="1"/>
  <c r="G28" i="8"/>
  <c r="G73" i="8" s="1"/>
  <c r="E28" i="8"/>
  <c r="E73" i="8" s="1"/>
  <c r="C28" i="8"/>
  <c r="C73" i="8" s="1"/>
  <c r="D28" i="8"/>
  <c r="D73" i="8" s="1"/>
  <c r="B28" i="8"/>
  <c r="B73" i="8" s="1"/>
  <c r="I27" i="8"/>
  <c r="I72" i="8" s="1"/>
  <c r="J27" i="8"/>
  <c r="J72" i="8" s="1"/>
  <c r="K27" i="8"/>
  <c r="K72" i="8" s="1"/>
  <c r="L27" i="8"/>
  <c r="L72" i="8" s="1"/>
  <c r="M27" i="8"/>
  <c r="M72" i="8" s="1"/>
  <c r="H27" i="8"/>
  <c r="H72" i="8" s="1"/>
  <c r="F27" i="8"/>
  <c r="F72" i="8" s="1"/>
  <c r="G27" i="8"/>
  <c r="G72" i="8" s="1"/>
  <c r="E27" i="8"/>
  <c r="E72" i="8" s="1"/>
  <c r="C27" i="8"/>
  <c r="C72" i="8" s="1"/>
  <c r="D27" i="8"/>
  <c r="D72" i="8" s="1"/>
  <c r="B27" i="8"/>
  <c r="B72" i="8" s="1"/>
  <c r="A70" i="8"/>
  <c r="A69" i="8"/>
  <c r="A68" i="8"/>
  <c r="A66" i="8"/>
  <c r="A65" i="8"/>
  <c r="A63" i="8"/>
  <c r="A62" i="8"/>
  <c r="A60" i="8"/>
  <c r="A59" i="8"/>
  <c r="A57" i="8"/>
  <c r="A56" i="8"/>
  <c r="I26" i="8"/>
  <c r="I56" i="8" s="1"/>
  <c r="J26" i="8"/>
  <c r="J56" i="8" s="1"/>
  <c r="K26" i="8"/>
  <c r="K56" i="8" s="1"/>
  <c r="L26" i="8"/>
  <c r="L56" i="8" s="1"/>
  <c r="M26" i="8"/>
  <c r="M56" i="8" s="1"/>
  <c r="H26" i="8"/>
  <c r="H56" i="8" s="1"/>
  <c r="F26" i="8"/>
  <c r="F56" i="8" s="1"/>
  <c r="G26" i="8"/>
  <c r="G56" i="8" s="1"/>
  <c r="E26" i="8"/>
  <c r="E56" i="8" s="1"/>
  <c r="E25" i="8"/>
  <c r="C26" i="8"/>
  <c r="C56" i="8" s="1"/>
  <c r="D26" i="8"/>
  <c r="D56" i="8" s="1"/>
  <c r="B26" i="8"/>
  <c r="B56" i="8" s="1"/>
  <c r="N18" i="5"/>
  <c r="I25" i="8"/>
  <c r="J25" i="8"/>
  <c r="K25" i="8"/>
  <c r="L25" i="8"/>
  <c r="M25" i="8"/>
  <c r="H25" i="8"/>
  <c r="F25" i="8"/>
  <c r="G25" i="8"/>
  <c r="C25" i="8"/>
  <c r="D25" i="8"/>
  <c r="B25" i="8"/>
  <c r="I24" i="8"/>
  <c r="J24" i="8"/>
  <c r="K24" i="8"/>
  <c r="L24" i="8"/>
  <c r="M24" i="8"/>
  <c r="H24" i="8"/>
  <c r="E24" i="8"/>
  <c r="H21" i="8"/>
  <c r="F24" i="8"/>
  <c r="G24" i="8"/>
  <c r="G77" i="8" s="1"/>
  <c r="B24" i="8"/>
  <c r="E21" i="8"/>
  <c r="C24" i="8"/>
  <c r="C77" i="8" s="1"/>
  <c r="D24" i="8"/>
  <c r="A42" i="8"/>
  <c r="A41" i="8"/>
  <c r="M21" i="8"/>
  <c r="L21" i="8"/>
  <c r="K21" i="8"/>
  <c r="J21" i="8"/>
  <c r="I21" i="8"/>
  <c r="G21" i="8"/>
  <c r="F21" i="8"/>
  <c r="D21" i="8"/>
  <c r="C21" i="8"/>
  <c r="B21" i="8"/>
  <c r="M20" i="8"/>
  <c r="M105" i="8" s="1"/>
  <c r="M125" i="8" s="1"/>
  <c r="M145" i="8" s="1"/>
  <c r="L20" i="8"/>
  <c r="L172" i="8" s="1"/>
  <c r="K20" i="8"/>
  <c r="K172" i="8" s="1"/>
  <c r="J20" i="8"/>
  <c r="J169" i="8" s="1"/>
  <c r="I20" i="8"/>
  <c r="I105" i="8" s="1"/>
  <c r="I125" i="8" s="1"/>
  <c r="I145" i="8" s="1"/>
  <c r="H20" i="8"/>
  <c r="H172" i="8" s="1"/>
  <c r="G20" i="8"/>
  <c r="G172" i="8" s="1"/>
  <c r="F20" i="8"/>
  <c r="F169" i="8" s="1"/>
  <c r="E20" i="8"/>
  <c r="E75" i="8" s="1"/>
  <c r="D20" i="8"/>
  <c r="D172" i="8" s="1"/>
  <c r="C20" i="8"/>
  <c r="C172" i="8" s="1"/>
  <c r="B20" i="8"/>
  <c r="B169" i="8" s="1"/>
  <c r="M19" i="8"/>
  <c r="L19" i="8"/>
  <c r="K19" i="8"/>
  <c r="J19" i="8"/>
  <c r="I19" i="8"/>
  <c r="H19" i="8"/>
  <c r="G19" i="8"/>
  <c r="F19" i="8"/>
  <c r="E19" i="8"/>
  <c r="D19" i="8"/>
  <c r="C19" i="8"/>
  <c r="B19" i="8"/>
  <c r="B62" i="8" s="1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H6" i="8" s="1"/>
  <c r="H220" i="8" s="1"/>
  <c r="H219" i="8" s="1"/>
  <c r="G17" i="8"/>
  <c r="G6" i="8" s="1"/>
  <c r="G220" i="8" s="1"/>
  <c r="G219" i="8" s="1"/>
  <c r="F17" i="8"/>
  <c r="F6" i="8" s="1"/>
  <c r="F220" i="8" s="1"/>
  <c r="F219" i="8" s="1"/>
  <c r="E17" i="8"/>
  <c r="E6" i="8" s="1"/>
  <c r="E220" i="8" s="1"/>
  <c r="E219" i="8" s="1"/>
  <c r="D17" i="8"/>
  <c r="D6" i="8" s="1"/>
  <c r="D220" i="8" s="1"/>
  <c r="C17" i="8"/>
  <c r="C6" i="8" s="1"/>
  <c r="C220" i="8" s="1"/>
  <c r="B17" i="8"/>
  <c r="B6" i="8" s="1"/>
  <c r="B220" i="8" s="1"/>
  <c r="B219" i="8" s="1"/>
  <c r="M16" i="8"/>
  <c r="M51" i="8" s="1"/>
  <c r="L16" i="8"/>
  <c r="L51" i="8" s="1"/>
  <c r="K16" i="8"/>
  <c r="K51" i="8" s="1"/>
  <c r="J16" i="8"/>
  <c r="J51" i="8" s="1"/>
  <c r="I16" i="8"/>
  <c r="I51" i="8" s="1"/>
  <c r="H16" i="8"/>
  <c r="H51" i="8" s="1"/>
  <c r="G16" i="8"/>
  <c r="G51" i="8" s="1"/>
  <c r="F16" i="8"/>
  <c r="F51" i="8" s="1"/>
  <c r="E16" i="8"/>
  <c r="E51" i="8" s="1"/>
  <c r="D16" i="8"/>
  <c r="D51" i="8" s="1"/>
  <c r="C16" i="8"/>
  <c r="C51" i="8" s="1"/>
  <c r="B16" i="8"/>
  <c r="B51" i="8" s="1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M44" i="8" s="1"/>
  <c r="L12" i="8"/>
  <c r="L44" i="8" s="1"/>
  <c r="K12" i="8"/>
  <c r="K44" i="8" s="1"/>
  <c r="J12" i="8"/>
  <c r="J44" i="8" s="1"/>
  <c r="I12" i="8"/>
  <c r="I44" i="8" s="1"/>
  <c r="H12" i="8"/>
  <c r="H44" i="8" s="1"/>
  <c r="G12" i="8"/>
  <c r="G44" i="8" s="1"/>
  <c r="F12" i="8"/>
  <c r="F44" i="8" s="1"/>
  <c r="E12" i="8"/>
  <c r="E44" i="8" s="1"/>
  <c r="D12" i="8"/>
  <c r="D44" i="8" s="1"/>
  <c r="C12" i="8"/>
  <c r="C44" i="8" s="1"/>
  <c r="B12" i="8"/>
  <c r="B44" i="8" s="1"/>
  <c r="M11" i="8"/>
  <c r="M41" i="8" s="1"/>
  <c r="L11" i="8"/>
  <c r="L41" i="8" s="1"/>
  <c r="K11" i="8"/>
  <c r="K41" i="8" s="1"/>
  <c r="J11" i="8"/>
  <c r="J41" i="8" s="1"/>
  <c r="I11" i="8"/>
  <c r="I41" i="8" s="1"/>
  <c r="H11" i="8"/>
  <c r="H41" i="8" s="1"/>
  <c r="G11" i="8"/>
  <c r="G41" i="8" s="1"/>
  <c r="F11" i="8"/>
  <c r="F41" i="8" s="1"/>
  <c r="E11" i="8"/>
  <c r="E41" i="8" s="1"/>
  <c r="D11" i="8"/>
  <c r="D41" i="8" s="1"/>
  <c r="C11" i="8"/>
  <c r="C41" i="8" s="1"/>
  <c r="B11" i="8"/>
  <c r="B41" i="8" s="1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M110" i="8" s="1"/>
  <c r="M113" i="8" s="1"/>
  <c r="M133" i="8" s="1"/>
  <c r="M153" i="8" s="1"/>
  <c r="M162" i="8" s="1"/>
  <c r="L9" i="8"/>
  <c r="L173" i="8" s="1"/>
  <c r="K9" i="8"/>
  <c r="K176" i="8" s="1"/>
  <c r="J9" i="8"/>
  <c r="J23" i="8" s="1"/>
  <c r="J168" i="8" s="1"/>
  <c r="I9" i="8"/>
  <c r="I110" i="8" s="1"/>
  <c r="I113" i="8" s="1"/>
  <c r="I133" i="8" s="1"/>
  <c r="I153" i="8" s="1"/>
  <c r="I162" i="8" s="1"/>
  <c r="H9" i="8"/>
  <c r="H176" i="8" s="1"/>
  <c r="G9" i="8"/>
  <c r="G176" i="8" s="1"/>
  <c r="F9" i="8"/>
  <c r="F86" i="8" s="1"/>
  <c r="E9" i="8"/>
  <c r="E110" i="8" s="1"/>
  <c r="E113" i="8" s="1"/>
  <c r="E133" i="8" s="1"/>
  <c r="E153" i="8" s="1"/>
  <c r="E162" i="8" s="1"/>
  <c r="D9" i="8"/>
  <c r="D176" i="8" s="1"/>
  <c r="C9" i="8"/>
  <c r="C176" i="8" s="1"/>
  <c r="B9" i="8"/>
  <c r="B23" i="8" s="1"/>
  <c r="B195" i="8" s="1"/>
  <c r="M8" i="8"/>
  <c r="M59" i="8" s="1"/>
  <c r="L8" i="8"/>
  <c r="L59" i="8" s="1"/>
  <c r="K8" i="8"/>
  <c r="K59" i="8" s="1"/>
  <c r="J8" i="8"/>
  <c r="J59" i="8" s="1"/>
  <c r="I8" i="8"/>
  <c r="I59" i="8" s="1"/>
  <c r="H8" i="8"/>
  <c r="H59" i="8" s="1"/>
  <c r="G8" i="8"/>
  <c r="G59" i="8" s="1"/>
  <c r="F8" i="8"/>
  <c r="F59" i="8" s="1"/>
  <c r="E8" i="8"/>
  <c r="E59" i="8" s="1"/>
  <c r="D8" i="8"/>
  <c r="D59" i="8" s="1"/>
  <c r="C8" i="8"/>
  <c r="C59" i="8" s="1"/>
  <c r="B8" i="8"/>
  <c r="B59" i="8" s="1"/>
  <c r="M7" i="8"/>
  <c r="L7" i="8"/>
  <c r="K7" i="8"/>
  <c r="J7" i="8"/>
  <c r="I7" i="8"/>
  <c r="H7" i="8"/>
  <c r="G7" i="8"/>
  <c r="F7" i="8"/>
  <c r="E7" i="8"/>
  <c r="D7" i="8"/>
  <c r="C7" i="8"/>
  <c r="B7" i="8"/>
  <c r="M6" i="8"/>
  <c r="M220" i="8" s="1"/>
  <c r="M219" i="8" s="1"/>
  <c r="L6" i="8"/>
  <c r="L220" i="8" s="1"/>
  <c r="L219" i="8" s="1"/>
  <c r="K6" i="8"/>
  <c r="K220" i="8" s="1"/>
  <c r="K219" i="8" s="1"/>
  <c r="J6" i="8"/>
  <c r="J220" i="8" s="1"/>
  <c r="J219" i="8" s="1"/>
  <c r="I6" i="8"/>
  <c r="I220" i="8" s="1"/>
  <c r="I219" i="8" s="1"/>
  <c r="M5" i="8"/>
  <c r="L5" i="8"/>
  <c r="K5" i="8"/>
  <c r="J5" i="8"/>
  <c r="I5" i="8"/>
  <c r="H5" i="8"/>
  <c r="G5" i="8"/>
  <c r="F5" i="8"/>
  <c r="E5" i="8"/>
  <c r="D5" i="8"/>
  <c r="C5" i="8"/>
  <c r="B5" i="8"/>
  <c r="M4" i="8"/>
  <c r="M118" i="8" s="1"/>
  <c r="L4" i="8"/>
  <c r="L118" i="8" s="1"/>
  <c r="K4" i="8"/>
  <c r="J4" i="8"/>
  <c r="I4" i="8"/>
  <c r="I118" i="8" s="1"/>
  <c r="H4" i="8"/>
  <c r="H118" i="8" s="1"/>
  <c r="G4" i="8"/>
  <c r="F4" i="8"/>
  <c r="E4" i="8"/>
  <c r="E118" i="8" s="1"/>
  <c r="D4" i="8"/>
  <c r="D118" i="8" s="1"/>
  <c r="C4" i="8"/>
  <c r="B4" i="8"/>
  <c r="B99" i="8" s="1"/>
  <c r="R29" i="7"/>
  <c r="R28" i="7"/>
  <c r="R27" i="7"/>
  <c r="R25" i="7"/>
  <c r="R24" i="7"/>
  <c r="R23" i="7"/>
  <c r="R21" i="7"/>
  <c r="R20" i="7"/>
  <c r="R19" i="7"/>
  <c r="R17" i="7"/>
  <c r="R16" i="7"/>
  <c r="R15" i="7"/>
  <c r="R13" i="7"/>
  <c r="R12" i="7"/>
  <c r="R9" i="7"/>
  <c r="R8" i="7"/>
  <c r="R7" i="7"/>
  <c r="R5" i="7"/>
  <c r="R4" i="7"/>
  <c r="E33" i="7"/>
  <c r="F33" i="7"/>
  <c r="G33" i="7"/>
  <c r="H33" i="7"/>
  <c r="I33" i="7"/>
  <c r="J33" i="7"/>
  <c r="E30" i="7"/>
  <c r="F30" i="7"/>
  <c r="G30" i="7"/>
  <c r="H30" i="7"/>
  <c r="I30" i="7"/>
  <c r="J30" i="7"/>
  <c r="E28" i="7"/>
  <c r="F28" i="7"/>
  <c r="G28" i="7"/>
  <c r="H28" i="7"/>
  <c r="I28" i="7"/>
  <c r="J28" i="7"/>
  <c r="K28" i="7"/>
  <c r="L28" i="7"/>
  <c r="M28" i="7"/>
  <c r="E27" i="7"/>
  <c r="F27" i="7"/>
  <c r="G27" i="7"/>
  <c r="H27" i="7"/>
  <c r="I27" i="7"/>
  <c r="J27" i="7"/>
  <c r="E21" i="7"/>
  <c r="F21" i="7"/>
  <c r="G21" i="7"/>
  <c r="H21" i="7"/>
  <c r="I21" i="7"/>
  <c r="J21" i="7"/>
  <c r="F18" i="7"/>
  <c r="J18" i="7"/>
  <c r="H16" i="7"/>
  <c r="I16" i="7"/>
  <c r="J7" i="7"/>
  <c r="J19" i="7" s="1"/>
  <c r="I5" i="7"/>
  <c r="J5" i="7"/>
  <c r="J16" i="7" s="1"/>
  <c r="I6" i="7"/>
  <c r="I7" i="7" s="1"/>
  <c r="I31" i="7" s="1"/>
  <c r="J6" i="7"/>
  <c r="H6" i="7"/>
  <c r="H5" i="7"/>
  <c r="H7" i="7" s="1"/>
  <c r="H15" i="7" s="1"/>
  <c r="D148" i="3"/>
  <c r="D147" i="3" s="1"/>
  <c r="C147" i="3"/>
  <c r="C148" i="3"/>
  <c r="J14" i="7"/>
  <c r="B33" i="7"/>
  <c r="C33" i="7"/>
  <c r="D33" i="7"/>
  <c r="A34" i="7"/>
  <c r="A33" i="7"/>
  <c r="C30" i="7"/>
  <c r="D30" i="7"/>
  <c r="B30" i="7"/>
  <c r="A31" i="7"/>
  <c r="A30" i="7"/>
  <c r="B28" i="7"/>
  <c r="C28" i="7"/>
  <c r="D28" i="7"/>
  <c r="B27" i="7"/>
  <c r="C27" i="7"/>
  <c r="D27" i="7"/>
  <c r="A28" i="7"/>
  <c r="A27" i="7"/>
  <c r="B18" i="7"/>
  <c r="C18" i="7"/>
  <c r="A19" i="7"/>
  <c r="A18" i="7"/>
  <c r="B147" i="1"/>
  <c r="B5" i="7" s="1"/>
  <c r="B21" i="7"/>
  <c r="C21" i="7"/>
  <c r="D21" i="7"/>
  <c r="A22" i="7"/>
  <c r="A21" i="7"/>
  <c r="A16" i="7"/>
  <c r="A14" i="7"/>
  <c r="K5" i="7"/>
  <c r="L5" i="7"/>
  <c r="M5" i="7"/>
  <c r="K6" i="7"/>
  <c r="L6" i="7"/>
  <c r="M6" i="7"/>
  <c r="F5" i="7"/>
  <c r="F16" i="7" s="1"/>
  <c r="G5" i="7"/>
  <c r="G16" i="7" s="1"/>
  <c r="F6" i="7"/>
  <c r="G6" i="7"/>
  <c r="E6" i="7"/>
  <c r="E5" i="7"/>
  <c r="E16" i="7" s="1"/>
  <c r="B6" i="7"/>
  <c r="C6" i="7"/>
  <c r="D6" i="7"/>
  <c r="C5" i="7"/>
  <c r="C16" i="7" s="1"/>
  <c r="D5" i="7"/>
  <c r="D16" i="7" s="1"/>
  <c r="B8" i="7"/>
  <c r="B14" i="7" s="1"/>
  <c r="C8" i="7"/>
  <c r="C14" i="7" s="1"/>
  <c r="D8" i="7"/>
  <c r="D14" i="7" s="1"/>
  <c r="E8" i="7"/>
  <c r="E14" i="7" s="1"/>
  <c r="F8" i="7"/>
  <c r="F14" i="7" s="1"/>
  <c r="G8" i="7"/>
  <c r="G18" i="7" s="1"/>
  <c r="H8" i="7"/>
  <c r="H14" i="7" s="1"/>
  <c r="I8" i="7"/>
  <c r="I18" i="7" s="1"/>
  <c r="J8" i="7"/>
  <c r="K8" i="7"/>
  <c r="L8" i="7"/>
  <c r="M8" i="7"/>
  <c r="I4" i="7"/>
  <c r="J4" i="7"/>
  <c r="K4" i="7"/>
  <c r="L4" i="7"/>
  <c r="M4" i="7"/>
  <c r="H4" i="7"/>
  <c r="D4" i="7"/>
  <c r="F4" i="7"/>
  <c r="G4" i="7"/>
  <c r="E4" i="7"/>
  <c r="C4" i="7"/>
  <c r="B4" i="7"/>
  <c r="AO31" i="6"/>
  <c r="AP31" i="6"/>
  <c r="AN31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O33" i="6"/>
  <c r="AN33" i="6"/>
  <c r="AP35" i="6"/>
  <c r="AN25" i="6"/>
  <c r="AO25" i="6"/>
  <c r="AP25" i="6"/>
  <c r="AO30" i="6"/>
  <c r="AO29" i="6"/>
  <c r="AN29" i="6"/>
  <c r="AP27" i="6"/>
  <c r="AP28" i="6"/>
  <c r="AP29" i="6"/>
  <c r="AP30" i="6"/>
  <c r="AP32" i="6"/>
  <c r="AP33" i="6"/>
  <c r="AP34" i="6"/>
  <c r="AO27" i="6"/>
  <c r="AO28" i="6"/>
  <c r="AO32" i="6"/>
  <c r="AO34" i="6"/>
  <c r="AO35" i="6"/>
  <c r="AN27" i="6"/>
  <c r="AN28" i="6"/>
  <c r="AN30" i="6"/>
  <c r="AN32" i="6"/>
  <c r="AN34" i="6"/>
  <c r="AN35" i="6"/>
  <c r="AN26" i="6"/>
  <c r="AO26" i="6"/>
  <c r="AP26" i="6"/>
  <c r="AM25" i="6"/>
  <c r="B4" i="6"/>
  <c r="B29" i="6" s="1"/>
  <c r="C4" i="6"/>
  <c r="C29" i="6" s="1"/>
  <c r="D4" i="6"/>
  <c r="D29" i="6" s="1"/>
  <c r="E4" i="6"/>
  <c r="E29" i="6" s="1"/>
  <c r="F4" i="6"/>
  <c r="G4" i="6"/>
  <c r="G29" i="6" s="1"/>
  <c r="H4" i="6"/>
  <c r="H35" i="6" s="1"/>
  <c r="I4" i="6"/>
  <c r="I29" i="6" s="1"/>
  <c r="J4" i="6"/>
  <c r="K4" i="6"/>
  <c r="K29" i="6" s="1"/>
  <c r="L4" i="6"/>
  <c r="L35" i="6" s="1"/>
  <c r="M4" i="6"/>
  <c r="M29" i="6" s="1"/>
  <c r="R4" i="6"/>
  <c r="AE4" i="6"/>
  <c r="AF4" i="6"/>
  <c r="AG4" i="6"/>
  <c r="AH4" i="6"/>
  <c r="B5" i="6"/>
  <c r="C5" i="6"/>
  <c r="D5" i="6"/>
  <c r="E5" i="6"/>
  <c r="F5" i="6"/>
  <c r="G5" i="6"/>
  <c r="H5" i="6"/>
  <c r="I5" i="6"/>
  <c r="J5" i="6"/>
  <c r="K5" i="6"/>
  <c r="L5" i="6"/>
  <c r="M5" i="6"/>
  <c r="R5" i="6"/>
  <c r="AE5" i="6"/>
  <c r="AF5" i="6"/>
  <c r="AG5" i="6"/>
  <c r="AH5" i="6"/>
  <c r="R6" i="6"/>
  <c r="AE6" i="6"/>
  <c r="AF6" i="6"/>
  <c r="AG6" i="6"/>
  <c r="AH6" i="6"/>
  <c r="B7" i="6"/>
  <c r="C7" i="6"/>
  <c r="D7" i="6"/>
  <c r="E7" i="6"/>
  <c r="F7" i="6"/>
  <c r="G7" i="6"/>
  <c r="H7" i="6"/>
  <c r="I7" i="6"/>
  <c r="J7" i="6"/>
  <c r="K7" i="6"/>
  <c r="L7" i="6"/>
  <c r="M7" i="6"/>
  <c r="R7" i="6"/>
  <c r="AE7" i="6"/>
  <c r="AF7" i="6"/>
  <c r="AG7" i="6"/>
  <c r="AH7" i="6"/>
  <c r="B8" i="6"/>
  <c r="C8" i="6"/>
  <c r="D8" i="6"/>
  <c r="E8" i="6"/>
  <c r="F8" i="6"/>
  <c r="G8" i="6"/>
  <c r="H8" i="6"/>
  <c r="I8" i="6"/>
  <c r="J8" i="6"/>
  <c r="K8" i="6"/>
  <c r="L8" i="6"/>
  <c r="M8" i="6"/>
  <c r="R8" i="6"/>
  <c r="AE8" i="6"/>
  <c r="AF8" i="6"/>
  <c r="AG8" i="6"/>
  <c r="AH8" i="6"/>
  <c r="B9" i="6"/>
  <c r="C9" i="6"/>
  <c r="D9" i="6"/>
  <c r="E9" i="6"/>
  <c r="E30" i="6" s="1"/>
  <c r="F9" i="6"/>
  <c r="G9" i="6"/>
  <c r="G30" i="6" s="1"/>
  <c r="H9" i="6"/>
  <c r="H30" i="6" s="1"/>
  <c r="I9" i="6"/>
  <c r="I30" i="6" s="1"/>
  <c r="J9" i="6"/>
  <c r="K9" i="6"/>
  <c r="K30" i="6" s="1"/>
  <c r="L9" i="6"/>
  <c r="M9" i="6"/>
  <c r="M30" i="6" s="1"/>
  <c r="R9" i="6"/>
  <c r="AE9" i="6"/>
  <c r="AF9" i="6"/>
  <c r="AG9" i="6"/>
  <c r="AH9" i="6"/>
  <c r="B10" i="6"/>
  <c r="C10" i="6"/>
  <c r="D10" i="6"/>
  <c r="E10" i="6"/>
  <c r="F10" i="6"/>
  <c r="G10" i="6"/>
  <c r="H10" i="6"/>
  <c r="I10" i="6"/>
  <c r="J10" i="6"/>
  <c r="K10" i="6"/>
  <c r="L10" i="6"/>
  <c r="M10" i="6"/>
  <c r="R10" i="6"/>
  <c r="B11" i="6"/>
  <c r="C11" i="6"/>
  <c r="C39" i="6" s="1"/>
  <c r="D11" i="6"/>
  <c r="E11" i="6"/>
  <c r="F11" i="6"/>
  <c r="G11" i="6"/>
  <c r="G39" i="6" s="1"/>
  <c r="H11" i="6"/>
  <c r="I11" i="6"/>
  <c r="I39" i="6" s="1"/>
  <c r="J11" i="6"/>
  <c r="K11" i="6"/>
  <c r="L11" i="6"/>
  <c r="L39" i="6" s="1"/>
  <c r="M11" i="6"/>
  <c r="R11" i="6"/>
  <c r="B12" i="6"/>
  <c r="B32" i="6" s="1"/>
  <c r="C12" i="6"/>
  <c r="C32" i="6" s="1"/>
  <c r="D12" i="6"/>
  <c r="D32" i="6" s="1"/>
  <c r="E12" i="6"/>
  <c r="E32" i="6" s="1"/>
  <c r="F12" i="6"/>
  <c r="G12" i="6"/>
  <c r="G32" i="6" s="1"/>
  <c r="H12" i="6"/>
  <c r="H32" i="6" s="1"/>
  <c r="I12" i="6"/>
  <c r="I32" i="6" s="1"/>
  <c r="J12" i="6"/>
  <c r="J32" i="6" s="1"/>
  <c r="K12" i="6"/>
  <c r="K32" i="6" s="1"/>
  <c r="L12" i="6"/>
  <c r="L32" i="6" s="1"/>
  <c r="M12" i="6"/>
  <c r="M32" i="6" s="1"/>
  <c r="R12" i="6"/>
  <c r="AD12" i="6"/>
  <c r="B13" i="6"/>
  <c r="C13" i="6"/>
  <c r="D13" i="6"/>
  <c r="E13" i="6"/>
  <c r="F13" i="6"/>
  <c r="G13" i="6"/>
  <c r="H13" i="6"/>
  <c r="I13" i="6"/>
  <c r="J13" i="6"/>
  <c r="K13" i="6"/>
  <c r="L13" i="6"/>
  <c r="M13" i="6"/>
  <c r="R13" i="6"/>
  <c r="AD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R14" i="6"/>
  <c r="AE14" i="6"/>
  <c r="B15" i="6"/>
  <c r="C15" i="6"/>
  <c r="C19" i="6" s="1"/>
  <c r="D15" i="6"/>
  <c r="D19" i="6" s="1"/>
  <c r="E15" i="6"/>
  <c r="E19" i="6" s="1"/>
  <c r="F15" i="6"/>
  <c r="G15" i="6"/>
  <c r="G19" i="6" s="1"/>
  <c r="H15" i="6"/>
  <c r="H19" i="6" s="1"/>
  <c r="I15" i="6"/>
  <c r="I19" i="6" s="1"/>
  <c r="J15" i="6"/>
  <c r="K15" i="6"/>
  <c r="K19" i="6" s="1"/>
  <c r="L15" i="6"/>
  <c r="L19" i="6" s="1"/>
  <c r="M15" i="6"/>
  <c r="M19" i="6" s="1"/>
  <c r="R15" i="6"/>
  <c r="AD15" i="6"/>
  <c r="AE15" i="6"/>
  <c r="B16" i="6"/>
  <c r="C16" i="6"/>
  <c r="D16" i="6"/>
  <c r="E16" i="6"/>
  <c r="F16" i="6"/>
  <c r="G16" i="6"/>
  <c r="H16" i="6"/>
  <c r="I16" i="6"/>
  <c r="J16" i="6"/>
  <c r="K16" i="6"/>
  <c r="L16" i="6"/>
  <c r="M16" i="6"/>
  <c r="R16" i="6"/>
  <c r="AE16" i="6"/>
  <c r="B17" i="6"/>
  <c r="B6" i="6" s="1"/>
  <c r="C17" i="6"/>
  <c r="C6" i="6" s="1"/>
  <c r="D17" i="6"/>
  <c r="D6" i="6" s="1"/>
  <c r="E17" i="6"/>
  <c r="E6" i="6" s="1"/>
  <c r="F17" i="6"/>
  <c r="F6" i="6" s="1"/>
  <c r="G17" i="6"/>
  <c r="G6" i="6" s="1"/>
  <c r="H17" i="6"/>
  <c r="H6" i="6" s="1"/>
  <c r="I17" i="6"/>
  <c r="I6" i="6" s="1"/>
  <c r="J17" i="6"/>
  <c r="J6" i="6" s="1"/>
  <c r="K17" i="6"/>
  <c r="K6" i="6" s="1"/>
  <c r="L17" i="6"/>
  <c r="L6" i="6" s="1"/>
  <c r="M17" i="6"/>
  <c r="M6" i="6" s="1"/>
  <c r="R17" i="6"/>
  <c r="AD17" i="6"/>
  <c r="AE17" i="6"/>
  <c r="B18" i="6"/>
  <c r="B33" i="6" s="1"/>
  <c r="C18" i="6"/>
  <c r="C36" i="6" s="1"/>
  <c r="D18" i="6"/>
  <c r="D36" i="6" s="1"/>
  <c r="E18" i="6"/>
  <c r="E36" i="6" s="1"/>
  <c r="F18" i="6"/>
  <c r="F33" i="6" s="1"/>
  <c r="G18" i="6"/>
  <c r="G36" i="6" s="1"/>
  <c r="H18" i="6"/>
  <c r="H33" i="6" s="1"/>
  <c r="I18" i="6"/>
  <c r="I33" i="6" s="1"/>
  <c r="J18" i="6"/>
  <c r="J33" i="6" s="1"/>
  <c r="K18" i="6"/>
  <c r="K36" i="6" s="1"/>
  <c r="L18" i="6"/>
  <c r="L33" i="6" s="1"/>
  <c r="M18" i="6"/>
  <c r="M33" i="6" s="1"/>
  <c r="R18" i="6"/>
  <c r="AE18" i="6"/>
  <c r="R19" i="6"/>
  <c r="AD19" i="6"/>
  <c r="AE19" i="6"/>
  <c r="B20" i="6"/>
  <c r="C20" i="6"/>
  <c r="D20" i="6"/>
  <c r="E20" i="6"/>
  <c r="F20" i="6"/>
  <c r="G20" i="6"/>
  <c r="G45" i="6" s="1"/>
  <c r="H20" i="6"/>
  <c r="I20" i="6"/>
  <c r="J20" i="6"/>
  <c r="K20" i="6"/>
  <c r="L20" i="6"/>
  <c r="M20" i="6"/>
  <c r="R20" i="6"/>
  <c r="AE20" i="6"/>
  <c r="B21" i="6"/>
  <c r="B48" i="6" s="1"/>
  <c r="C21" i="6"/>
  <c r="C65" i="6" s="1"/>
  <c r="D21" i="6"/>
  <c r="E21" i="6"/>
  <c r="F21" i="6"/>
  <c r="G21" i="6"/>
  <c r="H21" i="6"/>
  <c r="I21" i="6"/>
  <c r="J21" i="6"/>
  <c r="J48" i="6" s="1"/>
  <c r="K21" i="6"/>
  <c r="K65" i="6" s="1"/>
  <c r="L21" i="6"/>
  <c r="M21" i="6"/>
  <c r="R21" i="6"/>
  <c r="AD21" i="6"/>
  <c r="AE21" i="6"/>
  <c r="R22" i="6"/>
  <c r="AE22" i="6"/>
  <c r="R23" i="6"/>
  <c r="R24" i="6"/>
  <c r="AD24" i="6"/>
  <c r="AE34" i="6"/>
  <c r="AE33" i="6"/>
  <c r="AE32" i="6"/>
  <c r="AE31" i="6"/>
  <c r="AE30" i="6"/>
  <c r="AE29" i="6"/>
  <c r="AE28" i="6"/>
  <c r="AE27" i="6"/>
  <c r="AE26" i="6"/>
  <c r="AE25" i="6"/>
  <c r="AD33" i="6"/>
  <c r="AD31" i="6"/>
  <c r="AD29" i="6"/>
  <c r="AD27" i="6"/>
  <c r="AD25" i="6"/>
  <c r="R67" i="6"/>
  <c r="R66" i="6"/>
  <c r="R65" i="6"/>
  <c r="R64" i="6"/>
  <c r="R63" i="6"/>
  <c r="R62" i="6"/>
  <c r="R56" i="6"/>
  <c r="R61" i="6"/>
  <c r="R60" i="6"/>
  <c r="R59" i="6"/>
  <c r="R58" i="6"/>
  <c r="R57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25" i="6"/>
  <c r="R30" i="6"/>
  <c r="R29" i="6"/>
  <c r="R28" i="6"/>
  <c r="R27" i="6"/>
  <c r="R26" i="6"/>
  <c r="R1" i="6"/>
  <c r="R3" i="6"/>
  <c r="R2" i="6"/>
  <c r="A69" i="6"/>
  <c r="A68" i="6"/>
  <c r="A66" i="6"/>
  <c r="A65" i="6"/>
  <c r="A61" i="6"/>
  <c r="A58" i="6"/>
  <c r="A60" i="6"/>
  <c r="A57" i="6"/>
  <c r="A52" i="6"/>
  <c r="A51" i="6"/>
  <c r="A49" i="6"/>
  <c r="A48" i="6"/>
  <c r="A46" i="6"/>
  <c r="A45" i="6"/>
  <c r="A43" i="6"/>
  <c r="A42" i="6"/>
  <c r="L68" i="6"/>
  <c r="A40" i="6"/>
  <c r="A39" i="6"/>
  <c r="A36" i="6"/>
  <c r="A35" i="6"/>
  <c r="A33" i="6"/>
  <c r="A32" i="6"/>
  <c r="A30" i="6"/>
  <c r="A29" i="6"/>
  <c r="A26" i="6"/>
  <c r="A27" i="6"/>
  <c r="I58" i="6"/>
  <c r="F32" i="6"/>
  <c r="M39" i="6"/>
  <c r="D30" i="6"/>
  <c r="J29" i="6"/>
  <c r="F29" i="6"/>
  <c r="AF3" i="6"/>
  <c r="AG3" i="6"/>
  <c r="AH3" i="6"/>
  <c r="AE3" i="6"/>
  <c r="AF2" i="6"/>
  <c r="AG2" i="6"/>
  <c r="AH2" i="6"/>
  <c r="AE2" i="6"/>
  <c r="A76" i="5"/>
  <c r="I16" i="5"/>
  <c r="I76" i="5" s="1"/>
  <c r="J16" i="5"/>
  <c r="J76" i="5" s="1"/>
  <c r="K16" i="5"/>
  <c r="K76" i="5" s="1"/>
  <c r="L16" i="5"/>
  <c r="L76" i="5" s="1"/>
  <c r="M16" i="5"/>
  <c r="M76" i="5" s="1"/>
  <c r="H16" i="5"/>
  <c r="H76" i="5" s="1"/>
  <c r="H15" i="5"/>
  <c r="H49" i="5" s="1"/>
  <c r="F16" i="5"/>
  <c r="F76" i="5" s="1"/>
  <c r="G16" i="5"/>
  <c r="G76" i="5" s="1"/>
  <c r="E16" i="5"/>
  <c r="E76" i="5" s="1"/>
  <c r="C16" i="5"/>
  <c r="C76" i="5" s="1"/>
  <c r="D16" i="5"/>
  <c r="D76" i="5" s="1"/>
  <c r="B16" i="5"/>
  <c r="B76" i="5" s="1"/>
  <c r="A75" i="5"/>
  <c r="V106" i="5"/>
  <c r="U106" i="5"/>
  <c r="T106" i="5"/>
  <c r="W106" i="5" s="1"/>
  <c r="S106" i="5"/>
  <c r="W105" i="5"/>
  <c r="U105" i="5"/>
  <c r="T105" i="5"/>
  <c r="S105" i="5"/>
  <c r="V105" i="5" s="1"/>
  <c r="U104" i="5"/>
  <c r="T104" i="5"/>
  <c r="W104" i="5" s="1"/>
  <c r="S104" i="5"/>
  <c r="V102" i="5"/>
  <c r="U102" i="5"/>
  <c r="W102" i="5" s="1"/>
  <c r="T102" i="5"/>
  <c r="S102" i="5"/>
  <c r="W101" i="5"/>
  <c r="V101" i="5"/>
  <c r="U101" i="5"/>
  <c r="T101" i="5"/>
  <c r="S101" i="5"/>
  <c r="W100" i="5"/>
  <c r="U100" i="5"/>
  <c r="T100" i="5"/>
  <c r="S100" i="5"/>
  <c r="V100" i="5" s="1"/>
  <c r="U98" i="5"/>
  <c r="T98" i="5"/>
  <c r="W98" i="5" s="1"/>
  <c r="S98" i="5"/>
  <c r="V97" i="5"/>
  <c r="U97" i="5"/>
  <c r="W97" i="5" s="1"/>
  <c r="T97" i="5"/>
  <c r="S97" i="5"/>
  <c r="W96" i="5"/>
  <c r="V96" i="5"/>
  <c r="U96" i="5"/>
  <c r="T96" i="5"/>
  <c r="S96" i="5"/>
  <c r="W94" i="5"/>
  <c r="U94" i="5"/>
  <c r="T94" i="5"/>
  <c r="S94" i="5"/>
  <c r="V94" i="5" s="1"/>
  <c r="U93" i="5"/>
  <c r="T93" i="5"/>
  <c r="W93" i="5" s="1"/>
  <c r="S93" i="5"/>
  <c r="U92" i="5"/>
  <c r="W92" i="5" s="1"/>
  <c r="T92" i="5"/>
  <c r="B72" i="5"/>
  <c r="I72" i="5"/>
  <c r="J72" i="5"/>
  <c r="K72" i="5"/>
  <c r="L72" i="5"/>
  <c r="M72" i="5"/>
  <c r="H72" i="5"/>
  <c r="F72" i="5"/>
  <c r="G72" i="5"/>
  <c r="E72" i="5"/>
  <c r="C72" i="5"/>
  <c r="D72" i="5"/>
  <c r="E70" i="5"/>
  <c r="F70" i="5"/>
  <c r="G70" i="5"/>
  <c r="I71" i="5"/>
  <c r="J71" i="5"/>
  <c r="K71" i="5"/>
  <c r="L71" i="5"/>
  <c r="M71" i="5"/>
  <c r="H71" i="5"/>
  <c r="F71" i="5"/>
  <c r="G71" i="5"/>
  <c r="E71" i="5"/>
  <c r="C71" i="5"/>
  <c r="D71" i="5"/>
  <c r="B71" i="5"/>
  <c r="I70" i="5"/>
  <c r="J70" i="5"/>
  <c r="K70" i="5"/>
  <c r="L70" i="5"/>
  <c r="M70" i="5"/>
  <c r="H70" i="5"/>
  <c r="C70" i="5"/>
  <c r="D70" i="5"/>
  <c r="B70" i="5"/>
  <c r="I69" i="5"/>
  <c r="J69" i="5"/>
  <c r="K69" i="5"/>
  <c r="L69" i="5"/>
  <c r="M69" i="5"/>
  <c r="H69" i="5"/>
  <c r="F69" i="5"/>
  <c r="G69" i="5"/>
  <c r="E69" i="5"/>
  <c r="C69" i="5"/>
  <c r="D69" i="5"/>
  <c r="B69" i="5"/>
  <c r="M68" i="5"/>
  <c r="I68" i="5"/>
  <c r="J68" i="5"/>
  <c r="K68" i="5"/>
  <c r="L68" i="5"/>
  <c r="H68" i="5"/>
  <c r="F68" i="5"/>
  <c r="G68" i="5"/>
  <c r="E68" i="5"/>
  <c r="C68" i="5"/>
  <c r="D68" i="5"/>
  <c r="B68" i="5"/>
  <c r="S92" i="5" s="1"/>
  <c r="V92" i="5" s="1"/>
  <c r="I65" i="5"/>
  <c r="T84" i="5" s="1"/>
  <c r="J65" i="5"/>
  <c r="U84" i="5" s="1"/>
  <c r="K65" i="5"/>
  <c r="S88" i="5" s="1"/>
  <c r="L65" i="5"/>
  <c r="T88" i="5" s="1"/>
  <c r="M65" i="5"/>
  <c r="U88" i="5" s="1"/>
  <c r="I64" i="5"/>
  <c r="T83" i="5" s="1"/>
  <c r="J64" i="5"/>
  <c r="U83" i="5" s="1"/>
  <c r="K64" i="5"/>
  <c r="S87" i="5" s="1"/>
  <c r="L64" i="5"/>
  <c r="T87" i="5" s="1"/>
  <c r="M64" i="5"/>
  <c r="U87" i="5" s="1"/>
  <c r="I63" i="5"/>
  <c r="T82" i="5" s="1"/>
  <c r="J63" i="5"/>
  <c r="U82" i="5" s="1"/>
  <c r="K63" i="5"/>
  <c r="S86" i="5" s="1"/>
  <c r="L63" i="5"/>
  <c r="T86" i="5" s="1"/>
  <c r="M63" i="5"/>
  <c r="U86" i="5" s="1"/>
  <c r="H65" i="5"/>
  <c r="S84" i="5" s="1"/>
  <c r="H64" i="5"/>
  <c r="S83" i="5" s="1"/>
  <c r="H63" i="5"/>
  <c r="S82" i="5" s="1"/>
  <c r="F65" i="5"/>
  <c r="T80" i="5" s="1"/>
  <c r="G65" i="5"/>
  <c r="U80" i="5" s="1"/>
  <c r="G63" i="5"/>
  <c r="U78" i="5" s="1"/>
  <c r="F64" i="5"/>
  <c r="T79" i="5" s="1"/>
  <c r="G64" i="5"/>
  <c r="U79" i="5" s="1"/>
  <c r="W79" i="5" s="1"/>
  <c r="F63" i="5"/>
  <c r="T78" i="5" s="1"/>
  <c r="E65" i="5"/>
  <c r="S80" i="5" s="1"/>
  <c r="E64" i="5"/>
  <c r="S79" i="5" s="1"/>
  <c r="V79" i="5" s="1"/>
  <c r="E63" i="5"/>
  <c r="S78" i="5" s="1"/>
  <c r="C65" i="5"/>
  <c r="T76" i="5" s="1"/>
  <c r="D65" i="5"/>
  <c r="U76" i="5" s="1"/>
  <c r="C64" i="5"/>
  <c r="T75" i="5" s="1"/>
  <c r="D64" i="5"/>
  <c r="U75" i="5" s="1"/>
  <c r="C63" i="5"/>
  <c r="T74" i="5" s="1"/>
  <c r="D63" i="5"/>
  <c r="U74" i="5" s="1"/>
  <c r="B65" i="5"/>
  <c r="S76" i="5" s="1"/>
  <c r="B64" i="5"/>
  <c r="S75" i="5" s="1"/>
  <c r="B63" i="5"/>
  <c r="S74" i="5" s="1"/>
  <c r="V74" i="5" s="1"/>
  <c r="A50" i="5"/>
  <c r="A49" i="5"/>
  <c r="I15" i="5"/>
  <c r="I49" i="5" s="1"/>
  <c r="J15" i="5"/>
  <c r="J49" i="5" s="1"/>
  <c r="K15" i="5"/>
  <c r="K49" i="5" s="1"/>
  <c r="L15" i="5"/>
  <c r="L49" i="5" s="1"/>
  <c r="M15" i="5"/>
  <c r="M49" i="5" s="1"/>
  <c r="F15" i="5"/>
  <c r="F49" i="5" s="1"/>
  <c r="G15" i="5"/>
  <c r="G49" i="5" s="1"/>
  <c r="E15" i="5"/>
  <c r="E49" i="5" s="1"/>
  <c r="C15" i="5"/>
  <c r="C49" i="5" s="1"/>
  <c r="D15" i="5"/>
  <c r="D49" i="5" s="1"/>
  <c r="B15" i="5"/>
  <c r="B49" i="5" s="1"/>
  <c r="A45" i="5"/>
  <c r="A44" i="5"/>
  <c r="A43" i="5"/>
  <c r="R44" i="5"/>
  <c r="R49" i="5"/>
  <c r="R48" i="5"/>
  <c r="R47" i="5"/>
  <c r="R46" i="5"/>
  <c r="R45" i="5"/>
  <c r="R25" i="5"/>
  <c r="R38" i="5"/>
  <c r="R43" i="5"/>
  <c r="R42" i="5"/>
  <c r="R41" i="5"/>
  <c r="R40" i="5"/>
  <c r="R39" i="5"/>
  <c r="R37" i="5"/>
  <c r="R36" i="5"/>
  <c r="R35" i="5"/>
  <c r="R34" i="5"/>
  <c r="R33" i="5"/>
  <c r="R32" i="5"/>
  <c r="J8" i="5"/>
  <c r="J60" i="5" s="1"/>
  <c r="U67" i="5" s="1"/>
  <c r="R30" i="5"/>
  <c r="R29" i="5"/>
  <c r="R28" i="5"/>
  <c r="R27" i="5"/>
  <c r="R26" i="5"/>
  <c r="R24" i="5"/>
  <c r="R23" i="5"/>
  <c r="R22" i="5"/>
  <c r="R21" i="5"/>
  <c r="R20" i="5"/>
  <c r="R19" i="5"/>
  <c r="R18" i="5"/>
  <c r="R17" i="5"/>
  <c r="R16" i="5"/>
  <c r="R15" i="5"/>
  <c r="R14" i="5"/>
  <c r="R13" i="5"/>
  <c r="R7" i="5"/>
  <c r="R12" i="5"/>
  <c r="R11" i="5"/>
  <c r="R10" i="5"/>
  <c r="R9" i="5"/>
  <c r="R8" i="5"/>
  <c r="R6" i="5"/>
  <c r="R5" i="5"/>
  <c r="R4" i="5"/>
  <c r="R3" i="5"/>
  <c r="R2" i="5"/>
  <c r="R1" i="5"/>
  <c r="A60" i="5"/>
  <c r="I10" i="5"/>
  <c r="J10" i="5"/>
  <c r="K10" i="5"/>
  <c r="L10" i="5"/>
  <c r="M10" i="5"/>
  <c r="H10" i="5"/>
  <c r="F10" i="5"/>
  <c r="G10" i="5"/>
  <c r="E10" i="5"/>
  <c r="C10" i="5"/>
  <c r="D10" i="5"/>
  <c r="B10" i="5"/>
  <c r="A40" i="5"/>
  <c r="A39" i="5"/>
  <c r="I14" i="5"/>
  <c r="I39" i="5" s="1"/>
  <c r="J14" i="5"/>
  <c r="J39" i="5" s="1"/>
  <c r="K14" i="5"/>
  <c r="K39" i="5" s="1"/>
  <c r="L14" i="5"/>
  <c r="L39" i="5" s="1"/>
  <c r="M14" i="5"/>
  <c r="M39" i="5" s="1"/>
  <c r="H14" i="5"/>
  <c r="H39" i="5" s="1"/>
  <c r="F14" i="5"/>
  <c r="F39" i="5" s="1"/>
  <c r="G14" i="5"/>
  <c r="G39" i="5" s="1"/>
  <c r="E14" i="5"/>
  <c r="E39" i="5" s="1"/>
  <c r="C14" i="5"/>
  <c r="C39" i="5" s="1"/>
  <c r="D14" i="5"/>
  <c r="D39" i="5" s="1"/>
  <c r="B14" i="5"/>
  <c r="B39" i="5" s="1"/>
  <c r="I13" i="5"/>
  <c r="I37" i="5" s="1"/>
  <c r="J13" i="5"/>
  <c r="J37" i="5" s="1"/>
  <c r="K13" i="5"/>
  <c r="K37" i="5" s="1"/>
  <c r="L13" i="5"/>
  <c r="L37" i="5" s="1"/>
  <c r="M13" i="5"/>
  <c r="M37" i="5" s="1"/>
  <c r="H13" i="5"/>
  <c r="H37" i="5" s="1"/>
  <c r="F13" i="5"/>
  <c r="F37" i="5" s="1"/>
  <c r="G13" i="5"/>
  <c r="G37" i="5" s="1"/>
  <c r="E13" i="5"/>
  <c r="E37" i="5" s="1"/>
  <c r="C13" i="5"/>
  <c r="C37" i="5" s="1"/>
  <c r="D13" i="5"/>
  <c r="D37" i="5" s="1"/>
  <c r="B13" i="5"/>
  <c r="B37" i="5" s="1"/>
  <c r="I12" i="5"/>
  <c r="I35" i="5" s="1"/>
  <c r="J12" i="5"/>
  <c r="J35" i="5" s="1"/>
  <c r="K12" i="5"/>
  <c r="K35" i="5" s="1"/>
  <c r="L12" i="5"/>
  <c r="L35" i="5" s="1"/>
  <c r="M12" i="5"/>
  <c r="M35" i="5" s="1"/>
  <c r="F12" i="5"/>
  <c r="F35" i="5" s="1"/>
  <c r="G12" i="5"/>
  <c r="G35" i="5" s="1"/>
  <c r="E12" i="5"/>
  <c r="E35" i="5" s="1"/>
  <c r="H12" i="5"/>
  <c r="H35" i="5" s="1"/>
  <c r="C12" i="5"/>
  <c r="C35" i="5" s="1"/>
  <c r="D12" i="5"/>
  <c r="D35" i="5" s="1"/>
  <c r="B12" i="5"/>
  <c r="B35" i="5" s="1"/>
  <c r="A37" i="5"/>
  <c r="A35" i="5"/>
  <c r="A36" i="5"/>
  <c r="I11" i="5"/>
  <c r="I33" i="5" s="1"/>
  <c r="J11" i="5"/>
  <c r="J33" i="5" s="1"/>
  <c r="K11" i="5"/>
  <c r="K33" i="5" s="1"/>
  <c r="L11" i="5"/>
  <c r="L33" i="5" s="1"/>
  <c r="M11" i="5"/>
  <c r="M33" i="5" s="1"/>
  <c r="H11" i="5"/>
  <c r="H33" i="5" s="1"/>
  <c r="F11" i="5"/>
  <c r="F33" i="5" s="1"/>
  <c r="G11" i="5"/>
  <c r="G33" i="5" s="1"/>
  <c r="E11" i="5"/>
  <c r="E33" i="5" s="1"/>
  <c r="E9" i="5"/>
  <c r="E30" i="5" s="1"/>
  <c r="C11" i="5"/>
  <c r="C33" i="5" s="1"/>
  <c r="D11" i="5"/>
  <c r="D33" i="5" s="1"/>
  <c r="B11" i="5"/>
  <c r="B33" i="5" s="1"/>
  <c r="A33" i="5"/>
  <c r="A32" i="5"/>
  <c r="I9" i="5"/>
  <c r="I30" i="5" s="1"/>
  <c r="J9" i="5"/>
  <c r="J30" i="5" s="1"/>
  <c r="K9" i="5"/>
  <c r="K30" i="5" s="1"/>
  <c r="L9" i="5"/>
  <c r="L30" i="5" s="1"/>
  <c r="M9" i="5"/>
  <c r="M30" i="5" s="1"/>
  <c r="H9" i="5"/>
  <c r="H30" i="5" s="1"/>
  <c r="F9" i="5"/>
  <c r="F30" i="5" s="1"/>
  <c r="G9" i="5"/>
  <c r="G30" i="5" s="1"/>
  <c r="C9" i="5"/>
  <c r="C30" i="5" s="1"/>
  <c r="D9" i="5"/>
  <c r="D30" i="5" s="1"/>
  <c r="B9" i="5"/>
  <c r="B30" i="5" s="1"/>
  <c r="A30" i="5"/>
  <c r="A29" i="5"/>
  <c r="A27" i="5"/>
  <c r="A26" i="5"/>
  <c r="I8" i="5"/>
  <c r="I29" i="5" s="1"/>
  <c r="K8" i="5"/>
  <c r="K26" i="5" s="1"/>
  <c r="L8" i="5"/>
  <c r="L29" i="5" s="1"/>
  <c r="M8" i="5"/>
  <c r="M29" i="5" s="1"/>
  <c r="H8" i="5"/>
  <c r="H26" i="5" s="1"/>
  <c r="F8" i="5"/>
  <c r="F26" i="5" s="1"/>
  <c r="G8" i="5"/>
  <c r="G26" i="5" s="1"/>
  <c r="E8" i="5"/>
  <c r="E29" i="5" s="1"/>
  <c r="C8" i="5"/>
  <c r="C26" i="5" s="1"/>
  <c r="D8" i="5"/>
  <c r="D26" i="5" s="1"/>
  <c r="B8" i="5"/>
  <c r="B26" i="5" s="1"/>
  <c r="I24" i="5"/>
  <c r="T47" i="5" s="1"/>
  <c r="J24" i="5"/>
  <c r="U47" i="5" s="1"/>
  <c r="K24" i="5"/>
  <c r="S48" i="5" s="1"/>
  <c r="L24" i="5"/>
  <c r="T48" i="5" s="1"/>
  <c r="M24" i="5"/>
  <c r="U48" i="5" s="1"/>
  <c r="H24" i="5"/>
  <c r="S47" i="5" s="1"/>
  <c r="F24" i="5"/>
  <c r="T46" i="5" s="1"/>
  <c r="G24" i="5"/>
  <c r="U46" i="5" s="1"/>
  <c r="E24" i="5"/>
  <c r="S46" i="5" s="1"/>
  <c r="E7" i="5"/>
  <c r="E23" i="5" s="1"/>
  <c r="C24" i="5"/>
  <c r="T45" i="5" s="1"/>
  <c r="D24" i="5"/>
  <c r="U45" i="5" s="1"/>
  <c r="B24" i="5"/>
  <c r="A22" i="5"/>
  <c r="A23" i="5"/>
  <c r="A21" i="5"/>
  <c r="I7" i="5"/>
  <c r="I23" i="5" s="1"/>
  <c r="J7" i="5"/>
  <c r="J23" i="5" s="1"/>
  <c r="K7" i="5"/>
  <c r="K23" i="5" s="1"/>
  <c r="L7" i="5"/>
  <c r="L23" i="5" s="1"/>
  <c r="M7" i="5"/>
  <c r="M23" i="5" s="1"/>
  <c r="H7" i="5"/>
  <c r="H23" i="5" s="1"/>
  <c r="F7" i="5"/>
  <c r="F23" i="5" s="1"/>
  <c r="G7" i="5"/>
  <c r="G23" i="5" s="1"/>
  <c r="C7" i="5"/>
  <c r="C23" i="5" s="1"/>
  <c r="D7" i="5"/>
  <c r="D23" i="5" s="1"/>
  <c r="B7" i="5"/>
  <c r="B23" i="5" s="1"/>
  <c r="A19" i="5"/>
  <c r="I5" i="5"/>
  <c r="I19" i="5" s="1"/>
  <c r="J5" i="5"/>
  <c r="J19" i="5" s="1"/>
  <c r="K5" i="5"/>
  <c r="K19" i="5" s="1"/>
  <c r="L5" i="5"/>
  <c r="L19" i="5" s="1"/>
  <c r="M5" i="5"/>
  <c r="M19" i="5" s="1"/>
  <c r="H5" i="5"/>
  <c r="H19" i="5" s="1"/>
  <c r="F5" i="5"/>
  <c r="F19" i="5" s="1"/>
  <c r="G5" i="5"/>
  <c r="G19" i="5" s="1"/>
  <c r="E5" i="5"/>
  <c r="E19" i="5" s="1"/>
  <c r="C5" i="5"/>
  <c r="C19" i="5" s="1"/>
  <c r="D5" i="5"/>
  <c r="D19" i="5" s="1"/>
  <c r="B5" i="5"/>
  <c r="B19" i="5" s="1"/>
  <c r="A18" i="5"/>
  <c r="I4" i="5"/>
  <c r="I18" i="5" s="1"/>
  <c r="J4" i="5"/>
  <c r="J18" i="5" s="1"/>
  <c r="K4" i="5"/>
  <c r="K18" i="5" s="1"/>
  <c r="L4" i="5"/>
  <c r="L18" i="5" s="1"/>
  <c r="M4" i="5"/>
  <c r="M18" i="5" s="1"/>
  <c r="H4" i="5"/>
  <c r="H18" i="5" s="1"/>
  <c r="F4" i="5"/>
  <c r="F18" i="5" s="1"/>
  <c r="G4" i="5"/>
  <c r="G18" i="5" s="1"/>
  <c r="E4" i="5"/>
  <c r="E18" i="5" s="1"/>
  <c r="B4" i="5"/>
  <c r="B18" i="5" s="1"/>
  <c r="C4" i="5"/>
  <c r="C18" i="5" s="1"/>
  <c r="D4" i="5"/>
  <c r="D18" i="5" s="1"/>
  <c r="T47" i="4"/>
  <c r="R44" i="4"/>
  <c r="R38" i="4"/>
  <c r="R32" i="4"/>
  <c r="R26" i="4"/>
  <c r="R20" i="4"/>
  <c r="R14" i="4"/>
  <c r="R8" i="4"/>
  <c r="R2" i="4"/>
  <c r="I15" i="4"/>
  <c r="J15" i="4"/>
  <c r="K15" i="4"/>
  <c r="L15" i="4"/>
  <c r="M15" i="4"/>
  <c r="H15" i="4"/>
  <c r="F15" i="4"/>
  <c r="G15" i="4"/>
  <c r="E15" i="4"/>
  <c r="C15" i="4"/>
  <c r="D15" i="4"/>
  <c r="B15" i="4"/>
  <c r="I53" i="4"/>
  <c r="I56" i="4" s="1"/>
  <c r="J53" i="4"/>
  <c r="J56" i="4" s="1"/>
  <c r="K53" i="4"/>
  <c r="K56" i="4" s="1"/>
  <c r="L53" i="4"/>
  <c r="L56" i="4" s="1"/>
  <c r="M53" i="4"/>
  <c r="M54" i="4" s="1"/>
  <c r="H53" i="4"/>
  <c r="H55" i="4" s="1"/>
  <c r="H47" i="4"/>
  <c r="H50" i="4" s="1"/>
  <c r="F53" i="4"/>
  <c r="F54" i="4" s="1"/>
  <c r="G53" i="4"/>
  <c r="G55" i="4" s="1"/>
  <c r="E53" i="4"/>
  <c r="E54" i="4" s="1"/>
  <c r="E47" i="4"/>
  <c r="E50" i="4" s="1"/>
  <c r="C53" i="4"/>
  <c r="C54" i="4" s="1"/>
  <c r="D53" i="4"/>
  <c r="D55" i="4" s="1"/>
  <c r="B53" i="4"/>
  <c r="B54" i="4" s="1"/>
  <c r="B47" i="4"/>
  <c r="B50" i="4" s="1"/>
  <c r="B29" i="4"/>
  <c r="B39" i="4"/>
  <c r="I47" i="4"/>
  <c r="I49" i="4" s="1"/>
  <c r="J47" i="4"/>
  <c r="J50" i="4" s="1"/>
  <c r="K47" i="4"/>
  <c r="K50" i="4" s="1"/>
  <c r="L47" i="4"/>
  <c r="L48" i="4" s="1"/>
  <c r="M47" i="4"/>
  <c r="M50" i="4" s="1"/>
  <c r="H43" i="4"/>
  <c r="F47" i="4"/>
  <c r="F50" i="4" s="1"/>
  <c r="G47" i="4"/>
  <c r="G50" i="4" s="1"/>
  <c r="E43" i="4"/>
  <c r="C47" i="4"/>
  <c r="C50" i="4" s="1"/>
  <c r="D47" i="4"/>
  <c r="D50" i="4" s="1"/>
  <c r="I44" i="4"/>
  <c r="J44" i="4"/>
  <c r="K44" i="4"/>
  <c r="L44" i="4"/>
  <c r="M44" i="4"/>
  <c r="H44" i="4"/>
  <c r="F44" i="4"/>
  <c r="G44" i="4"/>
  <c r="E44" i="4"/>
  <c r="C44" i="4"/>
  <c r="D44" i="4"/>
  <c r="B44" i="4"/>
  <c r="I43" i="4"/>
  <c r="J43" i="4"/>
  <c r="K43" i="4"/>
  <c r="K45" i="4" s="1"/>
  <c r="S48" i="4" s="1"/>
  <c r="L43" i="4"/>
  <c r="M43" i="4"/>
  <c r="M45" i="4" s="1"/>
  <c r="U48" i="4" s="1"/>
  <c r="H39" i="4"/>
  <c r="F43" i="4"/>
  <c r="F45" i="4" s="1"/>
  <c r="T46" i="4" s="1"/>
  <c r="G43" i="4"/>
  <c r="G45" i="4" s="1"/>
  <c r="U46" i="4" s="1"/>
  <c r="E39" i="4"/>
  <c r="C43" i="4"/>
  <c r="D43" i="4"/>
  <c r="B43" i="4"/>
  <c r="I40" i="4"/>
  <c r="J40" i="4"/>
  <c r="K40" i="4"/>
  <c r="L40" i="4"/>
  <c r="M40" i="4"/>
  <c r="H40" i="4"/>
  <c r="G40" i="4"/>
  <c r="F40" i="4"/>
  <c r="E40" i="4"/>
  <c r="C40" i="4"/>
  <c r="D40" i="4"/>
  <c r="B40" i="4"/>
  <c r="B25" i="4"/>
  <c r="I39" i="4"/>
  <c r="J39" i="4"/>
  <c r="K39" i="4"/>
  <c r="L39" i="4"/>
  <c r="M39" i="4"/>
  <c r="F39" i="4"/>
  <c r="G39" i="4"/>
  <c r="C39" i="4"/>
  <c r="D39" i="4"/>
  <c r="B35" i="4"/>
  <c r="I36" i="4"/>
  <c r="J36" i="4"/>
  <c r="K36" i="4"/>
  <c r="L36" i="4"/>
  <c r="M36" i="4"/>
  <c r="H36" i="4"/>
  <c r="F36" i="4"/>
  <c r="G36" i="4"/>
  <c r="E36" i="4"/>
  <c r="C36" i="4"/>
  <c r="D36" i="4"/>
  <c r="B36" i="4"/>
  <c r="I35" i="4"/>
  <c r="I37" i="4" s="1"/>
  <c r="T35" i="4" s="1"/>
  <c r="J35" i="4"/>
  <c r="J37" i="4" s="1"/>
  <c r="U35" i="4" s="1"/>
  <c r="K35" i="4"/>
  <c r="K37" i="4" s="1"/>
  <c r="L35" i="4"/>
  <c r="L37" i="4" s="1"/>
  <c r="T36" i="4" s="1"/>
  <c r="M35" i="4"/>
  <c r="H35" i="4"/>
  <c r="F35" i="4"/>
  <c r="F37" i="4" s="1"/>
  <c r="T34" i="4" s="1"/>
  <c r="G35" i="4"/>
  <c r="G37" i="4" s="1"/>
  <c r="U34" i="4" s="1"/>
  <c r="E35" i="4"/>
  <c r="C35" i="4"/>
  <c r="C37" i="4" s="1"/>
  <c r="T33" i="4" s="1"/>
  <c r="D35" i="4"/>
  <c r="D37" i="4" s="1"/>
  <c r="U33" i="4" s="1"/>
  <c r="I29" i="4"/>
  <c r="J29" i="4"/>
  <c r="K29" i="4"/>
  <c r="L29" i="4"/>
  <c r="M29" i="4"/>
  <c r="H29" i="4"/>
  <c r="F29" i="4"/>
  <c r="G29" i="4"/>
  <c r="E29" i="4"/>
  <c r="C29" i="4"/>
  <c r="D29" i="4"/>
  <c r="I28" i="4"/>
  <c r="J28" i="4"/>
  <c r="K28" i="4"/>
  <c r="L28" i="4"/>
  <c r="M28" i="4"/>
  <c r="H28" i="4"/>
  <c r="F28" i="4"/>
  <c r="G28" i="4"/>
  <c r="E28" i="4"/>
  <c r="C28" i="4"/>
  <c r="D28" i="4"/>
  <c r="B28" i="4"/>
  <c r="I25" i="4"/>
  <c r="J25" i="4"/>
  <c r="K25" i="4"/>
  <c r="L25" i="4"/>
  <c r="M25" i="4"/>
  <c r="H25" i="4"/>
  <c r="F25" i="4"/>
  <c r="G25" i="4"/>
  <c r="E25" i="4"/>
  <c r="C25" i="4"/>
  <c r="D25" i="4"/>
  <c r="I24" i="4"/>
  <c r="J24" i="4"/>
  <c r="K24" i="4"/>
  <c r="L24" i="4"/>
  <c r="M24" i="4"/>
  <c r="H24" i="4"/>
  <c r="F24" i="4"/>
  <c r="G24" i="4"/>
  <c r="E24" i="4"/>
  <c r="E23" i="4"/>
  <c r="C24" i="4"/>
  <c r="D24" i="4"/>
  <c r="B24" i="4"/>
  <c r="B12" i="4"/>
  <c r="I23" i="4"/>
  <c r="J23" i="4"/>
  <c r="K23" i="4"/>
  <c r="L23" i="4"/>
  <c r="M23" i="4"/>
  <c r="H23" i="4"/>
  <c r="H6" i="4"/>
  <c r="F23" i="4"/>
  <c r="G23" i="4"/>
  <c r="E6" i="4"/>
  <c r="C23" i="4"/>
  <c r="D23" i="4"/>
  <c r="B23" i="4"/>
  <c r="B6" i="4"/>
  <c r="I19" i="4"/>
  <c r="J19" i="4"/>
  <c r="K19" i="4"/>
  <c r="L19" i="4"/>
  <c r="M19" i="4"/>
  <c r="H19" i="4"/>
  <c r="H10" i="4"/>
  <c r="F19" i="4"/>
  <c r="G19" i="4"/>
  <c r="E19" i="4"/>
  <c r="E10" i="4"/>
  <c r="C19" i="4"/>
  <c r="D19" i="4"/>
  <c r="B19" i="4"/>
  <c r="B10" i="4"/>
  <c r="E18" i="7" l="1"/>
  <c r="D7" i="7"/>
  <c r="D31" i="7" s="1"/>
  <c r="D29" i="7" s="1"/>
  <c r="G14" i="7"/>
  <c r="H18" i="7"/>
  <c r="I14" i="7"/>
  <c r="M7" i="7"/>
  <c r="D18" i="7"/>
  <c r="C219" i="8"/>
  <c r="N197" i="8"/>
  <c r="E198" i="8"/>
  <c r="L198" i="8"/>
  <c r="H198" i="8"/>
  <c r="D198" i="8"/>
  <c r="E201" i="8"/>
  <c r="K201" i="8"/>
  <c r="P202" i="8"/>
  <c r="O202" i="8"/>
  <c r="P213" i="8"/>
  <c r="H215" i="8"/>
  <c r="P193" i="8"/>
  <c r="O197" i="8"/>
  <c r="O196" i="8"/>
  <c r="H201" i="8"/>
  <c r="O210" i="8"/>
  <c r="K208" i="8"/>
  <c r="P209" i="8"/>
  <c r="C208" i="8"/>
  <c r="K215" i="8"/>
  <c r="G215" i="8"/>
  <c r="C215" i="8"/>
  <c r="N196" i="8"/>
  <c r="N200" i="8"/>
  <c r="K198" i="8"/>
  <c r="G198" i="8"/>
  <c r="C198" i="8"/>
  <c r="J198" i="8"/>
  <c r="F198" i="8"/>
  <c r="N199" i="8"/>
  <c r="B208" i="8"/>
  <c r="J212" i="8"/>
  <c r="O217" i="8"/>
  <c r="B215" i="8"/>
  <c r="N198" i="8"/>
  <c r="D219" i="8"/>
  <c r="P220" i="8"/>
  <c r="P208" i="8"/>
  <c r="P200" i="8"/>
  <c r="M208" i="8"/>
  <c r="I208" i="8"/>
  <c r="E208" i="8"/>
  <c r="N209" i="8"/>
  <c r="P186" i="8"/>
  <c r="P197" i="8"/>
  <c r="O199" i="8"/>
  <c r="N202" i="8"/>
  <c r="L208" i="8"/>
  <c r="H208" i="8"/>
  <c r="D208" i="8"/>
  <c r="O209" i="8"/>
  <c r="O208" i="8" s="1"/>
  <c r="N214" i="8"/>
  <c r="P214" i="8"/>
  <c r="N213" i="8"/>
  <c r="O213" i="8"/>
  <c r="J215" i="8"/>
  <c r="F215" i="8"/>
  <c r="J195" i="8"/>
  <c r="J194" i="8" s="1"/>
  <c r="P199" i="8"/>
  <c r="P198" i="8" s="1"/>
  <c r="C201" i="8"/>
  <c r="N215" i="8"/>
  <c r="O214" i="8"/>
  <c r="P217" i="8"/>
  <c r="N217" i="8"/>
  <c r="O216" i="8"/>
  <c r="O215" i="8" s="1"/>
  <c r="O221" i="8"/>
  <c r="J211" i="8"/>
  <c r="I215" i="8"/>
  <c r="B168" i="8"/>
  <c r="B212" i="8"/>
  <c r="B211" i="8" s="1"/>
  <c r="B207" i="8" s="1"/>
  <c r="O220" i="8"/>
  <c r="A175" i="8"/>
  <c r="A182" i="8" s="1"/>
  <c r="A192" i="8" s="1"/>
  <c r="O193" i="8"/>
  <c r="B194" i="8"/>
  <c r="O200" i="8"/>
  <c r="F201" i="8"/>
  <c r="N210" i="8"/>
  <c r="P216" i="8"/>
  <c r="P215" i="8" s="1"/>
  <c r="G201" i="8"/>
  <c r="N221" i="8"/>
  <c r="P221" i="8"/>
  <c r="N220" i="8"/>
  <c r="I201" i="8"/>
  <c r="O203" i="8"/>
  <c r="O201" i="8" s="1"/>
  <c r="I76" i="8"/>
  <c r="O76" i="8" s="1"/>
  <c r="B203" i="8"/>
  <c r="B201" i="8" s="1"/>
  <c r="D203" i="8"/>
  <c r="D201" i="8" s="1"/>
  <c r="K37" i="8"/>
  <c r="K186" i="8" s="1"/>
  <c r="E37" i="8"/>
  <c r="E186" i="8" s="1"/>
  <c r="L185" i="8"/>
  <c r="H185" i="8"/>
  <c r="D185" i="8"/>
  <c r="I37" i="8"/>
  <c r="I186" i="8" s="1"/>
  <c r="C37" i="8"/>
  <c r="C186" i="8" s="1"/>
  <c r="K185" i="8"/>
  <c r="G185" i="8"/>
  <c r="G184" i="8" s="1"/>
  <c r="C185" i="8"/>
  <c r="B185" i="8"/>
  <c r="B37" i="8"/>
  <c r="B186" i="8" s="1"/>
  <c r="H37" i="8"/>
  <c r="H186" i="8" s="1"/>
  <c r="J185" i="8"/>
  <c r="J184" i="8" s="1"/>
  <c r="F185" i="8"/>
  <c r="L37" i="8"/>
  <c r="L186" i="8" s="1"/>
  <c r="F37" i="8"/>
  <c r="F186" i="8" s="1"/>
  <c r="M185" i="8"/>
  <c r="M184" i="8" s="1"/>
  <c r="I185" i="8"/>
  <c r="I184" i="8" s="1"/>
  <c r="E185" i="8"/>
  <c r="L171" i="8"/>
  <c r="M170" i="8"/>
  <c r="I169" i="8"/>
  <c r="H173" i="8"/>
  <c r="H171" i="8" s="1"/>
  <c r="D173" i="8"/>
  <c r="D171" i="8" s="1"/>
  <c r="K173" i="8"/>
  <c r="K171" i="8" s="1"/>
  <c r="J176" i="8"/>
  <c r="F176" i="8"/>
  <c r="B176" i="8"/>
  <c r="M179" i="8"/>
  <c r="I179" i="8"/>
  <c r="E179" i="8"/>
  <c r="M178" i="8"/>
  <c r="I178" i="8"/>
  <c r="E178" i="8"/>
  <c r="L181" i="8"/>
  <c r="H181" i="8"/>
  <c r="D181" i="8"/>
  <c r="P163" i="8"/>
  <c r="I170" i="8"/>
  <c r="E169" i="8"/>
  <c r="G173" i="8"/>
  <c r="G171" i="8" s="1"/>
  <c r="C173" i="8"/>
  <c r="F172" i="8"/>
  <c r="B172" i="8"/>
  <c r="J173" i="8"/>
  <c r="M176" i="8"/>
  <c r="I176" i="8"/>
  <c r="E176" i="8"/>
  <c r="L179" i="8"/>
  <c r="H179" i="8"/>
  <c r="D179" i="8"/>
  <c r="L178" i="8"/>
  <c r="H178" i="8"/>
  <c r="D178" i="8"/>
  <c r="K181" i="8"/>
  <c r="G181" i="8"/>
  <c r="C181" i="8"/>
  <c r="E170" i="8"/>
  <c r="F173" i="8"/>
  <c r="B173" i="8"/>
  <c r="E172" i="8"/>
  <c r="M173" i="8"/>
  <c r="I173" i="8"/>
  <c r="J172" i="8"/>
  <c r="L176" i="8"/>
  <c r="K179" i="8"/>
  <c r="G179" i="8"/>
  <c r="C179" i="8"/>
  <c r="K178" i="8"/>
  <c r="G178" i="8"/>
  <c r="C178" i="8"/>
  <c r="J181" i="8"/>
  <c r="F181" i="8"/>
  <c r="B181" i="8"/>
  <c r="M169" i="8"/>
  <c r="E173" i="8"/>
  <c r="M172" i="8"/>
  <c r="I172" i="8"/>
  <c r="J179" i="8"/>
  <c r="F179" i="8"/>
  <c r="B179" i="8"/>
  <c r="J178" i="8"/>
  <c r="F178" i="8"/>
  <c r="B178" i="8"/>
  <c r="M181" i="8"/>
  <c r="I181" i="8"/>
  <c r="E181" i="8"/>
  <c r="G23" i="8"/>
  <c r="G104" i="8" s="1"/>
  <c r="G124" i="8" s="1"/>
  <c r="G144" i="8" s="1"/>
  <c r="G170" i="8"/>
  <c r="H105" i="8"/>
  <c r="H125" i="8" s="1"/>
  <c r="H145" i="8" s="1"/>
  <c r="H169" i="8"/>
  <c r="C23" i="8"/>
  <c r="C65" i="8" s="1"/>
  <c r="C170" i="8"/>
  <c r="C22" i="8"/>
  <c r="C84" i="8" s="1"/>
  <c r="C169" i="8"/>
  <c r="K69" i="8"/>
  <c r="K169" i="8"/>
  <c r="D149" i="8"/>
  <c r="P149" i="8" s="1"/>
  <c r="P129" i="8"/>
  <c r="E149" i="8"/>
  <c r="N149" i="8" s="1"/>
  <c r="N129" i="8"/>
  <c r="D98" i="8"/>
  <c r="D170" i="8"/>
  <c r="H98" i="8"/>
  <c r="H170" i="8"/>
  <c r="L98" i="8"/>
  <c r="L170" i="8"/>
  <c r="D105" i="8"/>
  <c r="D125" i="8" s="1"/>
  <c r="D169" i="8"/>
  <c r="L105" i="8"/>
  <c r="L125" i="8" s="1"/>
  <c r="L145" i="8" s="1"/>
  <c r="L169" i="8"/>
  <c r="A106" i="8"/>
  <c r="A126" i="8" s="1"/>
  <c r="A146" i="8" s="1"/>
  <c r="O163" i="8"/>
  <c r="I161" i="8"/>
  <c r="K23" i="8"/>
  <c r="K170" i="8"/>
  <c r="G69" i="8"/>
  <c r="G169" i="8"/>
  <c r="M161" i="8"/>
  <c r="E161" i="8"/>
  <c r="N163" i="8"/>
  <c r="F47" i="8"/>
  <c r="J170" i="8"/>
  <c r="J167" i="8" s="1"/>
  <c r="F170" i="8"/>
  <c r="B170" i="8"/>
  <c r="P51" i="8"/>
  <c r="C49" i="8"/>
  <c r="F49" i="8"/>
  <c r="W9" i="8" s="1"/>
  <c r="AH4" i="8" s="1"/>
  <c r="K49" i="8"/>
  <c r="G49" i="8"/>
  <c r="J49" i="8"/>
  <c r="J48" i="8"/>
  <c r="J47" i="8"/>
  <c r="H49" i="8"/>
  <c r="N51" i="8"/>
  <c r="B49" i="8"/>
  <c r="L49" i="8"/>
  <c r="D49" i="8"/>
  <c r="O51" i="8"/>
  <c r="M49" i="8"/>
  <c r="I49" i="8"/>
  <c r="N50" i="8"/>
  <c r="O50" i="8"/>
  <c r="O49" i="8" s="1"/>
  <c r="P50" i="8"/>
  <c r="E49" i="8"/>
  <c r="F48" i="8"/>
  <c r="B47" i="8"/>
  <c r="B48" i="8"/>
  <c r="M48" i="8"/>
  <c r="I48" i="8"/>
  <c r="E48" i="8"/>
  <c r="M47" i="8"/>
  <c r="I47" i="8"/>
  <c r="E47" i="8"/>
  <c r="L48" i="8"/>
  <c r="H48" i="8"/>
  <c r="D48" i="8"/>
  <c r="L47" i="8"/>
  <c r="H47" i="8"/>
  <c r="D47" i="8"/>
  <c r="K48" i="8"/>
  <c r="G48" i="8"/>
  <c r="C48" i="8"/>
  <c r="K47" i="8"/>
  <c r="G47" i="8"/>
  <c r="C47" i="8"/>
  <c r="J45" i="8"/>
  <c r="J43" i="8" s="1"/>
  <c r="F45" i="8"/>
  <c r="F43" i="8" s="1"/>
  <c r="B45" i="8"/>
  <c r="B43" i="8" s="1"/>
  <c r="M45" i="8"/>
  <c r="M43" i="8" s="1"/>
  <c r="I45" i="8"/>
  <c r="I43" i="8" s="1"/>
  <c r="E45" i="8"/>
  <c r="E43" i="8" s="1"/>
  <c r="L45" i="8"/>
  <c r="L43" i="8" s="1"/>
  <c r="H45" i="8"/>
  <c r="H43" i="8" s="1"/>
  <c r="D45" i="8"/>
  <c r="D43" i="8" s="1"/>
  <c r="K45" i="8"/>
  <c r="K43" i="8" s="1"/>
  <c r="G45" i="8"/>
  <c r="G43" i="8" s="1"/>
  <c r="C45" i="8"/>
  <c r="C43" i="8" s="1"/>
  <c r="N44" i="8"/>
  <c r="B118" i="8"/>
  <c r="B138" i="8" s="1"/>
  <c r="J118" i="8"/>
  <c r="F118" i="8"/>
  <c r="F138" i="8" s="1"/>
  <c r="M138" i="8"/>
  <c r="E138" i="8"/>
  <c r="I138" i="8"/>
  <c r="D138" i="8"/>
  <c r="H138" i="8"/>
  <c r="L138" i="8"/>
  <c r="J119" i="8"/>
  <c r="J139" i="8" s="1"/>
  <c r="F119" i="8"/>
  <c r="F139" i="8" s="1"/>
  <c r="B119" i="8"/>
  <c r="C98" i="8"/>
  <c r="O109" i="8"/>
  <c r="L119" i="8"/>
  <c r="L139" i="8" s="1"/>
  <c r="H119" i="8"/>
  <c r="H139" i="8" s="1"/>
  <c r="D119" i="8"/>
  <c r="D117" i="8" s="1"/>
  <c r="D137" i="8" s="1"/>
  <c r="J138" i="8"/>
  <c r="I130" i="8"/>
  <c r="I150" i="8" s="1"/>
  <c r="I166" i="8" s="1"/>
  <c r="K119" i="8"/>
  <c r="K139" i="8" s="1"/>
  <c r="G119" i="8"/>
  <c r="G139" i="8" s="1"/>
  <c r="C119" i="8"/>
  <c r="K118" i="8"/>
  <c r="G118" i="8"/>
  <c r="C118" i="8"/>
  <c r="M130" i="8"/>
  <c r="M150" i="8" s="1"/>
  <c r="M166" i="8" s="1"/>
  <c r="C129" i="8"/>
  <c r="A130" i="8"/>
  <c r="A150" i="8" s="1"/>
  <c r="A166" i="8" s="1"/>
  <c r="M119" i="8"/>
  <c r="M139" i="8" s="1"/>
  <c r="I119" i="8"/>
  <c r="I139" i="8" s="1"/>
  <c r="E119" i="8"/>
  <c r="E139" i="8" s="1"/>
  <c r="E130" i="8"/>
  <c r="E150" i="8" s="1"/>
  <c r="E166" i="8" s="1"/>
  <c r="C86" i="8"/>
  <c r="J92" i="8"/>
  <c r="E108" i="8"/>
  <c r="K89" i="8"/>
  <c r="G96" i="8"/>
  <c r="G94" i="8" s="1"/>
  <c r="P109" i="8"/>
  <c r="N109" i="8"/>
  <c r="D112" i="8"/>
  <c r="D132" i="8" s="1"/>
  <c r="K93" i="8"/>
  <c r="F99" i="8"/>
  <c r="M108" i="8"/>
  <c r="L112" i="8"/>
  <c r="L132" i="8" s="1"/>
  <c r="L152" i="8" s="1"/>
  <c r="C112" i="8"/>
  <c r="C132" i="8" s="1"/>
  <c r="E111" i="8"/>
  <c r="E131" i="8" s="1"/>
  <c r="E151" i="8" s="1"/>
  <c r="M111" i="8"/>
  <c r="M131" i="8" s="1"/>
  <c r="M151" i="8" s="1"/>
  <c r="I111" i="8"/>
  <c r="I131" i="8" s="1"/>
  <c r="I151" i="8" s="1"/>
  <c r="K92" i="8"/>
  <c r="C99" i="8"/>
  <c r="I108" i="8"/>
  <c r="J110" i="8"/>
  <c r="B110" i="8"/>
  <c r="B130" i="8" s="1"/>
  <c r="F108" i="8"/>
  <c r="F128" i="8" s="1"/>
  <c r="F148" i="8" s="1"/>
  <c r="C60" i="8"/>
  <c r="C106" i="8" s="1"/>
  <c r="C126" i="8" s="1"/>
  <c r="B63" i="8"/>
  <c r="B61" i="8" s="1"/>
  <c r="V32" i="8" s="1"/>
  <c r="K86" i="8"/>
  <c r="G90" i="8"/>
  <c r="G93" i="8"/>
  <c r="G91" i="8" s="1"/>
  <c r="B92" i="8"/>
  <c r="J98" i="8"/>
  <c r="L110" i="8"/>
  <c r="H110" i="8"/>
  <c r="D110" i="8"/>
  <c r="D130" i="8" s="1"/>
  <c r="L108" i="8"/>
  <c r="L128" i="8" s="1"/>
  <c r="L148" i="8" s="1"/>
  <c r="H108" i="8"/>
  <c r="H128" i="8" s="1"/>
  <c r="H148" i="8" s="1"/>
  <c r="D108" i="8"/>
  <c r="D128" i="8" s="1"/>
  <c r="J112" i="8"/>
  <c r="J132" i="8" s="1"/>
  <c r="J152" i="8" s="1"/>
  <c r="F112" i="8"/>
  <c r="F132" i="8" s="1"/>
  <c r="F152" i="8" s="1"/>
  <c r="B112" i="8"/>
  <c r="B132" i="8" s="1"/>
  <c r="F110" i="8"/>
  <c r="J108" i="8"/>
  <c r="J128" i="8" s="1"/>
  <c r="J148" i="8" s="1"/>
  <c r="B108" i="8"/>
  <c r="B128" i="8" s="1"/>
  <c r="K90" i="8"/>
  <c r="G112" i="8"/>
  <c r="G132" i="8" s="1"/>
  <c r="G152" i="8" s="1"/>
  <c r="C70" i="8"/>
  <c r="C90" i="8"/>
  <c r="C93" i="8"/>
  <c r="C91" i="8" s="1"/>
  <c r="J96" i="8"/>
  <c r="J94" i="8" s="1"/>
  <c r="G99" i="8"/>
  <c r="G98" i="8"/>
  <c r="K110" i="8"/>
  <c r="G110" i="8"/>
  <c r="C110" i="8"/>
  <c r="C130" i="8" s="1"/>
  <c r="K108" i="8"/>
  <c r="K128" i="8" s="1"/>
  <c r="K148" i="8" s="1"/>
  <c r="G108" i="8"/>
  <c r="G128" i="8" s="1"/>
  <c r="G148" i="8" s="1"/>
  <c r="C108" i="8"/>
  <c r="C128" i="8" s="1"/>
  <c r="N95" i="8"/>
  <c r="G89" i="8"/>
  <c r="B90" i="8"/>
  <c r="B88" i="8" s="1"/>
  <c r="F89" i="8"/>
  <c r="G60" i="8"/>
  <c r="G106" i="8" s="1"/>
  <c r="G126" i="8" s="1"/>
  <c r="G146" i="8" s="1"/>
  <c r="G86" i="8"/>
  <c r="J90" i="8"/>
  <c r="J88" i="8" s="1"/>
  <c r="L89" i="8"/>
  <c r="K96" i="8"/>
  <c r="K94" i="8" s="1"/>
  <c r="K99" i="8"/>
  <c r="K98" i="8"/>
  <c r="B98" i="8"/>
  <c r="B97" i="8" s="1"/>
  <c r="I99" i="8"/>
  <c r="I96" i="8"/>
  <c r="I94" i="8" s="1"/>
  <c r="I93" i="8"/>
  <c r="E98" i="8"/>
  <c r="E90" i="8"/>
  <c r="E86" i="8"/>
  <c r="M63" i="8"/>
  <c r="M98" i="8"/>
  <c r="M90" i="8"/>
  <c r="M86" i="8"/>
  <c r="J82" i="8"/>
  <c r="B65" i="8"/>
  <c r="B104" i="8"/>
  <c r="F23" i="8"/>
  <c r="F63" i="8"/>
  <c r="B22" i="8"/>
  <c r="B116" i="8" s="1"/>
  <c r="B136" i="8" s="1"/>
  <c r="B105" i="8"/>
  <c r="B125" i="8" s="1"/>
  <c r="J66" i="8"/>
  <c r="J105" i="8"/>
  <c r="J125" i="8" s="1"/>
  <c r="J145" i="8" s="1"/>
  <c r="H92" i="8"/>
  <c r="H89" i="8"/>
  <c r="J93" i="8"/>
  <c r="O95" i="8"/>
  <c r="E92" i="8"/>
  <c r="E89" i="8"/>
  <c r="M92" i="8"/>
  <c r="M89" i="8"/>
  <c r="I92" i="8"/>
  <c r="I89" i="8"/>
  <c r="J86" i="8"/>
  <c r="B86" i="8"/>
  <c r="F90" i="8"/>
  <c r="C89" i="8"/>
  <c r="F96" i="8"/>
  <c r="F94" i="8" s="1"/>
  <c r="J99" i="8"/>
  <c r="F98" i="8"/>
  <c r="E99" i="8"/>
  <c r="E96" i="8"/>
  <c r="E94" i="8" s="1"/>
  <c r="E93" i="8"/>
  <c r="M99" i="8"/>
  <c r="M96" i="8"/>
  <c r="M94" i="8" s="1"/>
  <c r="M93" i="8"/>
  <c r="I98" i="8"/>
  <c r="I90" i="8"/>
  <c r="I86" i="8"/>
  <c r="P95" i="8"/>
  <c r="B96" i="8"/>
  <c r="J65" i="8"/>
  <c r="J104" i="8"/>
  <c r="J124" i="8" s="1"/>
  <c r="J144" i="8" s="1"/>
  <c r="F69" i="8"/>
  <c r="F105" i="8"/>
  <c r="F125" i="8" s="1"/>
  <c r="F145" i="8" s="1"/>
  <c r="B93" i="8"/>
  <c r="E105" i="8"/>
  <c r="E125" i="8" s="1"/>
  <c r="E145" i="8" s="1"/>
  <c r="D99" i="8"/>
  <c r="D96" i="8"/>
  <c r="D93" i="8"/>
  <c r="H99" i="8"/>
  <c r="H97" i="8" s="1"/>
  <c r="H96" i="8"/>
  <c r="H94" i="8" s="1"/>
  <c r="H93" i="8"/>
  <c r="L99" i="8"/>
  <c r="L96" i="8"/>
  <c r="L94" i="8" s="1"/>
  <c r="L93" i="8"/>
  <c r="L91" i="8" s="1"/>
  <c r="E69" i="8"/>
  <c r="F93" i="8"/>
  <c r="F91" i="8" s="1"/>
  <c r="C66" i="8"/>
  <c r="C69" i="8"/>
  <c r="G75" i="8"/>
  <c r="G71" i="8" s="1"/>
  <c r="Y21" i="8" s="1"/>
  <c r="C96" i="8"/>
  <c r="K105" i="8"/>
  <c r="K125" i="8" s="1"/>
  <c r="K145" i="8" s="1"/>
  <c r="G105" i="8"/>
  <c r="G125" i="8" s="1"/>
  <c r="G145" i="8" s="1"/>
  <c r="C105" i="8"/>
  <c r="C125" i="8" s="1"/>
  <c r="C104" i="8"/>
  <c r="C124" i="8" s="1"/>
  <c r="G70" i="8"/>
  <c r="L86" i="8"/>
  <c r="H86" i="8"/>
  <c r="D86" i="8"/>
  <c r="L90" i="8"/>
  <c r="H90" i="8"/>
  <c r="D90" i="8"/>
  <c r="D89" i="8"/>
  <c r="K63" i="8"/>
  <c r="G62" i="8"/>
  <c r="K66" i="8"/>
  <c r="B70" i="8"/>
  <c r="F77" i="8"/>
  <c r="F75" i="8"/>
  <c r="O74" i="8"/>
  <c r="I57" i="8"/>
  <c r="I55" i="8" s="1"/>
  <c r="T28" i="8" s="1"/>
  <c r="K60" i="8"/>
  <c r="K106" i="8" s="1"/>
  <c r="K126" i="8" s="1"/>
  <c r="K146" i="8" s="1"/>
  <c r="G63" i="8"/>
  <c r="C62" i="8"/>
  <c r="J69" i="8"/>
  <c r="J68" i="8"/>
  <c r="P59" i="8"/>
  <c r="D82" i="8"/>
  <c r="H82" i="8"/>
  <c r="D23" i="8"/>
  <c r="D70" i="8"/>
  <c r="D63" i="8"/>
  <c r="H23" i="8"/>
  <c r="H70" i="8"/>
  <c r="H63" i="8"/>
  <c r="L23" i="8"/>
  <c r="L70" i="8"/>
  <c r="L63" i="8"/>
  <c r="D62" i="8"/>
  <c r="D57" i="8"/>
  <c r="H62" i="8"/>
  <c r="H57" i="8"/>
  <c r="H55" i="8" s="1"/>
  <c r="T34" i="8" s="1"/>
  <c r="L62" i="8"/>
  <c r="L57" i="8"/>
  <c r="L55" i="8" s="1"/>
  <c r="T29" i="8" s="1"/>
  <c r="D22" i="8"/>
  <c r="D116" i="8" s="1"/>
  <c r="D75" i="8"/>
  <c r="D69" i="8"/>
  <c r="D66" i="8"/>
  <c r="H75" i="8"/>
  <c r="H69" i="8"/>
  <c r="H66" i="8"/>
  <c r="L75" i="8"/>
  <c r="L69" i="8"/>
  <c r="L83" i="8"/>
  <c r="L77" i="8"/>
  <c r="E82" i="8"/>
  <c r="I82" i="8"/>
  <c r="M82" i="8"/>
  <c r="E23" i="8"/>
  <c r="E70" i="8"/>
  <c r="E60" i="8"/>
  <c r="E63" i="8"/>
  <c r="I23" i="8"/>
  <c r="I63" i="8"/>
  <c r="I60" i="8"/>
  <c r="M23" i="8"/>
  <c r="M60" i="8"/>
  <c r="M70" i="8"/>
  <c r="E62" i="8"/>
  <c r="M62" i="8"/>
  <c r="I75" i="8"/>
  <c r="I69" i="8"/>
  <c r="I66" i="8"/>
  <c r="M75" i="8"/>
  <c r="M66" i="8"/>
  <c r="M69" i="8"/>
  <c r="B77" i="8"/>
  <c r="E83" i="8"/>
  <c r="E77" i="8"/>
  <c r="E71" i="8" s="1"/>
  <c r="Y33" i="8" s="1"/>
  <c r="K83" i="8"/>
  <c r="K77" i="8"/>
  <c r="N74" i="8"/>
  <c r="E57" i="8"/>
  <c r="E55" i="8" s="1"/>
  <c r="P56" i="8"/>
  <c r="H60" i="8"/>
  <c r="I62" i="8"/>
  <c r="L66" i="8"/>
  <c r="N73" i="8"/>
  <c r="N59" i="8"/>
  <c r="E66" i="8"/>
  <c r="N72" i="8"/>
  <c r="L82" i="8"/>
  <c r="O56" i="8"/>
  <c r="O72" i="8"/>
  <c r="O73" i="8"/>
  <c r="M57" i="8"/>
  <c r="M55" i="8" s="1"/>
  <c r="T23" i="8" s="1"/>
  <c r="L60" i="8"/>
  <c r="D60" i="8"/>
  <c r="D106" i="8" s="1"/>
  <c r="D126" i="8" s="1"/>
  <c r="O59" i="8"/>
  <c r="I70" i="8"/>
  <c r="B83" i="8"/>
  <c r="B57" i="8"/>
  <c r="B55" i="8" s="1"/>
  <c r="T32" i="8" s="1"/>
  <c r="D83" i="8"/>
  <c r="D77" i="8"/>
  <c r="G83" i="8"/>
  <c r="H83" i="8"/>
  <c r="H77" i="8"/>
  <c r="K57" i="8"/>
  <c r="K55" i="8" s="1"/>
  <c r="T35" i="8" s="1"/>
  <c r="G57" i="8"/>
  <c r="G55" i="8" s="1"/>
  <c r="T21" i="8" s="1"/>
  <c r="C57" i="8"/>
  <c r="J60" i="8"/>
  <c r="F60" i="8"/>
  <c r="B60" i="8"/>
  <c r="B106" i="8" s="1"/>
  <c r="B126" i="8" s="1"/>
  <c r="J63" i="8"/>
  <c r="K62" i="8"/>
  <c r="F62" i="8"/>
  <c r="G66" i="8"/>
  <c r="B66" i="8"/>
  <c r="K70" i="8"/>
  <c r="F70" i="8"/>
  <c r="B69" i="8"/>
  <c r="K75" i="8"/>
  <c r="C75" i="8"/>
  <c r="C71" i="8" s="1"/>
  <c r="Y26" i="8" s="1"/>
  <c r="J83" i="8"/>
  <c r="F82" i="8"/>
  <c r="N76" i="8"/>
  <c r="C82" i="8"/>
  <c r="G82" i="8"/>
  <c r="K82" i="8"/>
  <c r="C83" i="8"/>
  <c r="M83" i="8"/>
  <c r="M77" i="8"/>
  <c r="I83" i="8"/>
  <c r="I77" i="8"/>
  <c r="P72" i="8"/>
  <c r="P73" i="8"/>
  <c r="P74" i="8"/>
  <c r="P76" i="8"/>
  <c r="J57" i="8"/>
  <c r="J55" i="8" s="1"/>
  <c r="T22" i="8" s="1"/>
  <c r="F57" i="8"/>
  <c r="F55" i="8" s="1"/>
  <c r="T27" i="8" s="1"/>
  <c r="C63" i="8"/>
  <c r="J62" i="8"/>
  <c r="F66" i="8"/>
  <c r="G65" i="8"/>
  <c r="J70" i="8"/>
  <c r="B68" i="8"/>
  <c r="J77" i="8"/>
  <c r="J75" i="8"/>
  <c r="B75" i="8"/>
  <c r="F83" i="8"/>
  <c r="B82" i="8"/>
  <c r="N56" i="8"/>
  <c r="K22" i="8"/>
  <c r="K116" i="8" s="1"/>
  <c r="D42" i="8"/>
  <c r="D40" i="8" s="1"/>
  <c r="T2" i="8" s="1"/>
  <c r="AA3" i="8" s="1"/>
  <c r="L42" i="8"/>
  <c r="L40" i="8" s="1"/>
  <c r="T11" i="8" s="1"/>
  <c r="AE6" i="8" s="1"/>
  <c r="F22" i="8"/>
  <c r="F116" i="8" s="1"/>
  <c r="H42" i="8"/>
  <c r="H40" i="8" s="1"/>
  <c r="T16" i="8" s="1"/>
  <c r="AI5" i="8" s="1"/>
  <c r="O41" i="8"/>
  <c r="N41" i="8"/>
  <c r="P41" i="8"/>
  <c r="G22" i="8"/>
  <c r="G116" i="8" s="1"/>
  <c r="K42" i="8"/>
  <c r="K40" i="8" s="1"/>
  <c r="T17" i="8" s="1"/>
  <c r="AI6" i="8" s="1"/>
  <c r="G42" i="8"/>
  <c r="G40" i="8" s="1"/>
  <c r="T3" i="8" s="1"/>
  <c r="AA4" i="8" s="1"/>
  <c r="C42" i="8"/>
  <c r="C40" i="8" s="1"/>
  <c r="T8" i="8" s="1"/>
  <c r="AE3" i="8" s="1"/>
  <c r="L22" i="8"/>
  <c r="L116" i="8" s="1"/>
  <c r="J42" i="8"/>
  <c r="J40" i="8" s="1"/>
  <c r="F42" i="8"/>
  <c r="F40" i="8" s="1"/>
  <c r="T9" i="8" s="1"/>
  <c r="AE4" i="8" s="1"/>
  <c r="B42" i="8"/>
  <c r="M42" i="8"/>
  <c r="M40" i="8" s="1"/>
  <c r="I42" i="8"/>
  <c r="I40" i="8" s="1"/>
  <c r="T10" i="8" s="1"/>
  <c r="AE5" i="8" s="1"/>
  <c r="E42" i="8"/>
  <c r="E40" i="8" s="1"/>
  <c r="E22" i="8"/>
  <c r="E116" i="8" s="1"/>
  <c r="I22" i="8"/>
  <c r="I116" i="8" s="1"/>
  <c r="M22" i="8"/>
  <c r="M116" i="8" s="1"/>
  <c r="J22" i="8"/>
  <c r="J116" i="8" s="1"/>
  <c r="H22" i="8"/>
  <c r="H116" i="8" s="1"/>
  <c r="J26" i="7"/>
  <c r="U21" i="7" s="1"/>
  <c r="I26" i="7"/>
  <c r="T21" i="7" s="1"/>
  <c r="E26" i="7"/>
  <c r="J15" i="7"/>
  <c r="J13" i="7" s="1"/>
  <c r="U5" i="7" s="1"/>
  <c r="C26" i="7"/>
  <c r="T20" i="7" s="1"/>
  <c r="J17" i="7"/>
  <c r="J31" i="7"/>
  <c r="J29" i="7" s="1"/>
  <c r="B26" i="7"/>
  <c r="J22" i="7"/>
  <c r="J20" i="7" s="1"/>
  <c r="D26" i="7"/>
  <c r="U20" i="7" s="1"/>
  <c r="H13" i="7"/>
  <c r="S5" i="7" s="1"/>
  <c r="H19" i="7"/>
  <c r="H22" i="7"/>
  <c r="H20" i="7" s="1"/>
  <c r="H31" i="7"/>
  <c r="H29" i="7" s="1"/>
  <c r="I15" i="7"/>
  <c r="I13" i="7" s="1"/>
  <c r="T5" i="7" s="1"/>
  <c r="I19" i="7"/>
  <c r="I17" i="7" s="1"/>
  <c r="F26" i="7"/>
  <c r="I29" i="7"/>
  <c r="I22" i="7"/>
  <c r="I20" i="7" s="1"/>
  <c r="G26" i="7"/>
  <c r="H26" i="7"/>
  <c r="G7" i="7"/>
  <c r="E7" i="7"/>
  <c r="C7" i="7"/>
  <c r="F7" i="7"/>
  <c r="L7" i="7"/>
  <c r="C15" i="7"/>
  <c r="C13" i="7" s="1"/>
  <c r="T4" i="7" s="1"/>
  <c r="K7" i="7"/>
  <c r="B7" i="7"/>
  <c r="B16" i="7"/>
  <c r="M22" i="6"/>
  <c r="M51" i="6" s="1"/>
  <c r="I22" i="6"/>
  <c r="E22" i="6"/>
  <c r="E51" i="6" s="1"/>
  <c r="C26" i="6"/>
  <c r="H22" i="6"/>
  <c r="I23" i="6"/>
  <c r="I69" i="6" s="1"/>
  <c r="L22" i="6"/>
  <c r="D22" i="6"/>
  <c r="D51" i="6" s="1"/>
  <c r="J22" i="6"/>
  <c r="F22" i="6"/>
  <c r="B22" i="6"/>
  <c r="F31" i="6"/>
  <c r="T9" i="6" s="1"/>
  <c r="L23" i="6"/>
  <c r="D23" i="6"/>
  <c r="F19" i="6"/>
  <c r="H23" i="6"/>
  <c r="H69" i="6" s="1"/>
  <c r="L30" i="6"/>
  <c r="B45" i="6"/>
  <c r="F45" i="6"/>
  <c r="J45" i="6"/>
  <c r="M23" i="6"/>
  <c r="E23" i="6"/>
  <c r="J23" i="6"/>
  <c r="F23" i="6"/>
  <c r="B23" i="6"/>
  <c r="J19" i="6"/>
  <c r="B19" i="6"/>
  <c r="H58" i="6"/>
  <c r="K22" i="6"/>
  <c r="K42" i="6" s="1"/>
  <c r="G22" i="6"/>
  <c r="G42" i="6" s="1"/>
  <c r="C22" i="6"/>
  <c r="C42" i="6" s="1"/>
  <c r="J31" i="6"/>
  <c r="U10" i="6" s="1"/>
  <c r="B39" i="6"/>
  <c r="K23" i="6"/>
  <c r="G23" i="6"/>
  <c r="C23" i="6"/>
  <c r="F68" i="6"/>
  <c r="J65" i="6"/>
  <c r="C58" i="6"/>
  <c r="B68" i="6"/>
  <c r="K58" i="6"/>
  <c r="L57" i="6"/>
  <c r="K66" i="6"/>
  <c r="K64" i="6" s="1"/>
  <c r="AF31" i="6" s="1"/>
  <c r="I57" i="6"/>
  <c r="I56" i="6" s="1"/>
  <c r="AG17" i="6" s="1"/>
  <c r="C66" i="6"/>
  <c r="C64" i="6" s="1"/>
  <c r="AG25" i="6" s="1"/>
  <c r="C30" i="6"/>
  <c r="C28" i="6" s="1"/>
  <c r="K39" i="6"/>
  <c r="K57" i="6"/>
  <c r="D26" i="6"/>
  <c r="D66" i="6"/>
  <c r="F26" i="6"/>
  <c r="F58" i="6"/>
  <c r="L26" i="6"/>
  <c r="L66" i="6"/>
  <c r="M66" i="6"/>
  <c r="D48" i="6"/>
  <c r="D65" i="6"/>
  <c r="E45" i="6"/>
  <c r="E68" i="6"/>
  <c r="M48" i="6"/>
  <c r="M65" i="6"/>
  <c r="I48" i="6"/>
  <c r="I65" i="6"/>
  <c r="D58" i="6"/>
  <c r="G57" i="6"/>
  <c r="E39" i="6"/>
  <c r="E57" i="6"/>
  <c r="E66" i="6"/>
  <c r="J58" i="6"/>
  <c r="J66" i="6"/>
  <c r="D45" i="6"/>
  <c r="D68" i="6"/>
  <c r="H45" i="6"/>
  <c r="H68" i="6"/>
  <c r="M58" i="6"/>
  <c r="M57" i="6"/>
  <c r="C57" i="6"/>
  <c r="J68" i="6"/>
  <c r="G65" i="6"/>
  <c r="B30" i="6"/>
  <c r="B28" i="6" s="1"/>
  <c r="F30" i="6"/>
  <c r="F28" i="6" s="1"/>
  <c r="T15" i="6" s="1"/>
  <c r="J30" i="6"/>
  <c r="P30" i="6" s="1"/>
  <c r="F39" i="6"/>
  <c r="O39" i="6" s="1"/>
  <c r="F57" i="6"/>
  <c r="J39" i="6"/>
  <c r="J57" i="6"/>
  <c r="B58" i="6"/>
  <c r="B66" i="6"/>
  <c r="G66" i="6"/>
  <c r="G58" i="6"/>
  <c r="I66" i="6"/>
  <c r="C45" i="6"/>
  <c r="C68" i="6"/>
  <c r="F48" i="6"/>
  <c r="F65" i="6"/>
  <c r="H48" i="6"/>
  <c r="H65" i="6"/>
  <c r="K45" i="6"/>
  <c r="K68" i="6"/>
  <c r="L58" i="6"/>
  <c r="E58" i="6"/>
  <c r="B57" i="6"/>
  <c r="G68" i="6"/>
  <c r="F66" i="6"/>
  <c r="B65" i="6"/>
  <c r="D39" i="6"/>
  <c r="D57" i="6"/>
  <c r="H39" i="6"/>
  <c r="H57" i="6"/>
  <c r="H26" i="6"/>
  <c r="H66" i="6"/>
  <c r="E48" i="6"/>
  <c r="E65" i="6"/>
  <c r="L48" i="6"/>
  <c r="L65" i="6"/>
  <c r="M68" i="6"/>
  <c r="I51" i="6"/>
  <c r="I68" i="6"/>
  <c r="G43" i="6"/>
  <c r="B46" i="6"/>
  <c r="K43" i="6"/>
  <c r="C43" i="6"/>
  <c r="J46" i="6"/>
  <c r="I49" i="6"/>
  <c r="C48" i="6"/>
  <c r="G48" i="6"/>
  <c r="F43" i="6"/>
  <c r="J43" i="6"/>
  <c r="B43" i="6"/>
  <c r="F46" i="6"/>
  <c r="M46" i="6"/>
  <c r="E49" i="6"/>
  <c r="M43" i="6"/>
  <c r="I46" i="6"/>
  <c r="E46" i="6"/>
  <c r="L45" i="6"/>
  <c r="M45" i="6"/>
  <c r="L49" i="6"/>
  <c r="H49" i="6"/>
  <c r="D49" i="6"/>
  <c r="K48" i="6"/>
  <c r="K52" i="6"/>
  <c r="G52" i="6"/>
  <c r="C52" i="6"/>
  <c r="I45" i="6"/>
  <c r="H52" i="6"/>
  <c r="D52" i="6"/>
  <c r="I43" i="6"/>
  <c r="E43" i="6"/>
  <c r="L46" i="6"/>
  <c r="H46" i="6"/>
  <c r="D46" i="6"/>
  <c r="K49" i="6"/>
  <c r="G49" i="6"/>
  <c r="C49" i="6"/>
  <c r="J52" i="6"/>
  <c r="F52" i="6"/>
  <c r="B52" i="6"/>
  <c r="M52" i="6"/>
  <c r="L52" i="6"/>
  <c r="L43" i="6"/>
  <c r="H43" i="6"/>
  <c r="D43" i="6"/>
  <c r="K46" i="6"/>
  <c r="G46" i="6"/>
  <c r="G44" i="6" s="1"/>
  <c r="U40" i="6" s="1"/>
  <c r="C46" i="6"/>
  <c r="J49" i="6"/>
  <c r="J47" i="6" s="1"/>
  <c r="U65" i="6" s="1"/>
  <c r="F49" i="6"/>
  <c r="B49" i="6"/>
  <c r="B47" i="6" s="1"/>
  <c r="M49" i="6"/>
  <c r="I52" i="6"/>
  <c r="E52" i="6"/>
  <c r="G28" i="6"/>
  <c r="U15" i="6" s="1"/>
  <c r="K28" i="6"/>
  <c r="S17" i="6" s="1"/>
  <c r="G33" i="6"/>
  <c r="G31" i="6" s="1"/>
  <c r="U9" i="6" s="1"/>
  <c r="E28" i="6"/>
  <c r="S15" i="6" s="1"/>
  <c r="I28" i="6"/>
  <c r="T16" i="6" s="1"/>
  <c r="M28" i="6"/>
  <c r="U17" i="6" s="1"/>
  <c r="C33" i="6"/>
  <c r="O33" i="6" s="1"/>
  <c r="J35" i="6"/>
  <c r="H31" i="6"/>
  <c r="S10" i="6" s="1"/>
  <c r="K33" i="6"/>
  <c r="K31" i="6" s="1"/>
  <c r="S11" i="6" s="1"/>
  <c r="L31" i="6"/>
  <c r="T11" i="6" s="1"/>
  <c r="E33" i="6"/>
  <c r="E31" i="6" s="1"/>
  <c r="S9" i="6" s="1"/>
  <c r="L36" i="6"/>
  <c r="L34" i="6" s="1"/>
  <c r="T23" i="6" s="1"/>
  <c r="I31" i="6"/>
  <c r="T10" i="6" s="1"/>
  <c r="M31" i="6"/>
  <c r="U11" i="6" s="1"/>
  <c r="L27" i="6"/>
  <c r="D33" i="6"/>
  <c r="J36" i="6"/>
  <c r="F35" i="6"/>
  <c r="D27" i="6"/>
  <c r="F36" i="6"/>
  <c r="B35" i="6"/>
  <c r="I26" i="6"/>
  <c r="P32" i="6"/>
  <c r="O32" i="6"/>
  <c r="B31" i="6"/>
  <c r="N32" i="6"/>
  <c r="B36" i="6"/>
  <c r="G26" i="6"/>
  <c r="J27" i="6"/>
  <c r="B27" i="6"/>
  <c r="L29" i="6"/>
  <c r="M36" i="6"/>
  <c r="I36" i="6"/>
  <c r="M35" i="6"/>
  <c r="I35" i="6"/>
  <c r="E35" i="6"/>
  <c r="E34" i="6" s="1"/>
  <c r="S21" i="6" s="1"/>
  <c r="M26" i="6"/>
  <c r="H27" i="6"/>
  <c r="H29" i="6"/>
  <c r="H28" i="6" s="1"/>
  <c r="S16" i="6" s="1"/>
  <c r="H36" i="6"/>
  <c r="H34" i="6" s="1"/>
  <c r="S22" i="6" s="1"/>
  <c r="D35" i="6"/>
  <c r="K26" i="6"/>
  <c r="F27" i="6"/>
  <c r="K35" i="6"/>
  <c r="K34" i="6" s="1"/>
  <c r="S23" i="6" s="1"/>
  <c r="G35" i="6"/>
  <c r="G34" i="6" s="1"/>
  <c r="U21" i="6" s="1"/>
  <c r="C35" i="6"/>
  <c r="P29" i="6"/>
  <c r="J26" i="6"/>
  <c r="B26" i="6"/>
  <c r="K27" i="6"/>
  <c r="G27" i="6"/>
  <c r="C27" i="6"/>
  <c r="E26" i="6"/>
  <c r="D28" i="6"/>
  <c r="M27" i="6"/>
  <c r="I27" i="6"/>
  <c r="E27" i="6"/>
  <c r="W47" i="5"/>
  <c r="V82" i="5"/>
  <c r="K50" i="5"/>
  <c r="K53" i="5" s="1"/>
  <c r="V84" i="5"/>
  <c r="H75" i="5"/>
  <c r="H74" i="5" s="1"/>
  <c r="H44" i="5"/>
  <c r="L50" i="5"/>
  <c r="L53" i="5" s="1"/>
  <c r="W86" i="5"/>
  <c r="W87" i="5"/>
  <c r="V86" i="5"/>
  <c r="I43" i="5"/>
  <c r="V47" i="5"/>
  <c r="H43" i="5"/>
  <c r="V88" i="5"/>
  <c r="V87" i="5"/>
  <c r="V83" i="5"/>
  <c r="W83" i="5"/>
  <c r="W84" i="5"/>
  <c r="W88" i="5"/>
  <c r="W82" i="5"/>
  <c r="M43" i="5"/>
  <c r="L44" i="5"/>
  <c r="K45" i="5"/>
  <c r="H50" i="5"/>
  <c r="W48" i="5"/>
  <c r="J45" i="5"/>
  <c r="J43" i="5"/>
  <c r="M44" i="5"/>
  <c r="I44" i="5"/>
  <c r="L45" i="5"/>
  <c r="H45" i="5"/>
  <c r="M50" i="5"/>
  <c r="M53" i="5" s="1"/>
  <c r="I50" i="5"/>
  <c r="I53" i="5" s="1"/>
  <c r="M75" i="5"/>
  <c r="M74" i="5" s="1"/>
  <c r="I75" i="5"/>
  <c r="I74" i="5" s="1"/>
  <c r="K75" i="5"/>
  <c r="K74" i="5" s="1"/>
  <c r="L75" i="5"/>
  <c r="L74" i="5" s="1"/>
  <c r="L43" i="5"/>
  <c r="L47" i="5" s="1"/>
  <c r="K44" i="5"/>
  <c r="K48" i="5" s="1"/>
  <c r="H53" i="5"/>
  <c r="V48" i="5"/>
  <c r="K43" i="5"/>
  <c r="J44" i="5"/>
  <c r="M45" i="5"/>
  <c r="I45" i="5"/>
  <c r="J50" i="5"/>
  <c r="J53" i="5" s="1"/>
  <c r="J75" i="5"/>
  <c r="J74" i="5" s="1"/>
  <c r="V46" i="5"/>
  <c r="G59" i="5"/>
  <c r="U63" i="5" s="1"/>
  <c r="E44" i="5"/>
  <c r="G45" i="5"/>
  <c r="V80" i="5"/>
  <c r="G75" i="5"/>
  <c r="G74" i="5" s="1"/>
  <c r="G43" i="5"/>
  <c r="E50" i="5"/>
  <c r="E53" i="5" s="1"/>
  <c r="V78" i="5"/>
  <c r="W78" i="5"/>
  <c r="W80" i="5"/>
  <c r="F44" i="5"/>
  <c r="W46" i="5"/>
  <c r="G60" i="5"/>
  <c r="U64" i="5" s="1"/>
  <c r="F43" i="5"/>
  <c r="F45" i="5"/>
  <c r="G50" i="5"/>
  <c r="G53" i="5" s="1"/>
  <c r="E75" i="5"/>
  <c r="E74" i="5" s="1"/>
  <c r="F75" i="5"/>
  <c r="F74" i="5" s="1"/>
  <c r="E43" i="5"/>
  <c r="G44" i="5"/>
  <c r="E45" i="5"/>
  <c r="F50" i="5"/>
  <c r="F53" i="5" s="1"/>
  <c r="V75" i="5"/>
  <c r="W76" i="5"/>
  <c r="B45" i="5"/>
  <c r="C60" i="5"/>
  <c r="T61" i="5" s="1"/>
  <c r="C44" i="5"/>
  <c r="V76" i="5"/>
  <c r="D50" i="5"/>
  <c r="D53" i="5" s="1"/>
  <c r="W75" i="5"/>
  <c r="C43" i="5"/>
  <c r="B44" i="5"/>
  <c r="C50" i="5"/>
  <c r="C53" i="5" s="1"/>
  <c r="W74" i="5"/>
  <c r="B75" i="5"/>
  <c r="B74" i="5" s="1"/>
  <c r="W45" i="5"/>
  <c r="D75" i="5"/>
  <c r="D74" i="5" s="1"/>
  <c r="D45" i="5"/>
  <c r="B50" i="5"/>
  <c r="B53" i="5" s="1"/>
  <c r="C45" i="5"/>
  <c r="C75" i="5"/>
  <c r="C74" i="5" s="1"/>
  <c r="B43" i="5"/>
  <c r="B47" i="5" s="1"/>
  <c r="D44" i="5"/>
  <c r="D43" i="5"/>
  <c r="V93" i="5"/>
  <c r="V98" i="5"/>
  <c r="V104" i="5"/>
  <c r="F59" i="5"/>
  <c r="T63" i="5" s="1"/>
  <c r="W63" i="5" s="1"/>
  <c r="K59" i="5"/>
  <c r="S69" i="5" s="1"/>
  <c r="C59" i="5"/>
  <c r="T60" i="5" s="1"/>
  <c r="H59" i="5"/>
  <c r="S66" i="5" s="1"/>
  <c r="J59" i="5"/>
  <c r="U66" i="5" s="1"/>
  <c r="E59" i="5"/>
  <c r="S63" i="5" s="1"/>
  <c r="M59" i="5"/>
  <c r="U69" i="5" s="1"/>
  <c r="I59" i="5"/>
  <c r="T66" i="5" s="1"/>
  <c r="J26" i="5"/>
  <c r="E40" i="5"/>
  <c r="B59" i="5"/>
  <c r="S60" i="5" s="1"/>
  <c r="V60" i="5" s="1"/>
  <c r="L59" i="5"/>
  <c r="T69" i="5" s="1"/>
  <c r="B60" i="5"/>
  <c r="S61" i="5" s="1"/>
  <c r="E38" i="5"/>
  <c r="S34" i="5" s="1"/>
  <c r="L60" i="5"/>
  <c r="T70" i="5" s="1"/>
  <c r="K60" i="5"/>
  <c r="S70" i="5" s="1"/>
  <c r="F60" i="5"/>
  <c r="T64" i="5" s="1"/>
  <c r="N24" i="5"/>
  <c r="S49" i="5" s="1"/>
  <c r="M40" i="5"/>
  <c r="M38" i="5" s="1"/>
  <c r="U36" i="5" s="1"/>
  <c r="I60" i="5"/>
  <c r="T67" i="5" s="1"/>
  <c r="W67" i="5" s="1"/>
  <c r="E60" i="5"/>
  <c r="S64" i="5" s="1"/>
  <c r="V64" i="5" s="1"/>
  <c r="P24" i="5"/>
  <c r="U49" i="5" s="1"/>
  <c r="I40" i="5"/>
  <c r="I38" i="5" s="1"/>
  <c r="T35" i="5" s="1"/>
  <c r="M60" i="5"/>
  <c r="U70" i="5" s="1"/>
  <c r="H60" i="5"/>
  <c r="S67" i="5" s="1"/>
  <c r="D60" i="5"/>
  <c r="U61" i="5" s="1"/>
  <c r="W61" i="5" s="1"/>
  <c r="D59" i="5"/>
  <c r="U60" i="5" s="1"/>
  <c r="S45" i="5"/>
  <c r="V45" i="5" s="1"/>
  <c r="N30" i="5"/>
  <c r="O18" i="5"/>
  <c r="N19" i="5"/>
  <c r="O33" i="5"/>
  <c r="N23" i="5"/>
  <c r="O39" i="5"/>
  <c r="P39" i="5"/>
  <c r="O24" i="5"/>
  <c r="T49" i="5" s="1"/>
  <c r="P30" i="5"/>
  <c r="N33" i="5"/>
  <c r="L40" i="5"/>
  <c r="L38" i="5" s="1"/>
  <c r="T36" i="5" s="1"/>
  <c r="H40" i="5"/>
  <c r="H38" i="5" s="1"/>
  <c r="S35" i="5" s="1"/>
  <c r="D40" i="5"/>
  <c r="N39" i="5"/>
  <c r="O37" i="5"/>
  <c r="P19" i="5"/>
  <c r="O19" i="5"/>
  <c r="P23" i="5"/>
  <c r="O30" i="5"/>
  <c r="P33" i="5"/>
  <c r="F36" i="5"/>
  <c r="F34" i="5" s="1"/>
  <c r="T40" i="5" s="1"/>
  <c r="K40" i="5"/>
  <c r="K38" i="5" s="1"/>
  <c r="S36" i="5" s="1"/>
  <c r="G40" i="5"/>
  <c r="G38" i="5" s="1"/>
  <c r="U34" i="5" s="1"/>
  <c r="C40" i="5"/>
  <c r="P18" i="5"/>
  <c r="O23" i="5"/>
  <c r="P37" i="5"/>
  <c r="J40" i="5"/>
  <c r="J38" i="5" s="1"/>
  <c r="U35" i="5" s="1"/>
  <c r="F40" i="5"/>
  <c r="F38" i="5" s="1"/>
  <c r="T34" i="5" s="1"/>
  <c r="B40" i="5"/>
  <c r="P35" i="5"/>
  <c r="O35" i="5"/>
  <c r="N37" i="5"/>
  <c r="J36" i="5"/>
  <c r="J34" i="5" s="1"/>
  <c r="U41" i="5" s="1"/>
  <c r="B36" i="5"/>
  <c r="B34" i="5" s="1"/>
  <c r="S39" i="5" s="1"/>
  <c r="N35" i="5"/>
  <c r="L26" i="5"/>
  <c r="M36" i="5"/>
  <c r="M34" i="5" s="1"/>
  <c r="U42" i="5" s="1"/>
  <c r="I36" i="5"/>
  <c r="I34" i="5" s="1"/>
  <c r="T41" i="5" s="1"/>
  <c r="E36" i="5"/>
  <c r="E34" i="5" s="1"/>
  <c r="S40" i="5" s="1"/>
  <c r="F27" i="5"/>
  <c r="F25" i="5" s="1"/>
  <c r="T15" i="5" s="1"/>
  <c r="L36" i="5"/>
  <c r="L34" i="5" s="1"/>
  <c r="T42" i="5" s="1"/>
  <c r="H36" i="5"/>
  <c r="H34" i="5" s="1"/>
  <c r="S41" i="5" s="1"/>
  <c r="D36" i="5"/>
  <c r="L32" i="5"/>
  <c r="L31" i="5" s="1"/>
  <c r="T23" i="5" s="1"/>
  <c r="K36" i="5"/>
  <c r="K34" i="5" s="1"/>
  <c r="S42" i="5" s="1"/>
  <c r="G36" i="5"/>
  <c r="G34" i="5" s="1"/>
  <c r="U40" i="5" s="1"/>
  <c r="C36" i="5"/>
  <c r="L28" i="5"/>
  <c r="T29" i="5" s="1"/>
  <c r="I32" i="5"/>
  <c r="I31" i="5" s="1"/>
  <c r="T22" i="5" s="1"/>
  <c r="K29" i="5"/>
  <c r="K28" i="5" s="1"/>
  <c r="S29" i="5" s="1"/>
  <c r="E32" i="5"/>
  <c r="E31" i="5" s="1"/>
  <c r="S21" i="5" s="1"/>
  <c r="M32" i="5"/>
  <c r="M31" i="5" s="1"/>
  <c r="U23" i="5" s="1"/>
  <c r="D32" i="5"/>
  <c r="D31" i="5" s="1"/>
  <c r="U20" i="5" s="1"/>
  <c r="C29" i="5"/>
  <c r="J29" i="5"/>
  <c r="J28" i="5" s="1"/>
  <c r="U28" i="5" s="1"/>
  <c r="H32" i="5"/>
  <c r="H31" i="5" s="1"/>
  <c r="S22" i="5" s="1"/>
  <c r="H29" i="5"/>
  <c r="K32" i="5"/>
  <c r="K31" i="5" s="1"/>
  <c r="S23" i="5" s="1"/>
  <c r="G32" i="5"/>
  <c r="G31" i="5" s="1"/>
  <c r="U21" i="5" s="1"/>
  <c r="C32" i="5"/>
  <c r="D29" i="5"/>
  <c r="D28" i="5" s="1"/>
  <c r="U26" i="5" s="1"/>
  <c r="J32" i="5"/>
  <c r="J31" i="5" s="1"/>
  <c r="F32" i="5"/>
  <c r="F31" i="5" s="1"/>
  <c r="T21" i="5" s="1"/>
  <c r="B32" i="5"/>
  <c r="H28" i="5"/>
  <c r="S28" i="5" s="1"/>
  <c r="E28" i="5"/>
  <c r="S27" i="5" s="1"/>
  <c r="M28" i="5"/>
  <c r="U29" i="5" s="1"/>
  <c r="I28" i="5"/>
  <c r="T28" i="5" s="1"/>
  <c r="I26" i="5"/>
  <c r="G29" i="5"/>
  <c r="G28" i="5" s="1"/>
  <c r="U27" i="5" s="1"/>
  <c r="E26" i="5"/>
  <c r="N26" i="5" s="1"/>
  <c r="F29" i="5"/>
  <c r="F28" i="5" s="1"/>
  <c r="T27" i="5" s="1"/>
  <c r="B29" i="5"/>
  <c r="M26" i="5"/>
  <c r="M27" i="5"/>
  <c r="I27" i="5"/>
  <c r="E27" i="5"/>
  <c r="L27" i="5"/>
  <c r="H27" i="5"/>
  <c r="H25" i="5" s="1"/>
  <c r="S16" i="5" s="1"/>
  <c r="D27" i="5"/>
  <c r="K27" i="5"/>
  <c r="K25" i="5" s="1"/>
  <c r="S17" i="5" s="1"/>
  <c r="G27" i="5"/>
  <c r="G25" i="5" s="1"/>
  <c r="U15" i="5" s="1"/>
  <c r="C27" i="5"/>
  <c r="J27" i="5"/>
  <c r="B27" i="5"/>
  <c r="F22" i="5"/>
  <c r="B22" i="5"/>
  <c r="G17" i="5"/>
  <c r="J22" i="5"/>
  <c r="M22" i="5"/>
  <c r="E22" i="5"/>
  <c r="L22" i="5"/>
  <c r="H22" i="5"/>
  <c r="D22" i="5"/>
  <c r="I22" i="5"/>
  <c r="K22" i="5"/>
  <c r="G22" i="5"/>
  <c r="C22" i="5"/>
  <c r="D17" i="5"/>
  <c r="L17" i="5"/>
  <c r="K17" i="5"/>
  <c r="M17" i="5"/>
  <c r="F17" i="5"/>
  <c r="B17" i="5"/>
  <c r="I17" i="5"/>
  <c r="H17" i="5"/>
  <c r="J17" i="5"/>
  <c r="C17" i="5"/>
  <c r="E17" i="5"/>
  <c r="S36" i="4"/>
  <c r="O37" i="4"/>
  <c r="N50" i="4"/>
  <c r="P50" i="4"/>
  <c r="L45" i="4"/>
  <c r="E37" i="4"/>
  <c r="S34" i="4" s="1"/>
  <c r="M37" i="4"/>
  <c r="G41" i="4"/>
  <c r="U40" i="4" s="1"/>
  <c r="K41" i="4"/>
  <c r="H37" i="4"/>
  <c r="S35" i="4" s="1"/>
  <c r="L50" i="4"/>
  <c r="E45" i="4"/>
  <c r="S46" i="4" s="1"/>
  <c r="L49" i="4"/>
  <c r="J54" i="4"/>
  <c r="F55" i="4"/>
  <c r="B56" i="4"/>
  <c r="H56" i="4"/>
  <c r="D30" i="4"/>
  <c r="G48" i="4"/>
  <c r="B41" i="4"/>
  <c r="S39" i="4" s="1"/>
  <c r="E26" i="4"/>
  <c r="S28" i="4" s="1"/>
  <c r="E30" i="4"/>
  <c r="M30" i="4"/>
  <c r="I30" i="4"/>
  <c r="G49" i="4"/>
  <c r="B49" i="4"/>
  <c r="H49" i="4"/>
  <c r="C56" i="4"/>
  <c r="H54" i="4"/>
  <c r="C55" i="4"/>
  <c r="L55" i="4"/>
  <c r="E56" i="4"/>
  <c r="L54" i="4"/>
  <c r="E49" i="4"/>
  <c r="K55" i="4"/>
  <c r="F56" i="4"/>
  <c r="J45" i="4"/>
  <c r="D54" i="4"/>
  <c r="G54" i="4"/>
  <c r="M56" i="4"/>
  <c r="J26" i="4"/>
  <c r="U29" i="4" s="1"/>
  <c r="G30" i="4"/>
  <c r="L30" i="4"/>
  <c r="F30" i="4"/>
  <c r="J41" i="4"/>
  <c r="U41" i="4" s="1"/>
  <c r="M48" i="4"/>
  <c r="M49" i="4"/>
  <c r="I50" i="4"/>
  <c r="H48" i="4"/>
  <c r="K54" i="4"/>
  <c r="B55" i="4"/>
  <c r="E55" i="4"/>
  <c r="J55" i="4"/>
  <c r="D56" i="4"/>
  <c r="G56" i="4"/>
  <c r="I26" i="4"/>
  <c r="T29" i="4" s="1"/>
  <c r="B48" i="4"/>
  <c r="E48" i="4"/>
  <c r="E51" i="4" s="1"/>
  <c r="M55" i="4"/>
  <c r="I55" i="4"/>
  <c r="M26" i="4"/>
  <c r="C41" i="4"/>
  <c r="T39" i="4" s="1"/>
  <c r="L41" i="4"/>
  <c r="C45" i="4"/>
  <c r="T45" i="4" s="1"/>
  <c r="I48" i="4"/>
  <c r="I54" i="4"/>
  <c r="G26" i="4"/>
  <c r="U28" i="4" s="1"/>
  <c r="D26" i="4"/>
  <c r="U27" i="4" s="1"/>
  <c r="F26" i="4"/>
  <c r="T28" i="4" s="1"/>
  <c r="L26" i="4"/>
  <c r="H26" i="4"/>
  <c r="S29" i="4" s="1"/>
  <c r="C30" i="4"/>
  <c r="H30" i="4"/>
  <c r="J30" i="4"/>
  <c r="F41" i="4"/>
  <c r="T40" i="4" s="1"/>
  <c r="D41" i="4"/>
  <c r="U39" i="4" s="1"/>
  <c r="H45" i="4"/>
  <c r="S47" i="4" s="1"/>
  <c r="D48" i="4"/>
  <c r="F48" i="4"/>
  <c r="K48" i="4"/>
  <c r="D49" i="4"/>
  <c r="F49" i="4"/>
  <c r="K49" i="4"/>
  <c r="K30" i="4"/>
  <c r="C26" i="4"/>
  <c r="T27" i="4" s="1"/>
  <c r="K26" i="4"/>
  <c r="M41" i="4"/>
  <c r="I41" i="4"/>
  <c r="T41" i="4" s="1"/>
  <c r="B45" i="4"/>
  <c r="S45" i="4" s="1"/>
  <c r="C48" i="4"/>
  <c r="J48" i="4"/>
  <c r="C49" i="4"/>
  <c r="J49" i="4"/>
  <c r="B26" i="4"/>
  <c r="S27" i="4" s="1"/>
  <c r="D45" i="4"/>
  <c r="U45" i="4" s="1"/>
  <c r="B30" i="4"/>
  <c r="B37" i="4"/>
  <c r="S33" i="4" s="1"/>
  <c r="E41" i="4"/>
  <c r="S40" i="4" s="1"/>
  <c r="H41" i="4"/>
  <c r="S41" i="4" s="1"/>
  <c r="I20" i="4"/>
  <c r="I21" i="4" s="1"/>
  <c r="T23" i="4" s="1"/>
  <c r="J20" i="4"/>
  <c r="J21" i="4" s="1"/>
  <c r="U23" i="4" s="1"/>
  <c r="K20" i="4"/>
  <c r="K21" i="4" s="1"/>
  <c r="L20" i="4"/>
  <c r="L21" i="4" s="1"/>
  <c r="M20" i="4"/>
  <c r="M21" i="4" s="1"/>
  <c r="H20" i="4"/>
  <c r="H21" i="4" s="1"/>
  <c r="S23" i="4" s="1"/>
  <c r="H16" i="4"/>
  <c r="H17" i="4" s="1"/>
  <c r="S17" i="4" s="1"/>
  <c r="F20" i="4"/>
  <c r="F21" i="4" s="1"/>
  <c r="T22" i="4" s="1"/>
  <c r="G20" i="4"/>
  <c r="G21" i="4" s="1"/>
  <c r="U22" i="4" s="1"/>
  <c r="E20" i="4"/>
  <c r="E21" i="4" s="1"/>
  <c r="S22" i="4" s="1"/>
  <c r="E16" i="4"/>
  <c r="E17" i="4" s="1"/>
  <c r="S16" i="4" s="1"/>
  <c r="C20" i="4"/>
  <c r="C21" i="4" s="1"/>
  <c r="T21" i="4" s="1"/>
  <c r="D20" i="4"/>
  <c r="D21" i="4" s="1"/>
  <c r="U21" i="4" s="1"/>
  <c r="B20" i="4"/>
  <c r="B21" i="4" s="1"/>
  <c r="S21" i="4" s="1"/>
  <c r="B16" i="4"/>
  <c r="B17" i="4" s="1"/>
  <c r="S15" i="4" s="1"/>
  <c r="I16" i="4"/>
  <c r="I17" i="4" s="1"/>
  <c r="T17" i="4" s="1"/>
  <c r="J16" i="4"/>
  <c r="J17" i="4" s="1"/>
  <c r="U17" i="4" s="1"/>
  <c r="K16" i="4"/>
  <c r="K17" i="4" s="1"/>
  <c r="L16" i="4"/>
  <c r="L17" i="4" s="1"/>
  <c r="M16" i="4"/>
  <c r="M17" i="4" s="1"/>
  <c r="F16" i="4"/>
  <c r="F17" i="4" s="1"/>
  <c r="T16" i="4" s="1"/>
  <c r="G16" i="4"/>
  <c r="G17" i="4" s="1"/>
  <c r="U16" i="4" s="1"/>
  <c r="C16" i="4"/>
  <c r="C17" i="4" s="1"/>
  <c r="T15" i="4" s="1"/>
  <c r="D16" i="4"/>
  <c r="D17" i="4" s="1"/>
  <c r="U15" i="4" s="1"/>
  <c r="B7" i="4"/>
  <c r="B8" i="4" s="1"/>
  <c r="S3" i="4" s="1"/>
  <c r="I12" i="4"/>
  <c r="J12" i="4"/>
  <c r="K12" i="4"/>
  <c r="L12" i="4"/>
  <c r="M12" i="4"/>
  <c r="H12" i="4"/>
  <c r="H7" i="4"/>
  <c r="H8" i="4" s="1"/>
  <c r="S5" i="4" s="1"/>
  <c r="F12" i="4"/>
  <c r="G12" i="4"/>
  <c r="E12" i="4"/>
  <c r="E7" i="4"/>
  <c r="C12" i="4"/>
  <c r="D12" i="4"/>
  <c r="H11" i="4"/>
  <c r="H13" i="4" s="1"/>
  <c r="S11" i="4" s="1"/>
  <c r="I11" i="4"/>
  <c r="J11" i="4"/>
  <c r="K11" i="4"/>
  <c r="L11" i="4"/>
  <c r="M11" i="4"/>
  <c r="F11" i="4"/>
  <c r="G11" i="4"/>
  <c r="E11" i="4"/>
  <c r="B11" i="4"/>
  <c r="B13" i="4" s="1"/>
  <c r="S9" i="4" s="1"/>
  <c r="C11" i="4"/>
  <c r="D11" i="4"/>
  <c r="I10" i="4"/>
  <c r="J10" i="4"/>
  <c r="K10" i="4"/>
  <c r="L10" i="4"/>
  <c r="M10" i="4"/>
  <c r="F10" i="4"/>
  <c r="G10" i="4"/>
  <c r="C10" i="4"/>
  <c r="D10" i="4"/>
  <c r="I7" i="4"/>
  <c r="J7" i="4"/>
  <c r="K7" i="4"/>
  <c r="L7" i="4"/>
  <c r="M7" i="4"/>
  <c r="F7" i="4"/>
  <c r="G7" i="4"/>
  <c r="C7" i="4"/>
  <c r="D7" i="4"/>
  <c r="I6" i="4"/>
  <c r="J6" i="4"/>
  <c r="K6" i="4"/>
  <c r="L6" i="4"/>
  <c r="M6" i="4"/>
  <c r="F6" i="4"/>
  <c r="G6" i="4"/>
  <c r="C6" i="4"/>
  <c r="D6" i="4"/>
  <c r="U24" i="7" l="1"/>
  <c r="D34" i="8"/>
  <c r="D115" i="8" s="1"/>
  <c r="D15" i="7"/>
  <c r="D13" i="7" s="1"/>
  <c r="U4" i="7" s="1"/>
  <c r="U25" i="7"/>
  <c r="J34" i="8"/>
  <c r="J115" i="8" s="1"/>
  <c r="J135" i="8" s="1"/>
  <c r="J155" i="8" s="1"/>
  <c r="T25" i="7"/>
  <c r="I34" i="8"/>
  <c r="I115" i="8" s="1"/>
  <c r="I135" i="8" s="1"/>
  <c r="I155" i="8" s="1"/>
  <c r="D19" i="7"/>
  <c r="D17" i="7" s="1"/>
  <c r="D25" i="7" s="1"/>
  <c r="D34" i="7" s="1"/>
  <c r="D32" i="7" s="1"/>
  <c r="U28" i="7" s="1"/>
  <c r="D22" i="7"/>
  <c r="D20" i="7" s="1"/>
  <c r="H17" i="7"/>
  <c r="H34" i="8"/>
  <c r="H115" i="8" s="1"/>
  <c r="H135" i="8" s="1"/>
  <c r="H155" i="8" s="1"/>
  <c r="J207" i="8"/>
  <c r="P219" i="8"/>
  <c r="O176" i="8"/>
  <c r="E184" i="8"/>
  <c r="N208" i="8"/>
  <c r="T91" i="8"/>
  <c r="B206" i="8"/>
  <c r="T97" i="8" s="1"/>
  <c r="J206" i="8"/>
  <c r="V99" i="8" s="1"/>
  <c r="V93" i="8"/>
  <c r="K68" i="8"/>
  <c r="K212" i="8"/>
  <c r="K211" i="8" s="1"/>
  <c r="K207" i="8" s="1"/>
  <c r="K195" i="8"/>
  <c r="K194" i="8" s="1"/>
  <c r="M195" i="8"/>
  <c r="M194" i="8" s="1"/>
  <c r="M212" i="8"/>
  <c r="M211" i="8" s="1"/>
  <c r="L212" i="8"/>
  <c r="L211" i="8" s="1"/>
  <c r="L207" i="8" s="1"/>
  <c r="L195" i="8"/>
  <c r="L194" i="8" s="1"/>
  <c r="N186" i="8"/>
  <c r="K184" i="8"/>
  <c r="H184" i="8"/>
  <c r="D212" i="8"/>
  <c r="D195" i="8"/>
  <c r="F168" i="8"/>
  <c r="F167" i="8" s="1"/>
  <c r="F212" i="8"/>
  <c r="F211" i="8" s="1"/>
  <c r="F207" i="8" s="1"/>
  <c r="F195" i="8"/>
  <c r="F194" i="8" s="1"/>
  <c r="H212" i="8"/>
  <c r="H211" i="8" s="1"/>
  <c r="H195" i="8"/>
  <c r="H194" i="8" s="1"/>
  <c r="I195" i="8"/>
  <c r="I194" i="8" s="1"/>
  <c r="I212" i="8"/>
  <c r="I211" i="8" s="1"/>
  <c r="I207" i="8" s="1"/>
  <c r="E195" i="8"/>
  <c r="E212" i="8"/>
  <c r="F184" i="8"/>
  <c r="N185" i="8"/>
  <c r="N219" i="8"/>
  <c r="C195" i="8"/>
  <c r="C212" i="8"/>
  <c r="G212" i="8"/>
  <c r="G211" i="8" s="1"/>
  <c r="G207" i="8" s="1"/>
  <c r="G195" i="8"/>
  <c r="G194" i="8" s="1"/>
  <c r="O219" i="8"/>
  <c r="H207" i="8"/>
  <c r="O198" i="8"/>
  <c r="M207" i="8"/>
  <c r="N203" i="8"/>
  <c r="N201" i="8" s="1"/>
  <c r="P203" i="8"/>
  <c r="P201" i="8" s="1"/>
  <c r="K104" i="8"/>
  <c r="K124" i="8" s="1"/>
  <c r="K144" i="8" s="1"/>
  <c r="J177" i="8"/>
  <c r="I171" i="8"/>
  <c r="N181" i="8"/>
  <c r="G177" i="8"/>
  <c r="O173" i="8"/>
  <c r="E177" i="8"/>
  <c r="P176" i="8"/>
  <c r="O186" i="8"/>
  <c r="L184" i="8"/>
  <c r="N169" i="8"/>
  <c r="B184" i="8"/>
  <c r="O185" i="8"/>
  <c r="O184" i="8" s="1"/>
  <c r="C184" i="8"/>
  <c r="J171" i="8"/>
  <c r="P172" i="8"/>
  <c r="P171" i="8" s="1"/>
  <c r="D184" i="8"/>
  <c r="P185" i="8"/>
  <c r="P184" i="8" s="1"/>
  <c r="L97" i="8"/>
  <c r="P169" i="8"/>
  <c r="O170" i="8"/>
  <c r="N179" i="8"/>
  <c r="M171" i="8"/>
  <c r="K177" i="8"/>
  <c r="E171" i="8"/>
  <c r="O181" i="8"/>
  <c r="H177" i="8"/>
  <c r="P181" i="8"/>
  <c r="I177" i="8"/>
  <c r="O172" i="8"/>
  <c r="O171" i="8" s="1"/>
  <c r="D177" i="8"/>
  <c r="P178" i="8"/>
  <c r="C116" i="8"/>
  <c r="C136" i="8" s="1"/>
  <c r="C156" i="8" s="1"/>
  <c r="B177" i="8"/>
  <c r="N178" i="8"/>
  <c r="O179" i="8"/>
  <c r="N173" i="8"/>
  <c r="L177" i="8"/>
  <c r="B171" i="8"/>
  <c r="N172" i="8"/>
  <c r="M177" i="8"/>
  <c r="N176" i="8"/>
  <c r="P173" i="8"/>
  <c r="C171" i="8"/>
  <c r="C87" i="8"/>
  <c r="C85" i="8" s="1"/>
  <c r="F46" i="8"/>
  <c r="V9" i="8" s="1"/>
  <c r="AG4" i="8" s="1"/>
  <c r="N49" i="8"/>
  <c r="F177" i="8"/>
  <c r="O178" i="8"/>
  <c r="O177" i="8" s="1"/>
  <c r="C177" i="8"/>
  <c r="P179" i="8"/>
  <c r="F171" i="8"/>
  <c r="D146" i="8"/>
  <c r="M104" i="8"/>
  <c r="M124" i="8" s="1"/>
  <c r="M144" i="8" s="1"/>
  <c r="M168" i="8"/>
  <c r="M167" i="8" s="1"/>
  <c r="D104" i="8"/>
  <c r="D124" i="8" s="1"/>
  <c r="D168" i="8"/>
  <c r="B145" i="8"/>
  <c r="N145" i="8" s="1"/>
  <c r="N125" i="8"/>
  <c r="B124" i="8"/>
  <c r="B103" i="8"/>
  <c r="B123" i="8" s="1"/>
  <c r="B143" i="8" s="1"/>
  <c r="C150" i="8"/>
  <c r="B148" i="8"/>
  <c r="B150" i="8"/>
  <c r="C152" i="8"/>
  <c r="O152" i="8" s="1"/>
  <c r="O132" i="8"/>
  <c r="B146" i="8"/>
  <c r="H104" i="8"/>
  <c r="H124" i="8" s="1"/>
  <c r="H144" i="8" s="1"/>
  <c r="H168" i="8"/>
  <c r="H167" i="8" s="1"/>
  <c r="B156" i="8"/>
  <c r="C148" i="8"/>
  <c r="D150" i="8"/>
  <c r="P49" i="8"/>
  <c r="J46" i="8"/>
  <c r="N170" i="8"/>
  <c r="B167" i="8"/>
  <c r="K65" i="8"/>
  <c r="K64" i="8" s="1"/>
  <c r="W35" i="8" s="1"/>
  <c r="K168" i="8"/>
  <c r="K167" i="8" s="1"/>
  <c r="D145" i="8"/>
  <c r="P145" i="8" s="1"/>
  <c r="P125" i="8"/>
  <c r="C68" i="8"/>
  <c r="C67" i="8" s="1"/>
  <c r="X26" i="8" s="1"/>
  <c r="C168" i="8"/>
  <c r="G68" i="8"/>
  <c r="G168" i="8"/>
  <c r="G167" i="8" s="1"/>
  <c r="L104" i="8"/>
  <c r="L124" i="8" s="1"/>
  <c r="L144" i="8" s="1"/>
  <c r="L168" i="8"/>
  <c r="L167" i="8" s="1"/>
  <c r="G67" i="8"/>
  <c r="C145" i="8"/>
  <c r="O145" i="8" s="1"/>
  <c r="O125" i="8"/>
  <c r="P170" i="8"/>
  <c r="O169" i="8"/>
  <c r="D148" i="8"/>
  <c r="C146" i="8"/>
  <c r="I104" i="8"/>
  <c r="I124" i="8" s="1"/>
  <c r="I144" i="8" s="1"/>
  <c r="I168" i="8"/>
  <c r="I167" i="8" s="1"/>
  <c r="E104" i="8"/>
  <c r="E124" i="8" s="1"/>
  <c r="E144" i="8" s="1"/>
  <c r="E168" i="8"/>
  <c r="C144" i="8"/>
  <c r="B152" i="8"/>
  <c r="N152" i="8" s="1"/>
  <c r="N132" i="8"/>
  <c r="D152" i="8"/>
  <c r="P152" i="8" s="1"/>
  <c r="P132" i="8"/>
  <c r="C149" i="8"/>
  <c r="O149" i="8" s="1"/>
  <c r="O129" i="8"/>
  <c r="P48" i="8"/>
  <c r="K46" i="8"/>
  <c r="V17" i="8" s="1"/>
  <c r="AK6" i="8" s="1"/>
  <c r="D46" i="8"/>
  <c r="V2" i="8" s="1"/>
  <c r="AC3" i="8" s="1"/>
  <c r="M46" i="8"/>
  <c r="N48" i="8"/>
  <c r="O48" i="8"/>
  <c r="E61" i="8"/>
  <c r="V33" i="8" s="1"/>
  <c r="H61" i="8"/>
  <c r="V34" i="8" s="1"/>
  <c r="B117" i="8"/>
  <c r="B137" i="8" s="1"/>
  <c r="C46" i="8"/>
  <c r="V8" i="8" s="1"/>
  <c r="AG3" i="8" s="1"/>
  <c r="L46" i="8"/>
  <c r="V11" i="8" s="1"/>
  <c r="AG6" i="8" s="1"/>
  <c r="B46" i="8"/>
  <c r="V14" i="8" s="1"/>
  <c r="AK3" i="8" s="1"/>
  <c r="H46" i="8"/>
  <c r="V16" i="8" s="1"/>
  <c r="AK5" i="8" s="1"/>
  <c r="E46" i="8"/>
  <c r="V15" i="8" s="1"/>
  <c r="AK4" i="8" s="1"/>
  <c r="G46" i="8"/>
  <c r="V3" i="8" s="1"/>
  <c r="AC4" i="8" s="1"/>
  <c r="I46" i="8"/>
  <c r="V10" i="8" s="1"/>
  <c r="AG5" i="8" s="1"/>
  <c r="J97" i="8"/>
  <c r="L61" i="8"/>
  <c r="V29" i="8" s="1"/>
  <c r="P118" i="8"/>
  <c r="J117" i="8"/>
  <c r="J137" i="8" s="1"/>
  <c r="P92" i="8"/>
  <c r="J91" i="8"/>
  <c r="K91" i="8"/>
  <c r="W4" i="8"/>
  <c r="AD5" i="8" s="1"/>
  <c r="T5" i="8"/>
  <c r="AA6" i="8" s="1"/>
  <c r="V4" i="8"/>
  <c r="AC5" i="8" s="1"/>
  <c r="T4" i="8"/>
  <c r="AA5" i="8" s="1"/>
  <c r="F61" i="8"/>
  <c r="V27" i="8" s="1"/>
  <c r="L117" i="8"/>
  <c r="L137" i="8" s="1"/>
  <c r="F117" i="8"/>
  <c r="F137" i="8" s="1"/>
  <c r="C58" i="8"/>
  <c r="U26" i="8" s="1"/>
  <c r="G97" i="8"/>
  <c r="C97" i="8"/>
  <c r="H136" i="8"/>
  <c r="H156" i="8" s="1"/>
  <c r="H165" i="8" s="1"/>
  <c r="L114" i="8"/>
  <c r="L134" i="8" s="1"/>
  <c r="L154" i="8" s="1"/>
  <c r="L136" i="8"/>
  <c r="L156" i="8" s="1"/>
  <c r="L165" i="8" s="1"/>
  <c r="L175" i="8" s="1"/>
  <c r="G114" i="8"/>
  <c r="G134" i="8" s="1"/>
  <c r="G154" i="8" s="1"/>
  <c r="G136" i="8"/>
  <c r="G156" i="8" s="1"/>
  <c r="G165" i="8" s="1"/>
  <c r="J114" i="8"/>
  <c r="J134" i="8" s="1"/>
  <c r="J136" i="8"/>
  <c r="J156" i="8" s="1"/>
  <c r="J165" i="8" s="1"/>
  <c r="J175" i="8" s="1"/>
  <c r="L88" i="8"/>
  <c r="K113" i="8"/>
  <c r="K130" i="8"/>
  <c r="K150" i="8" s="1"/>
  <c r="K166" i="8" s="1"/>
  <c r="H113" i="8"/>
  <c r="H130" i="8"/>
  <c r="H150" i="8" s="1"/>
  <c r="H166" i="8" s="1"/>
  <c r="J113" i="8"/>
  <c r="J133" i="8" s="1"/>
  <c r="J153" i="8" s="1"/>
  <c r="J162" i="8" s="1"/>
  <c r="J161" i="8" s="1"/>
  <c r="J130" i="8"/>
  <c r="J150" i="8" s="1"/>
  <c r="J166" i="8" s="1"/>
  <c r="E107" i="8"/>
  <c r="E127" i="8" s="1"/>
  <c r="E147" i="8" s="1"/>
  <c r="E128" i="8"/>
  <c r="E148" i="8" s="1"/>
  <c r="C139" i="8"/>
  <c r="O139" i="8" s="1"/>
  <c r="O119" i="8"/>
  <c r="I117" i="8"/>
  <c r="I137" i="8" s="1"/>
  <c r="M114" i="8"/>
  <c r="M134" i="8" s="1"/>
  <c r="M154" i="8" s="1"/>
  <c r="M136" i="8"/>
  <c r="M156" i="8" s="1"/>
  <c r="M165" i="8" s="1"/>
  <c r="O99" i="8"/>
  <c r="L113" i="8"/>
  <c r="L133" i="8" s="1"/>
  <c r="L153" i="8" s="1"/>
  <c r="L162" i="8" s="1"/>
  <c r="L161" i="8" s="1"/>
  <c r="L130" i="8"/>
  <c r="L150" i="8" s="1"/>
  <c r="L166" i="8" s="1"/>
  <c r="I107" i="8"/>
  <c r="I127" i="8" s="1"/>
  <c r="I147" i="8" s="1"/>
  <c r="I128" i="8"/>
  <c r="I148" i="8" s="1"/>
  <c r="M107" i="8"/>
  <c r="M127" i="8" s="1"/>
  <c r="M147" i="8" s="1"/>
  <c r="M128" i="8"/>
  <c r="M148" i="8" s="1"/>
  <c r="C138" i="8"/>
  <c r="O138" i="8" s="1"/>
  <c r="C117" i="8"/>
  <c r="C137" i="8" s="1"/>
  <c r="O118" i="8"/>
  <c r="M117" i="8"/>
  <c r="M137" i="8" s="1"/>
  <c r="E114" i="8"/>
  <c r="E134" i="8" s="1"/>
  <c r="E154" i="8" s="1"/>
  <c r="E136" i="8"/>
  <c r="E156" i="8" s="1"/>
  <c r="E165" i="8" s="1"/>
  <c r="K114" i="8"/>
  <c r="K134" i="8" s="1"/>
  <c r="K154" i="8" s="1"/>
  <c r="K136" i="8"/>
  <c r="K156" i="8" s="1"/>
  <c r="K165" i="8" s="1"/>
  <c r="G113" i="8"/>
  <c r="G133" i="8" s="1"/>
  <c r="G153" i="8" s="1"/>
  <c r="G162" i="8" s="1"/>
  <c r="G161" i="8" s="1"/>
  <c r="G130" i="8"/>
  <c r="G150" i="8" s="1"/>
  <c r="G166" i="8" s="1"/>
  <c r="K138" i="8"/>
  <c r="N138" i="8" s="1"/>
  <c r="K117" i="8"/>
  <c r="K137" i="8" s="1"/>
  <c r="D139" i="8"/>
  <c r="P139" i="8" s="1"/>
  <c r="P119" i="8"/>
  <c r="F113" i="8"/>
  <c r="F133" i="8" s="1"/>
  <c r="F153" i="8" s="1"/>
  <c r="F162" i="8" s="1"/>
  <c r="F161" i="8" s="1"/>
  <c r="F130" i="8"/>
  <c r="F150" i="8" s="1"/>
  <c r="F166" i="8" s="1"/>
  <c r="N119" i="8"/>
  <c r="B139" i="8"/>
  <c r="N139" i="8" s="1"/>
  <c r="I136" i="8"/>
  <c r="I156" i="8" s="1"/>
  <c r="I165" i="8" s="1"/>
  <c r="F114" i="8"/>
  <c r="F134" i="8" s="1"/>
  <c r="F154" i="8" s="1"/>
  <c r="F136" i="8"/>
  <c r="F156" i="8" s="1"/>
  <c r="F165" i="8" s="1"/>
  <c r="O77" i="8"/>
  <c r="D114" i="8"/>
  <c r="D134" i="8" s="1"/>
  <c r="D136" i="8"/>
  <c r="N118" i="8"/>
  <c r="G138" i="8"/>
  <c r="P138" i="8" s="1"/>
  <c r="G117" i="8"/>
  <c r="G137" i="8" s="1"/>
  <c r="H117" i="8"/>
  <c r="H137" i="8" s="1"/>
  <c r="E117" i="8"/>
  <c r="E137" i="8" s="1"/>
  <c r="J61" i="8"/>
  <c r="G61" i="8"/>
  <c r="P105" i="8"/>
  <c r="K88" i="8"/>
  <c r="F71" i="8"/>
  <c r="P96" i="8"/>
  <c r="P94" i="8" s="1"/>
  <c r="J64" i="8"/>
  <c r="W22" i="8" s="1"/>
  <c r="G64" i="8"/>
  <c r="W21" i="8" s="1"/>
  <c r="P116" i="8"/>
  <c r="F97" i="8"/>
  <c r="F88" i="8"/>
  <c r="N116" i="8"/>
  <c r="K107" i="8"/>
  <c r="K127" i="8" s="1"/>
  <c r="K147" i="8" s="1"/>
  <c r="H107" i="8"/>
  <c r="H127" i="8" s="1"/>
  <c r="H147" i="8" s="1"/>
  <c r="G58" i="8"/>
  <c r="U21" i="8" s="1"/>
  <c r="K61" i="8"/>
  <c r="V35" i="8" s="1"/>
  <c r="P98" i="8"/>
  <c r="N98" i="8"/>
  <c r="N112" i="8"/>
  <c r="N110" i="8"/>
  <c r="B113" i="8"/>
  <c r="C113" i="8"/>
  <c r="C133" i="8" s="1"/>
  <c r="O110" i="8"/>
  <c r="N108" i="8"/>
  <c r="B107" i="8"/>
  <c r="B127" i="8" s="1"/>
  <c r="B147" i="8" s="1"/>
  <c r="O112" i="8"/>
  <c r="L107" i="8"/>
  <c r="L127" i="8" s="1"/>
  <c r="L147" i="8" s="1"/>
  <c r="H88" i="8"/>
  <c r="C107" i="8"/>
  <c r="C127" i="8" s="1"/>
  <c r="C147" i="8" s="1"/>
  <c r="O108" i="8"/>
  <c r="J107" i="8"/>
  <c r="J127" i="8" s="1"/>
  <c r="J147" i="8" s="1"/>
  <c r="P110" i="8"/>
  <c r="D113" i="8"/>
  <c r="D133" i="8" s="1"/>
  <c r="O105" i="8"/>
  <c r="I91" i="8"/>
  <c r="E91" i="8"/>
  <c r="G88" i="8"/>
  <c r="G107" i="8"/>
  <c r="G127" i="8" s="1"/>
  <c r="G147" i="8" s="1"/>
  <c r="P108" i="8"/>
  <c r="D107" i="8"/>
  <c r="D127" i="8" s="1"/>
  <c r="D147" i="8" s="1"/>
  <c r="P112" i="8"/>
  <c r="F107" i="8"/>
  <c r="F127" i="8" s="1"/>
  <c r="F147" i="8" s="1"/>
  <c r="N105" i="8"/>
  <c r="N69" i="8"/>
  <c r="O66" i="8"/>
  <c r="M61" i="8"/>
  <c r="N92" i="8"/>
  <c r="H91" i="8"/>
  <c r="B64" i="8"/>
  <c r="W32" i="8" s="1"/>
  <c r="O92" i="8"/>
  <c r="K97" i="8"/>
  <c r="D71" i="8"/>
  <c r="Y20" i="8" s="1"/>
  <c r="P90" i="8"/>
  <c r="P99" i="8"/>
  <c r="N93" i="8"/>
  <c r="N91" i="8" s="1"/>
  <c r="M91" i="8"/>
  <c r="N90" i="8"/>
  <c r="O69" i="8"/>
  <c r="K67" i="8"/>
  <c r="X35" i="8" s="1"/>
  <c r="O90" i="8"/>
  <c r="N99" i="8"/>
  <c r="K84" i="8"/>
  <c r="K81" i="8" s="1"/>
  <c r="K87" i="8"/>
  <c r="K85" i="8" s="1"/>
  <c r="J58" i="8"/>
  <c r="U22" i="8" s="1"/>
  <c r="J106" i="8"/>
  <c r="D84" i="8"/>
  <c r="D87" i="8"/>
  <c r="D88" i="8"/>
  <c r="P89" i="8"/>
  <c r="P86" i="8"/>
  <c r="C103" i="8"/>
  <c r="C123" i="8" s="1"/>
  <c r="C143" i="8" s="1"/>
  <c r="E84" i="8"/>
  <c r="E81" i="8" s="1"/>
  <c r="E87" i="8"/>
  <c r="E85" i="8" s="1"/>
  <c r="G84" i="8"/>
  <c r="G81" i="8" s="1"/>
  <c r="G87" i="8"/>
  <c r="G85" i="8" s="1"/>
  <c r="W17" i="8"/>
  <c r="AL6" i="8" s="1"/>
  <c r="H71" i="8"/>
  <c r="Y34" i="8" s="1"/>
  <c r="I61" i="8"/>
  <c r="V28" i="8" s="1"/>
  <c r="M58" i="8"/>
  <c r="U23" i="8" s="1"/>
  <c r="M106" i="8"/>
  <c r="M126" i="8" s="1"/>
  <c r="M146" i="8" s="1"/>
  <c r="G103" i="8"/>
  <c r="O89" i="8"/>
  <c r="C88" i="8"/>
  <c r="I88" i="8"/>
  <c r="E88" i="8"/>
  <c r="N89" i="8"/>
  <c r="B84" i="8"/>
  <c r="B81" i="8" s="1"/>
  <c r="B87" i="8"/>
  <c r="B85" i="8" s="1"/>
  <c r="J84" i="8"/>
  <c r="J81" i="8" s="1"/>
  <c r="J87" i="8"/>
  <c r="J85" i="8" s="1"/>
  <c r="F84" i="8"/>
  <c r="F81" i="8" s="1"/>
  <c r="F87" i="8"/>
  <c r="J71" i="8"/>
  <c r="Y22" i="8" s="1"/>
  <c r="W10" i="8"/>
  <c r="AH5" i="8" s="1"/>
  <c r="K58" i="8"/>
  <c r="U35" i="8" s="1"/>
  <c r="H58" i="8"/>
  <c r="U34" i="8" s="1"/>
  <c r="H106" i="8"/>
  <c r="N63" i="8"/>
  <c r="O96" i="8"/>
  <c r="O94" i="8" s="1"/>
  <c r="O98" i="8"/>
  <c r="N96" i="8"/>
  <c r="N94" i="8" s="1"/>
  <c r="B94" i="8"/>
  <c r="I97" i="8"/>
  <c r="O93" i="8"/>
  <c r="M97" i="8"/>
  <c r="E97" i="8"/>
  <c r="D97" i="8"/>
  <c r="I84" i="8"/>
  <c r="I81" i="8" s="1"/>
  <c r="I87" i="8"/>
  <c r="I85" i="8" s="1"/>
  <c r="O82" i="8"/>
  <c r="C81" i="8"/>
  <c r="L58" i="8"/>
  <c r="U29" i="8" s="1"/>
  <c r="L106" i="8"/>
  <c r="N70" i="8"/>
  <c r="H84" i="8"/>
  <c r="H81" i="8" s="1"/>
  <c r="H87" i="8"/>
  <c r="H85" i="8" s="1"/>
  <c r="L84" i="8"/>
  <c r="L81" i="8" s="1"/>
  <c r="L87" i="8"/>
  <c r="L85" i="8" s="1"/>
  <c r="M84" i="8"/>
  <c r="M81" i="8" s="1"/>
  <c r="M87" i="8"/>
  <c r="M85" i="8" s="1"/>
  <c r="M71" i="8"/>
  <c r="Y23" i="8" s="1"/>
  <c r="W8" i="8"/>
  <c r="AH3" i="8" s="1"/>
  <c r="W3" i="8"/>
  <c r="AD4" i="8" s="1"/>
  <c r="F58" i="8"/>
  <c r="U27" i="8" s="1"/>
  <c r="F106" i="8"/>
  <c r="F126" i="8" s="1"/>
  <c r="F146" i="8" s="1"/>
  <c r="W15" i="8"/>
  <c r="AL4" i="8" s="1"/>
  <c r="I58" i="8"/>
  <c r="U28" i="8" s="1"/>
  <c r="I106" i="8"/>
  <c r="E58" i="8"/>
  <c r="E106" i="8"/>
  <c r="E126" i="8" s="1"/>
  <c r="E146" i="8" s="1"/>
  <c r="P93" i="8"/>
  <c r="D94" i="8"/>
  <c r="D91" i="8"/>
  <c r="N86" i="8"/>
  <c r="M88" i="8"/>
  <c r="O86" i="8"/>
  <c r="F65" i="8"/>
  <c r="F64" i="8" s="1"/>
  <c r="W27" i="8" s="1"/>
  <c r="F104" i="8"/>
  <c r="F68" i="8"/>
  <c r="F67" i="8" s="1"/>
  <c r="X27" i="8" s="1"/>
  <c r="C94" i="8"/>
  <c r="B91" i="8"/>
  <c r="W2" i="8"/>
  <c r="AD3" i="8" s="1"/>
  <c r="W11" i="8"/>
  <c r="AH6" i="8" s="1"/>
  <c r="I71" i="8"/>
  <c r="Y28" i="8" s="1"/>
  <c r="K71" i="8"/>
  <c r="Y35" i="8" s="1"/>
  <c r="P60" i="8"/>
  <c r="P58" i="8" s="1"/>
  <c r="P75" i="8"/>
  <c r="P57" i="8"/>
  <c r="P55" i="8" s="1"/>
  <c r="T24" i="8" s="1"/>
  <c r="P83" i="8"/>
  <c r="P69" i="8"/>
  <c r="U16" i="8"/>
  <c r="AJ5" i="8" s="1"/>
  <c r="J67" i="8"/>
  <c r="W14" i="8"/>
  <c r="AL3" i="8" s="1"/>
  <c r="B67" i="8"/>
  <c r="X32" i="8" s="1"/>
  <c r="C64" i="8"/>
  <c r="W26" i="8" s="1"/>
  <c r="E68" i="8"/>
  <c r="E67" i="8" s="1"/>
  <c r="X33" i="8" s="1"/>
  <c r="E65" i="8"/>
  <c r="I65" i="8"/>
  <c r="I64" i="8" s="1"/>
  <c r="W28" i="8" s="1"/>
  <c r="I68" i="8"/>
  <c r="O60" i="8"/>
  <c r="O58" i="8" s="1"/>
  <c r="D68" i="8"/>
  <c r="D65" i="8"/>
  <c r="W16" i="8"/>
  <c r="AL5" i="8" s="1"/>
  <c r="U11" i="8"/>
  <c r="AF6" i="8" s="1"/>
  <c r="N75" i="8"/>
  <c r="O63" i="8"/>
  <c r="N66" i="8"/>
  <c r="O62" i="8"/>
  <c r="M68" i="8"/>
  <c r="M67" i="8" s="1"/>
  <c r="M65" i="8"/>
  <c r="M64" i="8" s="1"/>
  <c r="W23" i="8" s="1"/>
  <c r="H68" i="8"/>
  <c r="H67" i="8" s="1"/>
  <c r="X34" i="8" s="1"/>
  <c r="H65" i="8"/>
  <c r="H64" i="8" s="1"/>
  <c r="N82" i="8"/>
  <c r="O57" i="8"/>
  <c r="O55" i="8" s="1"/>
  <c r="T30" i="8" s="1"/>
  <c r="N57" i="8"/>
  <c r="N55" i="8" s="1"/>
  <c r="T36" i="8" s="1"/>
  <c r="N83" i="8"/>
  <c r="C61" i="8"/>
  <c r="V26" i="8" s="1"/>
  <c r="B71" i="8"/>
  <c r="Y32" i="8" s="1"/>
  <c r="O70" i="8"/>
  <c r="P62" i="8"/>
  <c r="D61" i="8"/>
  <c r="V20" i="8" s="1"/>
  <c r="L68" i="8"/>
  <c r="L67" i="8" s="1"/>
  <c r="X29" i="8" s="1"/>
  <c r="L65" i="8"/>
  <c r="L64" i="8" s="1"/>
  <c r="W29" i="8" s="1"/>
  <c r="P63" i="8"/>
  <c r="O83" i="8"/>
  <c r="O75" i="8"/>
  <c r="N62" i="8"/>
  <c r="N60" i="8"/>
  <c r="N58" i="8" s="1"/>
  <c r="U36" i="8" s="1"/>
  <c r="P77" i="8"/>
  <c r="C55" i="8"/>
  <c r="T26" i="8" s="1"/>
  <c r="B58" i="8"/>
  <c r="U32" i="8" s="1"/>
  <c r="D55" i="8"/>
  <c r="T20" i="8" s="1"/>
  <c r="N77" i="8"/>
  <c r="L71" i="8"/>
  <c r="Y29" i="8" s="1"/>
  <c r="P66" i="8"/>
  <c r="P70" i="8"/>
  <c r="P82" i="8"/>
  <c r="D58" i="8"/>
  <c r="U20" i="8" s="1"/>
  <c r="U10" i="8"/>
  <c r="AF5" i="8" s="1"/>
  <c r="U9" i="8"/>
  <c r="AF4" i="8" s="1"/>
  <c r="AP3" i="8" s="1"/>
  <c r="AU3" i="8" s="1"/>
  <c r="U17" i="8"/>
  <c r="AJ6" i="8" s="1"/>
  <c r="O45" i="8"/>
  <c r="P45" i="8"/>
  <c r="N47" i="8"/>
  <c r="N46" i="8" s="1"/>
  <c r="N42" i="8"/>
  <c r="N40" i="8" s="1"/>
  <c r="T18" i="8" s="1"/>
  <c r="AI7" i="8" s="1"/>
  <c r="P47" i="8"/>
  <c r="N45" i="8"/>
  <c r="N43" i="8" s="1"/>
  <c r="O44" i="8"/>
  <c r="U8" i="8"/>
  <c r="AF3" i="8" s="1"/>
  <c r="U14" i="8"/>
  <c r="AJ3" i="8" s="1"/>
  <c r="O47" i="8"/>
  <c r="O46" i="8" s="1"/>
  <c r="U3" i="8"/>
  <c r="AB4" i="8" s="1"/>
  <c r="O42" i="8"/>
  <c r="O40" i="8" s="1"/>
  <c r="T12" i="8" s="1"/>
  <c r="AE7" i="8" s="1"/>
  <c r="P44" i="8"/>
  <c r="U2" i="8"/>
  <c r="AB3" i="8" s="1"/>
  <c r="B40" i="8"/>
  <c r="T14" i="8" s="1"/>
  <c r="AI3" i="8" s="1"/>
  <c r="P42" i="8"/>
  <c r="P40" i="8" s="1"/>
  <c r="D24" i="7"/>
  <c r="U12" i="7"/>
  <c r="I24" i="7"/>
  <c r="T13" i="7"/>
  <c r="H25" i="7"/>
  <c r="H34" i="7" s="1"/>
  <c r="H32" i="7" s="1"/>
  <c r="S9" i="7"/>
  <c r="U8" i="7"/>
  <c r="J24" i="7"/>
  <c r="U13" i="7"/>
  <c r="H24" i="7"/>
  <c r="H23" i="7" s="1"/>
  <c r="S17" i="7" s="1"/>
  <c r="S13" i="7"/>
  <c r="J25" i="7"/>
  <c r="J34" i="7" s="1"/>
  <c r="J32" i="7" s="1"/>
  <c r="U29" i="7" s="1"/>
  <c r="U9" i="7"/>
  <c r="I25" i="7"/>
  <c r="I34" i="7" s="1"/>
  <c r="I32" i="7" s="1"/>
  <c r="T29" i="7" s="1"/>
  <c r="T9" i="7"/>
  <c r="F31" i="7"/>
  <c r="F29" i="7" s="1"/>
  <c r="F22" i="7"/>
  <c r="F20" i="7" s="1"/>
  <c r="F24" i="7" s="1"/>
  <c r="F19" i="7"/>
  <c r="F17" i="7" s="1"/>
  <c r="F25" i="7" s="1"/>
  <c r="F34" i="7" s="1"/>
  <c r="F32" i="7" s="1"/>
  <c r="F15" i="7"/>
  <c r="F13" i="7" s="1"/>
  <c r="B22" i="7"/>
  <c r="B20" i="7" s="1"/>
  <c r="B31" i="7"/>
  <c r="B29" i="7" s="1"/>
  <c r="B19" i="7"/>
  <c r="B17" i="7" s="1"/>
  <c r="E31" i="7"/>
  <c r="E29" i="7" s="1"/>
  <c r="E22" i="7"/>
  <c r="E20" i="7" s="1"/>
  <c r="E24" i="7" s="1"/>
  <c r="E19" i="7"/>
  <c r="E17" i="7" s="1"/>
  <c r="E25" i="7" s="1"/>
  <c r="E34" i="7" s="1"/>
  <c r="E32" i="7" s="1"/>
  <c r="E15" i="7"/>
  <c r="E13" i="7" s="1"/>
  <c r="G19" i="7"/>
  <c r="G17" i="7" s="1"/>
  <c r="G25" i="7" s="1"/>
  <c r="G34" i="7" s="1"/>
  <c r="G32" i="7" s="1"/>
  <c r="G15" i="7"/>
  <c r="G13" i="7" s="1"/>
  <c r="G31" i="7"/>
  <c r="G29" i="7" s="1"/>
  <c r="G22" i="7"/>
  <c r="G20" i="7" s="1"/>
  <c r="G24" i="7" s="1"/>
  <c r="C22" i="7"/>
  <c r="C20" i="7" s="1"/>
  <c r="C19" i="7"/>
  <c r="C17" i="7" s="1"/>
  <c r="C31" i="7"/>
  <c r="C29" i="7" s="1"/>
  <c r="B15" i="7"/>
  <c r="B13" i="7" s="1"/>
  <c r="S4" i="7" s="1"/>
  <c r="B48" i="5"/>
  <c r="B52" i="5" s="1"/>
  <c r="B55" i="5" s="1"/>
  <c r="S14" i="6"/>
  <c r="AY4" i="6"/>
  <c r="AY8" i="6"/>
  <c r="U14" i="6"/>
  <c r="BA4" i="6"/>
  <c r="BA8" i="6"/>
  <c r="S8" i="6"/>
  <c r="AY5" i="6"/>
  <c r="AY9" i="6"/>
  <c r="T14" i="6"/>
  <c r="AZ4" i="6"/>
  <c r="AZ8" i="6"/>
  <c r="S63" i="6"/>
  <c r="AY14" i="6"/>
  <c r="T27" i="6"/>
  <c r="J44" i="6"/>
  <c r="U41" i="6" s="1"/>
  <c r="F44" i="6"/>
  <c r="T40" i="6" s="1"/>
  <c r="H56" i="6"/>
  <c r="AF17" i="6" s="1"/>
  <c r="AI17" i="6" s="1"/>
  <c r="L28" i="6"/>
  <c r="T17" i="6" s="1"/>
  <c r="B44" i="6"/>
  <c r="U28" i="6"/>
  <c r="L56" i="6"/>
  <c r="AG19" i="6" s="1"/>
  <c r="J64" i="6"/>
  <c r="AH29" i="6" s="1"/>
  <c r="E44" i="6"/>
  <c r="S40" i="6" s="1"/>
  <c r="H61" i="6"/>
  <c r="D42" i="6"/>
  <c r="D41" i="6" s="1"/>
  <c r="I67" i="6"/>
  <c r="AG30" i="6" s="1"/>
  <c r="F25" i="6"/>
  <c r="T3" i="6" s="1"/>
  <c r="I42" i="6"/>
  <c r="I41" i="6" s="1"/>
  <c r="T59" i="6" s="1"/>
  <c r="J28" i="6"/>
  <c r="U16" i="6" s="1"/>
  <c r="O58" i="6"/>
  <c r="G41" i="6"/>
  <c r="U58" i="6" s="1"/>
  <c r="O30" i="6"/>
  <c r="E47" i="6"/>
  <c r="S64" i="6" s="1"/>
  <c r="L25" i="6"/>
  <c r="T5" i="6" s="1"/>
  <c r="K56" i="6"/>
  <c r="O46" i="6"/>
  <c r="L47" i="6"/>
  <c r="T66" i="6" s="1"/>
  <c r="G51" i="6"/>
  <c r="G50" i="6" s="1"/>
  <c r="U46" i="6" s="1"/>
  <c r="D25" i="6"/>
  <c r="P48" i="6"/>
  <c r="H25" i="6"/>
  <c r="S4" i="6" s="1"/>
  <c r="M47" i="6"/>
  <c r="U66" i="6" s="1"/>
  <c r="I47" i="6"/>
  <c r="T65" i="6" s="1"/>
  <c r="N45" i="6"/>
  <c r="P39" i="6"/>
  <c r="M56" i="6"/>
  <c r="N68" i="6"/>
  <c r="I61" i="6"/>
  <c r="T54" i="6"/>
  <c r="N30" i="6"/>
  <c r="I50" i="6"/>
  <c r="T47" i="6" s="1"/>
  <c r="L64" i="6"/>
  <c r="AG31" i="6" s="1"/>
  <c r="T53" i="6"/>
  <c r="M50" i="6"/>
  <c r="U48" i="6" s="1"/>
  <c r="I64" i="6"/>
  <c r="AG29" i="6" s="1"/>
  <c r="O48" i="6"/>
  <c r="E64" i="6"/>
  <c r="AF27" i="6" s="1"/>
  <c r="O66" i="6"/>
  <c r="J56" i="6"/>
  <c r="AH17" i="6" s="1"/>
  <c r="AJ17" i="6" s="1"/>
  <c r="N39" i="6"/>
  <c r="G40" i="6"/>
  <c r="G38" i="6" s="1"/>
  <c r="U34" i="6" s="1"/>
  <c r="G60" i="6"/>
  <c r="U29" i="6"/>
  <c r="S27" i="6"/>
  <c r="T29" i="6"/>
  <c r="N57" i="6"/>
  <c r="B56" i="6"/>
  <c r="AF13" i="6" s="1"/>
  <c r="K61" i="6"/>
  <c r="K69" i="6"/>
  <c r="K67" i="6" s="1"/>
  <c r="AF32" i="6" s="1"/>
  <c r="G69" i="6"/>
  <c r="G67" i="6" s="1"/>
  <c r="AH28" i="6" s="1"/>
  <c r="G61" i="6"/>
  <c r="C40" i="6"/>
  <c r="C38" i="6" s="1"/>
  <c r="C60" i="6"/>
  <c r="J40" i="6"/>
  <c r="J38" i="6" s="1"/>
  <c r="U35" i="6" s="1"/>
  <c r="J60" i="6"/>
  <c r="M40" i="6"/>
  <c r="M38" i="6" s="1"/>
  <c r="U36" i="6" s="1"/>
  <c r="M60" i="6"/>
  <c r="T28" i="6"/>
  <c r="L40" i="6"/>
  <c r="L38" i="6" s="1"/>
  <c r="T36" i="6" s="1"/>
  <c r="L60" i="6"/>
  <c r="S29" i="6"/>
  <c r="H44" i="6"/>
  <c r="S41" i="6" s="1"/>
  <c r="H47" i="6"/>
  <c r="S65" i="6" s="1"/>
  <c r="B64" i="6"/>
  <c r="AF25" i="6" s="1"/>
  <c r="AI25" i="6" s="1"/>
  <c r="N65" i="6"/>
  <c r="F64" i="6"/>
  <c r="AG27" i="6" s="1"/>
  <c r="O65" i="6"/>
  <c r="J69" i="6"/>
  <c r="J67" i="6" s="1"/>
  <c r="AH30" i="6" s="1"/>
  <c r="J61" i="6"/>
  <c r="B69" i="6"/>
  <c r="B61" i="6"/>
  <c r="O57" i="6"/>
  <c r="C56" i="6"/>
  <c r="AG13" i="6" s="1"/>
  <c r="L69" i="6"/>
  <c r="L67" i="6" s="1"/>
  <c r="AG32" i="6" s="1"/>
  <c r="L61" i="6"/>
  <c r="E56" i="6"/>
  <c r="AF15" i="6" s="1"/>
  <c r="S26" i="6"/>
  <c r="O26" i="6"/>
  <c r="F40" i="6"/>
  <c r="F38" i="6" s="1"/>
  <c r="T34" i="6" s="1"/>
  <c r="F60" i="6"/>
  <c r="I40" i="6"/>
  <c r="I38" i="6" s="1"/>
  <c r="T35" i="6" s="1"/>
  <c r="I60" i="6"/>
  <c r="H40" i="6"/>
  <c r="H38" i="6" s="1"/>
  <c r="S35" i="6" s="1"/>
  <c r="H60" i="6"/>
  <c r="U27" i="6"/>
  <c r="O43" i="6"/>
  <c r="K41" i="6"/>
  <c r="S60" i="6" s="1"/>
  <c r="P57" i="6"/>
  <c r="D56" i="6"/>
  <c r="AH13" i="6" s="1"/>
  <c r="N66" i="6"/>
  <c r="P68" i="6"/>
  <c r="P58" i="6"/>
  <c r="M64" i="6"/>
  <c r="AH31" i="6" s="1"/>
  <c r="P65" i="6"/>
  <c r="D64" i="6"/>
  <c r="AH25" i="6" s="1"/>
  <c r="AJ25" i="6" s="1"/>
  <c r="P66" i="6"/>
  <c r="C61" i="6"/>
  <c r="C69" i="6"/>
  <c r="K40" i="6"/>
  <c r="K38" i="6" s="1"/>
  <c r="S36" i="6" s="1"/>
  <c r="K60" i="6"/>
  <c r="B40" i="6"/>
  <c r="B38" i="6" s="1"/>
  <c r="B60" i="6"/>
  <c r="E40" i="6"/>
  <c r="E38" i="6" s="1"/>
  <c r="S34" i="6" s="1"/>
  <c r="E60" i="6"/>
  <c r="D40" i="6"/>
  <c r="D38" i="6" s="1"/>
  <c r="D60" i="6"/>
  <c r="S28" i="6"/>
  <c r="E50" i="6"/>
  <c r="S46" i="6" s="1"/>
  <c r="F47" i="6"/>
  <c r="T64" i="6" s="1"/>
  <c r="K44" i="6"/>
  <c r="S42" i="6" s="1"/>
  <c r="M42" i="6"/>
  <c r="M41" i="6" s="1"/>
  <c r="U60" i="6" s="1"/>
  <c r="M44" i="6"/>
  <c r="U42" i="6" s="1"/>
  <c r="C41" i="6"/>
  <c r="E69" i="6"/>
  <c r="E67" i="6" s="1"/>
  <c r="AF28" i="6" s="1"/>
  <c r="E61" i="6"/>
  <c r="H64" i="6"/>
  <c r="AF29" i="6" s="1"/>
  <c r="O68" i="6"/>
  <c r="N58" i="6"/>
  <c r="F56" i="6"/>
  <c r="AG15" i="6" s="1"/>
  <c r="F61" i="6"/>
  <c r="F69" i="6"/>
  <c r="F67" i="6" s="1"/>
  <c r="AG28" i="6" s="1"/>
  <c r="G64" i="6"/>
  <c r="AH27" i="6" s="1"/>
  <c r="H67" i="6"/>
  <c r="AF30" i="6" s="1"/>
  <c r="G56" i="6"/>
  <c r="AH15" i="6" s="1"/>
  <c r="M69" i="6"/>
  <c r="M67" i="6" s="1"/>
  <c r="AH32" i="6" s="1"/>
  <c r="M61" i="6"/>
  <c r="D69" i="6"/>
  <c r="D61" i="6"/>
  <c r="I44" i="6"/>
  <c r="T41" i="6" s="1"/>
  <c r="K47" i="6"/>
  <c r="S66" i="6" s="1"/>
  <c r="C51" i="6"/>
  <c r="C50" i="6" s="1"/>
  <c r="P46" i="6"/>
  <c r="E42" i="6"/>
  <c r="E41" i="6" s="1"/>
  <c r="S58" i="6" s="1"/>
  <c r="K51" i="6"/>
  <c r="K50" i="6" s="1"/>
  <c r="S48" i="6" s="1"/>
  <c r="N43" i="6"/>
  <c r="D44" i="6"/>
  <c r="G47" i="6"/>
  <c r="U64" i="6" s="1"/>
  <c r="K25" i="6"/>
  <c r="S5" i="6" s="1"/>
  <c r="C31" i="6"/>
  <c r="P36" i="6"/>
  <c r="P33" i="6"/>
  <c r="P31" i="6" s="1"/>
  <c r="O49" i="6"/>
  <c r="C47" i="6"/>
  <c r="H51" i="6"/>
  <c r="H50" i="6" s="1"/>
  <c r="S47" i="6" s="1"/>
  <c r="H42" i="6"/>
  <c r="H41" i="6" s="1"/>
  <c r="S59" i="6" s="1"/>
  <c r="O45" i="6"/>
  <c r="N27" i="6"/>
  <c r="N49" i="6"/>
  <c r="N52" i="6"/>
  <c r="P52" i="6"/>
  <c r="O52" i="6"/>
  <c r="P49" i="6"/>
  <c r="L44" i="6"/>
  <c r="T42" i="6" s="1"/>
  <c r="D50" i="6"/>
  <c r="D47" i="6"/>
  <c r="N46" i="6"/>
  <c r="B42" i="6"/>
  <c r="B51" i="6"/>
  <c r="J42" i="6"/>
  <c r="J41" i="6" s="1"/>
  <c r="U59" i="6" s="1"/>
  <c r="J51" i="6"/>
  <c r="P43" i="6"/>
  <c r="F42" i="6"/>
  <c r="F51" i="6"/>
  <c r="L51" i="6"/>
  <c r="L50" i="6" s="1"/>
  <c r="T48" i="6" s="1"/>
  <c r="L42" i="6"/>
  <c r="L41" i="6" s="1"/>
  <c r="T60" i="6" s="1"/>
  <c r="C44" i="6"/>
  <c r="P45" i="6"/>
  <c r="N48" i="6"/>
  <c r="N33" i="6"/>
  <c r="N31" i="6" s="1"/>
  <c r="B34" i="6"/>
  <c r="J34" i="6"/>
  <c r="U22" i="6" s="1"/>
  <c r="I34" i="6"/>
  <c r="T22" i="6" s="1"/>
  <c r="I25" i="6"/>
  <c r="T4" i="6" s="1"/>
  <c r="D31" i="6"/>
  <c r="O36" i="6"/>
  <c r="F34" i="6"/>
  <c r="T21" i="6" s="1"/>
  <c r="N29" i="6"/>
  <c r="O29" i="6"/>
  <c r="C34" i="6"/>
  <c r="O35" i="6"/>
  <c r="M25" i="6"/>
  <c r="U5" i="6" s="1"/>
  <c r="O27" i="6"/>
  <c r="J25" i="6"/>
  <c r="U4" i="6" s="1"/>
  <c r="M34" i="6"/>
  <c r="U23" i="6" s="1"/>
  <c r="N36" i="6"/>
  <c r="P35" i="6"/>
  <c r="D34" i="6"/>
  <c r="G25" i="6"/>
  <c r="U3" i="6" s="1"/>
  <c r="N35" i="6"/>
  <c r="O31" i="6"/>
  <c r="P26" i="6"/>
  <c r="E25" i="6"/>
  <c r="S3" i="6" s="1"/>
  <c r="P28" i="6"/>
  <c r="C25" i="6"/>
  <c r="B25" i="6"/>
  <c r="N26" i="6"/>
  <c r="P27" i="6"/>
  <c r="I47" i="5"/>
  <c r="J25" i="5"/>
  <c r="U16" i="5" s="1"/>
  <c r="O54" i="4"/>
  <c r="H48" i="5"/>
  <c r="H47" i="5"/>
  <c r="P55" i="4"/>
  <c r="V69" i="5"/>
  <c r="N54" i="4"/>
  <c r="V67" i="5"/>
  <c r="P26" i="5"/>
  <c r="W70" i="5"/>
  <c r="J48" i="5"/>
  <c r="U4" i="5"/>
  <c r="J6" i="5"/>
  <c r="J21" i="5" s="1"/>
  <c r="J20" i="5" s="1"/>
  <c r="U10" i="5" s="1"/>
  <c r="S4" i="5"/>
  <c r="H6" i="5"/>
  <c r="H21" i="5" s="1"/>
  <c r="H20" i="5" s="1"/>
  <c r="S10" i="5" s="1"/>
  <c r="U5" i="5"/>
  <c r="M6" i="5"/>
  <c r="M21" i="5" s="1"/>
  <c r="M20" i="5" s="1"/>
  <c r="U11" i="5" s="1"/>
  <c r="T4" i="5"/>
  <c r="I6" i="5"/>
  <c r="I21" i="5" s="1"/>
  <c r="I20" i="5" s="1"/>
  <c r="T10" i="5" s="1"/>
  <c r="S5" i="5"/>
  <c r="K6" i="5"/>
  <c r="K21" i="5" s="1"/>
  <c r="K20" i="5" s="1"/>
  <c r="S11" i="5" s="1"/>
  <c r="T5" i="5"/>
  <c r="L6" i="5"/>
  <c r="L21" i="5" s="1"/>
  <c r="L20" i="5" s="1"/>
  <c r="T11" i="5" s="1"/>
  <c r="M48" i="5"/>
  <c r="J47" i="5"/>
  <c r="V70" i="5"/>
  <c r="W69" i="5"/>
  <c r="W66" i="5"/>
  <c r="V66" i="5"/>
  <c r="K47" i="5"/>
  <c r="K52" i="5" s="1"/>
  <c r="K55" i="5" s="1"/>
  <c r="L48" i="5"/>
  <c r="L52" i="5" s="1"/>
  <c r="L55" i="5" s="1"/>
  <c r="I48" i="5"/>
  <c r="I52" i="5" s="1"/>
  <c r="I55" i="5" s="1"/>
  <c r="M47" i="5"/>
  <c r="E13" i="4"/>
  <c r="S10" i="4" s="1"/>
  <c r="G47" i="5"/>
  <c r="N49" i="4"/>
  <c r="V63" i="5"/>
  <c r="E48" i="5"/>
  <c r="E47" i="5"/>
  <c r="G48" i="5"/>
  <c r="G52" i="5" s="1"/>
  <c r="G55" i="5" s="1"/>
  <c r="F48" i="5"/>
  <c r="N40" i="5"/>
  <c r="N38" i="5" s="1"/>
  <c r="S37" i="5" s="1"/>
  <c r="O56" i="4"/>
  <c r="N56" i="4"/>
  <c r="S3" i="5"/>
  <c r="E6" i="5"/>
  <c r="E21" i="5" s="1"/>
  <c r="E20" i="5" s="1"/>
  <c r="S9" i="5" s="1"/>
  <c r="F47" i="5"/>
  <c r="N55" i="4"/>
  <c r="U3" i="5"/>
  <c r="G6" i="5"/>
  <c r="G21" i="5" s="1"/>
  <c r="G20" i="5" s="1"/>
  <c r="U9" i="5" s="1"/>
  <c r="P56" i="4"/>
  <c r="P54" i="4"/>
  <c r="O55" i="4"/>
  <c r="T3" i="5"/>
  <c r="F6" i="5"/>
  <c r="F21" i="5" s="1"/>
  <c r="F20" i="5" s="1"/>
  <c r="T9" i="5" s="1"/>
  <c r="W64" i="5"/>
  <c r="V61" i="5"/>
  <c r="C48" i="5"/>
  <c r="C47" i="5"/>
  <c r="D47" i="5"/>
  <c r="W60" i="5"/>
  <c r="P49" i="4"/>
  <c r="T2" i="5"/>
  <c r="V2" i="5" s="1"/>
  <c r="C6" i="5"/>
  <c r="C21" i="5" s="1"/>
  <c r="S2" i="5"/>
  <c r="B6" i="5"/>
  <c r="B21" i="5" s="1"/>
  <c r="C52" i="5"/>
  <c r="C55" i="5" s="1"/>
  <c r="U2" i="5"/>
  <c r="D6" i="5"/>
  <c r="D21" i="5" s="1"/>
  <c r="N17" i="5"/>
  <c r="S6" i="5" s="1"/>
  <c r="W49" i="5"/>
  <c r="D48" i="5"/>
  <c r="D52" i="5" s="1"/>
  <c r="D55" i="5" s="1"/>
  <c r="V49" i="5"/>
  <c r="O26" i="5"/>
  <c r="O40" i="5"/>
  <c r="O38" i="5" s="1"/>
  <c r="T37" i="5" s="1"/>
  <c r="O17" i="5"/>
  <c r="T6" i="5" s="1"/>
  <c r="B38" i="5"/>
  <c r="S33" i="5" s="1"/>
  <c r="U22" i="5"/>
  <c r="P40" i="5"/>
  <c r="P38" i="5" s="1"/>
  <c r="U37" i="5" s="1"/>
  <c r="C38" i="5"/>
  <c r="T33" i="5" s="1"/>
  <c r="O36" i="5"/>
  <c r="O34" i="5" s="1"/>
  <c r="T43" i="5" s="1"/>
  <c r="P36" i="5"/>
  <c r="P34" i="5" s="1"/>
  <c r="U43" i="5" s="1"/>
  <c r="P17" i="5"/>
  <c r="U6" i="5" s="1"/>
  <c r="D38" i="5"/>
  <c r="U33" i="5" s="1"/>
  <c r="N22" i="5"/>
  <c r="C25" i="5"/>
  <c r="T14" i="5" s="1"/>
  <c r="O27" i="5"/>
  <c r="C28" i="5"/>
  <c r="T26" i="5" s="1"/>
  <c r="O29" i="5"/>
  <c r="O28" i="5" s="1"/>
  <c r="T30" i="5" s="1"/>
  <c r="O22" i="5"/>
  <c r="P22" i="5"/>
  <c r="L25" i="5"/>
  <c r="T17" i="5" s="1"/>
  <c r="P29" i="5"/>
  <c r="P28" i="5" s="1"/>
  <c r="U30" i="5" s="1"/>
  <c r="N36" i="5"/>
  <c r="N34" i="5" s="1"/>
  <c r="S43" i="5" s="1"/>
  <c r="B25" i="5"/>
  <c r="S14" i="5" s="1"/>
  <c r="N27" i="5"/>
  <c r="N25" i="5" s="1"/>
  <c r="S18" i="5" s="1"/>
  <c r="B28" i="5"/>
  <c r="S26" i="5" s="1"/>
  <c r="N29" i="5"/>
  <c r="N28" i="5" s="1"/>
  <c r="S30" i="5" s="1"/>
  <c r="B31" i="5"/>
  <c r="S20" i="5" s="1"/>
  <c r="N32" i="5"/>
  <c r="N31" i="5" s="1"/>
  <c r="S24" i="5" s="1"/>
  <c r="C31" i="5"/>
  <c r="T20" i="5" s="1"/>
  <c r="O32" i="5"/>
  <c r="O31" i="5" s="1"/>
  <c r="T24" i="5" s="1"/>
  <c r="P32" i="5"/>
  <c r="P31" i="5" s="1"/>
  <c r="D25" i="5"/>
  <c r="U14" i="5" s="1"/>
  <c r="P27" i="5"/>
  <c r="C34" i="5"/>
  <c r="T39" i="5" s="1"/>
  <c r="D34" i="5"/>
  <c r="U39" i="5" s="1"/>
  <c r="M25" i="5"/>
  <c r="U17" i="5" s="1"/>
  <c r="E25" i="5"/>
  <c r="S15" i="5" s="1"/>
  <c r="I25" i="5"/>
  <c r="T16" i="5" s="1"/>
  <c r="O50" i="4"/>
  <c r="O48" i="4"/>
  <c r="O41" i="4"/>
  <c r="T43" i="4" s="1"/>
  <c r="T42" i="4"/>
  <c r="P37" i="4"/>
  <c r="U36" i="4"/>
  <c r="O17" i="4"/>
  <c r="T19" i="4" s="1"/>
  <c r="T18" i="4"/>
  <c r="S24" i="4"/>
  <c r="N21" i="4"/>
  <c r="S25" i="4" s="1"/>
  <c r="N26" i="4"/>
  <c r="S31" i="4" s="1"/>
  <c r="S30" i="4"/>
  <c r="T30" i="4"/>
  <c r="O26" i="4"/>
  <c r="P48" i="4"/>
  <c r="N45" i="4"/>
  <c r="S49" i="4" s="1"/>
  <c r="P41" i="4"/>
  <c r="U42" i="4"/>
  <c r="N17" i="4"/>
  <c r="S19" i="4" s="1"/>
  <c r="S18" i="4"/>
  <c r="U30" i="4"/>
  <c r="P26" i="4"/>
  <c r="P45" i="4"/>
  <c r="U47" i="4"/>
  <c r="O49" i="4"/>
  <c r="N41" i="4"/>
  <c r="S43" i="4" s="1"/>
  <c r="S42" i="4"/>
  <c r="O45" i="4"/>
  <c r="T48" i="4"/>
  <c r="U18" i="4"/>
  <c r="P17" i="4"/>
  <c r="U19" i="4" s="1"/>
  <c r="O21" i="4"/>
  <c r="T24" i="4"/>
  <c r="P21" i="4"/>
  <c r="U24" i="4"/>
  <c r="N48" i="4"/>
  <c r="N37" i="4"/>
  <c r="S37" i="4" s="1"/>
  <c r="G51" i="4"/>
  <c r="L51" i="4"/>
  <c r="G13" i="4"/>
  <c r="U10" i="4" s="1"/>
  <c r="K8" i="4"/>
  <c r="M51" i="4"/>
  <c r="H51" i="4"/>
  <c r="I51" i="4"/>
  <c r="B51" i="4"/>
  <c r="D8" i="4"/>
  <c r="U3" i="4" s="1"/>
  <c r="M8" i="4"/>
  <c r="I8" i="4"/>
  <c r="T5" i="4" s="1"/>
  <c r="C8" i="4"/>
  <c r="T3" i="4" s="1"/>
  <c r="L8" i="4"/>
  <c r="J51" i="4"/>
  <c r="F51" i="4"/>
  <c r="K51" i="4"/>
  <c r="D13" i="4"/>
  <c r="U9" i="4" s="1"/>
  <c r="J13" i="4"/>
  <c r="U11" i="4" s="1"/>
  <c r="C51" i="4"/>
  <c r="F8" i="4"/>
  <c r="T4" i="4" s="1"/>
  <c r="J8" i="4"/>
  <c r="U5" i="4" s="1"/>
  <c r="C13" i="4"/>
  <c r="T9" i="4" s="1"/>
  <c r="D51" i="4"/>
  <c r="M13" i="4"/>
  <c r="I13" i="4"/>
  <c r="T11" i="4" s="1"/>
  <c r="L13" i="4"/>
  <c r="G8" i="4"/>
  <c r="U4" i="4" s="1"/>
  <c r="K13" i="4"/>
  <c r="F13" i="4"/>
  <c r="T10" i="4" s="1"/>
  <c r="E8" i="4"/>
  <c r="H114" i="8" l="1"/>
  <c r="H134" i="8" s="1"/>
  <c r="T24" i="7"/>
  <c r="C34" i="8"/>
  <c r="C115" i="8" s="1"/>
  <c r="B34" i="8"/>
  <c r="B115" i="8" s="1"/>
  <c r="I114" i="8"/>
  <c r="I134" i="8" s="1"/>
  <c r="D135" i="8"/>
  <c r="P115" i="8"/>
  <c r="P114" i="8" s="1"/>
  <c r="P134" i="8" s="1"/>
  <c r="P104" i="8"/>
  <c r="N184" i="8"/>
  <c r="U94" i="8"/>
  <c r="L206" i="8"/>
  <c r="U100" i="8" s="1"/>
  <c r="I206" i="8"/>
  <c r="U99" i="8" s="1"/>
  <c r="U93" i="8"/>
  <c r="O116" i="8"/>
  <c r="T93" i="8"/>
  <c r="H206" i="8"/>
  <c r="T99" i="8" s="1"/>
  <c r="C211" i="8"/>
  <c r="C207" i="8" s="1"/>
  <c r="O212" i="8"/>
  <c r="O211" i="8" s="1"/>
  <c r="O207" i="8" s="1"/>
  <c r="D211" i="8"/>
  <c r="D207" i="8" s="1"/>
  <c r="P212" i="8"/>
  <c r="P211" i="8" s="1"/>
  <c r="P207" i="8" s="1"/>
  <c r="C194" i="8"/>
  <c r="O195" i="8"/>
  <c r="O194" i="8" s="1"/>
  <c r="U92" i="8"/>
  <c r="F206" i="8"/>
  <c r="U98" i="8" s="1"/>
  <c r="V94" i="8"/>
  <c r="M206" i="8"/>
  <c r="V100" i="8" s="1"/>
  <c r="N212" i="8"/>
  <c r="N211" i="8" s="1"/>
  <c r="N207" i="8" s="1"/>
  <c r="E211" i="8"/>
  <c r="E207" i="8" s="1"/>
  <c r="T94" i="8"/>
  <c r="K206" i="8"/>
  <c r="T100" i="8" s="1"/>
  <c r="AP2" i="8"/>
  <c r="AU2" i="8" s="1"/>
  <c r="K103" i="8"/>
  <c r="N177" i="8"/>
  <c r="V92" i="8"/>
  <c r="G206" i="8"/>
  <c r="V98" i="8" s="1"/>
  <c r="E194" i="8"/>
  <c r="N195" i="8"/>
  <c r="N194" i="8" s="1"/>
  <c r="P195" i="8"/>
  <c r="P194" i="8" s="1"/>
  <c r="D194" i="8"/>
  <c r="P177" i="8"/>
  <c r="N171" i="8"/>
  <c r="E164" i="8"/>
  <c r="E175" i="8"/>
  <c r="AQ5" i="8"/>
  <c r="AV5" i="8" s="1"/>
  <c r="N104" i="8"/>
  <c r="D103" i="8"/>
  <c r="D123" i="8" s="1"/>
  <c r="D143" i="8" s="1"/>
  <c r="M164" i="8"/>
  <c r="M175" i="8"/>
  <c r="G164" i="8"/>
  <c r="G175" i="8"/>
  <c r="H164" i="8"/>
  <c r="H175" i="8"/>
  <c r="P148" i="8"/>
  <c r="AO3" i="8"/>
  <c r="AT3" i="8" s="1"/>
  <c r="I164" i="8"/>
  <c r="I175" i="8"/>
  <c r="K164" i="8"/>
  <c r="K175" i="8"/>
  <c r="F164" i="8"/>
  <c r="F175" i="8"/>
  <c r="AP4" i="8"/>
  <c r="AU4" i="8" s="1"/>
  <c r="J182" i="8"/>
  <c r="J174" i="8"/>
  <c r="L182" i="8"/>
  <c r="L174" i="8"/>
  <c r="O148" i="8"/>
  <c r="C153" i="8"/>
  <c r="O133" i="8"/>
  <c r="P130" i="8"/>
  <c r="N136" i="8"/>
  <c r="N128" i="8"/>
  <c r="B166" i="8"/>
  <c r="N166" i="8" s="1"/>
  <c r="N150" i="8"/>
  <c r="AO2" i="8"/>
  <c r="AT2" i="8" s="1"/>
  <c r="P46" i="8"/>
  <c r="AQ4" i="8"/>
  <c r="AV4" i="8" s="1"/>
  <c r="D153" i="8"/>
  <c r="P133" i="8"/>
  <c r="J164" i="8"/>
  <c r="L164" i="8"/>
  <c r="C167" i="8"/>
  <c r="O168" i="8"/>
  <c r="O167" i="8" s="1"/>
  <c r="D166" i="8"/>
  <c r="P166" i="8" s="1"/>
  <c r="P150" i="8"/>
  <c r="B165" i="8"/>
  <c r="B175" i="8" s="1"/>
  <c r="N156" i="8"/>
  <c r="N148" i="8"/>
  <c r="B144" i="8"/>
  <c r="N144" i="8" s="1"/>
  <c r="N124" i="8"/>
  <c r="D167" i="8"/>
  <c r="P168" i="8"/>
  <c r="P167" i="8" s="1"/>
  <c r="D156" i="8"/>
  <c r="P136" i="8"/>
  <c r="O156" i="8"/>
  <c r="C165" i="8"/>
  <c r="C175" i="8" s="1"/>
  <c r="O150" i="8"/>
  <c r="C166" i="8"/>
  <c r="O166" i="8" s="1"/>
  <c r="E167" i="8"/>
  <c r="N168" i="8"/>
  <c r="N167" i="8" s="1"/>
  <c r="O136" i="8"/>
  <c r="P128" i="8"/>
  <c r="O128" i="8"/>
  <c r="N130" i="8"/>
  <c r="O130" i="8"/>
  <c r="D144" i="8"/>
  <c r="P144" i="8" s="1"/>
  <c r="P124" i="8"/>
  <c r="AP5" i="8"/>
  <c r="AU5" i="8" s="1"/>
  <c r="AQ2" i="8"/>
  <c r="AV2" i="8" s="1"/>
  <c r="P91" i="8"/>
  <c r="P43" i="8"/>
  <c r="O43" i="8"/>
  <c r="U5" i="8"/>
  <c r="AB6" i="8" s="1"/>
  <c r="T6" i="8"/>
  <c r="AA7" i="8" s="1"/>
  <c r="U4" i="8"/>
  <c r="AB5" i="8" s="1"/>
  <c r="AO4" i="8" s="1"/>
  <c r="AT4" i="8" s="1"/>
  <c r="W5" i="8"/>
  <c r="AD6" i="8" s="1"/>
  <c r="V5" i="8"/>
  <c r="AC6" i="8" s="1"/>
  <c r="J111" i="8"/>
  <c r="J131" i="8" s="1"/>
  <c r="J151" i="8" s="1"/>
  <c r="O71" i="8"/>
  <c r="Y24" i="8" s="1"/>
  <c r="L111" i="8"/>
  <c r="L131" i="8" s="1"/>
  <c r="L151" i="8" s="1"/>
  <c r="N97" i="8"/>
  <c r="G111" i="8"/>
  <c r="G131" i="8" s="1"/>
  <c r="G151" i="8" s="1"/>
  <c r="Y27" i="8"/>
  <c r="W34" i="8"/>
  <c r="N113" i="8"/>
  <c r="B133" i="8"/>
  <c r="U30" i="8"/>
  <c r="U24" i="8"/>
  <c r="I103" i="8"/>
  <c r="I126" i="8"/>
  <c r="I146" i="8" s="1"/>
  <c r="M103" i="8"/>
  <c r="X21" i="8"/>
  <c r="V21" i="8"/>
  <c r="L103" i="8"/>
  <c r="L126" i="8"/>
  <c r="L146" i="8" s="1"/>
  <c r="H103" i="8"/>
  <c r="H126" i="8"/>
  <c r="H146" i="8" s="1"/>
  <c r="N146" i="8" s="1"/>
  <c r="G123" i="8"/>
  <c r="X23" i="8"/>
  <c r="V23" i="8"/>
  <c r="P107" i="8"/>
  <c r="P127" i="8" s="1"/>
  <c r="P147" i="8" s="1"/>
  <c r="O107" i="8"/>
  <c r="O127" i="8" s="1"/>
  <c r="O147" i="8" s="1"/>
  <c r="X22" i="8"/>
  <c r="V22" i="8"/>
  <c r="K111" i="8"/>
  <c r="K131" i="8" s="1"/>
  <c r="K151" i="8" s="1"/>
  <c r="K133" i="8"/>
  <c r="K153" i="8" s="1"/>
  <c r="K162" i="8" s="1"/>
  <c r="K161" i="8" s="1"/>
  <c r="U33" i="8"/>
  <c r="T33" i="8"/>
  <c r="J103" i="8"/>
  <c r="J126" i="8"/>
  <c r="O117" i="8"/>
  <c r="O137" i="8" s="1"/>
  <c r="H111" i="8"/>
  <c r="H131" i="8" s="1"/>
  <c r="H151" i="8" s="1"/>
  <c r="H133" i="8"/>
  <c r="H153" i="8" s="1"/>
  <c r="H162" i="8" s="1"/>
  <c r="H161" i="8" s="1"/>
  <c r="K123" i="8"/>
  <c r="N107" i="8"/>
  <c r="N127" i="8" s="1"/>
  <c r="N147" i="8" s="1"/>
  <c r="U15" i="8"/>
  <c r="AJ4" i="8" s="1"/>
  <c r="T15" i="8"/>
  <c r="AI4" i="8" s="1"/>
  <c r="O104" i="8"/>
  <c r="F124" i="8"/>
  <c r="O97" i="8"/>
  <c r="F111" i="8"/>
  <c r="F131" i="8" s="1"/>
  <c r="F151" i="8" s="1"/>
  <c r="N117" i="8"/>
  <c r="N137" i="8" s="1"/>
  <c r="P117" i="8"/>
  <c r="P137" i="8" s="1"/>
  <c r="J154" i="8"/>
  <c r="I154" i="8"/>
  <c r="H154" i="8"/>
  <c r="D154" i="8"/>
  <c r="N106" i="8"/>
  <c r="N71" i="8"/>
  <c r="Y36" i="8" s="1"/>
  <c r="P106" i="8"/>
  <c r="G80" i="8"/>
  <c r="V43" i="8" s="1"/>
  <c r="P97" i="8"/>
  <c r="W18" i="8"/>
  <c r="AL7" i="8" s="1"/>
  <c r="B111" i="8"/>
  <c r="B131" i="8" s="1"/>
  <c r="B151" i="8" s="1"/>
  <c r="P113" i="8"/>
  <c r="D111" i="8"/>
  <c r="D131" i="8" s="1"/>
  <c r="D151" i="8" s="1"/>
  <c r="I80" i="8"/>
  <c r="U44" i="8" s="1"/>
  <c r="O91" i="8"/>
  <c r="N88" i="8"/>
  <c r="O88" i="8"/>
  <c r="K80" i="8"/>
  <c r="T45" i="8" s="1"/>
  <c r="O113" i="8"/>
  <c r="C111" i="8"/>
  <c r="C131" i="8" s="1"/>
  <c r="C151" i="8" s="1"/>
  <c r="V18" i="8"/>
  <c r="AK7" i="8" s="1"/>
  <c r="P71" i="8"/>
  <c r="P88" i="8"/>
  <c r="M80" i="8"/>
  <c r="V45" i="8" s="1"/>
  <c r="N84" i="8"/>
  <c r="N81" i="8" s="1"/>
  <c r="P84" i="8"/>
  <c r="P81" i="8" s="1"/>
  <c r="H80" i="8"/>
  <c r="T44" i="8" s="1"/>
  <c r="E103" i="8"/>
  <c r="L80" i="8"/>
  <c r="U45" i="8" s="1"/>
  <c r="B80" i="8"/>
  <c r="T42" i="8" s="1"/>
  <c r="P87" i="8"/>
  <c r="P85" i="8" s="1"/>
  <c r="O84" i="8"/>
  <c r="O81" i="8" s="1"/>
  <c r="C80" i="8"/>
  <c r="U42" i="8" s="1"/>
  <c r="J80" i="8"/>
  <c r="V44" i="8" s="1"/>
  <c r="O61" i="8"/>
  <c r="O106" i="8"/>
  <c r="D81" i="8"/>
  <c r="N61" i="8"/>
  <c r="V36" i="8" s="1"/>
  <c r="F103" i="8"/>
  <c r="E80" i="8"/>
  <c r="T43" i="8" s="1"/>
  <c r="F85" i="8"/>
  <c r="F80" i="8" s="1"/>
  <c r="U43" i="8" s="1"/>
  <c r="O87" i="8"/>
  <c r="O85" i="8" s="1"/>
  <c r="N87" i="8"/>
  <c r="N85" i="8" s="1"/>
  <c r="D85" i="8"/>
  <c r="O65" i="8"/>
  <c r="O64" i="8" s="1"/>
  <c r="P61" i="8"/>
  <c r="I67" i="8"/>
  <c r="X28" i="8" s="1"/>
  <c r="O68" i="8"/>
  <c r="O67" i="8" s="1"/>
  <c r="X30" i="8" s="1"/>
  <c r="E64" i="8"/>
  <c r="W33" i="8" s="1"/>
  <c r="N65" i="8"/>
  <c r="N64" i="8" s="1"/>
  <c r="W36" i="8" s="1"/>
  <c r="D67" i="8"/>
  <c r="X20" i="8" s="1"/>
  <c r="P68" i="8"/>
  <c r="P67" i="8" s="1"/>
  <c r="D64" i="8"/>
  <c r="W20" i="8" s="1"/>
  <c r="P65" i="8"/>
  <c r="P64" i="8" s="1"/>
  <c r="N68" i="8"/>
  <c r="N67" i="8" s="1"/>
  <c r="X36" i="8" s="1"/>
  <c r="U18" i="8"/>
  <c r="AJ7" i="8" s="1"/>
  <c r="I23" i="7"/>
  <c r="T17" i="7" s="1"/>
  <c r="C25" i="7"/>
  <c r="C34" i="7" s="1"/>
  <c r="C32" i="7" s="1"/>
  <c r="T28" i="7" s="1"/>
  <c r="T8" i="7"/>
  <c r="B25" i="7"/>
  <c r="B34" i="7" s="1"/>
  <c r="B32" i="7" s="1"/>
  <c r="S8" i="7"/>
  <c r="C24" i="7"/>
  <c r="C23" i="7" s="1"/>
  <c r="T16" i="7" s="1"/>
  <c r="T12" i="7"/>
  <c r="B24" i="7"/>
  <c r="S12" i="7"/>
  <c r="J23" i="7"/>
  <c r="U17" i="7" s="1"/>
  <c r="D23" i="7"/>
  <c r="U16" i="7" s="1"/>
  <c r="G23" i="7"/>
  <c r="E23" i="7"/>
  <c r="F23" i="7"/>
  <c r="W4" i="5"/>
  <c r="H52" i="5"/>
  <c r="H55" i="5" s="1"/>
  <c r="S2" i="6"/>
  <c r="AY3" i="6"/>
  <c r="U20" i="6"/>
  <c r="BA6" i="6"/>
  <c r="BA10" i="6"/>
  <c r="T20" i="6"/>
  <c r="AZ6" i="6"/>
  <c r="AZ10" i="6"/>
  <c r="U63" i="6"/>
  <c r="BA14" i="6"/>
  <c r="T63" i="6"/>
  <c r="AZ14" i="6"/>
  <c r="T8" i="6"/>
  <c r="AZ5" i="6"/>
  <c r="AZ9" i="6"/>
  <c r="T45" i="6"/>
  <c r="AZ15" i="6"/>
  <c r="U2" i="6"/>
  <c r="BA3" i="6"/>
  <c r="S39" i="6"/>
  <c r="AY13" i="6"/>
  <c r="T2" i="6"/>
  <c r="AZ3" i="6"/>
  <c r="T12" i="6"/>
  <c r="BC9" i="6"/>
  <c r="BC5" i="6"/>
  <c r="U8" i="6"/>
  <c r="BA5" i="6"/>
  <c r="BA9" i="6"/>
  <c r="S20" i="6"/>
  <c r="AY10" i="6"/>
  <c r="AY6" i="6"/>
  <c r="T39" i="6"/>
  <c r="AZ13" i="6"/>
  <c r="U45" i="6"/>
  <c r="BA15" i="6"/>
  <c r="U18" i="6"/>
  <c r="BD4" i="6"/>
  <c r="BD8" i="6"/>
  <c r="S12" i="6"/>
  <c r="BB9" i="6"/>
  <c r="BB5" i="6"/>
  <c r="U12" i="6"/>
  <c r="BD5" i="6"/>
  <c r="BD9" i="6"/>
  <c r="T57" i="6"/>
  <c r="AZ12" i="6"/>
  <c r="U33" i="6"/>
  <c r="BA7" i="6"/>
  <c r="BA11" i="6"/>
  <c r="S33" i="6"/>
  <c r="AY7" i="6"/>
  <c r="AY11" i="6"/>
  <c r="U57" i="6"/>
  <c r="BA12" i="6"/>
  <c r="U39" i="6"/>
  <c r="BA13" i="6"/>
  <c r="T33" i="6"/>
  <c r="AZ7" i="6"/>
  <c r="AZ11" i="6"/>
  <c r="N34" i="6"/>
  <c r="S53" i="6"/>
  <c r="AJ29" i="6"/>
  <c r="AJ15" i="6"/>
  <c r="AI13" i="6"/>
  <c r="S54" i="6"/>
  <c r="AF19" i="6"/>
  <c r="AI19" i="6" s="1"/>
  <c r="AJ13" i="6"/>
  <c r="U54" i="6"/>
  <c r="AH19" i="6"/>
  <c r="AJ19" i="6" s="1"/>
  <c r="H59" i="6"/>
  <c r="AF18" i="6" s="1"/>
  <c r="AI15" i="6"/>
  <c r="AJ30" i="6"/>
  <c r="AI29" i="6"/>
  <c r="AI30" i="6"/>
  <c r="O28" i="6"/>
  <c r="I59" i="6"/>
  <c r="AG18" i="6" s="1"/>
  <c r="O47" i="6"/>
  <c r="P44" i="6"/>
  <c r="AJ32" i="6"/>
  <c r="O56" i="6"/>
  <c r="O64" i="6"/>
  <c r="AG33" i="6" s="1"/>
  <c r="AI32" i="6"/>
  <c r="AJ27" i="6"/>
  <c r="P69" i="6"/>
  <c r="P67" i="6" s="1"/>
  <c r="AH34" i="6" s="1"/>
  <c r="AI27" i="6"/>
  <c r="AJ31" i="6"/>
  <c r="AJ28" i="6"/>
  <c r="N44" i="6"/>
  <c r="AI28" i="6"/>
  <c r="AI31" i="6"/>
  <c r="P34" i="6"/>
  <c r="O25" i="6"/>
  <c r="N28" i="6"/>
  <c r="O44" i="6"/>
  <c r="P47" i="6"/>
  <c r="P61" i="6"/>
  <c r="P64" i="6"/>
  <c r="AH33" i="6" s="1"/>
  <c r="N47" i="6"/>
  <c r="T52" i="6"/>
  <c r="S52" i="6"/>
  <c r="U53" i="6"/>
  <c r="U52" i="6"/>
  <c r="T51" i="6"/>
  <c r="U51" i="6"/>
  <c r="S51" i="6"/>
  <c r="D67" i="6"/>
  <c r="AH26" i="6" s="1"/>
  <c r="P56" i="6"/>
  <c r="AH21" i="6" s="1"/>
  <c r="L59" i="6"/>
  <c r="AG20" i="6" s="1"/>
  <c r="M59" i="6"/>
  <c r="AH20" i="6" s="1"/>
  <c r="U30" i="6"/>
  <c r="U26" i="6"/>
  <c r="N69" i="6"/>
  <c r="N67" i="6" s="1"/>
  <c r="AF34" i="6" s="1"/>
  <c r="B67" i="6"/>
  <c r="AF26" i="6" s="1"/>
  <c r="C59" i="6"/>
  <c r="AG14" i="6" s="1"/>
  <c r="O60" i="6"/>
  <c r="T30" i="6"/>
  <c r="O40" i="6"/>
  <c r="O38" i="6" s="1"/>
  <c r="S30" i="6"/>
  <c r="P60" i="6"/>
  <c r="D59" i="6"/>
  <c r="AH14" i="6" s="1"/>
  <c r="N60" i="6"/>
  <c r="B59" i="6"/>
  <c r="AF14" i="6" s="1"/>
  <c r="AI14" i="6" s="1"/>
  <c r="O69" i="6"/>
  <c r="O67" i="6" s="1"/>
  <c r="AG34" i="6" s="1"/>
  <c r="F59" i="6"/>
  <c r="AG16" i="6" s="1"/>
  <c r="P40" i="6"/>
  <c r="P38" i="6" s="1"/>
  <c r="N40" i="6"/>
  <c r="N38" i="6" s="1"/>
  <c r="T26" i="6"/>
  <c r="O61" i="6"/>
  <c r="N64" i="6"/>
  <c r="AF33" i="6" s="1"/>
  <c r="J59" i="6"/>
  <c r="AH18" i="6" s="1"/>
  <c r="N56" i="6"/>
  <c r="AF21" i="6" s="1"/>
  <c r="G59" i="6"/>
  <c r="AH16" i="6" s="1"/>
  <c r="C67" i="6"/>
  <c r="AG26" i="6" s="1"/>
  <c r="E59" i="6"/>
  <c r="AF16" i="6" s="1"/>
  <c r="K59" i="6"/>
  <c r="AF20" i="6" s="1"/>
  <c r="N61" i="6"/>
  <c r="N25" i="6"/>
  <c r="F41" i="6"/>
  <c r="T58" i="6" s="1"/>
  <c r="O42" i="6"/>
  <c r="O41" i="6" s="1"/>
  <c r="J50" i="6"/>
  <c r="U47" i="6" s="1"/>
  <c r="P51" i="6"/>
  <c r="P50" i="6" s="1"/>
  <c r="B41" i="6"/>
  <c r="N42" i="6"/>
  <c r="N41" i="6" s="1"/>
  <c r="P42" i="6"/>
  <c r="P41" i="6" s="1"/>
  <c r="F50" i="6"/>
  <c r="T46" i="6" s="1"/>
  <c r="O51" i="6"/>
  <c r="O50" i="6" s="1"/>
  <c r="B50" i="6"/>
  <c r="N51" i="6"/>
  <c r="N50" i="6" s="1"/>
  <c r="O34" i="6"/>
  <c r="P25" i="6"/>
  <c r="W10" i="5"/>
  <c r="W5" i="5"/>
  <c r="P25" i="5"/>
  <c r="U18" i="5" s="1"/>
  <c r="J52" i="5"/>
  <c r="J55" i="5" s="1"/>
  <c r="W11" i="5"/>
  <c r="V11" i="5"/>
  <c r="V4" i="5"/>
  <c r="V5" i="5"/>
  <c r="V10" i="5"/>
  <c r="M52" i="5"/>
  <c r="M55" i="5" s="1"/>
  <c r="E52" i="5"/>
  <c r="E55" i="5" s="1"/>
  <c r="V3" i="5"/>
  <c r="F52" i="5"/>
  <c r="F55" i="5" s="1"/>
  <c r="O21" i="5"/>
  <c r="O20" i="5" s="1"/>
  <c r="T12" i="5" s="1"/>
  <c r="W9" i="5"/>
  <c r="V9" i="5"/>
  <c r="W3" i="5"/>
  <c r="N21" i="5"/>
  <c r="N20" i="5" s="1"/>
  <c r="S12" i="5" s="1"/>
  <c r="P21" i="5"/>
  <c r="P20" i="5" s="1"/>
  <c r="U12" i="5" s="1"/>
  <c r="W2" i="5"/>
  <c r="C20" i="5"/>
  <c r="T8" i="5" s="1"/>
  <c r="W6" i="5"/>
  <c r="O25" i="5"/>
  <c r="T18" i="5" s="1"/>
  <c r="D20" i="5"/>
  <c r="U8" i="5" s="1"/>
  <c r="B20" i="5"/>
  <c r="S8" i="5" s="1"/>
  <c r="V6" i="5"/>
  <c r="U24" i="5"/>
  <c r="N51" i="4"/>
  <c r="P51" i="4"/>
  <c r="P13" i="4"/>
  <c r="U12" i="4"/>
  <c r="S6" i="4"/>
  <c r="N8" i="4"/>
  <c r="S7" i="4" s="1"/>
  <c r="O13" i="4"/>
  <c r="T13" i="4" s="1"/>
  <c r="T12" i="4"/>
  <c r="N13" i="4"/>
  <c r="S13" i="4" s="1"/>
  <c r="S12" i="4"/>
  <c r="O8" i="4"/>
  <c r="T7" i="4" s="1"/>
  <c r="U6" i="4"/>
  <c r="P8" i="4"/>
  <c r="U7" i="4" s="1"/>
  <c r="O51" i="4"/>
  <c r="U31" i="4"/>
  <c r="T31" i="4"/>
  <c r="U25" i="4"/>
  <c r="T25" i="4"/>
  <c r="U49" i="4"/>
  <c r="T49" i="4"/>
  <c r="U43" i="4"/>
  <c r="T6" i="4"/>
  <c r="S4" i="4"/>
  <c r="C135" i="8" l="1"/>
  <c r="O115" i="8"/>
  <c r="O114" i="8" s="1"/>
  <c r="O134" i="8" s="1"/>
  <c r="C114" i="8"/>
  <c r="C134" i="8" s="1"/>
  <c r="C122" i="8" s="1"/>
  <c r="U54" i="8" s="1"/>
  <c r="D155" i="8"/>
  <c r="P155" i="8" s="1"/>
  <c r="P135" i="8"/>
  <c r="B23" i="7"/>
  <c r="S16" i="7" s="1"/>
  <c r="B135" i="8"/>
  <c r="N115" i="8"/>
  <c r="N114" i="8" s="1"/>
  <c r="N134" i="8" s="1"/>
  <c r="B114" i="8"/>
  <c r="B134" i="8" s="1"/>
  <c r="B154" i="8" s="1"/>
  <c r="B142" i="8" s="1"/>
  <c r="T60" i="8" s="1"/>
  <c r="O206" i="8"/>
  <c r="U101" i="8" s="1"/>
  <c r="U95" i="8"/>
  <c r="J180" i="8"/>
  <c r="J160" i="8" s="1"/>
  <c r="J192" i="8"/>
  <c r="J191" i="8" s="1"/>
  <c r="J190" i="8" s="1"/>
  <c r="C206" i="8"/>
  <c r="U97" i="8" s="1"/>
  <c r="U91" i="8"/>
  <c r="L180" i="8"/>
  <c r="L160" i="8" s="1"/>
  <c r="L192" i="8"/>
  <c r="L191" i="8" s="1"/>
  <c r="L190" i="8" s="1"/>
  <c r="E206" i="8"/>
  <c r="T98" i="8" s="1"/>
  <c r="T92" i="8"/>
  <c r="P206" i="8"/>
  <c r="V95" i="8"/>
  <c r="T95" i="8"/>
  <c r="N206" i="8"/>
  <c r="T101" i="8" s="1"/>
  <c r="V91" i="8"/>
  <c r="D206" i="8"/>
  <c r="V97" i="8" s="1"/>
  <c r="AQ6" i="8"/>
  <c r="AV6" i="8" s="1"/>
  <c r="O146" i="8"/>
  <c r="H182" i="8"/>
  <c r="H174" i="8"/>
  <c r="M182" i="8"/>
  <c r="M174" i="8"/>
  <c r="B174" i="8"/>
  <c r="B182" i="8"/>
  <c r="B192" i="8" s="1"/>
  <c r="N175" i="8"/>
  <c r="N174" i="8" s="1"/>
  <c r="K182" i="8"/>
  <c r="K174" i="8"/>
  <c r="F182" i="8"/>
  <c r="F174" i="8"/>
  <c r="I182" i="8"/>
  <c r="I174" i="8"/>
  <c r="G182" i="8"/>
  <c r="G174" i="8"/>
  <c r="E182" i="8"/>
  <c r="E174" i="8"/>
  <c r="AQ3" i="8"/>
  <c r="AV3" i="8" s="1"/>
  <c r="O175" i="8"/>
  <c r="O174" i="8" s="1"/>
  <c r="C182" i="8"/>
  <c r="C192" i="8" s="1"/>
  <c r="C174" i="8"/>
  <c r="J146" i="8"/>
  <c r="P146" i="8" s="1"/>
  <c r="P126" i="8"/>
  <c r="D165" i="8"/>
  <c r="D175" i="8" s="1"/>
  <c r="P156" i="8"/>
  <c r="N165" i="8"/>
  <c r="N164" i="8" s="1"/>
  <c r="B164" i="8"/>
  <c r="O126" i="8"/>
  <c r="F144" i="8"/>
  <c r="O144" i="8" s="1"/>
  <c r="O124" i="8"/>
  <c r="B153" i="8"/>
  <c r="N133" i="8"/>
  <c r="O165" i="8"/>
  <c r="O164" i="8" s="1"/>
  <c r="C164" i="8"/>
  <c r="N126" i="8"/>
  <c r="AO5" i="8"/>
  <c r="AT5" i="8" s="1"/>
  <c r="D162" i="8"/>
  <c r="P153" i="8"/>
  <c r="O153" i="8"/>
  <c r="C162" i="8"/>
  <c r="Y30" i="8"/>
  <c r="K102" i="8"/>
  <c r="T51" i="8" s="1"/>
  <c r="G102" i="8"/>
  <c r="V49" i="8" s="1"/>
  <c r="W30" i="8"/>
  <c r="W24" i="8"/>
  <c r="I123" i="8"/>
  <c r="I102" i="8"/>
  <c r="U50" i="8" s="1"/>
  <c r="O103" i="8"/>
  <c r="W6" i="8"/>
  <c r="AD7" i="8" s="1"/>
  <c r="W12" i="8"/>
  <c r="AH7" i="8" s="1"/>
  <c r="D102" i="8"/>
  <c r="V48" i="8" s="1"/>
  <c r="K143" i="8"/>
  <c r="K142" i="8" s="1"/>
  <c r="T63" i="8" s="1"/>
  <c r="K122" i="8"/>
  <c r="T57" i="8" s="1"/>
  <c r="J123" i="8"/>
  <c r="J102" i="8"/>
  <c r="V50" i="8" s="1"/>
  <c r="G143" i="8"/>
  <c r="G142" i="8" s="1"/>
  <c r="V61" i="8" s="1"/>
  <c r="G122" i="8"/>
  <c r="V55" i="8" s="1"/>
  <c r="L123" i="8"/>
  <c r="L102" i="8"/>
  <c r="U51" i="8" s="1"/>
  <c r="E102" i="8"/>
  <c r="T49" i="8" s="1"/>
  <c r="E123" i="8"/>
  <c r="D122" i="8"/>
  <c r="V54" i="8" s="1"/>
  <c r="C102" i="8"/>
  <c r="U48" i="8" s="1"/>
  <c r="H123" i="8"/>
  <c r="H102" i="8"/>
  <c r="T50" i="8" s="1"/>
  <c r="U12" i="8"/>
  <c r="AF7" i="8" s="1"/>
  <c r="U6" i="8"/>
  <c r="AB7" i="8" s="1"/>
  <c r="O111" i="8"/>
  <c r="O131" i="8" s="1"/>
  <c r="O151" i="8" s="1"/>
  <c r="P111" i="8"/>
  <c r="P131" i="8" s="1"/>
  <c r="P151" i="8" s="1"/>
  <c r="N103" i="8"/>
  <c r="F123" i="8"/>
  <c r="F102" i="8"/>
  <c r="U49" i="8" s="1"/>
  <c r="X24" i="8"/>
  <c r="V30" i="8"/>
  <c r="V24" i="8"/>
  <c r="V6" i="8"/>
  <c r="AC7" i="8" s="1"/>
  <c r="V12" i="8"/>
  <c r="AG7" i="8" s="1"/>
  <c r="P103" i="8"/>
  <c r="N111" i="8"/>
  <c r="N131" i="8" s="1"/>
  <c r="N151" i="8" s="1"/>
  <c r="D142" i="8"/>
  <c r="V60" i="8" s="1"/>
  <c r="M123" i="8"/>
  <c r="M102" i="8"/>
  <c r="V51" i="8" s="1"/>
  <c r="O154" i="8"/>
  <c r="P154" i="8"/>
  <c r="N154" i="8"/>
  <c r="D80" i="8"/>
  <c r="V42" i="8" s="1"/>
  <c r="O80" i="8"/>
  <c r="U46" i="8" s="1"/>
  <c r="N80" i="8"/>
  <c r="T46" i="8" s="1"/>
  <c r="P80" i="8"/>
  <c r="V46" i="8" s="1"/>
  <c r="S6" i="6"/>
  <c r="BB3" i="6"/>
  <c r="U37" i="6"/>
  <c r="BD7" i="6"/>
  <c r="BD11" i="6"/>
  <c r="S49" i="6"/>
  <c r="BB15" i="6"/>
  <c r="U61" i="6"/>
  <c r="BD12" i="6"/>
  <c r="T6" i="6"/>
  <c r="BC3" i="6"/>
  <c r="S45" i="6"/>
  <c r="AY15" i="6"/>
  <c r="S61" i="6"/>
  <c r="BB12" i="6"/>
  <c r="T61" i="6"/>
  <c r="BC12" i="6"/>
  <c r="U67" i="6"/>
  <c r="BD14" i="6"/>
  <c r="U24" i="6"/>
  <c r="BD6" i="6"/>
  <c r="BD10" i="6"/>
  <c r="T18" i="6"/>
  <c r="BC4" i="6"/>
  <c r="BC8" i="6"/>
  <c r="U6" i="6"/>
  <c r="BD3" i="6"/>
  <c r="T49" i="6"/>
  <c r="BC15" i="6"/>
  <c r="S57" i="6"/>
  <c r="AY12" i="6"/>
  <c r="S37" i="6"/>
  <c r="BB11" i="6"/>
  <c r="BB7" i="6"/>
  <c r="S67" i="6"/>
  <c r="BB14" i="6"/>
  <c r="T43" i="6"/>
  <c r="BC13" i="6"/>
  <c r="U43" i="6"/>
  <c r="BD13" i="6"/>
  <c r="T24" i="6"/>
  <c r="BC6" i="6"/>
  <c r="BC10" i="6"/>
  <c r="T37" i="6"/>
  <c r="BC7" i="6"/>
  <c r="BC11" i="6"/>
  <c r="S18" i="6"/>
  <c r="BB8" i="6"/>
  <c r="BB4" i="6"/>
  <c r="T67" i="6"/>
  <c r="BC14" i="6"/>
  <c r="U49" i="6"/>
  <c r="BD15" i="6"/>
  <c r="S43" i="6"/>
  <c r="BB13" i="6"/>
  <c r="S24" i="6"/>
  <c r="BB10" i="6"/>
  <c r="BB6" i="6"/>
  <c r="AI20" i="6"/>
  <c r="AJ20" i="6"/>
  <c r="AI16" i="6"/>
  <c r="AJ14" i="6"/>
  <c r="AI18" i="6"/>
  <c r="AJ16" i="6"/>
  <c r="T55" i="6"/>
  <c r="AG21" i="6"/>
  <c r="AJ21" i="6" s="1"/>
  <c r="AJ18" i="6"/>
  <c r="P59" i="6"/>
  <c r="AH22" i="6" s="1"/>
  <c r="AJ33" i="6"/>
  <c r="AI33" i="6"/>
  <c r="N59" i="6"/>
  <c r="AF22" i="6" s="1"/>
  <c r="O59" i="6"/>
  <c r="AG22" i="6" s="1"/>
  <c r="AJ34" i="6"/>
  <c r="AI26" i="6"/>
  <c r="AI34" i="6"/>
  <c r="AJ26" i="6"/>
  <c r="U55" i="6"/>
  <c r="S55" i="6"/>
  <c r="W12" i="5"/>
  <c r="V12" i="5"/>
  <c r="V8" i="5"/>
  <c r="W8" i="5"/>
  <c r="U37" i="4"/>
  <c r="T37" i="4"/>
  <c r="U13" i="4"/>
  <c r="B122" i="8" l="1"/>
  <c r="T54" i="8" s="1"/>
  <c r="B102" i="8"/>
  <c r="T48" i="8" s="1"/>
  <c r="B155" i="8"/>
  <c r="N155" i="8" s="1"/>
  <c r="N135" i="8"/>
  <c r="C154" i="8"/>
  <c r="C142" i="8" s="1"/>
  <c r="U60" i="8" s="1"/>
  <c r="C155" i="8"/>
  <c r="O155" i="8" s="1"/>
  <c r="O135" i="8"/>
  <c r="L159" i="8"/>
  <c r="U76" i="8" s="1"/>
  <c r="M180" i="8"/>
  <c r="M160" i="8" s="1"/>
  <c r="M192" i="8"/>
  <c r="M191" i="8" s="1"/>
  <c r="M190" i="8" s="1"/>
  <c r="G180" i="8"/>
  <c r="G160" i="8" s="1"/>
  <c r="G192" i="8"/>
  <c r="G191" i="8" s="1"/>
  <c r="G190" i="8" s="1"/>
  <c r="B191" i="8"/>
  <c r="B190" i="8" s="1"/>
  <c r="L189" i="8"/>
  <c r="U88" i="8" s="1"/>
  <c r="U82" i="8"/>
  <c r="H180" i="8"/>
  <c r="H160" i="8" s="1"/>
  <c r="H192" i="8"/>
  <c r="H191" i="8" s="1"/>
  <c r="H190" i="8" s="1"/>
  <c r="J189" i="8"/>
  <c r="V87" i="8" s="1"/>
  <c r="V81" i="8"/>
  <c r="F180" i="8"/>
  <c r="F160" i="8" s="1"/>
  <c r="F192" i="8"/>
  <c r="F191" i="8" s="1"/>
  <c r="F190" i="8" s="1"/>
  <c r="C191" i="8"/>
  <c r="C190" i="8" s="1"/>
  <c r="E180" i="8"/>
  <c r="E160" i="8" s="1"/>
  <c r="E192" i="8"/>
  <c r="E191" i="8" s="1"/>
  <c r="E190" i="8" s="1"/>
  <c r="I180" i="8"/>
  <c r="I160" i="8" s="1"/>
  <c r="I192" i="8"/>
  <c r="I191" i="8" s="1"/>
  <c r="I190" i="8" s="1"/>
  <c r="K180" i="8"/>
  <c r="K160" i="8" s="1"/>
  <c r="K192" i="8"/>
  <c r="K191" i="8" s="1"/>
  <c r="K190" i="8" s="1"/>
  <c r="V69" i="8"/>
  <c r="J159" i="8"/>
  <c r="V75" i="8" s="1"/>
  <c r="P175" i="8"/>
  <c r="P174" i="8" s="1"/>
  <c r="D182" i="8"/>
  <c r="D192" i="8" s="1"/>
  <c r="D174" i="8"/>
  <c r="O182" i="8"/>
  <c r="O180" i="8" s="1"/>
  <c r="C180" i="8"/>
  <c r="N182" i="8"/>
  <c r="N180" i="8" s="1"/>
  <c r="B180" i="8"/>
  <c r="C161" i="8"/>
  <c r="O162" i="8"/>
  <c r="O161" i="8" s="1"/>
  <c r="O160" i="8" s="1"/>
  <c r="AO6" i="8"/>
  <c r="AT6" i="8" s="1"/>
  <c r="N153" i="8"/>
  <c r="B162" i="8"/>
  <c r="P162" i="8"/>
  <c r="P161" i="8" s="1"/>
  <c r="D161" i="8"/>
  <c r="D164" i="8"/>
  <c r="P165" i="8"/>
  <c r="P164" i="8" s="1"/>
  <c r="AP6" i="8"/>
  <c r="AU6" i="8" s="1"/>
  <c r="E122" i="8"/>
  <c r="T55" i="8" s="1"/>
  <c r="E143" i="8"/>
  <c r="E142" i="8" s="1"/>
  <c r="T61" i="8" s="1"/>
  <c r="H143" i="8"/>
  <c r="H142" i="8" s="1"/>
  <c r="T62" i="8" s="1"/>
  <c r="H122" i="8"/>
  <c r="T56" i="8" s="1"/>
  <c r="M122" i="8"/>
  <c r="V57" i="8" s="1"/>
  <c r="M143" i="8"/>
  <c r="M142" i="8" s="1"/>
  <c r="V63" i="8" s="1"/>
  <c r="F143" i="8"/>
  <c r="F142" i="8" s="1"/>
  <c r="U61" i="8" s="1"/>
  <c r="F122" i="8"/>
  <c r="U55" i="8" s="1"/>
  <c r="O123" i="8"/>
  <c r="O102" i="8"/>
  <c r="U52" i="8" s="1"/>
  <c r="I143" i="8"/>
  <c r="I142" i="8" s="1"/>
  <c r="U62" i="8" s="1"/>
  <c r="I122" i="8"/>
  <c r="U56" i="8" s="1"/>
  <c r="P123" i="8"/>
  <c r="P102" i="8"/>
  <c r="V52" i="8" s="1"/>
  <c r="N123" i="8"/>
  <c r="N102" i="8"/>
  <c r="T52" i="8" s="1"/>
  <c r="L143" i="8"/>
  <c r="L142" i="8" s="1"/>
  <c r="U63" i="8" s="1"/>
  <c r="L122" i="8"/>
  <c r="U57" i="8" s="1"/>
  <c r="J143" i="8"/>
  <c r="J142" i="8" s="1"/>
  <c r="V62" i="8" s="1"/>
  <c r="J122" i="8"/>
  <c r="V56" i="8" s="1"/>
  <c r="AJ22" i="6"/>
  <c r="AI21" i="6"/>
  <c r="AI22" i="6"/>
  <c r="F159" i="8" l="1"/>
  <c r="U74" i="8" s="1"/>
  <c r="I159" i="8"/>
  <c r="U75" i="8" s="1"/>
  <c r="G159" i="8"/>
  <c r="V74" i="8" s="1"/>
  <c r="V68" i="8"/>
  <c r="U79" i="8"/>
  <c r="C189" i="8"/>
  <c r="U85" i="8" s="1"/>
  <c r="P192" i="8"/>
  <c r="P191" i="8" s="1"/>
  <c r="P190" i="8" s="1"/>
  <c r="D191" i="8"/>
  <c r="D190" i="8" s="1"/>
  <c r="K189" i="8"/>
  <c r="T88" i="8" s="1"/>
  <c r="T82" i="8"/>
  <c r="E189" i="8"/>
  <c r="T86" i="8" s="1"/>
  <c r="T80" i="8"/>
  <c r="F189" i="8"/>
  <c r="U86" i="8" s="1"/>
  <c r="U80" i="8"/>
  <c r="H189" i="8"/>
  <c r="T87" i="8" s="1"/>
  <c r="T81" i="8"/>
  <c r="B189" i="8"/>
  <c r="T85" i="8" s="1"/>
  <c r="T79" i="8"/>
  <c r="M189" i="8"/>
  <c r="V88" i="8" s="1"/>
  <c r="V82" i="8"/>
  <c r="T70" i="8"/>
  <c r="K159" i="8"/>
  <c r="T76" i="8" s="1"/>
  <c r="O159" i="8"/>
  <c r="U77" i="8" s="1"/>
  <c r="U71" i="8"/>
  <c r="T68" i="8"/>
  <c r="E159" i="8"/>
  <c r="T74" i="8" s="1"/>
  <c r="H159" i="8"/>
  <c r="T75" i="8" s="1"/>
  <c r="T69" i="8"/>
  <c r="N192" i="8"/>
  <c r="N191" i="8" s="1"/>
  <c r="N190" i="8" s="1"/>
  <c r="V70" i="8"/>
  <c r="M159" i="8"/>
  <c r="V76" i="8" s="1"/>
  <c r="C160" i="8"/>
  <c r="I189" i="8"/>
  <c r="U87" i="8" s="1"/>
  <c r="U81" i="8"/>
  <c r="O192" i="8"/>
  <c r="O191" i="8" s="1"/>
  <c r="O190" i="8" s="1"/>
  <c r="G189" i="8"/>
  <c r="V86" i="8" s="1"/>
  <c r="V80" i="8"/>
  <c r="P182" i="8"/>
  <c r="P180" i="8" s="1"/>
  <c r="P160" i="8" s="1"/>
  <c r="D180" i="8"/>
  <c r="D160" i="8" s="1"/>
  <c r="N162" i="8"/>
  <c r="N161" i="8" s="1"/>
  <c r="N160" i="8" s="1"/>
  <c r="B161" i="8"/>
  <c r="B160" i="8" s="1"/>
  <c r="P143" i="8"/>
  <c r="P142" i="8" s="1"/>
  <c r="V64" i="8" s="1"/>
  <c r="P122" i="8"/>
  <c r="V58" i="8" s="1"/>
  <c r="N143" i="8"/>
  <c r="N142" i="8" s="1"/>
  <c r="T64" i="8" s="1"/>
  <c r="N122" i="8"/>
  <c r="T58" i="8" s="1"/>
  <c r="O143" i="8"/>
  <c r="O142" i="8" s="1"/>
  <c r="U64" i="8" s="1"/>
  <c r="O122" i="8"/>
  <c r="U58" i="8" s="1"/>
  <c r="P159" i="8" l="1"/>
  <c r="V77" i="8" s="1"/>
  <c r="V71" i="8"/>
  <c r="T71" i="8"/>
  <c r="N159" i="8"/>
  <c r="T77" i="8" s="1"/>
  <c r="O189" i="8"/>
  <c r="U89" i="8" s="1"/>
  <c r="U83" i="8"/>
  <c r="V79" i="8"/>
  <c r="D189" i="8"/>
  <c r="V85" i="8" s="1"/>
  <c r="T67" i="8"/>
  <c r="B159" i="8"/>
  <c r="T73" i="8" s="1"/>
  <c r="N189" i="8"/>
  <c r="T89" i="8" s="1"/>
  <c r="T83" i="8"/>
  <c r="C159" i="8"/>
  <c r="U73" i="8" s="1"/>
  <c r="P189" i="8"/>
  <c r="V89" i="8" s="1"/>
  <c r="V83" i="8"/>
  <c r="V67" i="8"/>
  <c r="D159" i="8"/>
  <c r="V73" i="8" s="1"/>
</calcChain>
</file>

<file path=xl/sharedStrings.xml><?xml version="1.0" encoding="utf-8"?>
<sst xmlns="http://schemas.openxmlformats.org/spreadsheetml/2006/main" count="5001" uniqueCount="1023">
  <si>
    <t>EMIS</t>
  </si>
  <si>
    <t>14 New Street</t>
  </si>
  <si>
    <t>London, EC2M 4HE, United Kingdom</t>
  </si>
  <si>
    <t>www.emis.com</t>
  </si>
  <si>
    <t>Cyfrowy Polsat S.A. (Polska)</t>
  </si>
  <si>
    <t xml:space="preserve">Źródło:  </t>
  </si>
  <si>
    <t>Rodzaj raportu</t>
  </si>
  <si>
    <t>Roczne, Skonsolidowane</t>
  </si>
  <si>
    <t>Koniec okresu</t>
  </si>
  <si>
    <t>2019-12-31</t>
  </si>
  <si>
    <t>2018-12-31</t>
  </si>
  <si>
    <t>2017-12-31</t>
  </si>
  <si>
    <t> </t>
  </si>
  <si>
    <t>Jednostki</t>
  </si>
  <si>
    <t>tys. PLN</t>
  </si>
  <si>
    <t>Rachunek zysków i strat</t>
  </si>
  <si>
    <t>Przychody ogółem</t>
  </si>
  <si>
    <t>      Przychody netto ze sprzedaży</t>
  </si>
  <si>
    <t>            Przychody ze sprzedaży zagranicznej</t>
  </si>
  <si>
    <t>            Przychody ze sprzedaży krajowej</t>
  </si>
  <si>
    <t>      Koszty sprzedanych produktów, towarów i materiałów</t>
  </si>
  <si>
    <t>Zysk brutto</t>
  </si>
  <si>
    <t>      Koszty sprzedaży</t>
  </si>
  <si>
    <t>      Koszty administracyjne</t>
  </si>
  <si>
    <t>      Zmiana stanu wyrobów gotowych i produkcji w toku</t>
  </si>
  <si>
    <t>      Praca wykonana i wliczona do aktywów</t>
  </si>
  <si>
    <t>      Surowce i materiały zużyte</t>
  </si>
  <si>
    <t>      Świadczenia pracownicze</t>
  </si>
  <si>
    <t>            Wynagrodzenia</t>
  </si>
  <si>
    <t>            Koszty z tytułu ubezpieczenia społecznego</t>
  </si>
  <si>
    <t>            Pozostałe koszty z tytułu świadczeń pracowniczych</t>
  </si>
  <si>
    <t>      Koszty transportu</t>
  </si>
  <si>
    <t>      Wydatki na IT</t>
  </si>
  <si>
    <t>      Koszty reklamy</t>
  </si>
  <si>
    <t>      Podatki i inne obciążenia</t>
  </si>
  <si>
    <t>      Koszty prac badawczych i rozwojowych</t>
  </si>
  <si>
    <t>      Pozostałe koszty według rodzaju</t>
  </si>
  <si>
    <t>      Amortyzacja</t>
  </si>
  <si>
    <t>      Wynik netto z pozostałej działalności operacyjnej</t>
  </si>
  <si>
    <t>            Pozostały zysk z działalności operacyjnej</t>
  </si>
  <si>
    <t>            Pozostałe koszty operacyjne</t>
  </si>
  <si>
    <t>            Pozostałe wyniki operacyjne netto</t>
  </si>
  <si>
    <t>Zysk z działalności operacyjnej</t>
  </si>
  <si>
    <t>EBITDA</t>
  </si>
  <si>
    <t>Wynik z działalności finansowej</t>
  </si>
  <si>
    <t>      Przychody finansowe</t>
  </si>
  <si>
    <t>            Przychody z odsetek</t>
  </si>
  <si>
    <t>            Dywidendy i udziały w zyskach</t>
  </si>
  <si>
    <t>            Zyski z tytułu różnic kursowych</t>
  </si>
  <si>
    <t>            Pozostałe przychody finansowe</t>
  </si>
  <si>
    <t>      Wydatki finansowe</t>
  </si>
  <si>
    <t>            Koszty odsetek</t>
  </si>
  <si>
    <t>            Straty z tytułu różnic kursowych</t>
  </si>
  <si>
    <t>            Pozostałe wydatki finansowe</t>
  </si>
  <si>
    <t>      Udział spółek powiązanych</t>
  </si>
  <si>
    <t>Wynik netto z pozostałej działalności nieoperacyjnej</t>
  </si>
  <si>
    <t>      Pozostałe zyski</t>
  </si>
  <si>
    <t>      Pozostałe wydatki</t>
  </si>
  <si>
    <t>Zyski / straty nadzwyczajne</t>
  </si>
  <si>
    <t>Podatek dochodowy</t>
  </si>
  <si>
    <t>Zmiany podatkowe z tytułu konsolidacji</t>
  </si>
  <si>
    <t>Zysk netto</t>
  </si>
  <si>
    <t>      Zyski z działalności zaniechanej</t>
  </si>
  <si>
    <t>      Inne Pozycje Nadzwyczajne</t>
  </si>
  <si>
    <t>Zysk netto (strata netto)</t>
  </si>
  <si>
    <t>      - Zysk (strata) przypadający właścicielom</t>
  </si>
  <si>
    <t>      - Zysk (strata) przypisany udziałom mniejszościowym</t>
  </si>
  <si>
    <t>Pozostały wynik na działalności za okres po opodatkowaniu</t>
  </si>
  <si>
    <t>      Wyniki różnic kursowych z tłumaczenia</t>
  </si>
  <si>
    <t>      Wyniki z inwestycji w kapitał własny</t>
  </si>
  <si>
    <t>      Wyniki z aktywów finansowych dostępnych do sprzedaży</t>
  </si>
  <si>
    <t>      Wyniki z zabezpieczeń przepływów pieniężnych</t>
  </si>
  <si>
    <t>      Ponowna wycerna określonych programów świadczeń</t>
  </si>
  <si>
    <t>      Wyniki przeszacowania środków trwałych</t>
  </si>
  <si>
    <t>      Aktualizacja wartości instrumentów finansowych</t>
  </si>
  <si>
    <t>      Udział innych wyników od jednostek stowarzyszonych i wspólnych przedsięwzięć</t>
  </si>
  <si>
    <t>      Pozostałe wyniki kompleksowe</t>
  </si>
  <si>
    <t>      Podatek dochodowy dotyczący składników kompleksowe wyniki</t>
  </si>
  <si>
    <t>Zysk za okres</t>
  </si>
  <si>
    <t>      - Całkowity dochód przypisany właścicielom</t>
  </si>
  <si>
    <t>      (Zyski) straty mniejszości</t>
  </si>
  <si>
    <t>Dolna Granica Zakresu Przychodów</t>
  </si>
  <si>
    <t>Górna Granica Zakresu Przychodów</t>
  </si>
  <si>
    <t>Bilans</t>
  </si>
  <si>
    <t>Aktywa ogółem</t>
  </si>
  <si>
    <t>      Aktywa trwałe</t>
  </si>
  <si>
    <t>            Rzeczowe aktywa trwałe</t>
  </si>
  <si>
    <t>                  Nieruchomości</t>
  </si>
  <si>
    <t>                  Pojazdy i urządzenia</t>
  </si>
  <si>
    <t>                  Wyposażenie wnętrz</t>
  </si>
  <si>
    <t>                  Pozostałe składniki majątku</t>
  </si>
  <si>
    <t>            Środki trwałe w budowie</t>
  </si>
  <si>
    <t>            Wartości niematerialne i prawne oraz wartość firmy</t>
  </si>
  <si>
    <t>                  Wartość firmy</t>
  </si>
  <si>
    <t>                  Znaki towarowe i licencje</t>
  </si>
  <si>
    <t>                  Koszty zakończonych prac rozwojowych</t>
  </si>
  <si>
    <t>                  Własne oprogramowanie</t>
  </si>
  <si>
    <t>                  Pozostałe wartości niematerialne i prawne</t>
  </si>
  <si>
    <t>            Aktywa biologiczne</t>
  </si>
  <si>
    <t>            Należności krótkoterminowe handlowe i pozostałe</t>
  </si>
  <si>
    <t>                  Należności handlowe krótkoterminowe</t>
  </si>
  <si>
    <t>                  Należności od jednostek powiązanych</t>
  </si>
  <si>
    <t>                  Pozostałe należności długoterminowe</t>
  </si>
  <si>
    <t>                  Należności wątpliwe</t>
  </si>
  <si>
    <t>            Inwestycje długoterminowe</t>
  </si>
  <si>
    <t>                  Nieruchomości inwestycyjne</t>
  </si>
  <si>
    <t>                  Udziały i akcje w jednostkach zależnych</t>
  </si>
  <si>
    <t>                  Udziały i akcje w jednostkach podporządkowanych</t>
  </si>
  <si>
    <t>                  Aktywa finansowe dostępne do sprzedaży</t>
  </si>
  <si>
    <t>                  Finansowe instrumenty pochodne</t>
  </si>
  <si>
    <t>                  Aktywa finansowe wyceniane w wartości godziwej przez wynik finansowy</t>
  </si>
  <si>
    <t>                  Aktywa finansowe trzymane do wykupu</t>
  </si>
  <si>
    <t>                  Pozostałe długoterminowe aktywa finansowe</t>
  </si>
  <si>
    <t>            Rozliczenia międzyokresowe</t>
  </si>
  <si>
    <t>                  Aktywa z tytułu odroczonego podatku dochodowego</t>
  </si>
  <si>
    <t>                  Pozostałe rozliczenia międzyokresowe</t>
  </si>
  <si>
    <t>            Pozostałe aktywa trwałe</t>
  </si>
  <si>
    <t>      Aktywa obrotowe</t>
  </si>
  <si>
    <t>            Zapasy</t>
  </si>
  <si>
    <t>                  Surowce</t>
  </si>
  <si>
    <t>                  Półprodukty i produkty w toku</t>
  </si>
  <si>
    <t>                  Wyroby gotowe</t>
  </si>
  <si>
    <t>                  Pozostałe zapasy</t>
  </si>
  <si>
    <t>            Aktywa obrotowe biologiczne</t>
  </si>
  <si>
    <t>            Należności handlowe i inne</t>
  </si>
  <si>
    <t>                  Należności handlowe</t>
  </si>
  <si>
    <t>                  Pozostałe należności krótkoterminowe</t>
  </si>
  <si>
    <t>                  Należności z budżetu państwa</t>
  </si>
  <si>
    <t>            Zaliczki, rozliczenia międzyokresowe i pozostałe aktywa</t>
  </si>
  <si>
    <t>            Krótkoterminowe aktywa finansowe</t>
  </si>
  <si>
    <t>                  Pozostałe finansowe aktywa krótkookresowe</t>
  </si>
  <si>
    <t>            Gotówka i ekwiwalenty</t>
  </si>
  <si>
    <t>                  Środki pieniężne w kasie i na rachunkach</t>
  </si>
  <si>
    <t>                  Depozyty krótkoterminowe</t>
  </si>
  <si>
    <t>            Inne aktywa trwałe</t>
  </si>
  <si>
    <t>            Aktywa działalności zaniechanej przeznaczone do sprzedaży</t>
  </si>
  <si>
    <t>      Aktywa obrotowe netto</t>
  </si>
  <si>
    <t>Pasywa ogółem</t>
  </si>
  <si>
    <t>      Kapitał własny ogółem</t>
  </si>
  <si>
    <t>            Kapitał własny spółki dominującej</t>
  </si>
  <si>
    <t>                  Wyemitowany kapitał</t>
  </si>
  <si>
    <t>                        Akcje zwykłe</t>
  </si>
  <si>
    <t>                        Akcje uprzywilejowane</t>
  </si>
  <si>
    <t>                  Kapitał zapasowy</t>
  </si>
  <si>
    <t>                  Udziały skarbu państwa</t>
  </si>
  <si>
    <t>                  Rezerwa z tytułu aktualizacji wyceny</t>
  </si>
  <si>
    <t>                  Różnice kursowe z przeliczenia jednostek podporządkowanych</t>
  </si>
  <si>
    <t>                  Kapitał rezerwowy na ryzyko płynnościowe</t>
  </si>
  <si>
    <t>                  Kapitały rezerwowe z dostępnych do sprzedaży instrumentów w grupie</t>
  </si>
  <si>
    <t>                  Pozostałe rezerwy i zobowiązania</t>
  </si>
  <si>
    <t>                  Zyski zatrzymane</t>
  </si>
  <si>
    <t>                  Wynik finansowy (zysk / strata)</t>
  </si>
  <si>
    <t>                  Rezerwy z konsolidacji</t>
  </si>
  <si>
    <t>                  Pozostałe składowe kapitału własnego</t>
  </si>
  <si>
    <t>            Kapitały mniejszości</t>
  </si>
  <si>
    <t>      Zobowiązania ogółem</t>
  </si>
  <si>
    <t>            Zobowiązania długoterminowe</t>
  </si>
  <si>
    <t>                  Długoterminowe kredyty i pożyczki</t>
  </si>
  <si>
    <t>                  Pozostałe długoterminowe zobowiązania finansowe</t>
  </si>
  <si>
    <t>                  Należności z emisji obligacji</t>
  </si>
  <si>
    <t>                  Długoterminowe zobowiązania handlowe</t>
  </si>
  <si>
    <t>                  Pozostałe zobowiąznia długoterminowe</t>
  </si>
  <si>
    <t>                  Długoterminowe rozliczenia międzyokresowe</t>
  </si>
  <si>
    <t>                  Rezerwy z tytułu pozostałych zobowiązań i obciążeń</t>
  </si>
  <si>
    <t>            Zobowiązania krótkoterminowe</t>
  </si>
  <si>
    <t>                  Zobowiązania z tytułu podatku dochodowego odroczonego</t>
  </si>
  <si>
    <t>                  Pożyczki krótkoterminowe</t>
  </si>
  <si>
    <t>                  Pozostałe finansowe zobowiązania krótkookresowe</t>
  </si>
  <si>
    <t>                  Zobowiązania handlowe i inne</t>
  </si>
  <si>
    <t>                        Zobowiązania handlowe</t>
  </si>
  <si>
    <t>                        Zobowiązania wobec jednostek powiązanych</t>
  </si>
  <si>
    <t>                        Pozostałe zobowiązania krótkoterminowe</t>
  </si>
  <si>
    <t>                  Krótkoterminowe rozliczenia międzyokresowe</t>
  </si>
  <si>
    <t>                  Pozostałe zobowiązania krótkoterminowe</t>
  </si>
  <si>
    <t>                  Zobowiązania z tytułu bieżącego podatku dochodowego</t>
  </si>
  <si>
    <t>                  Pasywa działalności zaniechanej przeznaczone do sprzedaży</t>
  </si>
  <si>
    <t>Rachunek przepływów pieniężnych</t>
  </si>
  <si>
    <t>Przepływy środków pieniężnych z działalności operacyjnej</t>
  </si>
  <si>
    <t>      Zysk Netto</t>
  </si>
  <si>
    <t>      Środki pieniężne z działalności operacyjnej brutto</t>
  </si>
  <si>
    <t>            Korekta: amortyzacja rzeczowych aktywów trwałych</t>
  </si>
  <si>
    <t>            Korekta: amortyzacja wartości niematerialnych i prawnych</t>
  </si>
  <si>
    <t>            Korekta: odpisy z tytułu utraty wartości rzeczowych aktywów trwałych</t>
  </si>
  <si>
    <t>            Korekta: odpisy z tytułu utraty wartości WNiP</t>
  </si>
  <si>
    <t>            Korekta: odpisy z tytułu utraty wartości należności</t>
  </si>
  <si>
    <t>            Korekta: przychody finansowe</t>
  </si>
  <si>
    <t>            Korekta: Wydatki finansowe</t>
  </si>
  <si>
    <t>            Korekta: wynik ze sprzedaży rzeczowych środków trwałych</t>
  </si>
  <si>
    <t>            Korekta: wynik ze sprzedaży aktywów działalności zaniechanej</t>
  </si>
  <si>
    <t>            Inne korekty</t>
  </si>
  <si>
    <t>            Zmiana stanu zapasów</t>
  </si>
  <si>
    <t>            Korekta: sprzedaż biologicznych aktywów obrotowych</t>
  </si>
  <si>
    <t>            Zmiana stanu należności</t>
  </si>
  <si>
    <t>            Zmiana stanu rozliczeń międzyokresowych</t>
  </si>
  <si>
    <t>            Zmiana stanu zobowiązań</t>
  </si>
  <si>
    <t>            Zmiana stanu rezerw</t>
  </si>
  <si>
    <t>            Zmiana stanu przychodów przyszłych okresów</t>
  </si>
  <si>
    <t>            Inne zmiany</t>
  </si>
  <si>
    <t>      Podatek dochodowy zapłacony</t>
  </si>
  <si>
    <t>      Inne wpływy gotówki z działalności operacyjnej</t>
  </si>
  <si>
    <t>Przepływy środków pieniężnych z działalności inwestycyjnej</t>
  </si>
  <si>
    <t>      Wpływy ze zbycia składników majątku trwałego</t>
  </si>
  <si>
    <t>      Nabycie składników aktywów trwałych</t>
  </si>
  <si>
    <t>      Nabycie wartości niematerialnych i prawnych</t>
  </si>
  <si>
    <t>      Nabycie nieruchomości inwestycyjnych</t>
  </si>
  <si>
    <t>      Nabycie instrumentów finansowych</t>
  </si>
  <si>
    <t>      Wpływy ze zbycia instrumentów finansowych</t>
  </si>
  <si>
    <t>      Wydatki na rozwój</t>
  </si>
  <si>
    <t>      Przejęcie spółki zależnej</t>
  </si>
  <si>
    <t>      Odsetki otrzymane</t>
  </si>
  <si>
    <t>      Dywidendy i udziały w zyskach</t>
  </si>
  <si>
    <t>      Inne wpływy gotówki z działalności inwestycyjnej</t>
  </si>
  <si>
    <t>Przepływy środków pieniężnych z działalności finansowej</t>
  </si>
  <si>
    <t>      Wpływy netto z emisji akcji zwykłych</t>
  </si>
  <si>
    <t>      Wpływy netto z emisji innych instrumentów kapitałowych</t>
  </si>
  <si>
    <t>      Nabycie skarbowych papierów wartościowych</t>
  </si>
  <si>
    <t>      Wpływy ze sprzedaż akcji własnych</t>
  </si>
  <si>
    <t>      Kredyty i pożyczki</t>
  </si>
  <si>
    <t>      Spłata pożyczek i kredytów</t>
  </si>
  <si>
    <t>      Koszty z tytułu zaciągniętych pożyczek i kredytów</t>
  </si>
  <si>
    <t>      Zobowiązania z tytułu leasingu</t>
  </si>
  <si>
    <t>      Odsetki zapłacone</t>
  </si>
  <si>
    <t>      Dywidendy i inne wypłaty na rzecz właścicieli</t>
  </si>
  <si>
    <t>      Inne wpływy gotówki z działalności finansowej</t>
  </si>
  <si>
    <t>Wzrost (spadek) netto środków pieniężnych</t>
  </si>
  <si>
    <t>Środki pieniężne na początek okresu</t>
  </si>
  <si>
    <t>Zmiana stanu środków pieniężnych z tytułu różnic kursowych</t>
  </si>
  <si>
    <t>Środki pieniężne na koniec okresu</t>
  </si>
  <si>
    <t>Wolne przepływy pieniężne</t>
  </si>
  <si>
    <t>Wydatki inwestycyjne (CAPEX)</t>
  </si>
  <si>
    <t>All ratios calculated by EMIS</t>
  </si>
  <si>
    <t>Początek okresu rozliczeniowego</t>
  </si>
  <si>
    <t>2019-01-01</t>
  </si>
  <si>
    <t>2018-01-01</t>
  </si>
  <si>
    <t>2017-01-01</t>
  </si>
  <si>
    <t>Oryginalne jednostki jak podane przez spółkę</t>
  </si>
  <si>
    <t>PLN miliony</t>
  </si>
  <si>
    <t>PLN tys.</t>
  </si>
  <si>
    <t>Zaudytowany</t>
  </si>
  <si>
    <t>Źródło</t>
  </si>
  <si>
    <t>FDB - Financials</t>
  </si>
  <si>
    <t>Notoria Fins</t>
  </si>
  <si>
    <t>Raport finansowy "w wersji przesłanej przez spółkę"</t>
  </si>
  <si>
    <t>Komentarze</t>
  </si>
  <si>
    <t>Rozpowszechnianie informacji w jakiejkolwiek formie surowo wzbronione</t>
  </si>
  <si>
    <t>Copyright 2021 EMIS, wszelkie prawa zastrzeżone</t>
  </si>
  <si>
    <t>Orange Polska S.A. (Polska)</t>
  </si>
  <si>
    <t>Play Communications S.A. (Polska)</t>
  </si>
  <si>
    <t>Telewizja Polska S.A. (Polska)</t>
  </si>
  <si>
    <t>Roczne, Jednostkowe</t>
  </si>
  <si>
    <t>2018-12-28</t>
  </si>
  <si>
    <t>1 PLN</t>
  </si>
  <si>
    <t>KRS - dane finansowe</t>
  </si>
  <si>
    <t>W wersji przesłanej przez spółkę</t>
  </si>
  <si>
    <t>KONKURENCJA</t>
  </si>
  <si>
    <t>SPÓŁKA ANALIZOWANA</t>
  </si>
  <si>
    <t>NAZWA:</t>
  </si>
  <si>
    <t>ROK:</t>
  </si>
  <si>
    <t>WSKAŹNIK PŁYNNOŚCI BIERZĄCEJ</t>
  </si>
  <si>
    <t>WPB</t>
  </si>
  <si>
    <t>aktywa obrotowe</t>
  </si>
  <si>
    <t>zobowiązanai krótkoterminowe</t>
  </si>
  <si>
    <t>WSKAŹNIK PŁYNNOŚCI SZYBKIEJ</t>
  </si>
  <si>
    <t>należności krótkoterminowe</t>
  </si>
  <si>
    <t>zobowiązania krótkoterminowe</t>
  </si>
  <si>
    <t>WPS</t>
  </si>
  <si>
    <t>WSKAŹNIK PŁYNNOŚCI NATYCHMIASTOWEJ</t>
  </si>
  <si>
    <t>inwestycje krótkoterminowe</t>
  </si>
  <si>
    <t>WPN</t>
  </si>
  <si>
    <t>WSKAŹNIK POKRYCIA ZPBOWIĄZAŃ NALEŻNOŚĆIAMI</t>
  </si>
  <si>
    <t>WPZN</t>
  </si>
  <si>
    <t>WSKAŹNIK UDZIAŁU KAPITAŁU PRACUJĄCEGO W AKTYWACH</t>
  </si>
  <si>
    <t>aktywa ogółem</t>
  </si>
  <si>
    <t>UKPWA</t>
  </si>
  <si>
    <t>WSKAŹNIK WYDAJNOŚCI GOTÓWKOWEJ SPRZEDAŻY</t>
  </si>
  <si>
    <t>przepływy z działalności operacyjnej</t>
  </si>
  <si>
    <t>przychody ze sprzedaży</t>
  </si>
  <si>
    <t>WWGS</t>
  </si>
  <si>
    <t>WSKAŹNIK WYDAJNOŚCI GOTÓWKOWEJ AKTYWÓW</t>
  </si>
  <si>
    <t>WWGA</t>
  </si>
  <si>
    <t xml:space="preserve">WSKAŹNIK WYDAJNOŚCI GOTÓWKOWEJ ZYSKU </t>
  </si>
  <si>
    <t>zysk operacyjny</t>
  </si>
  <si>
    <t>WWGZ</t>
  </si>
  <si>
    <t xml:space="preserve">środki pieniężne </t>
  </si>
  <si>
    <t>WSKAŹNIKI STATYCZNE:</t>
  </si>
  <si>
    <t>WWKO</t>
  </si>
  <si>
    <t>WSKAŹNIK WIELKOŚCI KAPITAŁU OBROTOWEGO</t>
  </si>
  <si>
    <t xml:space="preserve"> DŁUGOŚĆ CYKLU ŚRODKÓW PIENIĘŻNYCH [dni]</t>
  </si>
  <si>
    <t>Rotacja należności</t>
  </si>
  <si>
    <t>Rotacja zapasów</t>
  </si>
  <si>
    <t>Rotacja zobowiązań</t>
  </si>
  <si>
    <t>Długość cyklu środków pieniężnych</t>
  </si>
  <si>
    <t>WSKAŹNIK OBROTU</t>
  </si>
  <si>
    <t>WSKAŹNIKI DYNAMICZNE:</t>
  </si>
  <si>
    <t>przychody netto ze sprzedży</t>
  </si>
  <si>
    <t>WO Należności</t>
  </si>
  <si>
    <t>WO Zapasów</t>
  </si>
  <si>
    <t>WO Zobowiązań</t>
  </si>
  <si>
    <t>Branża</t>
  </si>
  <si>
    <t xml:space="preserve"> </t>
  </si>
  <si>
    <t xml:space="preserve">ZESTAWIENIA I WYKRESY </t>
  </si>
  <si>
    <t>wakaźnik branży został policzony na podstawie dostępnych sprawozdań konkurencji</t>
  </si>
  <si>
    <t>ANALIZA ZYSKU (STRATY) BRUTTO ZE SPRZEDAŻY</t>
  </si>
  <si>
    <t>przychody netto ze sprzedaży</t>
  </si>
  <si>
    <t>koszty ze sprzedaży</t>
  </si>
  <si>
    <t>ANALIZA ZYSKU (STRATY) NA SPRZEDAŻY</t>
  </si>
  <si>
    <t>zysk brutto ze sprzedaży</t>
  </si>
  <si>
    <t>koszty ogólnego zarządu</t>
  </si>
  <si>
    <t>ANALIZA ZYSKU (STRATY) NETTO</t>
  </si>
  <si>
    <t>pozostałe przychody operacyjne</t>
  </si>
  <si>
    <t>zysk netto</t>
  </si>
  <si>
    <t>ROS</t>
  </si>
  <si>
    <t>ROA</t>
  </si>
  <si>
    <t>ROE</t>
  </si>
  <si>
    <t>kapitał własny</t>
  </si>
  <si>
    <t>WSKAŹNIK RĘTOWNOŚCI OPERACYJNEJ (WRO)</t>
  </si>
  <si>
    <t>zysk na działalności operacyjnej</t>
  </si>
  <si>
    <t>zysk przed opodatkowaniem</t>
  </si>
  <si>
    <t>WSKAŹNIK MARŻY BRUTTO (WMB)</t>
  </si>
  <si>
    <t>Analiza nierówności</t>
  </si>
  <si>
    <t>kapitału własny + kapitał obcy długoterminowy</t>
  </si>
  <si>
    <t>kapitał obcy długoterminowy</t>
  </si>
  <si>
    <t>Dynamika 2018/2019</t>
  </si>
  <si>
    <t>Dynamika 2017/2018</t>
  </si>
  <si>
    <t>Model du ponta</t>
  </si>
  <si>
    <t>prouktywność aktywów</t>
  </si>
  <si>
    <t>pasywa ogółem</t>
  </si>
  <si>
    <t>Mnożnik kapitałowy</t>
  </si>
  <si>
    <t>Przychody ze sprzedaży</t>
  </si>
  <si>
    <t xml:space="preserve">Pozostałe przychody operacyjne </t>
  </si>
  <si>
    <t>Przychody finansowe</t>
  </si>
  <si>
    <t>Analiza przychodów ze sprzedaży</t>
  </si>
  <si>
    <t>Analiza kosztów</t>
  </si>
  <si>
    <t>Koszty sprzedaży</t>
  </si>
  <si>
    <t>Koszty ogólnego zarządu</t>
  </si>
  <si>
    <t>Pozostałe koszty operacyjne</t>
  </si>
  <si>
    <t>Koszty finansowe</t>
  </si>
  <si>
    <t xml:space="preserve">Koszty sprzedanych produktów, towarów imateriałów </t>
  </si>
  <si>
    <t>Wskaźnik udziałów przychodów ze sprzedaży w przychodach ogółem</t>
  </si>
  <si>
    <t xml:space="preserve">Analiza przychodów </t>
  </si>
  <si>
    <t>Analiza przychodów</t>
  </si>
  <si>
    <t>AKTYWA</t>
  </si>
  <si>
    <t>PASYWA</t>
  </si>
  <si>
    <t>Cyfrowy Polsat SA</t>
  </si>
  <si>
    <t>I. Przychody ze sprzedaży</t>
  </si>
  <si>
    <t>II. Koszt własny sprzedaży</t>
  </si>
  <si>
    <t>VI. Koszty działalności operacyjnej (porównawczy)</t>
  </si>
  <si>
    <t>VII. Zysk/strata ze sprzedaży</t>
  </si>
  <si>
    <t>VIII. Pozostałe przychody operacyjne</t>
  </si>
  <si>
    <t>IX. Pozostałe koszty operacyjne</t>
  </si>
  <si>
    <t>XI. Zysk/strata na działalności operacyjnej</t>
  </si>
  <si>
    <t>XIII. Koszty finansowe</t>
  </si>
  <si>
    <t>XIV. Udział w zyskach inwestycji wycenianych metodą praw własności</t>
  </si>
  <si>
    <t>XVI. Zrealizowany/niezrealizowany wynik na inwestycjach</t>
  </si>
  <si>
    <t>XVIII. Zysk/strata brutto</t>
  </si>
  <si>
    <t>XIX. Podatek dochodowy</t>
  </si>
  <si>
    <t>XXI. Udział w wyniku jednostek powiązanych</t>
  </si>
  <si>
    <t>XXIV. Zysk/strata netto</t>
  </si>
  <si>
    <t>      1. zysk/strata netto udziałowców jednostki dominującej</t>
  </si>
  <si>
    <t>      2. zysk/strata netto właścicieli udziałów niekontrolujących</t>
  </si>
  <si>
    <t>- Amortyzacja (noty)</t>
  </si>
  <si>
    <t>- Naliczone odsetki</t>
  </si>
  <si>
    <t>- Koszty według rodzaju:</t>
  </si>
  <si>
    <t>      amortyzacja (koszt)</t>
  </si>
  <si>
    <t>      wynagrodzenia</t>
  </si>
  <si>
    <t>      pozostałe koszty rodzajowe</t>
  </si>
  <si>
    <t>      I. Aktywa trwałe</t>
  </si>
  <si>
    <t>            1. Rzeczowe aktywa trwałe</t>
  </si>
  <si>
    <t>            3. Wartości niematerialne</t>
  </si>
  <si>
    <t>            4. Wartość firmy</t>
  </si>
  <si>
    <t>            5. Nieruchomości inwestycyjne</t>
  </si>
  <si>
    <t>            6. Inwestycje w jednostki powiązane</t>
  </si>
  <si>
    <t>            8. Długoterminowe pożyczki i należności</t>
  </si>
  <si>
    <t>            9. Aktywa z tytułu odroczonego podatku dochodowego</t>
  </si>
  <si>
    <t>            10. Długoterminowe rozliczenia międzyokresowe</t>
  </si>
  <si>
    <t>            11. Długoterminowe instrumenty pochodne</t>
  </si>
  <si>
    <t>            12. Pozostałe aktywa długoterminowe</t>
  </si>
  <si>
    <t>      II. Aktywa obrotowe</t>
  </si>
  <si>
    <t>            1. Zapasy</t>
  </si>
  <si>
    <t>            3. Należności handlowe</t>
  </si>
  <si>
    <t>            4. Pożyczki i pozostałe należności</t>
  </si>
  <si>
    <t>            6. Środki pieniężne i ich ekwiwalenty</t>
  </si>
  <si>
    <t>            7. Rozliczenia międzyokresowe</t>
  </si>
  <si>
    <t>            8. Aktywa z tytułu bieżącego podatku</t>
  </si>
  <si>
    <t>            9. Instrumenty pochodne</t>
  </si>
  <si>
    <t>            10. Pozostałe aktywa</t>
  </si>
  <si>
    <t>      I. Kapitał własny udziałowców podmiotu dominującego</t>
  </si>
  <si>
    <t>            1. Kapitał podstawowy</t>
  </si>
  <si>
    <t>            4. Kapitał zapasowy</t>
  </si>
  <si>
    <t>            6. Pozostałe kapitały</t>
  </si>
  <si>
    <t>            7. Zyski zatrzymane / niepokryte straty</t>
  </si>
  <si>
    <t>      II. Udziały niekontrolujące</t>
  </si>
  <si>
    <t>      III. Zobowiązania długoterminowe</t>
  </si>
  <si>
    <t>            1. Długoterminowe zobowiązania z tytułu instrumentów pochodnych</t>
  </si>
  <si>
    <t>            2. Długoterminowe zobowiązania finansowe</t>
  </si>
  <si>
    <t>            3. Długoterminowe kredyty i pożyczki</t>
  </si>
  <si>
    <t>            6. Rezerwa z tytułu odroczonego podatku dochodowego</t>
  </si>
  <si>
    <t>            7. Długoterminowe rezerwy</t>
  </si>
  <si>
    <t>            8. Pozostałe zobowiązania długoterminowe</t>
  </si>
  <si>
    <t>            9. Długoterminowe rozliczenia międzyokresowe (zobowiązania)</t>
  </si>
  <si>
    <t>            11. Długoterminowe zobowiązania z tytułu leasingu</t>
  </si>
  <si>
    <t>      IV. Zobowiązania krótkoterminowe</t>
  </si>
  <si>
    <t>            1. Zobowiązania z tytułu instrumentów pochodnych</t>
  </si>
  <si>
    <t>            2. Zobowiązania finansowe</t>
  </si>
  <si>
    <t>            3. Krótkoterminowe kredyty i pożyczki</t>
  </si>
  <si>
    <t>            4. Krótkoterminowe zobowiązania z tytułu leasingu</t>
  </si>
  <si>
    <t>            5. Zobowiązania handlowe</t>
  </si>
  <si>
    <t>            7. Zobowiązania z tytułu bieżącego podatku</t>
  </si>
  <si>
    <t>            9. Pozostałe zobowiązania</t>
  </si>
  <si>
    <t>            10. Rozliczenia międzyokresowe (zobowiązania)</t>
  </si>
  <si>
    <t>A. Przepływy operacyjne</t>
  </si>
  <si>
    <t>      1. Wynik finansowy</t>
  </si>
  <si>
    <t>      2. Udział w wyniku jednostek powiązanych</t>
  </si>
  <si>
    <t>      3. Amortyzacja (przepływy operacyjne)</t>
  </si>
  <si>
    <t>      4. Różnice kursowe z działalności operacyjnej</t>
  </si>
  <si>
    <t>      5. Odsetki i dywidendy z działalności operacyjnej</t>
  </si>
  <si>
    <t>      9. Podatek dochodowy odroczony</t>
  </si>
  <si>
    <t>      10. Podatek dochodowy zapłacony</t>
  </si>
  <si>
    <t>      13. Zmiana stanu zapasów</t>
  </si>
  <si>
    <t>      14. Zmiana stanu należności</t>
  </si>
  <si>
    <t>      15. Zmiana stanu zobowiązań</t>
  </si>
  <si>
    <t>      17. Zmiana stanu pozostałych aktywów i pasywów</t>
  </si>
  <si>
    <t>      18. Pozostałe przepływy operacyjne</t>
  </si>
  <si>
    <t>B. Przepływy inwestycyjne</t>
  </si>
  <si>
    <t>      1. Zbycie rzeczowych aktywów trwałych oraz wartości niematerialnych</t>
  </si>
  <si>
    <t>      2. Nabycie rzeczowych aktywów trwałych oraz wartości niematerialnych</t>
  </si>
  <si>
    <t>      4. Nabycie udziałów w podmiotach powiązanych</t>
  </si>
  <si>
    <t>      7. Zbycie/zapadalność aktywów finansowych</t>
  </si>
  <si>
    <t>      8. Nabycie aktywów finansowych</t>
  </si>
  <si>
    <t>      9. Zwrot udzielonych pożyczek</t>
  </si>
  <si>
    <t>      10. Udzielone pożyczki</t>
  </si>
  <si>
    <t>      12. Pozostałe przepływy inwestycyjne</t>
  </si>
  <si>
    <t>C. Przepływy finansowe</t>
  </si>
  <si>
    <t>      3. Wyemitowane papiery dłużne</t>
  </si>
  <si>
    <t>      4. Wykup papierów dłużnych</t>
  </si>
  <si>
    <t>      5. Zaciągnięte kredyty i pożyczki</t>
  </si>
  <si>
    <t>      6. Spłacone kredyty i pożyczki</t>
  </si>
  <si>
    <t>      7. Dywidendy na rzecz udziałowców podmiotu dominującego</t>
  </si>
  <si>
    <t>      8. Płatności z tytułu leasingu</t>
  </si>
  <si>
    <t>      10. Odsetki z działalności finansowej</t>
  </si>
  <si>
    <t>      11. Pozostałe przepływy finansowe</t>
  </si>
  <si>
    <t>D. Przepływy pieniężne netto</t>
  </si>
  <si>
    <t>E. Różnice kursowe</t>
  </si>
  <si>
    <t>G. Środki pieniężne na początek okresu</t>
  </si>
  <si>
    <t>H. Środki pieniężne na koniec okresu</t>
  </si>
  <si>
    <t>STANDARD POLSKI</t>
  </si>
  <si>
    <t>STANDARD GLOBALNY</t>
  </si>
  <si>
    <t>      1. Przychody ze sprzedaży produktów i usług</t>
  </si>
  <si>
    <t>      2. Przychody ze sprzedaży towarów i materiałów</t>
  </si>
  <si>
    <t>      3. Pozostałe przychody z działalności podstawowej</t>
  </si>
  <si>
    <t>      4. Zmiana stanu produktów</t>
  </si>
  <si>
    <t>      5. Koszt wytworzenia świadczeń na własne potrzeby jednostki</t>
  </si>
  <si>
    <t>      1. Koszt sprzedanych produktów i usług</t>
  </si>
  <si>
    <t>      2. Koszt sprzedanych towarów i materiałów</t>
  </si>
  <si>
    <t>III. Zysk/strata brutto ze sprzedaży</t>
  </si>
  <si>
    <t>IV. Koszty sprzedaży</t>
  </si>
  <si>
    <t>V. Koszty ogólnego zarządu</t>
  </si>
  <si>
    <t>X. Wynik na aktywach niefinansowych</t>
  </si>
  <si>
    <t>XII. Przychody finansowe</t>
  </si>
  <si>
    <t>XV. Różnice kursowe</t>
  </si>
  <si>
    <t>XVII. Wynik zdarzeń nadzwyczajnych</t>
  </si>
  <si>
    <t>XX. Pozostałe zdarzenia i odpisy z zysku</t>
  </si>
  <si>
    <t>XXII. Zysk/strata netto z działalności kontynuowanej</t>
  </si>
  <si>
    <t>XXIII. Zysk/strata netto na działalności zaniechanej</t>
  </si>
  <si>
    <t>A. Pozostałe całkowite dochody, netto</t>
  </si>
  <si>
    <t>B. Różnice kursowe z jednostek powiązanych</t>
  </si>
  <si>
    <t>C. Wynik z aktualizacji wycen</t>
  </si>
  <si>
    <t>D. Zabezpieczenie przepływów pieniężnych</t>
  </si>
  <si>
    <t>E. Inne składniki pozostałego całkowitego dochodu</t>
  </si>
  <si>
    <t>F. Podatek odroczony od pozostałych całkowitych dochodów</t>
  </si>
  <si>
    <t>G. Całkowite dochody ogółem</t>
  </si>
  <si>
    <t>      1. całkowite dochody udziałowców jednostki dominującej</t>
  </si>
  <si>
    <t>      2. całkowite dochody udziałowców niekontrolujących</t>
  </si>
  <si>
    <t>      zużycie materiałów i energii</t>
  </si>
  <si>
    <t>      usługi obce</t>
  </si>
  <si>
    <t>      podatki i opłaty</t>
  </si>
  <si>
    <t>      ubezpieczenia społeczne i inne</t>
  </si>
  <si>
    <t>      wartość sprzedanych towarów i materiałów</t>
  </si>
  <si>
    <t>            2. Aktywa z tytułu poszukiwania i oceny zasobów mineralnych</t>
  </si>
  <si>
    <t>            7. Długoterminowe aktywa finansowe</t>
  </si>
  <si>
    <t>            2. Aktywa biologiczne</t>
  </si>
  <si>
    <t>            5. Aktywa finansowe</t>
  </si>
  <si>
    <t>            11. Należności z tytułu usług o umowę budowlaną</t>
  </si>
  <si>
    <t>      III. Aktywa przeznaczone do zbycia i działalność zaniechana</t>
  </si>
  <si>
    <t>            2. Należne wpłaty na kapitał podstawowy</t>
  </si>
  <si>
    <t>            3. Akcje/udziały własne</t>
  </si>
  <si>
    <t>            5. Wyceny i różnice kursowe</t>
  </si>
  <si>
    <t>            4. Długoterminowe zobowiązania handlowe</t>
  </si>
  <si>
    <t>            5. Długoterminowe rezerwy na świadczenia pracownicze</t>
  </si>
  <si>
    <t>            10. Długoterminowe zobowiązania podatkowe</t>
  </si>
  <si>
    <t>            6. Świadczenia pracownicze</t>
  </si>
  <si>
    <t>            8. Rezerwy</t>
  </si>
  <si>
    <t>            11. Zobowiązania związane z aktywami do sprzedaży</t>
  </si>
  <si>
    <t>            12. Zobowiązania z tytułu usług o umowę budowlaną</t>
  </si>
  <si>
    <t>      V. Zobowiązania związane z aktywami do zbycia i działalnością zaniechaną</t>
  </si>
  <si>
    <t>      6. Wynik na działalności inwestycyjnej</t>
  </si>
  <si>
    <t>      7. Podatek dochodowy naliczony</t>
  </si>
  <si>
    <t>      8. Wynik na zmianie wartości aktywów</t>
  </si>
  <si>
    <t>      11. Płatności rozliczane w akcjach</t>
  </si>
  <si>
    <t>      12. Zmiana stanu rezerw</t>
  </si>
  <si>
    <t>      16. Zmiana stanu rozliczeń międzyokresowych</t>
  </si>
  <si>
    <t>      19. Przepływy operacyjne z działalności zaniechanej</t>
  </si>
  <si>
    <t>      20. Zmiana stanu instrumentów pochodnych</t>
  </si>
  <si>
    <t>      3. Zbycie udziałów w podmiotach powiązanych</t>
  </si>
  <si>
    <t>      5. Zbycie nieruchomości</t>
  </si>
  <si>
    <t>      6. Nabycie nieruchomości</t>
  </si>
  <si>
    <t>      11. Odsetki i dywidendy z działalności inwestycyjnej</t>
  </si>
  <si>
    <t>      13. Przepływy inwestycyjne z działalności zaniechanej</t>
  </si>
  <si>
    <t>      14. Wydatki na badania i rozwój</t>
  </si>
  <si>
    <t>      1. Emisja akcji własnych</t>
  </si>
  <si>
    <t>      2. Nabycie akcji własnych</t>
  </si>
  <si>
    <t>      9. Inne wypłaty z zysku</t>
  </si>
  <si>
    <t>      12. Przepływy finansowe z działalności zaniechanej</t>
  </si>
  <si>
    <t>F. Bilansowa zmiana stanu środków pieniężnych</t>
  </si>
  <si>
    <t>A. Przychody netto ze sprzedaży i zrównane z nimi, w tym:</t>
  </si>
  <si>
    <t>      - od jednostek powiązanych</t>
  </si>
  <si>
    <t>      I. Przychody netto ze sprzedaży produktów</t>
  </si>
  <si>
    <t>      II. Zmiana stanu produktów (zwiększenie - wartość dodatnia, zmniejszenie - wartość ujemna)</t>
  </si>
  <si>
    <t>      III. Koszt wytworzenia produktów na własne potrzeby jednostki</t>
  </si>
  <si>
    <t>      IV. Przychody netto ze sprzedaży towarów i materiałów</t>
  </si>
  <si>
    <t>B. Koszty działalności operacyjnej</t>
  </si>
  <si>
    <t>      I. Amortyzacja</t>
  </si>
  <si>
    <t>      II. Zużycie materiałów i energii</t>
  </si>
  <si>
    <t>      III. Usługi obce</t>
  </si>
  <si>
    <t>      IV. Podatki i opłaty, w tym:</t>
  </si>
  <si>
    <t>            - podatek akcyzowy</t>
  </si>
  <si>
    <t>      V. Wynagrodzenia</t>
  </si>
  <si>
    <t>      VI. Ubezpieczenia społeczne i inne świadczenia</t>
  </si>
  <si>
    <t>            – emerytalne</t>
  </si>
  <si>
    <t>      VII. Pozostałe koszty rodzajowe</t>
  </si>
  <si>
    <t>      VIII. Wartość sprzedanych towarów i materiałów</t>
  </si>
  <si>
    <t>C. Zysk (strata) ze sprzedaży</t>
  </si>
  <si>
    <t>D. Pozostałe przychody operacyjne</t>
  </si>
  <si>
    <t>      I. Zysk ze zbycia niefinansowych aktywów trwałych</t>
  </si>
  <si>
    <t>      II. Dotacje</t>
  </si>
  <si>
    <t>      III. Inne przychody operacyjne</t>
  </si>
  <si>
    <t>      IV. Aktualizacja wartości aktywów niefinansowych</t>
  </si>
  <si>
    <t>E. Pozostałe koszty operacyjne</t>
  </si>
  <si>
    <t>      I. Strata ze zbycia niefinansowych aktywów trwałych</t>
  </si>
  <si>
    <t>      II. Aktualizacja wartości aktywów niefinansowych</t>
  </si>
  <si>
    <t>      III. Inne koszty operacyjne</t>
  </si>
  <si>
    <t>F. Zysk (strata) z działalności operacyjnej</t>
  </si>
  <si>
    <t>G. Przychody finansowe</t>
  </si>
  <si>
    <t>      I. Dywidendy i udziały w zyskach, w tym:</t>
  </si>
  <si>
    <t>            - od jednostek powiązanych</t>
  </si>
  <si>
    <t>                  - w których jednostka posiada zaangażowanie w kapitale</t>
  </si>
  <si>
    <t>            - od jednostek pozostałych, w tym:</t>
  </si>
  <si>
    <t>      II. Odsetki, w tym:</t>
  </si>
  <si>
    <t>      III. Zysk ze zbycia inwestycji</t>
  </si>
  <si>
    <t>            - w jednostkach powiązanych</t>
  </si>
  <si>
    <t>      IV. Aktualizacja wartości inwestycji</t>
  </si>
  <si>
    <t>      V. Inne</t>
  </si>
  <si>
    <t>H. Koszty finansowe</t>
  </si>
  <si>
    <t>      I. Odsetki, w tym:</t>
  </si>
  <si>
    <t>            - dla jednostek powiązanych</t>
  </si>
  <si>
    <t>      II. Strata ze zbycia inwestycji</t>
  </si>
  <si>
    <t>      III. Aktualizacja wartości inwestycji</t>
  </si>
  <si>
    <t>      IV. Inne</t>
  </si>
  <si>
    <t>I. Zysk (strata) na sprzedaży całości lub części udziałów jednostek podporządkowanych</t>
  </si>
  <si>
    <t>J. Zysk (strata) z działalności gospodarczej</t>
  </si>
  <si>
    <t>K. Wynik zdarzeń nadzwyczajnych</t>
  </si>
  <si>
    <t>      I. Zyski nadzwyczajne</t>
  </si>
  <si>
    <t>      II. Straty nadzwyczajne</t>
  </si>
  <si>
    <t>L. Odpis wartości firmy</t>
  </si>
  <si>
    <t>      I. Odpis wartości firmy - jednostki zależne</t>
  </si>
  <si>
    <t>      II. Odpis wartości firmy - jednostki współzależne</t>
  </si>
  <si>
    <t>      III. Odpis wartości firmy - jednostki stowarzyszone</t>
  </si>
  <si>
    <t>M. Odpis ujemnej wartości firmy</t>
  </si>
  <si>
    <t>      I. Odpis ujemnej wartości firmy - jednostki zależne</t>
  </si>
  <si>
    <t>      II. Odpis ujemnej wartości firmy - jednostki współzależne</t>
  </si>
  <si>
    <t>      III. Odpis ujemnej wartości firmy - jednostki stowarzyszone</t>
  </si>
  <si>
    <t>Q. Zysk (strata) z udziałów w jednostkach podporządkowanych wycenianych metodą praw własności</t>
  </si>
  <si>
    <t>N. Zysk (strata) brutto</t>
  </si>
  <si>
    <t>O. Podatek dochodowy</t>
  </si>
  <si>
    <t>      a. część bieżąca</t>
  </si>
  <si>
    <t>      b. część odroczona</t>
  </si>
  <si>
    <t>P. Pozostałe obowiązkowe zmniejszenie zysku (zwiększenia straty)</t>
  </si>
  <si>
    <t>R. Zyski (straty) mniejszości</t>
  </si>
  <si>
    <t>S. Zysk (strata) netto</t>
  </si>
  <si>
    <t>Aktywa Razem</t>
  </si>
  <si>
    <t>      A. Aktywa trwałe</t>
  </si>
  <si>
    <t>            I. Wartości niematerialne i prawne</t>
  </si>
  <si>
    <t>                  1. Koszty zakończonych prac rozwojowych</t>
  </si>
  <si>
    <t>                  2. Wartość firmy</t>
  </si>
  <si>
    <t>                  3. Inne wartości niematerialne i prawne</t>
  </si>
  <si>
    <t>                  4. Zaliczki na wartości niematerialne i prawne</t>
  </si>
  <si>
    <t>            II. Wartość firmy jednostek podporządkowanych</t>
  </si>
  <si>
    <t>                  1. Zależnych</t>
  </si>
  <si>
    <t>                  2. Współzależnych</t>
  </si>
  <si>
    <t>                  3. Stowarzyszonych</t>
  </si>
  <si>
    <t>            III. Rzeczowe aktywa trwałe</t>
  </si>
  <si>
    <t>                  1. Środki trwałe</t>
  </si>
  <si>
    <t>                        a. grunty (w tym prawo użytkowania wieczystego gruntu)</t>
  </si>
  <si>
    <t>                        b. budynki, lokale i obiekty inżynierii lądowej i wodnej</t>
  </si>
  <si>
    <t>                        c. urządzenia techniczne i maszyny</t>
  </si>
  <si>
    <t>                        d. środki transportu</t>
  </si>
  <si>
    <t>                        e. inne środki trwałe</t>
  </si>
  <si>
    <t>                  2. Środki trwałe w budowie</t>
  </si>
  <si>
    <t>                  3. Zaliczki na środki trwałe w budowie</t>
  </si>
  <si>
    <t>            IV. Należności długoterminowe</t>
  </si>
  <si>
    <t>                  1. Od jednostek powiązanych</t>
  </si>
  <si>
    <t>                  2. Od pozostałych jednostek, w których jednostka posiada zaangażowanie w kapitale</t>
  </si>
  <si>
    <t>                  3. Od jednostek pozostałych</t>
  </si>
  <si>
    <t>            V. Inwestycje długoterminowe</t>
  </si>
  <si>
    <t>                  1. Nieruchomości</t>
  </si>
  <si>
    <t>                  2. Wartości niematerialne i prawne</t>
  </si>
  <si>
    <t>                  3. Długoterminowe aktywa finansowe</t>
  </si>
  <si>
    <t>                        a. w jednostkach powiązanych</t>
  </si>
  <si>
    <t>                              - udziały lub akcje</t>
  </si>
  <si>
    <t>                              - inne papiery wartościowe</t>
  </si>
  <si>
    <t>                              - udzielone pożyczki</t>
  </si>
  <si>
    <t>                              - inne długoterminowe aktywa finansowe</t>
  </si>
  <si>
    <t>                        b. w jednostkach zależnych, współzależnych niewycenianych metodą konsolidacji pełnej lub metodą proporcjonalną</t>
  </si>
  <si>
    <t>                        c. W jednostkach zależnych, współzależnych i stowarzyszonych wycenionych metodą praw własności</t>
  </si>
  <si>
    <t>                        d. od pozostałych jednostek, w których jednostka posiada zaangażowanie w kapitale</t>
  </si>
  <si>
    <t>                        e. w pozostałych jednostkach</t>
  </si>
  <si>
    <t>                  4. Inne inwestycje długoterminowe</t>
  </si>
  <si>
    <t>            VI. Długoterminowe rozliczenia międzyokresowe</t>
  </si>
  <si>
    <t>                  1. Aktywa z tytułu odroczonego podatku dochodowego</t>
  </si>
  <si>
    <t>                  2. Inne rozliczenia międzyokresowe</t>
  </si>
  <si>
    <t>      B. Aktywa obrotowe</t>
  </si>
  <si>
    <t>            I. Zapasy</t>
  </si>
  <si>
    <t>                  1. Materiały</t>
  </si>
  <si>
    <t>                  2. Półprodukty i produkty w toku</t>
  </si>
  <si>
    <t>                  3. Produkty gotowe</t>
  </si>
  <si>
    <t>                  4. Towary</t>
  </si>
  <si>
    <t>                  5. Zaliczki na dostawy</t>
  </si>
  <si>
    <t>            II. Należności krótkoterminowe</t>
  </si>
  <si>
    <t>                  1. Należności od jednostek powiązanych</t>
  </si>
  <si>
    <t>                        a. z tytułu dostaw i usług, o okresie spłaty:</t>
  </si>
  <si>
    <t>                              - do 12 miesięcy</t>
  </si>
  <si>
    <t>                              - powyżej 12 miesięcy</t>
  </si>
  <si>
    <t>                        b. inne</t>
  </si>
  <si>
    <t>                  2. Należności od pozostałych jednostek, w których jednostka posiada zaangażowanie w kapitale</t>
  </si>
  <si>
    <t>                  3. Należności od pozostałych jednostek</t>
  </si>
  <si>
    <t>                        b. z tytułu podatków, dotacji, ceł, ubezpieczeń społecznych i zdrowotnych oraz innych świadczeń</t>
  </si>
  <si>
    <t>                        c. inne</t>
  </si>
  <si>
    <t>                        d. dochodzone na drodze sądowej</t>
  </si>
  <si>
    <t>            III. Inwestycje krótkoterminowe</t>
  </si>
  <si>
    <t>                  1. Krótkoterminowe aktywa finansowe</t>
  </si>
  <si>
    <t>                              - inne krótkoterminowe aktywa finansowe</t>
  </si>
  <si>
    <t>                        b. w jednostkach zależnych i współzależnych</t>
  </si>
  <si>
    <t>                        c. w jednostkach stowarzyszonych</t>
  </si>
  <si>
    <t>                        d. w pozostałych jednostkach</t>
  </si>
  <si>
    <t>                        e. środki pieniężne i inne aktywa pieniężne</t>
  </si>
  <si>
    <t>                              - środki pieniężne W kasie i na rachunkach</t>
  </si>
  <si>
    <t>                              - inne środki pieniężne</t>
  </si>
  <si>
    <t>                              - inne aktywa pieniężne</t>
  </si>
  <si>
    <t>                  2. Inne inwestycje krótkoterminowe</t>
  </si>
  <si>
    <t>            IV. Krótkoterminowe rozliczenia międzyokresowe</t>
  </si>
  <si>
    <t>      C. Należne wpłaty na kapitał podstawowy</t>
  </si>
  <si>
    <t>      D. Udziały (akcje) własne</t>
  </si>
  <si>
    <t>A. Kapitał (fundusz) własny</t>
  </si>
  <si>
    <t>      I. Kapitał (fundusz) podstawowy</t>
  </si>
  <si>
    <t>            - z tytułu dostaw i usług, w tym:</t>
  </si>
  <si>
    <t>                  - nadwyżka wartości sprzedaży (wartości emisyjnej) nad wartością nominalną udziałów (akcji)</t>
  </si>
  <si>
    <t>      II. Należne wpłaty na kapitał podstawowy (wielkość ujemna)</t>
  </si>
  <si>
    <t>      III. Udziały (akcje) własne (wielkość ujemna)</t>
  </si>
  <si>
    <t>      IV. Kapitał (fundusz) zapasowy</t>
  </si>
  <si>
    <t>            - nadwyżka wartości sprzedaży (wartości emisyjnej) nad wartością nominalną udziałów</t>
  </si>
  <si>
    <t>      V. Kapitał (fundusz) z aktualizacji wyceny</t>
  </si>
  <si>
    <t>            - z tytułu aktualizacji wartości godziwej</t>
  </si>
  <si>
    <t>      VI. Pozostałe kapitały (fundusze) rezerwowe</t>
  </si>
  <si>
    <t>            - tworzone zgodnie z umową (statutem) spółki</t>
  </si>
  <si>
    <t>            - na udziały (akcje) własne</t>
  </si>
  <si>
    <t>      VII. Różnice kursowe z przeliczenia</t>
  </si>
  <si>
    <t>      VIII. Zysk (strata) z lat ubiegłych</t>
  </si>
  <si>
    <t>      IX. Zysk (strata) netto</t>
  </si>
  <si>
    <t>      X. Odpisy z zysku netto w ciągu roku obrotowego (wielkość ujemna)</t>
  </si>
  <si>
    <t>B. Kapitał mniejszościowy</t>
  </si>
  <si>
    <t>C. Ujemna wartość firmy jednostek podporządkowanych</t>
  </si>
  <si>
    <t>      I. Ujemna wartość firmy - jednostki zależne</t>
  </si>
  <si>
    <t>      II. Ujemna wartość firmy - jednostki współzależne</t>
  </si>
  <si>
    <t>      III. Ujemna wartość firmy - jednostki stowarzyszone</t>
  </si>
  <si>
    <t>D. Zobowiązania i rezerwy na zobowiązania</t>
  </si>
  <si>
    <t>      I. Rezerwy na zobowiązania</t>
  </si>
  <si>
    <t>            1. Rezerwa z tytułu odroczonego podatku dochodowego</t>
  </si>
  <si>
    <t>            2. Rezerwa na świadczenia emerytalne i podobne</t>
  </si>
  <si>
    <t>                  -długoterminowa</t>
  </si>
  <si>
    <t>                  -krótkoterminowa</t>
  </si>
  <si>
    <t>            3. Pozostałe rezerwy</t>
  </si>
  <si>
    <t>                  -długoterminowe</t>
  </si>
  <si>
    <t>                  -krótkoterminowe</t>
  </si>
  <si>
    <t>      II. Zobowiązania długoterminowe</t>
  </si>
  <si>
    <t>            1. Wobec jednostek powiązanych</t>
  </si>
  <si>
    <t>            2. Wobec pozostałych jednostek, w których jednostka posiada zaangażowanie w kapitale</t>
  </si>
  <si>
    <t>            3. Wobec pozostałych jednostek</t>
  </si>
  <si>
    <t>                  a. kredyty i pożyczki</t>
  </si>
  <si>
    <t>                  b. z tytułu emisji dłużnych papierów wartościowych</t>
  </si>
  <si>
    <t>                  c. inne zobowiązania finansowe</t>
  </si>
  <si>
    <t>                  d. zobowiązania wekslowe</t>
  </si>
  <si>
    <t>                  e. inne</t>
  </si>
  <si>
    <t>      III. Zobowiązania krótkoterminowe</t>
  </si>
  <si>
    <t>                  a. z tytułu dostaw i usług, o okresie wymagalności:</t>
  </si>
  <si>
    <t>                        - do 12 miesięcy</t>
  </si>
  <si>
    <t>                        - powyżej 12 miesięcy</t>
  </si>
  <si>
    <t>                  b. inne</t>
  </si>
  <si>
    <t>            2. Zobowiązania wobec pozostałych jednostek, w których jednostka posiada zaangażowanie w kapitale</t>
  </si>
  <si>
    <t>                  z tytułu dostaw i usług, o okresie wymagalności:</t>
  </si>
  <si>
    <t>                  inne</t>
  </si>
  <si>
    <t>                  d. z tytułu dostaw i usług, o okresie wymagalności:</t>
  </si>
  <si>
    <t>                  e. zaliczki otrzymane na dostawy</t>
  </si>
  <si>
    <t>                  f. zobowiązania wekslowe</t>
  </si>
  <si>
    <t>                  g. z tytułu podatków, ceł, ubezpieczeń społecznych i zdrowotnych oraz innych tytułów publicznoprawnych</t>
  </si>
  <si>
    <t>                  h. z tytułu podatków, ceł, ubezpieczeń i innych świadczeń</t>
  </si>
  <si>
    <t>                  i. z tytułu wynagrodzeń</t>
  </si>
  <si>
    <t>                  j. inne</t>
  </si>
  <si>
    <t>            3. Fundusze specjalne</t>
  </si>
  <si>
    <t>      IV. Rozliczenia międzyokresowe</t>
  </si>
  <si>
    <t>            1. Ujemna wartość firmy</t>
  </si>
  <si>
    <t>            2. Inne rozliczenia międzyokresowe</t>
  </si>
  <si>
    <t>                  a. długoterminowe</t>
  </si>
  <si>
    <t>                  b. krótkoterminowe</t>
  </si>
  <si>
    <t>Pasywa Razem</t>
  </si>
  <si>
    <t>A. Przepływy środków pieniężnych z działalności operacyjnej</t>
  </si>
  <si>
    <t>      I. Zysk (strata) netto</t>
  </si>
  <si>
    <t>      II. Korekty razem</t>
  </si>
  <si>
    <t>            1. Zysk (strata) udziałowców mniejszościowych</t>
  </si>
  <si>
    <t>            2. Zysk (strata) z udziałów (akcji) w jednostkach wycenianych metodą praw własności</t>
  </si>
  <si>
    <t>            3. Zysk (strata) z udziałów w jednostkach stowarzyszonych</t>
  </si>
  <si>
    <t>            4. Amortyzacja</t>
  </si>
  <si>
    <t>            5. Odpisy wartości firmy</t>
  </si>
  <si>
    <t>            6. Odpisy ujemnej wartości firmy</t>
  </si>
  <si>
    <t>            7. Zyski (straty) z tytułu różnic kursowych</t>
  </si>
  <si>
    <t>            8. Odsetki i udziały w zyskach (dywidendy)</t>
  </si>
  <si>
    <t>            9. Zysk (strata) z działalności inwestycyjnej</t>
  </si>
  <si>
    <t>            10. Zmiana stanu rezerw</t>
  </si>
  <si>
    <t>            11. Zmiana stanu zapasów</t>
  </si>
  <si>
    <t>            12. Zmiana stanu należności</t>
  </si>
  <si>
    <t>            13. Zmiana stanu zobowiązań krótkoterminowych, z wyjątkiem pożyczek i kredytów</t>
  </si>
  <si>
    <t>            14. Zmiana stanu rozliczeń międzyokresowych</t>
  </si>
  <si>
    <t>            15. Inne korekty</t>
  </si>
  <si>
    <t>      III. Przepływy pieniężne netto z działalności operacyjnej (I + II)</t>
  </si>
  <si>
    <t>B. Przepływy środków pieniężnych z działalności inwestycyjnych</t>
  </si>
  <si>
    <t>      I. Wpływy</t>
  </si>
  <si>
    <t>            1. Zbycie wartości niematerialnych i prawnych oraz rzeczowych aktywów trwałych</t>
  </si>
  <si>
    <t>            2. Zbycie inwestycji w nieruchomości oraz wartości niematerialne i prawne</t>
  </si>
  <si>
    <t>            3. Z aktywów finansowych, w tym:</t>
  </si>
  <si>
    <t>                  a) w jednostkach powiązanych</t>
  </si>
  <si>
    <t>                        - zbycie aktywów finansowych</t>
  </si>
  <si>
    <t>                        - dywidendy i udziały w zyskach</t>
  </si>
  <si>
    <t>                        - spłata udzielonych pożyczek długoterminowych</t>
  </si>
  <si>
    <t>                        - odsetki</t>
  </si>
  <si>
    <t>                        inne wpływy z aktywów finansowych</t>
  </si>
  <si>
    <t>                  b) w pozostałych jednostkach</t>
  </si>
  <si>
    <t>                        - inne wpływy z aktywów finansowych</t>
  </si>
  <si>
    <t>            4. Inne wpływy inwestycyjne</t>
  </si>
  <si>
    <t>      II. Wydatki</t>
  </si>
  <si>
    <t>            1. Nabycie wartości niematerialnych i prawnych oraz rzeczowych aktywów trwałych</t>
  </si>
  <si>
    <t>            2. Inwestycje w nieruchomości oraz wartości niematerialne i prawne</t>
  </si>
  <si>
    <t>            3. Na aktywa finansowe, w tym:</t>
  </si>
  <si>
    <t>                        - nabycie aktywów finansowych</t>
  </si>
  <si>
    <t>                        - udzielone pożyczki długoterminowe</t>
  </si>
  <si>
    <t>            4. Dywidendy i inne udziały w zyskach wypłacone udziałowcom mniejszościowym</t>
  </si>
  <si>
    <t>            5. Inne wydatki inwestycyjne</t>
  </si>
  <si>
    <t>      III. Przepływy pieniężne netto z działalności inwestycyjnej (I-II)</t>
  </si>
  <si>
    <t>C. Przepływy środków pieniężnych z działalności finansowej</t>
  </si>
  <si>
    <t>            1. Wpływy netto z wydania udziałów (emisji akcji) i innych instrumentów kapitałowych oraz dopłat do kapitału</t>
  </si>
  <si>
    <t>            2. Kredyty i pożyczki</t>
  </si>
  <si>
    <t>            3. Emisja dłużnych papierów wartościowych</t>
  </si>
  <si>
    <t>            4. Inne wpływy finansowe</t>
  </si>
  <si>
    <t>            1. Nabycie udziałów (akcji) własnych</t>
  </si>
  <si>
    <t>            2. Dywidendy i inne wypłaty na rzecz właścicieli</t>
  </si>
  <si>
    <t>            3. Inne, niż wypłaty na rzecz właścicieli, wydatki z tytułu podziału zysku</t>
  </si>
  <si>
    <t>            4. Spłaty kredytów i pożyczek</t>
  </si>
  <si>
    <t>            5. Wykup dłużnych papierów wartościowych</t>
  </si>
  <si>
    <t>            6. Z tytułu innych zobowiązań finansowych</t>
  </si>
  <si>
    <t>            7. Płatności zobowiązań z tytułu umów leasingu finansowego</t>
  </si>
  <si>
    <t>            8. Odsetki</t>
  </si>
  <si>
    <t>            9. Inne wydatki finansowe</t>
  </si>
  <si>
    <t>      III. Przepływy pieniężne netto z działalności finansowej (I-II)</t>
  </si>
  <si>
    <t>D. Przepływy pieniężne netto razem (AIII + BIII + CIII)</t>
  </si>
  <si>
    <t>E. Bilansowa zmiana stanu środków pieniężnych, w tym: zmiana stanu środków pieniężnych z tytułu różnic kursowych</t>
  </si>
  <si>
    <t>      - zmiana stanu środków pieniężnych z tytułu różnic kursowych</t>
  </si>
  <si>
    <t>F. Środki pieniężne na początek okresu</t>
  </si>
  <si>
    <t>G. Środki pieniężne na koniec okresu (F + D), w tym:</t>
  </si>
  <si>
    <t>      - o ograniczonej możliwości dysponowania</t>
  </si>
  <si>
    <t>            1. Sprzedaż</t>
  </si>
  <si>
    <t>            2. Inne wpływy z działalności operacyjnej</t>
  </si>
  <si>
    <t>            1. Dostawy i usługi</t>
  </si>
  <si>
    <t>            2. Wynagrodzenia netto</t>
  </si>
  <si>
    <t>            3. Ubezpieczenia społeczne i zdrowotne oraz inne świadczenia</t>
  </si>
  <si>
    <t>            4. Podatki i opłaty o charakterze publicznoprawnym</t>
  </si>
  <si>
    <t>            5. Inne wydatki operacyjne</t>
  </si>
  <si>
    <t>      III. Przepływy pieniężne netto z działalności operacyjnej (I-II)</t>
  </si>
  <si>
    <t>            4. Inne wydatki inwestycyjne</t>
  </si>
  <si>
    <t>            5. Dywidendy i inne udziały w zyskach wypłacone udziałowcom (akcjonariuszom) mniejszościowym</t>
  </si>
  <si>
    <t>Różne pozycje finansowe</t>
  </si>
  <si>
    <t>Kapitał (fundusz) własny na początek okresu (BO)</t>
  </si>
  <si>
    <t>      – zmiany przyjętych zasad (polityki) rachunkowości</t>
  </si>
  <si>
    <t>      – korekty błędów</t>
  </si>
  <si>
    <t>Kapitał (fundusz) własny na początek okresu (BO), po korektach</t>
  </si>
  <si>
    <t>      Kapitał (fundusz) podstawowy na początek okresu</t>
  </si>
  <si>
    <t>            Zmiany kapitału (funduszu) podstawowego</t>
  </si>
  <si>
    <t>                  zwiększenie (z tytułu)</t>
  </si>
  <si>
    <t>                        – wydania udziałów (emisji akcji)</t>
  </si>
  <si>
    <t>                  zmniejszenie (z tytułu)</t>
  </si>
  <si>
    <t>                        – umorzenia udziałów (akcji)</t>
  </si>
  <si>
    <t>            Kapitał (fundusz) podstawowy na koniec okresu</t>
  </si>
  <si>
    <t>      Kapitał (fundusz) zapasowy na początek okresu</t>
  </si>
  <si>
    <t>            Zmiany kapitału (funduszu) zapasowego</t>
  </si>
  <si>
    <t>                        – emisji akcji powyżej wartości nominalnej</t>
  </si>
  <si>
    <t>                        – podziału zysku (ustawowo)</t>
  </si>
  <si>
    <t>                        – podziału zysku (ponad wymaganą ustawowo minimalną wartość)</t>
  </si>
  <si>
    <t>                        – pokrycia straty</t>
  </si>
  <si>
    <t>            Stan kapitału (funduszu) zapasowego na koniec okresu</t>
  </si>
  <si>
    <t>      Kapitał (fundusz) z aktualizacji wyceny na początek okresu</t>
  </si>
  <si>
    <t>            Zmiany kapitału (funduszu) z aktualizacji wyceny - zmiany przyjętych zasad (polityki) rachunkowości</t>
  </si>
  <si>
    <t>                        – zbycia środków trwałych</t>
  </si>
  <si>
    <t>            Kapitał (fundusz) z aktualizacji wyceny na koniec okresu</t>
  </si>
  <si>
    <t>      Pozostałe kapitały (fundusze) rezerwowe na początek okresu</t>
  </si>
  <si>
    <t>            Zmiany pozostałych kapitałów (funduszy) rezerwowych</t>
  </si>
  <si>
    <t>            Pozostałe kapitały (fundusze) rezerwowe na koniec okresu</t>
  </si>
  <si>
    <t>      Różnice kursowe z przeliczenia</t>
  </si>
  <si>
    <t>      Zysk (strata) z lat ubiegłych na początek okresu</t>
  </si>
  <si>
    <t>            Zysk z lat ubiegłych na początek okresu</t>
  </si>
  <si>
    <t>                  – zmiany przyjętych zasad (polityki) rachunkowości</t>
  </si>
  <si>
    <t>                  – korekty błędów</t>
  </si>
  <si>
    <t>            Zysk z lat ubiegłych na początek okresu, po korektach</t>
  </si>
  <si>
    <t>                        - podziału zysku z lat ubiegłych</t>
  </si>
  <si>
    <t>            Zysk z lat ubiegłych na koniec okresu</t>
  </si>
  <si>
    <t>            Strata z lat ubiegłych na początek okresu</t>
  </si>
  <si>
    <t>            Strata z lat ubiegłych na początek okresu, po korektach</t>
  </si>
  <si>
    <t>                        – przeniesienia straty z lat ubiegłych do pokrycia</t>
  </si>
  <si>
    <t>            Strata z lat ubiegłych na koniec okresu</t>
  </si>
  <si>
    <t>            Zysk (strata) z lat ubiegłych na koniec okresu</t>
  </si>
  <si>
    <t>      Wynik netto</t>
  </si>
  <si>
    <t>            Zysk netto</t>
  </si>
  <si>
    <t>            Strata netto</t>
  </si>
  <si>
    <t>            Odpisy z zysku</t>
  </si>
  <si>
    <t>Kapitał (fundusz) własny na koniec okresu (BZ)</t>
  </si>
  <si>
    <t>Kapitał (fundusz) własny, po uwzględnieniu proponowanego podziału zysku (pokrycia straty)</t>
  </si>
  <si>
    <t>STANDARD POLSKI:</t>
  </si>
  <si>
    <t>BILANS DLA SPÓLKI CYFROWY POLSAT SA</t>
  </si>
  <si>
    <t>AKTYWA RAZEM</t>
  </si>
  <si>
    <t>PASYWA  RAZEM</t>
  </si>
  <si>
    <t>WSKAŹNIK STRUKTURY AKTYWÓW</t>
  </si>
  <si>
    <t>aktywa trwałe</t>
  </si>
  <si>
    <t>WSKAŹNIK WYKORZYSTANIA AKTYWÓW OGÓŁEM</t>
  </si>
  <si>
    <t>rzeczowe środki trwałe</t>
  </si>
  <si>
    <t>WSKAŹNIK RENTOWNOŚCI RZECZOWYCH AKTYWÓW TRWAŁYCH</t>
  </si>
  <si>
    <t>WSKAŹNIK PRODUKTYWNOŚCI RZECZOWYCH AKTYWÓW TRWAŁYCH</t>
  </si>
  <si>
    <t>WSKAŹNIK STRUKTURY PASYWÓW</t>
  </si>
  <si>
    <t xml:space="preserve">kapitał obcy </t>
  </si>
  <si>
    <t>zobowiązania ogółem</t>
  </si>
  <si>
    <t>zobowiązania długoterminowe</t>
  </si>
  <si>
    <t>WSKAŹNIK OGÓLNEGO ZADŁUŻENIA</t>
  </si>
  <si>
    <t>WSKAŹNIK ZADŁUŻENIA KRÓTKOTERMINOWEGO</t>
  </si>
  <si>
    <t>WSKAŹNIK ZADŁUŻENIA DŁUGOTERMINOWEGO</t>
  </si>
  <si>
    <t>WSKAŹNIK ZADŁUŻENIA KAPITAŁÓW WŁASNYCH</t>
  </si>
  <si>
    <t>ZŁOTA ZASADA BILANSOWA</t>
  </si>
  <si>
    <t>WSKAŹNIK ZSTOSOWANIA KAPITAŁÓW WŁASNYCH</t>
  </si>
  <si>
    <t>WSKAŹNIK ZSTOSOWANIA KAPITAŁÓW OBCYCH</t>
  </si>
  <si>
    <t>ZŁOTA ZASADA BANKOWA</t>
  </si>
  <si>
    <t>II STOPIEŃ POKRYCIA</t>
  </si>
  <si>
    <t>III STOPIEŃ POKRYCIA</t>
  </si>
  <si>
    <t>Dyn. 2019/2018</t>
  </si>
  <si>
    <t>Dyn. 2018/2017</t>
  </si>
  <si>
    <t>&gt;=1</t>
  </si>
  <si>
    <t>&lt;=1</t>
  </si>
  <si>
    <t>Wartości niematerialne</t>
  </si>
  <si>
    <t>Wartość firmy</t>
  </si>
  <si>
    <t>Rzeczowe aktywa trwałe</t>
  </si>
  <si>
    <t>Inwestycyje krótkoterminowe</t>
  </si>
  <si>
    <t>Długoterminowe pożyczki i należności</t>
  </si>
  <si>
    <t>Zapasy</t>
  </si>
  <si>
    <t>Środki pieniężne i ich ekwiwalenty</t>
  </si>
  <si>
    <t>Pozostałe aktywa</t>
  </si>
  <si>
    <t>Należności</t>
  </si>
  <si>
    <t xml:space="preserve"> Kapitał własny udziałowców podmiotu dominującego</t>
  </si>
  <si>
    <t>Udziały niekontrolujące</t>
  </si>
  <si>
    <t>Zobowiązania długoterminowe</t>
  </si>
  <si>
    <t xml:space="preserve"> Zobowiązania krótkoterminowe</t>
  </si>
  <si>
    <t>WSKAŹNIKI</t>
  </si>
  <si>
    <t>Aktywa długoterminowe</t>
  </si>
  <si>
    <t>ZYSKOWNOŚĆ AKCJI ZWYKŁYCH</t>
  </si>
  <si>
    <t>dywidenda ogółem</t>
  </si>
  <si>
    <t>0</t>
  </si>
  <si>
    <t>179417501</t>
  </si>
  <si>
    <t>358835002</t>
  </si>
  <si>
    <t>liczba akcji zwykłych</t>
  </si>
  <si>
    <t>liczba akcji uprzywilejowanych</t>
  </si>
  <si>
    <t>460128515</t>
  </si>
  <si>
    <t>liczba wyemitowanych akcji ogółem</t>
  </si>
  <si>
    <t>dywidendy ogółem</t>
  </si>
  <si>
    <t>dywidenda dla akcji uprzywilejowanych</t>
  </si>
  <si>
    <t>łączna dywidenda na akcję</t>
  </si>
  <si>
    <t>DYWIDENDA NA 1 AKCJĘ (w zł)</t>
  </si>
  <si>
    <t>STOPA WYPŁATY DYWIDENDY</t>
  </si>
  <si>
    <t>dywidenda na 1 akcję (w zł)</t>
  </si>
  <si>
    <t>zysk netto na 1 akcję (w zł )</t>
  </si>
  <si>
    <t>ZYSK NA 1 AKCJĘ (w zł)</t>
  </si>
  <si>
    <t>RYNKOWA STOPA DYWIDENDY</t>
  </si>
  <si>
    <t>WARTOŚĆ GIEŁDOWA SPÓŁKI</t>
  </si>
  <si>
    <t>CENA/ZYSK</t>
  </si>
  <si>
    <t>średnia cena 1 akcji (w zł )</t>
  </si>
  <si>
    <t>ZESTAWIENIA I WYKRESY</t>
  </si>
  <si>
    <t>"SZYBKI TEST" MĄCZYŃSKIEJ</t>
  </si>
  <si>
    <t>X1</t>
  </si>
  <si>
    <t>X1 = kapitał własny/aktywa ogółem</t>
  </si>
  <si>
    <t>amortyzacja</t>
  </si>
  <si>
    <t>odsetki od kredytu</t>
  </si>
  <si>
    <t>MODEL BEAVERA</t>
  </si>
  <si>
    <t>X1 = cash flow/kapitał obcy</t>
  </si>
  <si>
    <t>przepływy pieniężne</t>
  </si>
  <si>
    <t>X2 = zysk netto/aktywa ogółem</t>
  </si>
  <si>
    <t>X3 = kapitał obcy/aktywa ogółem</t>
  </si>
  <si>
    <t>X4 = aktywa obrotowe/zobowiązania krótkoterminowe</t>
  </si>
  <si>
    <t>X5 = kapitał pracujący/aktywa ogółem</t>
  </si>
  <si>
    <t>X6 =(środki pieniężne + należności krótkoterminowe + papiery war. - zobowiazania krótkoterminowe)/(koszty operacyjne - amortyzacja)</t>
  </si>
  <si>
    <t>środki pieniężne</t>
  </si>
  <si>
    <t>papiery wartościowe</t>
  </si>
  <si>
    <t>koszty operacyjne</t>
  </si>
  <si>
    <t>MODEL MĄCZYŃSKIEJ</t>
  </si>
  <si>
    <t>W = 1,5 * X1 + 0,08 * X2 + 10 * X3 +  5 * X4 + 0,3 * X5 + 0,1 * X6</t>
  </si>
  <si>
    <t>X1 = (zysk brutto + amortyzacja)/zobowiązania ogółem</t>
  </si>
  <si>
    <t>X2 = aktywa ogółem/zobowiązania ogółem</t>
  </si>
  <si>
    <t>X3 = EBIT/aktywa ogółem</t>
  </si>
  <si>
    <t>EBIT</t>
  </si>
  <si>
    <t>X4 = EBIT/przychody ze sprzedaży</t>
  </si>
  <si>
    <t>X5 = zapasy/przychody ze sprzedaży</t>
  </si>
  <si>
    <t>zapasy</t>
  </si>
  <si>
    <t>X4 = przychody ze sprzedaży/aktywa ogółem</t>
  </si>
  <si>
    <t>MODEL ALTMANA 1968</t>
  </si>
  <si>
    <t>X1 = kapitał pracujący/aktywa ogółem</t>
  </si>
  <si>
    <t>dywidenda</t>
  </si>
  <si>
    <t>X2 = zysk zatrzymany/aktywa ogółem</t>
  </si>
  <si>
    <t>wartość rynkowa</t>
  </si>
  <si>
    <t>X4 = wartość rynkowa/zobowiązania ogółem</t>
  </si>
  <si>
    <t xml:space="preserve">z1 = 1,2 * X1 + 1,4 * X2 + 3,3 * X3 +  0,6 * X4 + 1 * X5 </t>
  </si>
  <si>
    <t>X5 = przychody ze sprzedaży/aktywa ogółem</t>
  </si>
  <si>
    <t>DRUGI MODEL ALTMANA</t>
  </si>
  <si>
    <t>z2 = 0,717 * X1 + 0,847 * X2 + 3,107 * X3 + 0,42 * X4 + 0,998 * X5</t>
  </si>
  <si>
    <t>TRZECI MODEL ALTMANA</t>
  </si>
  <si>
    <t>z3 = 6,56 * X1 + 3,26 * X2 + 6,72 * X3 + 1,05 * X4 + 3,25</t>
  </si>
  <si>
    <t>X2</t>
  </si>
  <si>
    <t>X3</t>
  </si>
  <si>
    <t>X4</t>
  </si>
  <si>
    <t>X5</t>
  </si>
  <si>
    <t>X6</t>
  </si>
  <si>
    <t>X2 = zysk operacyjny/odsetki</t>
  </si>
  <si>
    <t xml:space="preserve">X3 = zysk netto /aktywa ogółem </t>
  </si>
  <si>
    <t>przychody ogółem</t>
  </si>
  <si>
    <t>X4 = koszty ogółem/przychody ogółem</t>
  </si>
  <si>
    <t>koszty ogółem</t>
  </si>
  <si>
    <t>dobra</t>
  </si>
  <si>
    <t>dostateczna</t>
  </si>
  <si>
    <t>bardzo dobra</t>
  </si>
  <si>
    <t>zła</t>
  </si>
  <si>
    <t>tudno określić</t>
  </si>
  <si>
    <t>MODEL OHLSONA</t>
  </si>
  <si>
    <t>X1= log(aktywa ogółem/PKB)</t>
  </si>
  <si>
    <t>PKB</t>
  </si>
  <si>
    <t>X2= zobowiązania ogółem/aktywa ogółem</t>
  </si>
  <si>
    <t>X3 = kapitał pracujący/aktywa ogółem</t>
  </si>
  <si>
    <t>X4= zobowiązania krótkoterminowe/aktywa obrotowe</t>
  </si>
  <si>
    <t>X5=1, gdy zobowiązania ogółem przekraczają aktywa ogółem, 0 w przeciwnym przypadku</t>
  </si>
  <si>
    <t>X6=zysk netto/aktywa ogółem</t>
  </si>
  <si>
    <t>X7=wynik operacyjny/zobowiązania ogólem</t>
  </si>
  <si>
    <t>X8= 1, gdy firma przynosiła straty w ciągu ostatnich dwóch lat, w przeciwnym przypadku 0</t>
  </si>
  <si>
    <t>X9= (zysk netto - zysk netto(rok poprzedni))/(|zysk netto| + |zysk netto(rok poprzedni)|)</t>
  </si>
  <si>
    <t>zysk netto za rok poprzedni</t>
  </si>
  <si>
    <t>O = -1,32 - 0,407*X1 + 6,03 * X2 - 1,43 * X3 + 0,0757 * X4 – 2,37 * X5 – 1,83 * X6 + 0,285 * X7 –  1,7 * X8 – 0,521 * X9</t>
  </si>
  <si>
    <t>P(X)</t>
  </si>
  <si>
    <t>MODEL STĘPIENIA I STRĄKA</t>
  </si>
  <si>
    <t>X1= zobowiązania ogółem/aktywa ogółem</t>
  </si>
  <si>
    <t>Z = -19 - 11 * X1 + 6 * X2 + 40 * X3 + 19 * X4</t>
  </si>
  <si>
    <t>X2=(aktywa obrotowe – zapasy)/zobowiązania krótkoterminowe</t>
  </si>
  <si>
    <t>X3=zysk netto na sprzedaży/aktywa ogółem</t>
  </si>
  <si>
    <t>X4=przychody ze sprzedaży/koszty działalności operacyjnej</t>
  </si>
  <si>
    <t>zysk nettoy ze sprzedaży</t>
  </si>
  <si>
    <t>MODEL "POZNAŃASKI"</t>
  </si>
  <si>
    <t>X1=zysk netto/aktywa ogółem</t>
  </si>
  <si>
    <t>X3= (kapitał własny + zobowiązania długoterminowe)/aktywa ogółem</t>
  </si>
  <si>
    <t>X4 = wynik finansowy ze sprzedaży/przychody ze sprzedaży</t>
  </si>
  <si>
    <t>W = - 2,368 + 3,562 * X1 + 1,588 * X2 + 4,288 * X3 + 6,719 * X4</t>
  </si>
  <si>
    <t>BILANS SPÓŁKI CYFROWY POLSAT SA</t>
  </si>
  <si>
    <t>PASYWA RAZEM</t>
  </si>
  <si>
    <t xml:space="preserve">  I. Aktywa trwałe</t>
  </si>
  <si>
    <t xml:space="preserve">  I. Kapitał własny udziałowców podmiotu dominującego</t>
  </si>
  <si>
    <t xml:space="preserve">   1. Rzeczowe aktywa trwałe</t>
  </si>
  <si>
    <t xml:space="preserve">   1. Kapitał podstawowy</t>
  </si>
  <si>
    <t xml:space="preserve">   3. Wartości niematerialne</t>
  </si>
  <si>
    <t xml:space="preserve">   4. Kapitał zapasowy</t>
  </si>
  <si>
    <t xml:space="preserve">   4. Wartość firmy</t>
  </si>
  <si>
    <t xml:space="preserve">   6. Pozostałe kapitały</t>
  </si>
  <si>
    <t xml:space="preserve">   5. Nieruchomości inwestycyjne</t>
  </si>
  <si>
    <t xml:space="preserve">   7. Zyski zatrzymane / niepokryte straty</t>
  </si>
  <si>
    <t xml:space="preserve">   6. Inwestycje w jednostki powiązane</t>
  </si>
  <si>
    <t xml:space="preserve">  II. Udziały niekontrolujące</t>
  </si>
  <si>
    <t xml:space="preserve">   8. Długoterminowe pożyczki i należności</t>
  </si>
  <si>
    <t xml:space="preserve">  III. Zobowiązania długoterminowe</t>
  </si>
  <si>
    <t xml:space="preserve">   9. Aktywa z tytułu odroczonego podatku dochodowego</t>
  </si>
  <si>
    <t xml:space="preserve">   1. Długoterminowe zobowiązania z tytułu instrumentów pochodnych</t>
  </si>
  <si>
    <t xml:space="preserve">   10. Długoterminowe rozliczenia międzyokresowe</t>
  </si>
  <si>
    <t xml:space="preserve">   2. Długoterminowe zobowiązania finansowe</t>
  </si>
  <si>
    <t xml:space="preserve">   11. Długoterminowe instrumenty pochodne</t>
  </si>
  <si>
    <t xml:space="preserve">   3. Długoterminowe kredyty i pożyczki</t>
  </si>
  <si>
    <t xml:space="preserve">   12. Pozostałe aktywa długoterminowe</t>
  </si>
  <si>
    <t xml:space="preserve">   6. Rezerwa z tytułu odroczonego podatku dochodowego</t>
  </si>
  <si>
    <t xml:space="preserve">  II. Aktywa obrotowe</t>
  </si>
  <si>
    <t xml:space="preserve">   7. Długoterminowe rezerwy</t>
  </si>
  <si>
    <t xml:space="preserve">   1. Zapasy</t>
  </si>
  <si>
    <t xml:space="preserve">   8. Pozostałe zobowiązania długoterminowe</t>
  </si>
  <si>
    <t xml:space="preserve">   3. Należności handlowe</t>
  </si>
  <si>
    <t xml:space="preserve">   9. Długoterminowe rozliczenia międzyokresowe (zobowiązania)</t>
  </si>
  <si>
    <t xml:space="preserve">   4. Pożyczki i pozostałe należności</t>
  </si>
  <si>
    <t xml:space="preserve">   11. Długoterminowe zobowiązania z tytułu leasingu</t>
  </si>
  <si>
    <t xml:space="preserve">   6. Środki pieniężne i ich ekwiwalenty</t>
  </si>
  <si>
    <t xml:space="preserve">  IV. Zobowiązania krótkoterminowe</t>
  </si>
  <si>
    <t xml:space="preserve">   7. Rozliczenia międzyokresowe</t>
  </si>
  <si>
    <t xml:space="preserve">   1. Zobowiązania z tytułu instrumentów pochodnych</t>
  </si>
  <si>
    <t xml:space="preserve">   8. Aktywa z tytułu bieżącego podatku</t>
  </si>
  <si>
    <t xml:space="preserve">   2. Zobowiązania finansowe</t>
  </si>
  <si>
    <t xml:space="preserve">   9. Instrumenty pochodne</t>
  </si>
  <si>
    <t xml:space="preserve">   3. Krótkoterminowe kredyty i pożyczki</t>
  </si>
  <si>
    <t xml:space="preserve">   10. Pozostałe aktywa</t>
  </si>
  <si>
    <t xml:space="preserve">   4. Krótkoterminowe zobowiązania z tytułu leasingu</t>
  </si>
  <si>
    <t xml:space="preserve">   5. Zobowiązania handlowe</t>
  </si>
  <si>
    <t xml:space="preserve">   7. Zobowiązania z tytułu bieżącego podatku</t>
  </si>
  <si>
    <t xml:space="preserve">   9. Pozostałe zobowiązania</t>
  </si>
  <si>
    <t xml:space="preserve">   10. Rozliczenia międzyokresowe (zobowiązania)</t>
  </si>
  <si>
    <t>d. Zabezpieczenie przepływów pieniężnych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</si>
</sst>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#"/>
    <numFmt numFmtId="165" formatCode="###,000"/>
    <numFmt numFmtId="166" formatCode="0.000"/>
    <numFmt numFmtId="167" formatCode="_-* #,##0_-;\-* #,##0_-;_-* &quot;-&quot;??_-;_-@_-"/>
    <numFmt numFmtId="168" formatCode="_-* #,##0.0000\ _z_ł_-;\-* #,##0.0000\ _z_ł_-;_-* &quot;-&quot;??\ _z_ł_-;_-@_-"/>
    <numFmt numFmtId="169" formatCode="0.0"/>
    <numFmt numFmtId="170" formatCode="0.0000"/>
    <numFmt numFmtId="171" formatCode="#,##0.000"/>
  </numFmts>
  <fonts count="19" x14ac:knownFonts="1">
    <font>
      <sz val="11"/>
      <color rgb="FF000000"/>
      <name val="Calibri"/>
    </font>
    <font>
      <b/>
      <sz val="11"/>
      <color rgb="FF000080"/>
      <name val="Calibri"/>
    </font>
    <font>
      <sz val="10"/>
      <color rgb="FF000000"/>
      <name val="Calibri"/>
    </font>
    <font>
      <b/>
      <sz val="10"/>
      <color rgb="FF000080"/>
      <name val="Calibri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 tint="0.499984740745262"/>
      <name val="Calibri"/>
      <family val="2"/>
      <charset val="238"/>
    </font>
    <font>
      <sz val="8"/>
      <name val="Calibri"/>
    </font>
    <font>
      <sz val="11"/>
      <color rgb="FF000000"/>
      <name val="Calibri"/>
    </font>
    <font>
      <sz val="10"/>
      <color rgb="FF000000"/>
      <name val="Calibri"/>
      <family val="2"/>
      <charset val="238"/>
    </font>
    <font>
      <sz val="8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0"/>
      <color rgb="FF000080"/>
      <name val="Calibri"/>
      <family val="2"/>
      <charset val="238"/>
    </font>
    <font>
      <b/>
      <sz val="11"/>
      <color rgb="FF00008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2"/>
      <color rgb="FF000000"/>
      <name val="Times New Roman"/>
      <family val="1"/>
      <charset val="238"/>
    </font>
    <font>
      <b/>
      <sz val="8"/>
      <color rgb="FF000080"/>
      <name val="Calibri"/>
      <family val="2"/>
      <charset val="238"/>
    </font>
    <font>
      <sz val="8"/>
      <color rgb="FF000000"/>
      <name val="Calibri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2D9DE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7964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</cellStyleXfs>
  <cellXfs count="198">
    <xf numFmtId="0" fontId="0" fillId="0" borderId="0" xfId="0"/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righ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right" vertical="top"/>
    </xf>
    <xf numFmtId="0" fontId="3" fillId="0" borderId="1" xfId="0" applyFont="1" applyBorder="1" applyAlignment="1">
      <alignment horizontal="center"/>
    </xf>
    <xf numFmtId="164" fontId="2" fillId="2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righ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right" vertical="top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4" fontId="2" fillId="2" borderId="0" xfId="0" applyNumberFormat="1" applyFont="1" applyFill="1" applyAlignment="1">
      <alignment horizontal="right" vertical="top"/>
    </xf>
    <xf numFmtId="0" fontId="0" fillId="0" borderId="0" xfId="0" applyAlignment="1"/>
    <xf numFmtId="0" fontId="0" fillId="0" borderId="2" xfId="0" applyBorder="1"/>
    <xf numFmtId="49" fontId="2" fillId="0" borderId="2" xfId="0" applyNumberFormat="1" applyFont="1" applyBorder="1" applyAlignment="1">
      <alignment horizontal="right" vertical="top"/>
    </xf>
    <xf numFmtId="49" fontId="2" fillId="2" borderId="2" xfId="0" applyNumberFormat="1" applyFont="1" applyFill="1" applyBorder="1" applyAlignment="1">
      <alignment horizontal="right" vertical="top"/>
    </xf>
    <xf numFmtId="0" fontId="3" fillId="0" borderId="3" xfId="0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4" fontId="2" fillId="2" borderId="2" xfId="0" applyNumberFormat="1" applyFont="1" applyFill="1" applyBorder="1" applyAlignment="1">
      <alignment horizontal="right" vertical="top"/>
    </xf>
    <xf numFmtId="4" fontId="2" fillId="0" borderId="2" xfId="0" applyNumberFormat="1" applyFont="1" applyBorder="1" applyAlignment="1">
      <alignment horizontal="right" vertical="top"/>
    </xf>
    <xf numFmtId="0" fontId="4" fillId="0" borderId="0" xfId="0" applyFont="1"/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166" fontId="4" fillId="0" borderId="0" xfId="0" applyNumberFormat="1" applyFont="1" applyBorder="1"/>
    <xf numFmtId="4" fontId="0" fillId="0" borderId="0" xfId="0" applyNumberFormat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/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166" fontId="0" fillId="0" borderId="0" xfId="0" applyNumberFormat="1" applyBorder="1"/>
    <xf numFmtId="1" fontId="0" fillId="0" borderId="0" xfId="0" applyNumberFormat="1" applyBorder="1"/>
    <xf numFmtId="1" fontId="4" fillId="0" borderId="0" xfId="0" applyNumberFormat="1" applyFont="1" applyBorder="1"/>
    <xf numFmtId="0" fontId="0" fillId="0" borderId="0" xfId="0"/>
    <xf numFmtId="0" fontId="0" fillId="0" borderId="0" xfId="0"/>
    <xf numFmtId="166" fontId="0" fillId="0" borderId="0" xfId="0" applyNumberFormat="1"/>
    <xf numFmtId="0" fontId="4" fillId="0" borderId="0" xfId="0" applyFont="1" applyAlignment="1">
      <alignment horizontal="center"/>
    </xf>
    <xf numFmtId="0" fontId="0" fillId="0" borderId="5" xfId="0" applyBorder="1"/>
    <xf numFmtId="166" fontId="0" fillId="0" borderId="5" xfId="0" applyNumberFormat="1" applyBorder="1"/>
    <xf numFmtId="0" fontId="0" fillId="0" borderId="0" xfId="0"/>
    <xf numFmtId="0" fontId="5" fillId="0" borderId="0" xfId="0" applyFont="1"/>
    <xf numFmtId="49" fontId="9" fillId="2" borderId="0" xfId="0" applyNumberFormat="1" applyFont="1" applyFill="1" applyAlignment="1">
      <alignment horizontal="right" vertical="top"/>
    </xf>
    <xf numFmtId="2" fontId="0" fillId="0" borderId="0" xfId="0" applyNumberFormat="1"/>
    <xf numFmtId="2" fontId="9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/>
    </xf>
    <xf numFmtId="2" fontId="4" fillId="0" borderId="0" xfId="0" applyNumberFormat="1" applyFont="1"/>
    <xf numFmtId="9" fontId="4" fillId="0" borderId="0" xfId="1" applyFont="1"/>
    <xf numFmtId="9" fontId="0" fillId="0" borderId="0" xfId="1" applyFont="1"/>
    <xf numFmtId="9" fontId="0" fillId="0" borderId="0" xfId="0" applyNumberFormat="1"/>
    <xf numFmtId="9" fontId="5" fillId="0" borderId="0" xfId="1" applyFont="1"/>
    <xf numFmtId="0" fontId="5" fillId="0" borderId="0" xfId="0" applyFont="1" applyAlignment="1">
      <alignment wrapText="1"/>
    </xf>
    <xf numFmtId="2" fontId="2" fillId="2" borderId="0" xfId="0" applyNumberFormat="1" applyFont="1" applyFill="1" applyAlignment="1">
      <alignment horizontal="right" vertical="top"/>
    </xf>
    <xf numFmtId="0" fontId="0" fillId="0" borderId="0" xfId="0"/>
    <xf numFmtId="1" fontId="0" fillId="0" borderId="0" xfId="0" applyNumberFormat="1"/>
    <xf numFmtId="0" fontId="0" fillId="0" borderId="0" xfId="0"/>
    <xf numFmtId="0" fontId="3" fillId="14" borderId="6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12" borderId="6" xfId="0" applyFont="1" applyFill="1" applyBorder="1" applyAlignment="1">
      <alignment horizontal="center" wrapText="1"/>
    </xf>
    <xf numFmtId="49" fontId="0" fillId="0" borderId="0" xfId="0" applyNumberFormat="1"/>
    <xf numFmtId="167" fontId="0" fillId="0" borderId="0" xfId="2" applyNumberFormat="1" applyFont="1"/>
    <xf numFmtId="0" fontId="5" fillId="0" borderId="0" xfId="3" applyAlignment="1"/>
    <xf numFmtId="0" fontId="5" fillId="0" borderId="0" xfId="3"/>
    <xf numFmtId="49" fontId="9" fillId="0" borderId="0" xfId="3" applyNumberFormat="1" applyFont="1" applyAlignment="1">
      <alignment horizontal="left" vertical="top"/>
    </xf>
    <xf numFmtId="49" fontId="9" fillId="0" borderId="0" xfId="3" applyNumberFormat="1" applyFont="1" applyAlignment="1">
      <alignment horizontal="right" vertical="top"/>
    </xf>
    <xf numFmtId="49" fontId="9" fillId="2" borderId="0" xfId="3" applyNumberFormat="1" applyFont="1" applyFill="1" applyAlignment="1">
      <alignment horizontal="left" vertical="top"/>
    </xf>
    <xf numFmtId="49" fontId="9" fillId="2" borderId="0" xfId="3" applyNumberFormat="1" applyFont="1" applyFill="1" applyAlignment="1">
      <alignment horizontal="right" vertical="top"/>
    </xf>
    <xf numFmtId="0" fontId="0" fillId="0" borderId="0" xfId="0" applyFill="1" applyAlignment="1">
      <alignment wrapText="1"/>
    </xf>
    <xf numFmtId="0" fontId="0" fillId="0" borderId="0" xfId="0" applyFill="1"/>
    <xf numFmtId="49" fontId="9" fillId="0" borderId="6" xfId="3" applyNumberFormat="1" applyFont="1" applyFill="1" applyBorder="1" applyAlignment="1">
      <alignment horizontal="left" vertical="top"/>
    </xf>
    <xf numFmtId="164" fontId="9" fillId="0" borderId="6" xfId="3" applyNumberFormat="1" applyFont="1" applyFill="1" applyBorder="1" applyAlignment="1">
      <alignment horizontal="right" vertical="top"/>
    </xf>
    <xf numFmtId="49" fontId="9" fillId="0" borderId="6" xfId="3" applyNumberFormat="1" applyFont="1" applyFill="1" applyBorder="1" applyAlignment="1">
      <alignment horizontal="right" vertical="top"/>
    </xf>
    <xf numFmtId="164" fontId="9" fillId="0" borderId="7" xfId="3" applyNumberFormat="1" applyFont="1" applyFill="1" applyBorder="1" applyAlignment="1">
      <alignment horizontal="right" vertical="top"/>
    </xf>
    <xf numFmtId="49" fontId="9" fillId="0" borderId="7" xfId="3" applyNumberFormat="1" applyFont="1" applyFill="1" applyBorder="1" applyAlignment="1">
      <alignment horizontal="right" vertical="top"/>
    </xf>
    <xf numFmtId="49" fontId="9" fillId="18" borderId="6" xfId="3" applyNumberFormat="1" applyFont="1" applyFill="1" applyBorder="1" applyAlignment="1">
      <alignment horizontal="left" vertical="top"/>
    </xf>
    <xf numFmtId="164" fontId="9" fillId="18" borderId="6" xfId="3" applyNumberFormat="1" applyFont="1" applyFill="1" applyBorder="1" applyAlignment="1">
      <alignment horizontal="right" vertical="top"/>
    </xf>
    <xf numFmtId="164" fontId="9" fillId="18" borderId="7" xfId="3" applyNumberFormat="1" applyFont="1" applyFill="1" applyBorder="1" applyAlignment="1">
      <alignment horizontal="right" vertical="top"/>
    </xf>
    <xf numFmtId="49" fontId="9" fillId="13" borderId="6" xfId="3" applyNumberFormat="1" applyFont="1" applyFill="1" applyBorder="1" applyAlignment="1">
      <alignment horizontal="left" vertical="top"/>
    </xf>
    <xf numFmtId="164" fontId="9" fillId="13" borderId="6" xfId="3" applyNumberFormat="1" applyFont="1" applyFill="1" applyBorder="1" applyAlignment="1">
      <alignment horizontal="right" vertical="top"/>
    </xf>
    <xf numFmtId="164" fontId="9" fillId="13" borderId="7" xfId="3" applyNumberFormat="1" applyFont="1" applyFill="1" applyBorder="1" applyAlignment="1">
      <alignment horizontal="right" vertical="top"/>
    </xf>
    <xf numFmtId="0" fontId="5" fillId="0" borderId="0" xfId="0" applyFont="1" applyAlignment="1"/>
    <xf numFmtId="167" fontId="4" fillId="0" borderId="0" xfId="2" applyNumberFormat="1" applyFont="1"/>
    <xf numFmtId="0" fontId="12" fillId="0" borderId="1" xfId="0" applyFont="1" applyBorder="1" applyAlignment="1">
      <alignment horizontal="center"/>
    </xf>
    <xf numFmtId="49" fontId="9" fillId="2" borderId="0" xfId="0" applyNumberFormat="1" applyFont="1" applyFill="1" applyAlignment="1">
      <alignment horizontal="left" vertical="top"/>
    </xf>
    <xf numFmtId="164" fontId="9" fillId="2" borderId="0" xfId="0" applyNumberFormat="1" applyFont="1" applyFill="1" applyAlignment="1">
      <alignment horizontal="righ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4" fontId="9" fillId="2" borderId="0" xfId="0" applyNumberFormat="1" applyFont="1" applyFill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0" fontId="5" fillId="0" borderId="0" xfId="3"/>
    <xf numFmtId="49" fontId="9" fillId="0" borderId="0" xfId="3" applyNumberFormat="1" applyFont="1" applyAlignment="1">
      <alignment horizontal="right" vertical="top"/>
    </xf>
    <xf numFmtId="49" fontId="9" fillId="2" borderId="0" xfId="3" applyNumberFormat="1" applyFont="1" applyFill="1" applyAlignment="1">
      <alignment horizontal="right" vertical="top"/>
    </xf>
    <xf numFmtId="0" fontId="12" fillId="0" borderId="1" xfId="3" applyFont="1" applyBorder="1" applyAlignment="1">
      <alignment horizontal="center"/>
    </xf>
    <xf numFmtId="164" fontId="9" fillId="2" borderId="0" xfId="3" applyNumberFormat="1" applyFont="1" applyFill="1" applyAlignment="1">
      <alignment horizontal="right" vertical="top"/>
    </xf>
    <xf numFmtId="164" fontId="9" fillId="0" borderId="0" xfId="3" applyNumberFormat="1" applyFont="1" applyAlignment="1">
      <alignment horizontal="right" vertical="top"/>
    </xf>
    <xf numFmtId="4" fontId="9" fillId="2" borderId="0" xfId="3" applyNumberFormat="1" applyFont="1" applyFill="1" applyAlignment="1">
      <alignment horizontal="right" vertical="top"/>
    </xf>
    <xf numFmtId="0" fontId="5" fillId="0" borderId="0" xfId="3" applyAlignment="1">
      <alignment horizontal="right"/>
    </xf>
    <xf numFmtId="0" fontId="5" fillId="0" borderId="2" xfId="3" applyBorder="1" applyAlignment="1"/>
    <xf numFmtId="0" fontId="5" fillId="0" borderId="2" xfId="0" applyFont="1" applyBorder="1"/>
    <xf numFmtId="0" fontId="5" fillId="0" borderId="2" xfId="3" applyBorder="1"/>
    <xf numFmtId="49" fontId="9" fillId="0" borderId="2" xfId="3" applyNumberFormat="1" applyFont="1" applyBorder="1" applyAlignment="1">
      <alignment horizontal="left" vertical="top"/>
    </xf>
    <xf numFmtId="49" fontId="9" fillId="2" borderId="2" xfId="3" applyNumberFormat="1" applyFont="1" applyFill="1" applyBorder="1" applyAlignment="1">
      <alignment horizontal="left" vertical="top"/>
    </xf>
    <xf numFmtId="0" fontId="12" fillId="0" borderId="3" xfId="3" applyFont="1" applyBorder="1" applyAlignment="1">
      <alignment horizontal="center"/>
    </xf>
    <xf numFmtId="0" fontId="5" fillId="0" borderId="0" xfId="3"/>
    <xf numFmtId="49" fontId="9" fillId="0" borderId="0" xfId="3" applyNumberFormat="1" applyFont="1" applyAlignment="1">
      <alignment horizontal="right" vertical="top"/>
    </xf>
    <xf numFmtId="49" fontId="9" fillId="2" borderId="0" xfId="3" applyNumberFormat="1" applyFont="1" applyFill="1" applyAlignment="1">
      <alignment horizontal="right" vertical="top"/>
    </xf>
    <xf numFmtId="0" fontId="12" fillId="0" borderId="1" xfId="3" applyFont="1" applyBorder="1" applyAlignment="1">
      <alignment horizontal="center"/>
    </xf>
    <xf numFmtId="164" fontId="9" fillId="2" borderId="0" xfId="3" applyNumberFormat="1" applyFont="1" applyFill="1" applyAlignment="1">
      <alignment horizontal="right" vertical="top"/>
    </xf>
    <xf numFmtId="164" fontId="9" fillId="0" borderId="0" xfId="3" applyNumberFormat="1" applyFont="1" applyAlignment="1">
      <alignment horizontal="right" vertical="top"/>
    </xf>
    <xf numFmtId="4" fontId="9" fillId="0" borderId="0" xfId="3" applyNumberFormat="1" applyFont="1" applyAlignment="1">
      <alignment horizontal="right" vertical="top"/>
    </xf>
    <xf numFmtId="4" fontId="9" fillId="2" borderId="0" xfId="3" applyNumberFormat="1" applyFont="1" applyFill="1" applyAlignment="1">
      <alignment horizontal="right" vertical="top"/>
    </xf>
    <xf numFmtId="166" fontId="4" fillId="0" borderId="0" xfId="0" applyNumberFormat="1" applyFont="1"/>
    <xf numFmtId="166" fontId="5" fillId="0" borderId="0" xfId="0" applyNumberFormat="1" applyFont="1"/>
    <xf numFmtId="49" fontId="0" fillId="0" borderId="0" xfId="0" applyNumberFormat="1" applyFill="1" applyAlignment="1">
      <alignment wrapText="1"/>
    </xf>
    <xf numFmtId="49" fontId="9" fillId="0" borderId="0" xfId="3" applyNumberFormat="1" applyFont="1" applyFill="1" applyBorder="1" applyAlignment="1">
      <alignment horizontal="left" vertical="top"/>
    </xf>
    <xf numFmtId="0" fontId="5" fillId="0" borderId="0" xfId="1" applyNumberFormat="1" applyFont="1" applyFill="1" applyAlignment="1">
      <alignment wrapText="1"/>
    </xf>
    <xf numFmtId="164" fontId="5" fillId="0" borderId="0" xfId="1" applyNumberFormat="1" applyFont="1" applyFill="1" applyAlignment="1">
      <alignment wrapText="1"/>
    </xf>
    <xf numFmtId="0" fontId="0" fillId="0" borderId="0" xfId="1" applyNumberFormat="1" applyFont="1" applyFill="1" applyAlignment="1">
      <alignment wrapText="1"/>
    </xf>
    <xf numFmtId="4" fontId="0" fillId="0" borderId="0" xfId="0" applyNumberFormat="1"/>
    <xf numFmtId="49" fontId="9" fillId="2" borderId="2" xfId="0" applyNumberFormat="1" applyFont="1" applyFill="1" applyBorder="1" applyAlignment="1">
      <alignment horizontal="right" vertical="top"/>
    </xf>
    <xf numFmtId="49" fontId="9" fillId="0" borderId="2" xfId="0" applyNumberFormat="1" applyFont="1" applyBorder="1" applyAlignment="1">
      <alignment horizontal="right" vertical="top"/>
    </xf>
    <xf numFmtId="43" fontId="0" fillId="0" borderId="0" xfId="2" applyFont="1"/>
    <xf numFmtId="0" fontId="0" fillId="0" borderId="0" xfId="0" applyNumberFormat="1"/>
    <xf numFmtId="169" fontId="0" fillId="0" borderId="0" xfId="0" applyNumberFormat="1"/>
    <xf numFmtId="168" fontId="4" fillId="0" borderId="0" xfId="0" applyNumberFormat="1" applyFont="1"/>
    <xf numFmtId="3" fontId="0" fillId="0" borderId="0" xfId="0" applyNumberFormat="1"/>
    <xf numFmtId="169" fontId="4" fillId="0" borderId="0" xfId="0" applyNumberFormat="1" applyFont="1"/>
    <xf numFmtId="49" fontId="9" fillId="2" borderId="0" xfId="1" applyNumberFormat="1" applyFont="1" applyFill="1" applyAlignment="1">
      <alignment horizontal="right" vertical="top"/>
    </xf>
    <xf numFmtId="170" fontId="0" fillId="0" borderId="0" xfId="0" applyNumberFormat="1"/>
    <xf numFmtId="0" fontId="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0" borderId="0" xfId="1" applyNumberFormat="1" applyFont="1"/>
    <xf numFmtId="166" fontId="4" fillId="0" borderId="0" xfId="0" applyNumberFormat="1" applyFont="1" applyAlignment="1">
      <alignment wrapText="1"/>
    </xf>
    <xf numFmtId="1" fontId="5" fillId="0" borderId="0" xfId="0" applyNumberFormat="1" applyFont="1"/>
    <xf numFmtId="4" fontId="5" fillId="0" borderId="0" xfId="1" applyNumberFormat="1" applyFont="1"/>
    <xf numFmtId="0" fontId="15" fillId="0" borderId="0" xfId="0" applyFont="1"/>
    <xf numFmtId="166" fontId="15" fillId="0" borderId="0" xfId="0" applyNumberFormat="1" applyFont="1"/>
    <xf numFmtId="171" fontId="0" fillId="0" borderId="0" xfId="0" applyNumberFormat="1"/>
    <xf numFmtId="166" fontId="14" fillId="0" borderId="0" xfId="0" applyNumberFormat="1" applyFont="1"/>
    <xf numFmtId="0" fontId="17" fillId="11" borderId="10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/>
    </xf>
    <xf numFmtId="0" fontId="17" fillId="24" borderId="11" xfId="0" applyFont="1" applyFill="1" applyBorder="1" applyAlignment="1">
      <alignment horizontal="center" vertical="center"/>
    </xf>
    <xf numFmtId="0" fontId="17" fillId="25" borderId="11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26" borderId="10" xfId="0" applyFont="1" applyFill="1" applyBorder="1" applyAlignment="1">
      <alignment horizontal="center" vertical="center"/>
    </xf>
    <xf numFmtId="3" fontId="18" fillId="26" borderId="11" xfId="0" applyNumberFormat="1" applyFont="1" applyFill="1" applyBorder="1" applyAlignment="1">
      <alignment horizontal="right" vertical="center"/>
    </xf>
    <xf numFmtId="3" fontId="18" fillId="26" borderId="12" xfId="0" applyNumberFormat="1" applyFont="1" applyFill="1" applyBorder="1" applyAlignment="1">
      <alignment horizontal="right" vertical="center"/>
    </xf>
    <xf numFmtId="0" fontId="18" fillId="27" borderId="10" xfId="0" applyFont="1" applyFill="1" applyBorder="1" applyAlignment="1">
      <alignment vertical="center"/>
    </xf>
    <xf numFmtId="3" fontId="18" fillId="27" borderId="11" xfId="0" applyNumberFormat="1" applyFont="1" applyFill="1" applyBorder="1" applyAlignment="1">
      <alignment horizontal="right" vertical="center"/>
    </xf>
    <xf numFmtId="3" fontId="18" fillId="27" borderId="12" xfId="0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vertical="center"/>
    </xf>
    <xf numFmtId="3" fontId="18" fillId="0" borderId="11" xfId="0" applyNumberFormat="1" applyFont="1" applyBorder="1" applyAlignment="1">
      <alignment horizontal="right" vertical="center"/>
    </xf>
    <xf numFmtId="3" fontId="18" fillId="0" borderId="12" xfId="0" applyNumberFormat="1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0" fontId="1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3" fillId="17" borderId="0" xfId="3" applyFont="1" applyFill="1" applyAlignment="1">
      <alignment horizontal="center" wrapText="1"/>
    </xf>
    <xf numFmtId="0" fontId="5" fillId="10" borderId="0" xfId="3" applyFill="1" applyAlignment="1">
      <alignment horizontal="center"/>
    </xf>
    <xf numFmtId="0" fontId="5" fillId="0" borderId="0" xfId="3" applyAlignment="1">
      <alignment horizontal="right"/>
    </xf>
    <xf numFmtId="0" fontId="13" fillId="1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3" fillId="21" borderId="0" xfId="3" applyFont="1" applyFill="1" applyAlignment="1">
      <alignment horizontal="center" wrapText="1"/>
    </xf>
    <xf numFmtId="0" fontId="13" fillId="20" borderId="0" xfId="3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17" fillId="22" borderId="8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</cellXfs>
  <cellStyles count="4">
    <cellStyle name="Dziesiętny" xfId="2" builtinId="3"/>
    <cellStyle name="Normalny" xfId="0" builtinId="0"/>
    <cellStyle name="Normalny 2" xfId="3" xr:uid="{ED7479F8-6D6E-406A-9F8B-1828FEF5AF39}"/>
    <cellStyle name="Procentowy" xfId="1" builtinId="5"/>
  </cellStyles>
  <dxfs count="20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00B05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BEAVERA 2017 </a:t>
            </a:r>
          </a:p>
        </c:rich>
      </c:tx>
      <c:layout>
        <c:manualLayout>
          <c:xMode val="edge"/>
          <c:yMode val="edge"/>
          <c:x val="0.349243000874890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SYNTETYCZNA'!$S$20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'A. SYNTETYCZNA'!$T$19:$Y$19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SYNTETYCZNA'!$T$20:$Y$20</c:f>
              <c:numCache>
                <c:formatCode>0,000</c:formatCode>
                <c:ptCount val="6"/>
                <c:pt idx="0">
                  <c:v>0.13061409790782136</c:v>
                </c:pt>
                <c:pt idx="1">
                  <c:v>3.4053898256232888E-2</c:v>
                </c:pt>
                <c:pt idx="2">
                  <c:v>0.56345294711053462</c:v>
                </c:pt>
                <c:pt idx="3">
                  <c:v>1.0040863235857489</c:v>
                </c:pt>
                <c:pt idx="4">
                  <c:v>5.7645193831964265E-4</c:v>
                </c:pt>
                <c:pt idx="5">
                  <c:v>7.5821490900024935E-2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4-4984-90B2-B0F636956773}"/>
            </c:ext>
          </c:extLst>
        </c:ser>
        <c:ser>
          <c:idx val="1"/>
          <c:order val="1"/>
          <c:tx>
            <c:strRef>
              <c:f>'A. SYNTETYCZNA'!$S$21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'A. SYNTETYCZNA'!$T$19:$Y$19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SYNTETYCZNA'!$T$21:$Y$21</c:f>
              <c:numCache>
                <c:formatCode>0,000</c:formatCode>
                <c:ptCount val="6"/>
                <c:pt idx="0">
                  <c:v>0.14773510587745992</c:v>
                </c:pt>
                <c:pt idx="1">
                  <c:v>3.7934946908433698E-4</c:v>
                </c:pt>
                <c:pt idx="2">
                  <c:v>0.68877674343108419</c:v>
                </c:pt>
                <c:pt idx="3">
                  <c:v>1.459307255591034</c:v>
                </c:pt>
                <c:pt idx="4">
                  <c:v>0.68877674343108419</c:v>
                </c:pt>
                <c:pt idx="5">
                  <c:v>0.18709161892540505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4-4984-90B2-B0F636956773}"/>
            </c:ext>
          </c:extLst>
        </c:ser>
        <c:ser>
          <c:idx val="2"/>
          <c:order val="2"/>
          <c:tx>
            <c:strRef>
              <c:f>'A. SYNTETYCZNA'!$S$22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'A. SYNTETYCZNA'!$T$19:$Y$19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SYNTETYCZNA'!$T$22:$Y$22</c:f>
              <c:numCache>
                <c:formatCode>0,000</c:formatCode>
                <c:ptCount val="6"/>
                <c:pt idx="0">
                  <c:v>2.993459022701039E-2</c:v>
                </c:pt>
                <c:pt idx="1">
                  <c:v>-2.616317097632233E-3</c:v>
                </c:pt>
                <c:pt idx="2">
                  <c:v>0.56665067806218117</c:v>
                </c:pt>
                <c:pt idx="3">
                  <c:v>0.5416184014562303</c:v>
                </c:pt>
                <c:pt idx="4">
                  <c:v>0.56665067806218117</c:v>
                </c:pt>
                <c:pt idx="5">
                  <c:v>0.2325460487225193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4-4984-90B2-B0F636956773}"/>
            </c:ext>
          </c:extLst>
        </c:ser>
        <c:ser>
          <c:idx val="3"/>
          <c:order val="3"/>
          <c:tx>
            <c:strRef>
              <c:f>'A. SYNTETYCZNA'!$S$23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'A. SYNTETYCZNA'!$T$19:$Y$19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SYNTETYCZNA'!$T$23:$Y$23</c:f>
              <c:numCache>
                <c:formatCode>0,000</c:formatCode>
                <c:ptCount val="6"/>
                <c:pt idx="0">
                  <c:v>0.10421175405935812</c:v>
                </c:pt>
                <c:pt idx="1">
                  <c:v>4.3862230747271337E-2</c:v>
                </c:pt>
                <c:pt idx="2">
                  <c:v>1.0240719902878155</c:v>
                </c:pt>
                <c:pt idx="3">
                  <c:v>1.580167401383294</c:v>
                </c:pt>
                <c:pt idx="4">
                  <c:v>1.0240719902878155</c:v>
                </c:pt>
                <c:pt idx="5">
                  <c:v>5.829688415395945E-2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4-4984-90B2-B0F636956773}"/>
            </c:ext>
          </c:extLst>
        </c:ser>
        <c:ser>
          <c:idx val="4"/>
          <c:order val="4"/>
          <c:tx>
            <c:strRef>
              <c:f>'A. SYNTETYCZNA'!$S$24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'A. SYNTETYCZNA'!$T$19:$Y$19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SYNTETYCZNA'!$T$24:$Y$24</c:f>
              <c:numCache>
                <c:formatCode>0,000</c:formatCode>
                <c:ptCount val="6"/>
                <c:pt idx="0">
                  <c:v>9.1091663408208054E-2</c:v>
                </c:pt>
                <c:pt idx="1">
                  <c:v>2.4599014647540069E-2</c:v>
                </c:pt>
                <c:pt idx="2">
                  <c:v>0.60474753667280023</c:v>
                </c:pt>
                <c:pt idx="3">
                  <c:v>0.92649274281366145</c:v>
                </c:pt>
                <c:pt idx="4">
                  <c:v>0.60474753667280023</c:v>
                </c:pt>
                <c:pt idx="5">
                  <c:v>0.1993444120689421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4-4984-90B2-B0F63695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70352"/>
        <c:axId val="525468752"/>
      </c:barChart>
      <c:catAx>
        <c:axId val="52547035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68752"/>
        <c:crosses val="autoZero"/>
        <c:auto val="1"/>
        <c:lblAlgn val="ctr"/>
        <c:lblOffset val="100"/>
        <c:noMultiLvlLbl val="0"/>
      </c:catAx>
      <c:valAx>
        <c:axId val="525468752"/>
        <c:scaling>
          <c:orientation val="minMax"/>
          <c:max val="1.6"/>
          <c:min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STĘPIENIA I STRĄKA WSKAŹNIK 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SYNTETYCZNA'!$S$79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SYNTETYCZNA'!$T$78:$V$78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SYNTETYCZNA'!$T$79:$V$79</c:f>
              <c:numCache>
                <c:formatCode>0,000</c:formatCode>
                <c:ptCount val="3"/>
                <c:pt idx="0">
                  <c:v>21.69672948427835</c:v>
                </c:pt>
                <c:pt idx="1">
                  <c:v>17.521682316058776</c:v>
                </c:pt>
                <c:pt idx="2">
                  <c:v>17.852713537104144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2A2-9A75-960A88DCBF47}"/>
            </c:ext>
          </c:extLst>
        </c:ser>
        <c:ser>
          <c:idx val="1"/>
          <c:order val="1"/>
          <c:tx>
            <c:strRef>
              <c:f>'A. SYNTETYCZNA'!$S$80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SYNTETYCZNA'!$T$78:$V$78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SYNTETYCZNA'!$T$80:$V$80</c:f>
              <c:numCache>
                <c:formatCode>0,000</c:formatCode>
                <c:ptCount val="3"/>
                <c:pt idx="0">
                  <c:v>76.247519288719403</c:v>
                </c:pt>
                <c:pt idx="1">
                  <c:v>85.381515113513728</c:v>
                </c:pt>
                <c:pt idx="2">
                  <c:v>74.096548602700025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A-42A2-9A75-960A88DCBF47}"/>
            </c:ext>
          </c:extLst>
        </c:ser>
        <c:ser>
          <c:idx val="2"/>
          <c:order val="2"/>
          <c:tx>
            <c:strRef>
              <c:f>'A. SYNTETYCZNA'!$S$81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SYNTETYCZNA'!$T$78:$V$78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SYNTETYCZNA'!$T$81:$V$81</c:f>
              <c:numCache>
                <c:formatCode>0,000</c:formatCode>
                <c:ptCount val="3"/>
                <c:pt idx="0">
                  <c:v>19.499562751145749</c:v>
                </c:pt>
                <c:pt idx="1">
                  <c:v>17.8333637326621</c:v>
                </c:pt>
                <c:pt idx="2">
                  <c:v>17.504978360603022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A-42A2-9A75-960A88DCBF47}"/>
            </c:ext>
          </c:extLst>
        </c:ser>
        <c:ser>
          <c:idx val="3"/>
          <c:order val="3"/>
          <c:tx>
            <c:strRef>
              <c:f>'A. SYNTETYCZNA'!$S$82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SYNTETYCZNA'!$T$78:$V$78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SYNTETYCZNA'!$T$82:$V$82</c:f>
              <c:numCache>
                <c:formatCode>0,000</c:formatCode>
                <c:ptCount val="3"/>
                <c:pt idx="0">
                  <c:v>30.91840215923801</c:v>
                </c:pt>
                <c:pt idx="1">
                  <c:v>30.521861298154228</c:v>
                </c:pt>
                <c:pt idx="2">
                  <c:v>31.692350116989449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A-42A2-9A75-960A88DCBF47}"/>
            </c:ext>
          </c:extLst>
        </c:ser>
        <c:ser>
          <c:idx val="4"/>
          <c:order val="4"/>
          <c:tx>
            <c:strRef>
              <c:f>'A. SYNTETYCZNA'!$S$83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SYNTETYCZNA'!$T$78:$V$78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SYNTETYCZNA'!$T$83:$V$83</c:f>
              <c:numCache>
                <c:formatCode>0,000</c:formatCode>
                <c:ptCount val="3"/>
                <c:pt idx="0">
                  <c:v>22.95112518527446</c:v>
                </c:pt>
                <c:pt idx="1">
                  <c:v>20.833281421001626</c:v>
                </c:pt>
                <c:pt idx="2">
                  <c:v>20.756234440295014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A-42A2-9A75-960A88DC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57464"/>
        <c:axId val="655852984"/>
      </c:barChart>
      <c:catAx>
        <c:axId val="6558574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2984"/>
        <c:crosses val="autoZero"/>
        <c:auto val="1"/>
        <c:lblAlgn val="ctr"/>
        <c:lblOffset val="100"/>
        <c:noMultiLvlLbl val="0"/>
      </c:catAx>
      <c:valAx>
        <c:axId val="65585298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STĘPIENIA I STRĄKA P(X)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SYNTETYCZNA'!$S$85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SYNTETYCZNA'!$T$84:$V$84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SYNTETYCZNA'!$T$85:$V$85</c:f>
              <c:numCache>
                <c:formatCode>0,000</c:formatCode>
                <c:ptCount val="3"/>
                <c:pt idx="0">
                  <c:v>0.99999999962222774</c:v>
                </c:pt>
                <c:pt idx="1">
                  <c:v>0.99999997542859187</c:v>
                </c:pt>
                <c:pt idx="2">
                  <c:v>0.9999999823532385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A-4374-9BFE-08DFB6E58898}"/>
            </c:ext>
          </c:extLst>
        </c:ser>
        <c:ser>
          <c:idx val="1"/>
          <c:order val="1"/>
          <c:tx>
            <c:strRef>
              <c:f>'A. SYNTETYCZNA'!$S$86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SYNTETYCZNA'!$T$84:$V$84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SYNTETYCZNA'!$T$86:$V$86</c:f>
              <c:numCache>
                <c:formatCode>0,000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A-4374-9BFE-08DFB6E58898}"/>
            </c:ext>
          </c:extLst>
        </c:ser>
        <c:ser>
          <c:idx val="2"/>
          <c:order val="2"/>
          <c:tx>
            <c:strRef>
              <c:f>'A. SYNTETYCZNA'!$S$87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SYNTETYCZNA'!$T$84:$V$84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SYNTETYCZNA'!$T$87:$V$87</c:f>
              <c:numCache>
                <c:formatCode>0,000</c:formatCode>
                <c:ptCount val="3"/>
                <c:pt idx="0">
                  <c:v>0.99999999660024597</c:v>
                </c:pt>
                <c:pt idx="1">
                  <c:v>0.99999998200845208</c:v>
                </c:pt>
                <c:pt idx="2">
                  <c:v>0.99999997501470506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A-4374-9BFE-08DFB6E58898}"/>
            </c:ext>
          </c:extLst>
        </c:ser>
        <c:ser>
          <c:idx val="3"/>
          <c:order val="3"/>
          <c:tx>
            <c:strRef>
              <c:f>'A. SYNTETYCZNA'!$S$88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SYNTETYCZNA'!$T$84:$V$84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SYNTETYCZNA'!$T$88:$V$88</c:f>
              <c:numCache>
                <c:formatCode>0,000</c:formatCode>
                <c:ptCount val="3"/>
                <c:pt idx="0">
                  <c:v>0.9999999999999627</c:v>
                </c:pt>
                <c:pt idx="1">
                  <c:v>0.99999999999994449</c:v>
                </c:pt>
                <c:pt idx="2">
                  <c:v>0.99999999999998279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A-4374-9BFE-08DFB6E58898}"/>
            </c:ext>
          </c:extLst>
        </c:ser>
        <c:ser>
          <c:idx val="4"/>
          <c:order val="4"/>
          <c:tx>
            <c:strRef>
              <c:f>'A. SYNTETYCZNA'!$S$89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SYNTETYCZNA'!$T$84:$V$84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SYNTETYCZNA'!$T$89:$V$89</c:f>
              <c:numCache>
                <c:formatCode>0,000</c:formatCode>
                <c:ptCount val="3"/>
                <c:pt idx="0">
                  <c:v>0.99999999989224109</c:v>
                </c:pt>
                <c:pt idx="1">
                  <c:v>0.9999999991041798</c:v>
                </c:pt>
                <c:pt idx="2">
                  <c:v>0.99999999903243109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A-4374-9BFE-08DFB6E5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54264"/>
        <c:axId val="655856184"/>
      </c:barChart>
      <c:catAx>
        <c:axId val="6558542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6184"/>
        <c:crosses val="autoZero"/>
        <c:auto val="1"/>
        <c:lblAlgn val="ctr"/>
        <c:lblOffset val="100"/>
        <c:noMultiLvlLbl val="0"/>
      </c:catAx>
      <c:valAx>
        <c:axId val="655856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"POZNAŃASKI" WSKAŹNIK 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SYNTETYCZNA'!$S$91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SYNTETYCZNA'!$T$90:$V$90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SYNTETYCZNA'!$T$91:$V$91</c:f>
              <c:numCache>
                <c:formatCode>0,000</c:formatCode>
                <c:ptCount val="3"/>
                <c:pt idx="0">
                  <c:v>18.506699522360435</c:v>
                </c:pt>
                <c:pt idx="1">
                  <c:v>18.886760035911074</c:v>
                </c:pt>
                <c:pt idx="2">
                  <c:v>19.202665340038614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3-40DF-ACC9-173482C12D19}"/>
            </c:ext>
          </c:extLst>
        </c:ser>
        <c:ser>
          <c:idx val="1"/>
          <c:order val="1"/>
          <c:tx>
            <c:strRef>
              <c:f>'A. SYNTETYCZNA'!$S$92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SYNTETYCZNA'!$T$90:$V$90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SYNTETYCZNA'!$T$92:$V$92</c:f>
              <c:numCache>
                <c:formatCode>0,000</c:formatCode>
                <c:ptCount val="3"/>
                <c:pt idx="0">
                  <c:v>3.4210219669274577</c:v>
                </c:pt>
                <c:pt idx="1">
                  <c:v>3.0867241565506069</c:v>
                </c:pt>
                <c:pt idx="2">
                  <c:v>4.1234696739968193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3-40DF-ACC9-173482C12D19}"/>
            </c:ext>
          </c:extLst>
        </c:ser>
        <c:ser>
          <c:idx val="2"/>
          <c:order val="2"/>
          <c:tx>
            <c:strRef>
              <c:f>'A. SYNTETYCZNA'!$S$93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SYNTETYCZNA'!$T$90:$V$90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SYNTETYCZNA'!$T$93:$V$93</c:f>
              <c:numCache>
                <c:formatCode>0,000</c:formatCode>
                <c:ptCount val="3"/>
                <c:pt idx="0">
                  <c:v>14.764187336621369</c:v>
                </c:pt>
                <c:pt idx="1">
                  <c:v>13.52056932675969</c:v>
                </c:pt>
                <c:pt idx="2">
                  <c:v>13.19050234136199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3-40DF-ACC9-173482C12D19}"/>
            </c:ext>
          </c:extLst>
        </c:ser>
        <c:ser>
          <c:idx val="3"/>
          <c:order val="3"/>
          <c:tx>
            <c:strRef>
              <c:f>'A. SYNTETYCZNA'!$S$94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SYNTETYCZNA'!$T$90:$V$90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SYNTETYCZNA'!$T$94:$V$94</c:f>
              <c:numCache>
                <c:formatCode>0,000</c:formatCode>
                <c:ptCount val="3"/>
                <c:pt idx="0">
                  <c:v>9.5188409749711802</c:v>
                </c:pt>
                <c:pt idx="1">
                  <c:v>8.5387605856483795</c:v>
                </c:pt>
                <c:pt idx="2">
                  <c:v>8.9883027164239664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3-40DF-ACC9-173482C12D19}"/>
            </c:ext>
          </c:extLst>
        </c:ser>
        <c:ser>
          <c:idx val="4"/>
          <c:order val="4"/>
          <c:tx>
            <c:strRef>
              <c:f>'A. SYNTETYCZNA'!$S$95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SYNTETYCZNA'!$T$90:$V$90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SYNTETYCZNA'!$T$95:$V$95</c:f>
              <c:numCache>
                <c:formatCode>0,000</c:formatCode>
                <c:ptCount val="3"/>
                <c:pt idx="0">
                  <c:v>14.04654073172556</c:v>
                </c:pt>
                <c:pt idx="1">
                  <c:v>13.607764530113837</c:v>
                </c:pt>
                <c:pt idx="2">
                  <c:v>13.667495233596727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3-40DF-ACC9-173482C1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83704"/>
        <c:axId val="655885944"/>
      </c:barChart>
      <c:catAx>
        <c:axId val="65588370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85944"/>
        <c:crosses val="autoZero"/>
        <c:auto val="1"/>
        <c:lblAlgn val="ctr"/>
        <c:lblOffset val="100"/>
        <c:noMultiLvlLbl val="0"/>
      </c:catAx>
      <c:valAx>
        <c:axId val="6558859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88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"POZNAŃASKI" P(X)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SYNTETYCZNA'!$S$97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SYNTETYCZNA'!$T$96:$V$96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SYNTETYCZNA'!$T$97:$V$97</c:f>
              <c:numCache>
                <c:formatCode>0,000</c:formatCode>
                <c:ptCount val="3"/>
                <c:pt idx="0">
                  <c:v>0.99999999082423008</c:v>
                </c:pt>
                <c:pt idx="1">
                  <c:v>0.9999999937254247</c:v>
                </c:pt>
                <c:pt idx="2">
                  <c:v>0.99999999542502838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8C3-9259-7118B1D85D6A}"/>
            </c:ext>
          </c:extLst>
        </c:ser>
        <c:ser>
          <c:idx val="1"/>
          <c:order val="1"/>
          <c:tx>
            <c:strRef>
              <c:f>'A. SYNTETYCZNA'!$S$98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SYNTETYCZNA'!$T$96:$V$96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SYNTETYCZNA'!$T$98:$V$98</c:f>
              <c:numCache>
                <c:formatCode>0,000</c:formatCode>
                <c:ptCount val="3"/>
                <c:pt idx="0">
                  <c:v>0.96835510325563323</c:v>
                </c:pt>
                <c:pt idx="1">
                  <c:v>0.95634179576721301</c:v>
                </c:pt>
                <c:pt idx="2">
                  <c:v>0.98406963576148632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5-48C3-9259-7118B1D85D6A}"/>
            </c:ext>
          </c:extLst>
        </c:ser>
        <c:ser>
          <c:idx val="2"/>
          <c:order val="2"/>
          <c:tx>
            <c:strRef>
              <c:f>'A. SYNTETYCZNA'!$S$99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SYNTETYCZNA'!$T$96:$V$96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SYNTETYCZNA'!$T$99:$V$99</c:f>
              <c:numCache>
                <c:formatCode>0,000</c:formatCode>
                <c:ptCount val="3"/>
                <c:pt idx="0">
                  <c:v>0.99999961274704385</c:v>
                </c:pt>
                <c:pt idx="1">
                  <c:v>0.99999865695437673</c:v>
                </c:pt>
                <c:pt idx="2">
                  <c:v>0.99999813174218222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5-48C3-9259-7118B1D85D6A}"/>
            </c:ext>
          </c:extLst>
        </c:ser>
        <c:ser>
          <c:idx val="3"/>
          <c:order val="3"/>
          <c:tx>
            <c:strRef>
              <c:f>'A. SYNTETYCZNA'!$S$100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SYNTETYCZNA'!$T$96:$V$96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SYNTETYCZNA'!$T$100:$V$100</c:f>
              <c:numCache>
                <c:formatCode>0,000</c:formatCode>
                <c:ptCount val="3"/>
                <c:pt idx="0">
                  <c:v>0.99992655064427705</c:v>
                </c:pt>
                <c:pt idx="1">
                  <c:v>0.9998043056</c:v>
                </c:pt>
                <c:pt idx="2">
                  <c:v>0.99987515374909308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5-48C3-9259-7118B1D85D6A}"/>
            </c:ext>
          </c:extLst>
        </c:ser>
        <c:ser>
          <c:idx val="4"/>
          <c:order val="4"/>
          <c:tx>
            <c:strRef>
              <c:f>'A. SYNTETYCZNA'!$S$101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SYNTETYCZNA'!$T$96:$V$96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SYNTETYCZNA'!$T$101:$V$101</c:f>
              <c:numCache>
                <c:formatCode>0,000</c:formatCode>
                <c:ptCount val="3"/>
                <c:pt idx="0">
                  <c:v>0.99999920628511374</c:v>
                </c:pt>
                <c:pt idx="1">
                  <c:v>0.99999876910099972</c:v>
                </c:pt>
                <c:pt idx="2">
                  <c:v>0.99999884047067922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5-48C3-9259-7118B1D8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04664"/>
        <c:axId val="675803064"/>
      </c:barChart>
      <c:catAx>
        <c:axId val="6758046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803064"/>
        <c:crosses val="autoZero"/>
        <c:auto val="1"/>
        <c:lblAlgn val="ctr"/>
        <c:lblOffset val="100"/>
        <c:noMultiLvlLbl val="0"/>
      </c:catAx>
      <c:valAx>
        <c:axId val="675803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80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A.PŁYNNOŚCI!$S$2:$U$2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A.PŁYNNOŚCI!$S$3:$U$3</c:f>
              <c:numCache>
                <c:formatCode>0,000</c:formatCode>
                <c:ptCount val="3"/>
                <c:pt idx="0">
                  <c:v>0.84947684128012002</c:v>
                </c:pt>
                <c:pt idx="1">
                  <c:v>1.0805204638743873</c:v>
                </c:pt>
                <c:pt idx="2">
                  <c:v>1.0040863235857489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1AE-972A-534EFC80D465}"/>
            </c:ext>
          </c:extLst>
        </c:ser>
        <c:ser>
          <c:idx val="1"/>
          <c:order val="1"/>
          <c:tx>
            <c:strRef>
              <c:f>A.PŁYNNOŚCI!$R$4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A.PŁYNNOŚCI!$S$2:$U$2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A.PŁYNNOŚCI!$S$4:$U$4</c:f>
              <c:numCache>
                <c:formatCode>0,000</c:formatCode>
                <c:ptCount val="3"/>
                <c:pt idx="0">
                  <c:v>1.1230721467478841</c:v>
                </c:pt>
                <c:pt idx="1">
                  <c:v>0.9225319654876023</c:v>
                </c:pt>
                <c:pt idx="2">
                  <c:v>1.2841014829746138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41AE-972A-534EFC80D465}"/>
            </c:ext>
          </c:extLst>
        </c:ser>
        <c:ser>
          <c:idx val="2"/>
          <c:order val="2"/>
          <c:tx>
            <c:strRef>
              <c:f>A.PŁYNNOŚCI!$R$5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A.PŁYNNOŚCI!$S$2:$U$2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A.PŁYNNOŚCI!$S$5:$U$5</c:f>
              <c:numCache>
                <c:formatCode>0,000</c:formatCode>
                <c:ptCount val="3"/>
                <c:pt idx="0">
                  <c:v>0.85361681329423267</c:v>
                </c:pt>
                <c:pt idx="1">
                  <c:v>0.66750756811301715</c:v>
                </c:pt>
                <c:pt idx="2">
                  <c:v>0.5416184014562303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D-41AE-972A-534EFC80D465}"/>
            </c:ext>
          </c:extLst>
        </c:ser>
        <c:ser>
          <c:idx val="3"/>
          <c:order val="3"/>
          <c:tx>
            <c:strRef>
              <c:f>A.PŁYNNOŚCI!$R$6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A.PŁYNNOŚCI!$S$2:$U$2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A.PŁYNNOŚCI!$S$6:$U$6</c:f>
              <c:numCache>
                <c:formatCode>0,000</c:formatCode>
                <c:ptCount val="3"/>
                <c:pt idx="0">
                  <c:v>1.4843732128638989</c:v>
                </c:pt>
                <c:pt idx="1">
                  <c:v>1.2306095314039613</c:v>
                </c:pt>
                <c:pt idx="2">
                  <c:v>1.580167401383294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D-41AE-972A-534EFC80D465}"/>
            </c:ext>
          </c:extLst>
        </c:ser>
        <c:ser>
          <c:idx val="4"/>
          <c:order val="4"/>
          <c:tx>
            <c:strRef>
              <c:f>A.PŁYNNOŚCI!$R$7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A.PŁYNNOŚCI!$S$2:$U$2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A.PŁYNNOŚCI!$S$7:$U$7</c:f>
              <c:numCache>
                <c:formatCode>0,000</c:formatCode>
                <c:ptCount val="3"/>
                <c:pt idx="0">
                  <c:v>1.077634753546534</c:v>
                </c:pt>
                <c:pt idx="1">
                  <c:v>0.97529238221974202</c:v>
                </c:pt>
                <c:pt idx="2">
                  <c:v>1.1024934023499717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D-41AE-972A-534EFC80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23832"/>
        <c:axId val="471724472"/>
      </c:barChart>
      <c:catAx>
        <c:axId val="47172383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724472"/>
        <c:crosses val="autoZero"/>
        <c:auto val="1"/>
        <c:lblAlgn val="ctr"/>
        <c:lblOffset val="100"/>
        <c:noMultiLvlLbl val="0"/>
      </c:catAx>
      <c:valAx>
        <c:axId val="4717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7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A.PŁYNNOŚCI!$R$9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A.PŁYNNOŚCI!$S$8:$U$8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A.PŁYNNOŚCI!$S$9:$U$9</c:f>
              <c:numCache>
                <c:formatCode>0,000</c:formatCode>
                <c:ptCount val="3"/>
                <c:pt idx="0">
                  <c:v>0.26147711393613032</c:v>
                </c:pt>
                <c:pt idx="1">
                  <c:v>0.24176065038058422</c:v>
                </c:pt>
                <c:pt idx="2">
                  <c:v>0.29932320265611034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E-4874-8614-C10C1729EE14}"/>
            </c:ext>
          </c:extLst>
        </c:ser>
        <c:ser>
          <c:idx val="1"/>
          <c:order val="1"/>
          <c:tx>
            <c:strRef>
              <c:f>A.PŁYNNOŚCI!$R$10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A.PŁYNNOŚCI!$S$8:$U$8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A.PŁYNNOŚCI!$S$10:$U$10</c:f>
              <c:numCache>
                <c:formatCode>0,000</c:formatCode>
                <c:ptCount val="3"/>
                <c:pt idx="0">
                  <c:v>0.41996954645136331</c:v>
                </c:pt>
                <c:pt idx="1">
                  <c:v>3.9893695907581586E-2</c:v>
                </c:pt>
                <c:pt idx="2">
                  <c:v>0.32833628170402501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E-4874-8614-C10C1729EE14}"/>
            </c:ext>
          </c:extLst>
        </c:ser>
        <c:ser>
          <c:idx val="2"/>
          <c:order val="2"/>
          <c:tx>
            <c:strRef>
              <c:f>A.PŁYNNOŚCI!$R$11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A.PŁYNNOŚCI!$S$8:$U$8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A.PŁYNNOŚCI!$S$11:$U$11</c:f>
              <c:numCache>
                <c:formatCode>0,000</c:formatCode>
                <c:ptCount val="3"/>
                <c:pt idx="0">
                  <c:v>0.20992179863147606</c:v>
                </c:pt>
                <c:pt idx="1">
                  <c:v>0.19559367642112344</c:v>
                </c:pt>
                <c:pt idx="2">
                  <c:v>0.19493628992222406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E-4874-8614-C10C1729EE14}"/>
            </c:ext>
          </c:extLst>
        </c:ser>
        <c:ser>
          <c:idx val="3"/>
          <c:order val="3"/>
          <c:tx>
            <c:strRef>
              <c:f>A.PŁYNNOŚCI!$R$12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A.PŁYNNOŚCI!$S$8:$U$8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A.PŁYNNOŚCI!$S$12:$U$12</c:f>
              <c:numCache>
                <c:formatCode>0,000</c:formatCode>
                <c:ptCount val="3"/>
                <c:pt idx="0">
                  <c:v>0.17112745046576738</c:v>
                </c:pt>
                <c:pt idx="1">
                  <c:v>0.16161373101087401</c:v>
                </c:pt>
                <c:pt idx="2">
                  <c:v>0.30523675609941475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E-4874-8614-C10C1729EE14}"/>
            </c:ext>
          </c:extLst>
        </c:ser>
        <c:ser>
          <c:idx val="4"/>
          <c:order val="4"/>
          <c:tx>
            <c:strRef>
              <c:f>A.PŁYNNOŚCI!$R$13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A.PŁYNNOŚCI!$S$8:$U$8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A.PŁYNNOŚCI!$S$13:$U$13</c:f>
              <c:numCache>
                <c:formatCode>0,000</c:formatCode>
                <c:ptCount val="3"/>
                <c:pt idx="0">
                  <c:v>0.26562397737118426</c:v>
                </c:pt>
                <c:pt idx="1">
                  <c:v>0.1597154384300408</c:v>
                </c:pt>
                <c:pt idx="2">
                  <c:v>0.28195813259544356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E-4874-8614-C10C1729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08696"/>
        <c:axId val="497013176"/>
      </c:barChart>
      <c:catAx>
        <c:axId val="49700869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013176"/>
        <c:crosses val="autoZero"/>
        <c:auto val="1"/>
        <c:lblAlgn val="ctr"/>
        <c:lblOffset val="100"/>
        <c:noMultiLvlLbl val="0"/>
      </c:catAx>
      <c:valAx>
        <c:axId val="4970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0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A.PŁYNNOŚCI!$R$15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A.PŁYNNOŚCI!$S$14:$U$14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A.PŁYNNOŚCI!$S$15:$U$15</c:f>
              <c:numCache>
                <c:formatCode>0,000</c:formatCode>
                <c:ptCount val="3"/>
                <c:pt idx="0">
                  <c:v>0.12833577587675948</c:v>
                </c:pt>
                <c:pt idx="1">
                  <c:v>0.23486629737376957</c:v>
                </c:pt>
                <c:pt idx="2">
                  <c:v>0.30062571829906781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B-404F-8B7B-ED618DDCDF8B}"/>
            </c:ext>
          </c:extLst>
        </c:ser>
        <c:ser>
          <c:idx val="1"/>
          <c:order val="1"/>
          <c:tx>
            <c:strRef>
              <c:f>A.PŁYNNOŚCI!$R$16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A.PŁYNNOŚCI!$S$14:$U$14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A.PŁYNNOŚCI!$S$16:$U$16</c:f>
              <c:numCache>
                <c:formatCode>0,000</c:formatCode>
                <c:ptCount val="3"/>
                <c:pt idx="0">
                  <c:v>0.4147616534440336</c:v>
                </c:pt>
                <c:pt idx="1">
                  <c:v>3.4246895279116868E-2</c:v>
                </c:pt>
                <c:pt idx="2">
                  <c:v>0.32068494700237704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B-404F-8B7B-ED618DDCDF8B}"/>
            </c:ext>
          </c:extLst>
        </c:ser>
        <c:ser>
          <c:idx val="2"/>
          <c:order val="2"/>
          <c:tx>
            <c:strRef>
              <c:f>A.PŁYNNOŚCI!$R$17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A.PŁYNNOŚCI!$S$14:$U$14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A.PŁYNNOŚCI!$S$17:$U$17</c:f>
              <c:numCache>
                <c:formatCode>0,000</c:formatCode>
                <c:ptCount val="3"/>
                <c:pt idx="0">
                  <c:v>9.8973607038123163E-2</c:v>
                </c:pt>
                <c:pt idx="1">
                  <c:v>0.11150353178607467</c:v>
                </c:pt>
                <c:pt idx="2">
                  <c:v>0.10690054608638094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B-404F-8B7B-ED618DDCDF8B}"/>
            </c:ext>
          </c:extLst>
        </c:ser>
        <c:ser>
          <c:idx val="3"/>
          <c:order val="3"/>
          <c:tx>
            <c:strRef>
              <c:f>A.PŁYNNOŚCI!$R$18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A.PŁYNNOŚCI!$S$14:$U$14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A.PŁYNNOŚCI!$S$18:$U$18</c:f>
              <c:numCache>
                <c:formatCode>0,000</c:formatCode>
                <c:ptCount val="3"/>
                <c:pt idx="0">
                  <c:v>0.16608216668167747</c:v>
                </c:pt>
                <c:pt idx="1">
                  <c:v>0.15530729495081139</c:v>
                </c:pt>
                <c:pt idx="2">
                  <c:v>0.29866468419852549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B-404F-8B7B-ED618DDCDF8B}"/>
            </c:ext>
          </c:extLst>
        </c:ser>
        <c:ser>
          <c:idx val="4"/>
          <c:order val="4"/>
          <c:tx>
            <c:strRef>
              <c:f>A.PŁYNNOŚCI!$R$19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A.PŁYNNOŚCI!$S$14:$U$14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A.PŁYNNOŚCI!$S$19:$U$19</c:f>
              <c:numCache>
                <c:formatCode>0,000</c:formatCode>
                <c:ptCount val="3"/>
                <c:pt idx="0">
                  <c:v>0.20203830076014842</c:v>
                </c:pt>
                <c:pt idx="1">
                  <c:v>0.13398100484744313</c:v>
                </c:pt>
                <c:pt idx="2">
                  <c:v>0.25671897389658782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B-404F-8B7B-ED618DDC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29848"/>
        <c:axId val="512327608"/>
      </c:barChart>
      <c:catAx>
        <c:axId val="512329848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327608"/>
        <c:crosses val="autoZero"/>
        <c:auto val="1"/>
        <c:lblAlgn val="ctr"/>
        <c:lblOffset val="100"/>
        <c:noMultiLvlLbl val="0"/>
      </c:catAx>
      <c:valAx>
        <c:axId val="5123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3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A.PŁYNNOŚCI!$R$21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A.PŁYNNOŚCI!$S$20:$U$20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A.PŁYNNOŚCI!$S$21:$U$21</c:f>
              <c:numCache>
                <c:formatCode>0,000</c:formatCode>
                <c:ptCount val="3"/>
                <c:pt idx="0">
                  <c:v>0.13314133805937084</c:v>
                </c:pt>
                <c:pt idx="1">
                  <c:v>6.8943530068146493E-3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42BF-8F17-2959591B417E}"/>
            </c:ext>
          </c:extLst>
        </c:ser>
        <c:ser>
          <c:idx val="1"/>
          <c:order val="1"/>
          <c:tx>
            <c:strRef>
              <c:f>A.PŁYNNOŚCI!$R$22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A.PŁYNNOŚCI!$S$20:$U$20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A.PŁYNNOŚCI!$S$22:$U$22</c:f>
              <c:numCache>
                <c:formatCode>0,000</c:formatCode>
                <c:ptCount val="3"/>
                <c:pt idx="0">
                  <c:v>5.2078930073297044E-3</c:v>
                </c:pt>
                <c:pt idx="1">
                  <c:v>6.0212948869844598E-3</c:v>
                </c:pt>
                <c:pt idx="2">
                  <c:v>7.6513347016479534E-3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42BF-8F17-2959591B417E}"/>
            </c:ext>
          </c:extLst>
        </c:ser>
        <c:ser>
          <c:idx val="2"/>
          <c:order val="2"/>
          <c:tx>
            <c:strRef>
              <c:f>A.PŁYNNOŚCI!$R$23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A.PŁYNNOŚCI!$S$20:$U$20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A.PŁYNNOŚCI!$S$23:$U$23</c:f>
              <c:numCache>
                <c:formatCode>0,000</c:formatCode>
                <c:ptCount val="3"/>
                <c:pt idx="0">
                  <c:v>0.11119257086999022</c:v>
                </c:pt>
                <c:pt idx="1">
                  <c:v>9.2835519677093845E-2</c:v>
                </c:pt>
                <c:pt idx="2">
                  <c:v>8.803574383584313E-2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42BF-8F17-2959591B417E}"/>
            </c:ext>
          </c:extLst>
        </c:ser>
        <c:ser>
          <c:idx val="3"/>
          <c:order val="3"/>
          <c:tx>
            <c:strRef>
              <c:f>A.PŁYNNOŚCI!$R$24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A.PŁYNNOŚCI!$S$20:$U$20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A.PŁYNNOŚCI!$S$24:$U$24</c:f>
              <c:numCache>
                <c:formatCode>0,000</c:formatCode>
                <c:ptCount val="3"/>
                <c:pt idx="0">
                  <c:v>8.5042123229578364E-3</c:v>
                </c:pt>
                <c:pt idx="1">
                  <c:v>6.306436060062634E-3</c:v>
                </c:pt>
                <c:pt idx="2">
                  <c:v>6.5720719008892604E-3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C-42BF-8F17-2959591B417E}"/>
            </c:ext>
          </c:extLst>
        </c:ser>
        <c:ser>
          <c:idx val="4"/>
          <c:order val="4"/>
          <c:tx>
            <c:strRef>
              <c:f>A.PŁYNNOŚCI!$R$25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A.PŁYNNOŚCI!$S$20:$U$20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A.PŁYNNOŚCI!$S$25:$U$25</c:f>
              <c:numCache>
                <c:formatCode>0,000</c:formatCode>
                <c:ptCount val="3"/>
                <c:pt idx="0">
                  <c:v>6.4511503564912143E-2</c:v>
                </c:pt>
                <c:pt idx="1">
                  <c:v>2.8014400907738896E-2</c:v>
                </c:pt>
                <c:pt idx="2">
                  <c:v>2.5564787609595088E-2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C-42BF-8F17-2959591B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06864"/>
        <c:axId val="553408144"/>
      </c:barChart>
      <c:catAx>
        <c:axId val="5534068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408144"/>
        <c:crosses val="autoZero"/>
        <c:auto val="1"/>
        <c:lblAlgn val="ctr"/>
        <c:lblOffset val="100"/>
        <c:noMultiLvlLbl val="0"/>
      </c:catAx>
      <c:valAx>
        <c:axId val="553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4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UKPWA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A.PŁYNNOŚCI!$R$27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A.PŁYNNOŚCI!$S$26:$U$26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A.PŁYNNOŚCI!$S$27:$U$27</c:f>
              <c:numCache>
                <c:formatCode>0,000</c:formatCode>
                <c:ptCount val="3"/>
                <c:pt idx="0">
                  <c:v>-2.7103738616000198E-2</c:v>
                </c:pt>
                <c:pt idx="1">
                  <c:v>1.3164238617706081E-2</c:v>
                </c:pt>
                <c:pt idx="2">
                  <c:v>5.7645193831964265E-4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08B-B588-5F1B0F08EF86}"/>
            </c:ext>
          </c:extLst>
        </c:ser>
        <c:ser>
          <c:idx val="1"/>
          <c:order val="1"/>
          <c:tx>
            <c:strRef>
              <c:f>A.PŁYNNOŚCI!$R$28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A.PŁYNNOŚCI!$S$26:$U$26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A.PŁYNNOŚCI!$S$28:$U$28</c:f>
              <c:numCache>
                <c:formatCode>0,000</c:formatCode>
                <c:ptCount val="3"/>
                <c:pt idx="0">
                  <c:v>5.7843002320893525E-2</c:v>
                </c:pt>
                <c:pt idx="1">
                  <c:v>-3.4278079873773543E-2</c:v>
                </c:pt>
                <c:pt idx="2">
                  <c:v>0.10925144943389997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9-408B-B588-5F1B0F08EF86}"/>
            </c:ext>
          </c:extLst>
        </c:ser>
        <c:ser>
          <c:idx val="2"/>
          <c:order val="2"/>
          <c:tx>
            <c:strRef>
              <c:f>A.PŁYNNOŚCI!$R$29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A.PŁYNNOŚCI!$S$26:$U$26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A.PŁYNNOŚCI!$S$29:$U$29</c:f>
              <c:numCache>
                <c:formatCode>0,000</c:formatCode>
                <c:ptCount val="3"/>
                <c:pt idx="0">
                  <c:v>-2.4609695973705836E-2</c:v>
                </c:pt>
                <c:pt idx="1">
                  <c:v>-8.486799742433998E-2</c:v>
                </c:pt>
                <c:pt idx="2">
                  <c:v>-0.12078663934068809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9-408B-B588-5F1B0F08EF86}"/>
            </c:ext>
          </c:extLst>
        </c:ser>
        <c:ser>
          <c:idx val="3"/>
          <c:order val="3"/>
          <c:tx>
            <c:strRef>
              <c:f>A.PŁYNNOŚCI!$R$30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A.PŁYNNOŚCI!$S$26:$U$26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A.PŁYNNOŚCI!$S$30:$U$30</c:f>
              <c:numCache>
                <c:formatCode>0,000</c:formatCode>
                <c:ptCount val="3"/>
                <c:pt idx="0">
                  <c:v>9.8656135218607194E-2</c:v>
                </c:pt>
                <c:pt idx="1">
                  <c:v>6.1636952971748968E-2</c:v>
                </c:pt>
                <c:pt idx="2">
                  <c:v>0.13829988532402276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9-408B-B588-5F1B0F08EF86}"/>
            </c:ext>
          </c:extLst>
        </c:ser>
        <c:ser>
          <c:idx val="4"/>
          <c:order val="4"/>
          <c:tx>
            <c:strRef>
              <c:f>A.PŁYNNOŚCI!$R$31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A.PŁYNNOŚCI!$S$26:$U$26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A.PŁYNNOŚCI!$S$31:$U$31</c:f>
              <c:numCache>
                <c:formatCode>0,000</c:formatCode>
                <c:ptCount val="3"/>
                <c:pt idx="0">
                  <c:v>2.619642573744867E-2</c:v>
                </c:pt>
                <c:pt idx="1">
                  <c:v>-1.1086221427164618E-2</c:v>
                </c:pt>
                <c:pt idx="2">
                  <c:v>3.1835286838888574E-2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9-408B-B588-5F1B0F08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20888"/>
        <c:axId val="512325368"/>
      </c:barChart>
      <c:catAx>
        <c:axId val="512320888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325368"/>
        <c:crosses val="autoZero"/>
        <c:auto val="1"/>
        <c:lblAlgn val="ctr"/>
        <c:lblOffset val="100"/>
        <c:noMultiLvlLbl val="0"/>
      </c:catAx>
      <c:valAx>
        <c:axId val="5123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3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WWGS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A.PŁYNNOŚCI!$R$33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A.PŁYNNOŚCI!$S$33:$U$33</c:f>
              <c:numCache>
                <c:formatCode>0,000</c:formatCode>
                <c:ptCount val="3"/>
                <c:pt idx="0">
                  <c:v>0.2974794666027184</c:v>
                </c:pt>
                <c:pt idx="1">
                  <c:v>0.27279362910697075</c:v>
                </c:pt>
                <c:pt idx="2">
                  <c:v>0.29926947886779398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0-4FC7-8BF8-573C7FA502DC}"/>
            </c:ext>
          </c:extLst>
        </c:ser>
        <c:ser>
          <c:idx val="1"/>
          <c:order val="1"/>
          <c:tx>
            <c:strRef>
              <c:f>A.PŁYNNOŚCI!$R$34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A.PŁYNNOŚCI!$S$34:$U$34</c:f>
              <c:numCache>
                <c:formatCode>0,000</c:formatCode>
                <c:ptCount val="3"/>
                <c:pt idx="0">
                  <c:v>0.10145650164094763</c:v>
                </c:pt>
                <c:pt idx="1">
                  <c:v>9.2543932275541377E-2</c:v>
                </c:pt>
                <c:pt idx="2">
                  <c:v>3.874674164678537E-2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0-4FC7-8BF8-573C7FA502DC}"/>
            </c:ext>
          </c:extLst>
        </c:ser>
        <c:ser>
          <c:idx val="2"/>
          <c:order val="2"/>
          <c:tx>
            <c:strRef>
              <c:f>A.PŁYNNOŚCI!$R$35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A.PŁYNNOŚCI!$S$35:$U$35</c:f>
              <c:numCache>
                <c:formatCode>0,000</c:formatCode>
                <c:ptCount val="3"/>
                <c:pt idx="0">
                  <c:v>0.24338067683675257</c:v>
                </c:pt>
                <c:pt idx="1">
                  <c:v>0.16322853796955231</c:v>
                </c:pt>
                <c:pt idx="2">
                  <c:v>0.18135488972849487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0-4FC7-8BF8-573C7FA502DC}"/>
            </c:ext>
          </c:extLst>
        </c:ser>
        <c:ser>
          <c:idx val="3"/>
          <c:order val="3"/>
          <c:tx>
            <c:strRef>
              <c:f>A.PŁYNNOŚCI!$R$36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A.PŁYNNOŚCI!$S$36:$U$36</c:f>
              <c:numCache>
                <c:formatCode>0,000</c:formatCode>
                <c:ptCount val="3"/>
                <c:pt idx="0">
                  <c:v>0.3166884280701226</c:v>
                </c:pt>
                <c:pt idx="1">
                  <c:v>0.29790216559138655</c:v>
                </c:pt>
                <c:pt idx="2">
                  <c:v>0.20830095508765628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0-4FC7-8BF8-573C7FA502DC}"/>
            </c:ext>
          </c:extLst>
        </c:ser>
        <c:ser>
          <c:idx val="4"/>
          <c:order val="4"/>
          <c:tx>
            <c:strRef>
              <c:f>A.PŁYNNOŚCI!$R$37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A.PŁYNNOŚCI!$S$37:$U$37</c:f>
              <c:numCache>
                <c:formatCode>0,000</c:formatCode>
                <c:ptCount val="3"/>
                <c:pt idx="0">
                  <c:v>0.23975126828763529</c:v>
                </c:pt>
                <c:pt idx="1">
                  <c:v>0.20661706623586273</c:v>
                </c:pt>
                <c:pt idx="2">
                  <c:v>0.18191801633268262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0-4FC7-8BF8-573C7FA5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21584"/>
        <c:axId val="553417104"/>
      </c:barChart>
      <c:catAx>
        <c:axId val="55342158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417104"/>
        <c:crosses val="autoZero"/>
        <c:auto val="1"/>
        <c:lblAlgn val="ctr"/>
        <c:lblOffset val="100"/>
        <c:noMultiLvlLbl val="0"/>
      </c:catAx>
      <c:valAx>
        <c:axId val="553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4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BEAVERA 2018 </a:t>
            </a:r>
          </a:p>
        </c:rich>
      </c:tx>
      <c:layout>
        <c:manualLayout>
          <c:xMode val="edge"/>
          <c:yMode val="edge"/>
          <c:x val="0.349243000874890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SYNTETYCZNA'!$S$26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'A. SYNTETYCZNA'!$T$25:$Y$25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SYNTETYCZNA'!$T$26:$Y$26</c:f>
              <c:numCache>
                <c:formatCode>0,000</c:formatCode>
                <c:ptCount val="6"/>
                <c:pt idx="0">
                  <c:v>0.12316519717560934</c:v>
                </c:pt>
                <c:pt idx="1">
                  <c:v>2.658583305100206E-2</c:v>
                </c:pt>
                <c:pt idx="2">
                  <c:v>0.52687576555210969</c:v>
                </c:pt>
                <c:pt idx="3">
                  <c:v>1.0805204638743873</c:v>
                </c:pt>
                <c:pt idx="4">
                  <c:v>1.3164238617706081E-2</c:v>
                </c:pt>
                <c:pt idx="5">
                  <c:v>0.13019979621671909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D10-8492-4DF520FBAF9A}"/>
            </c:ext>
          </c:extLst>
        </c:ser>
        <c:ser>
          <c:idx val="1"/>
          <c:order val="1"/>
          <c:tx>
            <c:strRef>
              <c:f>'A. SYNTETYCZNA'!$S$27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'A. SYNTETYCZNA'!$T$25:$Y$25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SYNTETYCZNA'!$T$27:$Y$27</c:f>
              <c:numCache>
                <c:formatCode>0,000</c:formatCode>
                <c:ptCount val="6"/>
                <c:pt idx="0">
                  <c:v>-0.15854605475883679</c:v>
                </c:pt>
                <c:pt idx="1">
                  <c:v>2.3567790534668154E-3</c:v>
                </c:pt>
                <c:pt idx="2">
                  <c:v>0.68552333056062953</c:v>
                </c:pt>
                <c:pt idx="3">
                  <c:v>1.0563000272902121</c:v>
                </c:pt>
                <c:pt idx="4">
                  <c:v>2.1756883521941859E-2</c:v>
                </c:pt>
                <c:pt idx="5">
                  <c:v>0.85361681329423267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D10-8492-4DF520FBAF9A}"/>
            </c:ext>
          </c:extLst>
        </c:ser>
        <c:ser>
          <c:idx val="2"/>
          <c:order val="2"/>
          <c:tx>
            <c:strRef>
              <c:f>'A. SYNTETYCZNA'!$S$28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'A. SYNTETYCZNA'!$T$25:$Y$25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SYNTETYCZNA'!$T$28:$Y$28</c:f>
              <c:numCache>
                <c:formatCode>0,000</c:formatCode>
                <c:ptCount val="6"/>
                <c:pt idx="0">
                  <c:v>-3.0414386239249414E-2</c:v>
                </c:pt>
                <c:pt idx="1">
                  <c:v>4.2927666881305E-4</c:v>
                </c:pt>
                <c:pt idx="2">
                  <c:v>0.54904485941189096</c:v>
                </c:pt>
                <c:pt idx="3">
                  <c:v>0.66750756811301715</c:v>
                </c:pt>
                <c:pt idx="4">
                  <c:v>-8.486799742433998E-2</c:v>
                </c:pt>
                <c:pt idx="5">
                  <c:v>0.28174904942965778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D10-8492-4DF520FBAF9A}"/>
            </c:ext>
          </c:extLst>
        </c:ser>
        <c:ser>
          <c:idx val="3"/>
          <c:order val="3"/>
          <c:tx>
            <c:strRef>
              <c:f>'A. SYNTETYCZNA'!$S$29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'A. SYNTETYCZNA'!$T$25:$Y$25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SYNTETYCZNA'!$T$29:$Y$29</c:f>
              <c:numCache>
                <c:formatCode>0,000</c:formatCode>
                <c:ptCount val="6"/>
                <c:pt idx="0">
                  <c:v>0.11414187882320943</c:v>
                </c:pt>
                <c:pt idx="1">
                  <c:v>8.7389317435119712E-2</c:v>
                </c:pt>
                <c:pt idx="2">
                  <c:v>1.0235358377604795</c:v>
                </c:pt>
                <c:pt idx="3">
                  <c:v>1.2306095314039613</c:v>
                </c:pt>
                <c:pt idx="4">
                  <c:v>6.1636952971748968E-2</c:v>
                </c:pt>
                <c:pt idx="5">
                  <c:v>0.15659931819088588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D10-8492-4DF520FBAF9A}"/>
            </c:ext>
          </c:extLst>
        </c:ser>
        <c:ser>
          <c:idx val="4"/>
          <c:order val="4"/>
          <c:tx>
            <c:strRef>
              <c:f>'A. SYNTETYCZNA'!$S$30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'A. SYNTETYCZNA'!$T$25:$Y$25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SYNTETYCZNA'!$T$30:$Y$30</c:f>
              <c:numCache>
                <c:formatCode>0,000</c:formatCode>
                <c:ptCount val="6"/>
                <c:pt idx="0">
                  <c:v>6.298050407755687E-2</c:v>
                </c:pt>
                <c:pt idx="1">
                  <c:v>2.4599014647540069E-2</c:v>
                </c:pt>
                <c:pt idx="2">
                  <c:v>0.60474753667280023</c:v>
                </c:pt>
                <c:pt idx="3">
                  <c:v>0.92649274281366145</c:v>
                </c:pt>
                <c:pt idx="4">
                  <c:v>-1.5868245095714578E-2</c:v>
                </c:pt>
                <c:pt idx="5">
                  <c:v>0.1993444120689421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5-4D10-8492-4DF520FB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70352"/>
        <c:axId val="525468752"/>
      </c:barChart>
      <c:catAx>
        <c:axId val="52547035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68752"/>
        <c:crosses val="autoZero"/>
        <c:auto val="1"/>
        <c:lblAlgn val="ctr"/>
        <c:lblOffset val="100"/>
        <c:noMultiLvlLbl val="0"/>
      </c:catAx>
      <c:valAx>
        <c:axId val="525468752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WWGA</a:t>
            </a:r>
          </a:p>
        </c:rich>
      </c:tx>
      <c:layout>
        <c:manualLayout>
          <c:xMode val="edge"/>
          <c:yMode val="edge"/>
          <c:x val="0.424243000874890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A.PŁYNNOŚCI!$R$39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A.PŁYNNOŚCI!$S$39:$U$39</c:f>
              <c:numCache>
                <c:formatCode>0,000</c:formatCode>
                <c:ptCount val="3"/>
                <c:pt idx="0">
                  <c:v>0.10658001325576258</c:v>
                </c:pt>
                <c:pt idx="1">
                  <c:v>9.4964295952672598E-2</c:v>
                </c:pt>
                <c:pt idx="2">
                  <c:v>0.1059734832108373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7-4525-9BE4-472295DB6B0B}"/>
            </c:ext>
          </c:extLst>
        </c:ser>
        <c:ser>
          <c:idx val="1"/>
          <c:order val="1"/>
          <c:tx>
            <c:strRef>
              <c:f>A.PŁYNNOŚCI!$R$40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A.PŁYNNOŚCI!$S$40:$U$40</c:f>
              <c:numCache>
                <c:formatCode>0,000</c:formatCode>
                <c:ptCount val="3"/>
                <c:pt idx="0">
                  <c:v>0.12779964469726646</c:v>
                </c:pt>
                <c:pt idx="1">
                  <c:v>0.13769868523288392</c:v>
                </c:pt>
                <c:pt idx="2">
                  <c:v>4.6335855538554731E-2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7-4525-9BE4-472295DB6B0B}"/>
            </c:ext>
          </c:extLst>
        </c:ser>
        <c:ser>
          <c:idx val="2"/>
          <c:order val="2"/>
          <c:tx>
            <c:strRef>
              <c:f>A.PŁYNNOŚCI!$R$41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A.PŁYNNOŚCI!$S$41:$U$41</c:f>
              <c:numCache>
                <c:formatCode>0,000</c:formatCode>
                <c:ptCount val="3"/>
                <c:pt idx="0">
                  <c:v>0.11405094494658997</c:v>
                </c:pt>
                <c:pt idx="1">
                  <c:v>7.7784932388924657E-2</c:v>
                </c:pt>
                <c:pt idx="2">
                  <c:v>9.0001308158548815E-2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7-4525-9BE4-472295DB6B0B}"/>
            </c:ext>
          </c:extLst>
        </c:ser>
        <c:ser>
          <c:idx val="3"/>
          <c:order val="3"/>
          <c:tx>
            <c:strRef>
              <c:f>A.PŁYNNOŚCI!$R$42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A.PŁYNNOŚCI!$S$42:$U$42</c:f>
              <c:numCache>
                <c:formatCode>0,000</c:formatCode>
                <c:ptCount val="3"/>
                <c:pt idx="0">
                  <c:v>0.25093575128682333</c:v>
                </c:pt>
                <c:pt idx="1">
                  <c:v>0.23911600417720102</c:v>
                </c:pt>
                <c:pt idx="2">
                  <c:v>0.15732565701453599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7-4525-9BE4-472295DB6B0B}"/>
            </c:ext>
          </c:extLst>
        </c:ser>
        <c:ser>
          <c:idx val="4"/>
          <c:order val="4"/>
          <c:tx>
            <c:strRef>
              <c:f>A.PŁYNNOŚCI!$R$43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A.PŁYNNOŚCI!$S$43:$U$43</c:f>
              <c:numCache>
                <c:formatCode>0,000</c:formatCode>
                <c:ptCount val="3"/>
                <c:pt idx="0">
                  <c:v>0.14984158854661059</c:v>
                </c:pt>
                <c:pt idx="1">
                  <c:v>0.13739097943792056</c:v>
                </c:pt>
                <c:pt idx="2">
                  <c:v>9.9909075980619211E-2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7-4525-9BE4-472295DB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31152"/>
        <c:axId val="559729552"/>
      </c:barChart>
      <c:catAx>
        <c:axId val="55973115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29552"/>
        <c:crosses val="autoZero"/>
        <c:auto val="1"/>
        <c:lblAlgn val="ctr"/>
        <c:lblOffset val="100"/>
        <c:noMultiLvlLbl val="0"/>
      </c:catAx>
      <c:valAx>
        <c:axId val="559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WWGZ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A.PŁYNNOŚCI!$R$45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A.PŁYNNOŚCI!$S$44:$U$44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A.PŁYNNOŚCI!$S$45:$U$45</c:f>
              <c:numCache>
                <c:formatCode>0,000</c:formatCode>
                <c:ptCount val="3"/>
                <c:pt idx="0">
                  <c:v>0.82765029666166279</c:v>
                </c:pt>
                <c:pt idx="1">
                  <c:v>0.72250724960963641</c:v>
                </c:pt>
                <c:pt idx="2">
                  <c:v>0.76487414187643021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F02-896E-76CE1BE7CFD7}"/>
            </c:ext>
          </c:extLst>
        </c:ser>
        <c:ser>
          <c:idx val="1"/>
          <c:order val="1"/>
          <c:tx>
            <c:strRef>
              <c:f>A.PŁYNNOŚCI!$R$46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A.PŁYNNOŚCI!$S$44:$U$44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A.PŁYNNOŚCI!$S$46:$U$46</c:f>
              <c:numCache>
                <c:formatCode>0,000</c:formatCode>
                <c:ptCount val="3"/>
                <c:pt idx="0">
                  <c:v>0.85227436013903546</c:v>
                </c:pt>
                <c:pt idx="1">
                  <c:v>0.99744362796409014</c:v>
                </c:pt>
                <c:pt idx="2">
                  <c:v>0.35324890938377757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F02-896E-76CE1BE7CFD7}"/>
            </c:ext>
          </c:extLst>
        </c:ser>
        <c:ser>
          <c:idx val="2"/>
          <c:order val="2"/>
          <c:tx>
            <c:strRef>
              <c:f>A.PŁYNNOŚCI!$R$47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A.PŁYNNOŚCI!$S$44:$U$44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A.PŁYNNOŚCI!$S$47:$U$47</c:f>
              <c:numCache>
                <c:formatCode>0,000</c:formatCode>
                <c:ptCount val="3"/>
                <c:pt idx="0">
                  <c:v>1.0101892285298399</c:v>
                </c:pt>
                <c:pt idx="1">
                  <c:v>0</c:v>
                </c:pt>
                <c:pt idx="2">
                  <c:v>0.73687968582649055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0-4F02-896E-76CE1BE7CFD7}"/>
            </c:ext>
          </c:extLst>
        </c:ser>
        <c:ser>
          <c:idx val="3"/>
          <c:order val="3"/>
          <c:tx>
            <c:strRef>
              <c:f>A.PŁYNNOŚCI!$R$48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A.PŁYNNOŚCI!$S$44:$U$44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A.PŁYNNOŚCI!$S$48:$U$48</c:f>
              <c:numCache>
                <c:formatCode>0,000</c:formatCode>
                <c:ptCount val="3"/>
                <c:pt idx="0">
                  <c:v>0.92676991242398921</c:v>
                </c:pt>
                <c:pt idx="1">
                  <c:v>0.94326118660154168</c:v>
                </c:pt>
                <c:pt idx="2">
                  <c:v>0.72964106086793035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0-4F02-896E-76CE1BE7CFD7}"/>
            </c:ext>
          </c:extLst>
        </c:ser>
        <c:ser>
          <c:idx val="4"/>
          <c:order val="4"/>
          <c:tx>
            <c:strRef>
              <c:f>A.PŁYNNOŚCI!$R$49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A.PŁYNNOŚCI!$S$44:$U$44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A.PŁYNNOŚCI!$S$49:$U$49</c:f>
              <c:numCache>
                <c:formatCode>0,000</c:formatCode>
                <c:ptCount val="3"/>
                <c:pt idx="0">
                  <c:v>0.90422094943863174</c:v>
                </c:pt>
                <c:pt idx="1">
                  <c:v>0.66580301604381709</c:v>
                </c:pt>
                <c:pt idx="2">
                  <c:v>0.64616094948865721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0-4F02-896E-76CE1BE7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33712"/>
        <c:axId val="559734992"/>
      </c:barChart>
      <c:catAx>
        <c:axId val="55973371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34992"/>
        <c:crosses val="autoZero"/>
        <c:auto val="1"/>
        <c:lblAlgn val="ctr"/>
        <c:lblOffset val="100"/>
        <c:noMultiLvlLbl val="0"/>
      </c:catAx>
      <c:valAx>
        <c:axId val="5597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ANALIZA ZYSKU (STRATY) BRUTTO ZE SPRZEDAŻY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>
        <c:manualLayout>
          <c:xMode val="edge"/>
          <c:yMode val="edge"/>
          <c:x val="9.3263998250218721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A.RENTOWNOŚCI!$R$2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A.RENTOWNOŚCI!$S$2:$U$2</c:f>
              <c:numCache>
                <c:formatCode>Standardowy</c:formatCode>
                <c:ptCount val="3"/>
                <c:pt idx="0">
                  <c:v>11676100</c:v>
                </c:pt>
                <c:pt idx="1">
                  <c:v>10686100</c:v>
                </c:pt>
                <c:pt idx="2">
                  <c:v>9828600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913-86EC-706737D8377B}"/>
            </c:ext>
          </c:extLst>
        </c:ser>
        <c:ser>
          <c:idx val="1"/>
          <c:order val="1"/>
          <c:tx>
            <c:strRef>
              <c:f>A.RENTOWNOŚCI!$R$3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A.RENTOWNOŚCI!$S$3:$U$3</c:f>
              <c:numCache>
                <c:formatCode>Standardowy</c:formatCode>
                <c:ptCount val="3"/>
                <c:pt idx="0">
                  <c:v>2707328.91</c:v>
                </c:pt>
                <c:pt idx="1">
                  <c:v>2205047.9700000002</c:v>
                </c:pt>
                <c:pt idx="2">
                  <c:v>1777328.03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7-4913-86EC-706737D8377B}"/>
            </c:ext>
          </c:extLst>
        </c:ser>
        <c:ser>
          <c:idx val="2"/>
          <c:order val="2"/>
          <c:tx>
            <c:strRef>
              <c:f>A.RENTOWNOŚCI!$R$4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A.RENTOWNOŚCI!$S$4:$U$4</c:f>
              <c:numCache>
                <c:formatCode>Standardowy</c:formatCode>
                <c:ptCount val="3"/>
                <c:pt idx="0">
                  <c:v>11406000</c:v>
                </c:pt>
                <c:pt idx="1">
                  <c:v>11101000</c:v>
                </c:pt>
                <c:pt idx="2">
                  <c:v>11381000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7-4913-86EC-706737D8377B}"/>
            </c:ext>
          </c:extLst>
        </c:ser>
        <c:ser>
          <c:idx val="3"/>
          <c:order val="3"/>
          <c:tx>
            <c:strRef>
              <c:f>A.RENTOWNOŚCI!$R$5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A.RENTOWNOŚCI!$S$5:$U$5</c:f>
              <c:numCache>
                <c:formatCode>Standardowy</c:formatCode>
                <c:ptCount val="3"/>
                <c:pt idx="0">
                  <c:v>7040753</c:v>
                </c:pt>
                <c:pt idx="1">
                  <c:v>6839148</c:v>
                </c:pt>
                <c:pt idx="2">
                  <c:v>6669859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7-4913-86EC-706737D8377B}"/>
            </c:ext>
          </c:extLst>
        </c:ser>
        <c:ser>
          <c:idx val="4"/>
          <c:order val="4"/>
          <c:tx>
            <c:strRef>
              <c:f>A.RENTOWNOŚCI!$R$6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A.RENTOWNOŚCI!$S$6:$U$6</c:f>
              <c:numCache>
                <c:formatCode>Standardowy</c:formatCode>
                <c:ptCount val="3"/>
                <c:pt idx="0">
                  <c:v>8207545.4775</c:v>
                </c:pt>
                <c:pt idx="1">
                  <c:v>7707823.9924999997</c:v>
                </c:pt>
                <c:pt idx="2">
                  <c:v>7414196.7575000003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7-4913-86EC-706737D8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55256"/>
        <c:axId val="557760376"/>
      </c:barChart>
      <c:catAx>
        <c:axId val="55775525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760376"/>
        <c:crosses val="autoZero"/>
        <c:auto val="1"/>
        <c:lblAlgn val="ctr"/>
        <c:lblOffset val="100"/>
        <c:noMultiLvlLbl val="0"/>
      </c:catAx>
      <c:valAx>
        <c:axId val="5577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7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ANALIZA ZYSKU (STRATY) NA SPRZEDAŻY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A.RENTOWNOŚCI!$S$8:$U$8</c:f>
              <c:numCache>
                <c:formatCode>0</c:formatCode>
                <c:ptCount val="3"/>
                <c:pt idx="0">
                  <c:v>9446400</c:v>
                </c:pt>
                <c:pt idx="1">
                  <c:v>8378400</c:v>
                </c:pt>
                <c:pt idx="2">
                  <c:v>7817000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B-4FD4-8A66-1B203BC85C68}"/>
            </c:ext>
          </c:extLst>
        </c:ser>
        <c:ser>
          <c:idx val="1"/>
          <c:order val="1"/>
          <c:tx>
            <c:strRef>
              <c:f>A.RENTOWNOŚCI!$R$9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A.RENTOWNOŚCI!$S$9:$U$9</c:f>
              <c:numCache>
                <c:formatCode>0</c:formatCode>
                <c:ptCount val="3"/>
                <c:pt idx="0">
                  <c:v>2707328.91</c:v>
                </c:pt>
                <c:pt idx="1">
                  <c:v>2205047.9700000002</c:v>
                </c:pt>
                <c:pt idx="2">
                  <c:v>1777328.03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B-4FD4-8A66-1B203BC85C68}"/>
            </c:ext>
          </c:extLst>
        </c:ser>
        <c:ser>
          <c:idx val="2"/>
          <c:order val="2"/>
          <c:tx>
            <c:strRef>
              <c:f>A.RENTOWNOŚCI!$R$10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A.RENTOWNOŚCI!$S$10:$U$10</c:f>
              <c:numCache>
                <c:formatCode>0</c:formatCode>
                <c:ptCount val="3"/>
                <c:pt idx="0">
                  <c:v>8658000</c:v>
                </c:pt>
                <c:pt idx="1">
                  <c:v>11101000</c:v>
                </c:pt>
                <c:pt idx="2">
                  <c:v>8809000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B-4FD4-8A66-1B203BC85C68}"/>
            </c:ext>
          </c:extLst>
        </c:ser>
        <c:ser>
          <c:idx val="3"/>
          <c:order val="3"/>
          <c:tx>
            <c:strRef>
              <c:f>A.RENTOWNOŚCI!$R$11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A.RENTOWNOŚCI!$S$11:$U$11</c:f>
              <c:numCache>
                <c:formatCode>0</c:formatCode>
                <c:ptCount val="3"/>
                <c:pt idx="0">
                  <c:v>6134489</c:v>
                </c:pt>
                <c:pt idx="1">
                  <c:v>6049858</c:v>
                </c:pt>
                <c:pt idx="2">
                  <c:v>5872603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B-4FD4-8A66-1B203BC85C68}"/>
            </c:ext>
          </c:extLst>
        </c:ser>
        <c:ser>
          <c:idx val="4"/>
          <c:order val="4"/>
          <c:tx>
            <c:strRef>
              <c:f>A.RENTOWNOŚCI!$R$12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A.RENTOWNOŚCI!$S$12:$U$12</c:f>
              <c:numCache>
                <c:formatCode>0</c:formatCode>
                <c:ptCount val="3"/>
                <c:pt idx="0">
                  <c:v>6736554.4775</c:v>
                </c:pt>
                <c:pt idx="1">
                  <c:v>6933576.4924999997</c:v>
                </c:pt>
                <c:pt idx="2">
                  <c:v>6068982.7575000003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B-4FD4-8A66-1B203BC8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401272"/>
        <c:axId val="356403192"/>
      </c:barChart>
      <c:catAx>
        <c:axId val="35640127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403192"/>
        <c:crosses val="autoZero"/>
        <c:auto val="1"/>
        <c:lblAlgn val="ctr"/>
        <c:lblOffset val="100"/>
        <c:noMultiLvlLbl val="0"/>
      </c:catAx>
      <c:valAx>
        <c:axId val="3564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4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</a:t>
            </a:r>
          </a:p>
        </c:rich>
      </c:tx>
      <c:layout>
        <c:manualLayout>
          <c:xMode val="edge"/>
          <c:yMode val="edge"/>
          <c:x val="0.379798556430446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A.RENTOWNOŚCI!$R$14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A.RENTOWNOŚCI!$S$14:$U$14</c:f>
              <c:numCache>
                <c:formatCode>0%</c:formatCode>
                <c:ptCount val="3"/>
                <c:pt idx="0">
                  <c:v>9.5459956663611997E-2</c:v>
                </c:pt>
                <c:pt idx="1">
                  <c:v>7.6370237972693503E-2</c:v>
                </c:pt>
                <c:pt idx="2">
                  <c:v>9.6168325092078219E-2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BC7-A555-A7DC7D942683}"/>
            </c:ext>
          </c:extLst>
        </c:ser>
        <c:ser>
          <c:idx val="1"/>
          <c:order val="1"/>
          <c:tx>
            <c:strRef>
              <c:f>A.RENTOWNOŚCI!$R$15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A.RENTOWNOŚCI!$S$15:$U$15</c:f>
              <c:numCache>
                <c:formatCode>0%</c:formatCode>
                <c:ptCount val="3"/>
                <c:pt idx="0">
                  <c:v>3.2900114083293998E-2</c:v>
                </c:pt>
                <c:pt idx="1">
                  <c:v>1.5839337953269107E-3</c:v>
                </c:pt>
                <c:pt idx="2">
                  <c:v>3.1721775073788712E-4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5-4BC7-A555-A7DC7D942683}"/>
            </c:ext>
          </c:extLst>
        </c:ser>
        <c:ser>
          <c:idx val="2"/>
          <c:order val="2"/>
          <c:tx>
            <c:strRef>
              <c:f>A.RENTOWNOŚCI!$R$16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A.RENTOWNOŚCI!$S$16:$U$16</c:f>
              <c:numCache>
                <c:formatCode>0%</c:formatCode>
                <c:ptCount val="3"/>
                <c:pt idx="0">
                  <c:v>7.978257057688936E-3</c:v>
                </c:pt>
                <c:pt idx="1">
                  <c:v>9.008197459688316E-4</c:v>
                </c:pt>
                <c:pt idx="2">
                  <c:v>-5.2719444688515945E-3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5-4BC7-A555-A7DC7D942683}"/>
            </c:ext>
          </c:extLst>
        </c:ser>
        <c:ser>
          <c:idx val="3"/>
          <c:order val="3"/>
          <c:tx>
            <c:strRef>
              <c:f>A.RENTOWNOŚCI!$R$17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A.RENTOWNOŚCI!$S$17:$U$17</c:f>
              <c:numCache>
                <c:formatCode>0%</c:formatCode>
                <c:ptCount val="3"/>
                <c:pt idx="0">
                  <c:v>0.12313129007650175</c:v>
                </c:pt>
                <c:pt idx="1">
                  <c:v>0.10887379539088787</c:v>
                </c:pt>
                <c:pt idx="2">
                  <c:v>5.8074091221418621E-2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5-4BC7-A555-A7DC7D942683}"/>
            </c:ext>
          </c:extLst>
        </c:ser>
        <c:ser>
          <c:idx val="4"/>
          <c:order val="4"/>
          <c:tx>
            <c:strRef>
              <c:f>A.RENTOWNOŚCI!$R$18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A.RENTOWNOŚCI!$S$18:$U$18</c:f>
              <c:numCache>
                <c:formatCode>0%</c:formatCode>
                <c:ptCount val="3"/>
                <c:pt idx="0">
                  <c:v>6.5842109432283663E-2</c:v>
                </c:pt>
                <c:pt idx="1">
                  <c:v>5.1058400254460665E-2</c:v>
                </c:pt>
                <c:pt idx="2">
                  <c:v>4.2928109464864035E-2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5-4BC7-A555-A7DC7D94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404152"/>
        <c:axId val="356404472"/>
      </c:barChart>
      <c:catAx>
        <c:axId val="35640415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404472"/>
        <c:crosses val="autoZero"/>
        <c:auto val="1"/>
        <c:lblAlgn val="ctr"/>
        <c:lblOffset val="100"/>
        <c:noMultiLvlLbl val="0"/>
      </c:catAx>
      <c:valAx>
        <c:axId val="3564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4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845754224625147"/>
          <c:y val="0.1756770792477608"/>
          <c:w val="0.86311333999698236"/>
          <c:h val="0.52395452921129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A.RENTOWNOŚCI!$R$20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A.RENTOWNOŚCI!$S$20:$U$20</c:f>
              <c:numCache>
                <c:formatCode>0%</c:formatCode>
                <c:ptCount val="3"/>
                <c:pt idx="0">
                  <c:v>7.3728146477308062E-2</c:v>
                </c:pt>
                <c:pt idx="1">
                  <c:v>5.619207623559222E-2</c:v>
                </c:pt>
                <c:pt idx="2">
                  <c:v>7.8007394691667772E-2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81D-AF2F-CD8CDE1CCA85}"/>
            </c:ext>
          </c:extLst>
        </c:ser>
        <c:ser>
          <c:idx val="1"/>
          <c:order val="1"/>
          <c:tx>
            <c:strRef>
              <c:f>A.RENTOWNOŚCI!$R$21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A.RENTOWNOŚCI!$S$21:$U$21</c:f>
              <c:numCache>
                <c:formatCode>0%</c:formatCode>
                <c:ptCount val="3"/>
                <c:pt idx="0">
                  <c:v>0.16045640223466584</c:v>
                </c:pt>
                <c:pt idx="1">
                  <c:v>7.4942890283986275E-3</c:v>
                </c:pt>
                <c:pt idx="2">
                  <c:v>1.2188982059582545E-3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A-481D-AF2F-CD8CDE1CCA85}"/>
            </c:ext>
          </c:extLst>
        </c:ser>
        <c:ser>
          <c:idx val="2"/>
          <c:order val="2"/>
          <c:tx>
            <c:strRef>
              <c:f>A.RENTOWNOŚCI!$R$22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A.RENTOWNOŚCI!$S$22:$U$22</c:f>
              <c:numCache>
                <c:formatCode>0%</c:formatCode>
                <c:ptCount val="3"/>
                <c:pt idx="0">
                  <c:v>8.6109008327024984E-3</c:v>
                </c:pt>
                <c:pt idx="1">
                  <c:v>9.519276534983341E-4</c:v>
                </c:pt>
                <c:pt idx="2">
                  <c:v>-6.0374320788891128E-3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A-481D-AF2F-CD8CDE1CCA85}"/>
            </c:ext>
          </c:extLst>
        </c:ser>
        <c:ser>
          <c:idx val="3"/>
          <c:order val="3"/>
          <c:tx>
            <c:strRef>
              <c:f>A.RENTOWNOŚCI!$R$23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A.RENTOWNOŚCI!$S$23:$U$23</c:f>
              <c:numCache>
                <c:formatCode>0%</c:formatCode>
                <c:ptCount val="3"/>
                <c:pt idx="0">
                  <c:v>2.6952554460863105</c:v>
                </c:pt>
                <c:pt idx="1">
                  <c:v>-3.7130319440704507</c:v>
                </c:pt>
                <c:pt idx="2">
                  <c:v>-1.8221273032613758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A-481D-AF2F-CD8CDE1CCA85}"/>
            </c:ext>
          </c:extLst>
        </c:ser>
        <c:ser>
          <c:idx val="4"/>
          <c:order val="4"/>
          <c:tx>
            <c:strRef>
              <c:f>A.RENTOWNOŚCI!$R$24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A.RENTOWNOŚCI!$S$24:$U$24</c:f>
              <c:numCache>
                <c:formatCode>0%</c:formatCode>
                <c:ptCount val="3"/>
                <c:pt idx="0">
                  <c:v>8.1378303973785746E-2</c:v>
                </c:pt>
                <c:pt idx="1">
                  <c:v>6.2236208322315759E-2</c:v>
                </c:pt>
                <c:pt idx="2">
                  <c:v>5.7077916824488657E-2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A-481D-AF2F-CD8CDE1C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41776"/>
        <c:axId val="552740176"/>
      </c:barChart>
      <c:catAx>
        <c:axId val="55274177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40176"/>
        <c:crosses val="autoZero"/>
        <c:auto val="1"/>
        <c:lblAlgn val="ctr"/>
        <c:lblOffset val="100"/>
        <c:noMultiLvlLbl val="0"/>
      </c:catAx>
      <c:valAx>
        <c:axId val="5527401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A.RENTOWNOŚCI!$R$26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A.RENTOWNOŚCI!$S$26:$U$26</c:f>
              <c:numCache>
                <c:formatCode>0%</c:formatCode>
                <c:ptCount val="3"/>
                <c:pt idx="0">
                  <c:v>3.4201094827797825E-2</c:v>
                </c:pt>
                <c:pt idx="1">
                  <c:v>2.658583305100206E-2</c:v>
                </c:pt>
                <c:pt idx="2">
                  <c:v>3.4053898256232888E-2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8-4210-98C0-A0D9F3EBACE7}"/>
            </c:ext>
          </c:extLst>
        </c:ser>
        <c:ser>
          <c:idx val="1"/>
          <c:order val="1"/>
          <c:tx>
            <c:strRef>
              <c:f>A.RENTOWNOŚCI!$R$27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A.RENTOWNOŚCI!$S$27:$U$27</c:f>
              <c:numCache>
                <c:formatCode>0%</c:formatCode>
                <c:ptCount val="3"/>
                <c:pt idx="0">
                  <c:v>4.1442616513868907E-2</c:v>
                </c:pt>
                <c:pt idx="1">
                  <c:v>2.3567790534668154E-3</c:v>
                </c:pt>
                <c:pt idx="2">
                  <c:v>3.7934946908433698E-4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8-4210-98C0-A0D9F3EBACE7}"/>
            </c:ext>
          </c:extLst>
        </c:ser>
        <c:ser>
          <c:idx val="2"/>
          <c:order val="2"/>
          <c:tx>
            <c:strRef>
              <c:f>A.RENTOWNOŚCI!$R$28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A.RENTOWNOŚCI!$S$28:$U$28</c:f>
              <c:numCache>
                <c:formatCode>0%</c:formatCode>
                <c:ptCount val="3"/>
                <c:pt idx="0">
                  <c:v>3.7387017255546425E-3</c:v>
                </c:pt>
                <c:pt idx="1">
                  <c:v>4.2927666881305E-4</c:v>
                </c:pt>
                <c:pt idx="2">
                  <c:v>-2.616317097632233E-3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8-4210-98C0-A0D9F3EBACE7}"/>
            </c:ext>
          </c:extLst>
        </c:ser>
        <c:ser>
          <c:idx val="3"/>
          <c:order val="3"/>
          <c:tx>
            <c:strRef>
              <c:f>A.RENTOWNOŚCI!$R$29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A.RENTOWNOŚCI!$S$29:$U$29</c:f>
              <c:numCache>
                <c:formatCode>0%</c:formatCode>
                <c:ptCount val="3"/>
                <c:pt idx="0">
                  <c:v>9.7566061919449595E-2</c:v>
                </c:pt>
                <c:pt idx="1">
                  <c:v>8.7389317435119712E-2</c:v>
                </c:pt>
                <c:pt idx="2">
                  <c:v>4.3862230747271337E-2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8-4210-98C0-A0D9F3EBACE7}"/>
            </c:ext>
          </c:extLst>
        </c:ser>
        <c:ser>
          <c:idx val="4"/>
          <c:order val="4"/>
          <c:tx>
            <c:strRef>
              <c:f>A.RENTOWNOŚCI!$R$30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A.RENTOWNOŚCI!$S$30:$U$30</c:f>
              <c:numCache>
                <c:formatCode>0%</c:formatCode>
                <c:ptCount val="3"/>
                <c:pt idx="0">
                  <c:v>3.1804957528365187E-2</c:v>
                </c:pt>
                <c:pt idx="1">
                  <c:v>2.4599014647540069E-2</c:v>
                </c:pt>
                <c:pt idx="2">
                  <c:v>2.0868532243509021E-2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8-4210-98C0-A0D9F3EB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15288"/>
        <c:axId val="346264240"/>
      </c:barChart>
      <c:catAx>
        <c:axId val="529615288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264240"/>
        <c:crosses val="autoZero"/>
        <c:auto val="1"/>
        <c:lblAlgn val="ctr"/>
        <c:lblOffset val="100"/>
        <c:noMultiLvlLbl val="0"/>
      </c:catAx>
      <c:valAx>
        <c:axId val="34626424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6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MARŻY BRUTTO (WMB)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A.RENTOWNOŚCI!$R$33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A.RENTOWNOŚCI!$S$33:$U$33</c:f>
              <c:numCache>
                <c:formatCode>0%</c:formatCode>
                <c:ptCount val="3"/>
                <c:pt idx="0">
                  <c:v>0.35942652084171939</c:v>
                </c:pt>
                <c:pt idx="1">
                  <c:v>0.37756524831322935</c:v>
                </c:pt>
                <c:pt idx="2">
                  <c:v>0.39126630445841726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4-4685-93A3-1A9546A90638}"/>
            </c:ext>
          </c:extLst>
        </c:ser>
        <c:ser>
          <c:idx val="1"/>
          <c:order val="1"/>
          <c:tx>
            <c:strRef>
              <c:f>A.RENTOWNOŚCI!$R$34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A.RENTOWNOŚCI!$S$34:$U$34</c:f>
              <c:numCache>
                <c:formatCode>0%</c:formatCode>
                <c:ptCount val="3"/>
                <c:pt idx="0">
                  <c:v>0.1190420671864358</c:v>
                </c:pt>
                <c:pt idx="1">
                  <c:v>9.278111532421672E-2</c:v>
                </c:pt>
                <c:pt idx="2">
                  <c:v>0.10968679765884298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4-4685-93A3-1A9546A90638}"/>
            </c:ext>
          </c:extLst>
        </c:ser>
        <c:ser>
          <c:idx val="2"/>
          <c:order val="2"/>
          <c:tx>
            <c:strRef>
              <c:f>A.RENTOWNOŚCI!$R$35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A.RENTOWNOŚCI!$S$35:$U$35</c:f>
              <c:numCache>
                <c:formatCode>0%</c:formatCode>
                <c:ptCount val="3"/>
                <c:pt idx="0">
                  <c:v>0.24092582851130984</c:v>
                </c:pt>
                <c:pt idx="1">
                  <c:v>0</c:v>
                </c:pt>
                <c:pt idx="2">
                  <c:v>0.24611194095422195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4-4685-93A3-1A9546A90638}"/>
            </c:ext>
          </c:extLst>
        </c:ser>
        <c:ser>
          <c:idx val="3"/>
          <c:order val="3"/>
          <c:tx>
            <c:strRef>
              <c:f>A.RENTOWNOŚCI!$R$36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A.RENTOWNOŚCI!$S$36:$U$36</c:f>
              <c:numCache>
                <c:formatCode>0%</c:formatCode>
                <c:ptCount val="3"/>
                <c:pt idx="0">
                  <c:v>0.34171202994906935</c:v>
                </c:pt>
                <c:pt idx="1">
                  <c:v>0.31582150291235106</c:v>
                </c:pt>
                <c:pt idx="2">
                  <c:v>0.28548414591672777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4-4685-93A3-1A9546A90638}"/>
            </c:ext>
          </c:extLst>
        </c:ser>
        <c:ser>
          <c:idx val="4"/>
          <c:order val="4"/>
          <c:tx>
            <c:strRef>
              <c:f>A.RENTOWNOŚCI!$R$37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A.RENTOWNOŚCI!$S$37:$U$37</c:f>
              <c:numCache>
                <c:formatCode>0%</c:formatCode>
                <c:ptCount val="3"/>
                <c:pt idx="0">
                  <c:v>0.29463425017007472</c:v>
                </c:pt>
                <c:pt idx="1">
                  <c:v>0.20755653009937355</c:v>
                </c:pt>
                <c:pt idx="2">
                  <c:v>0.29489669299486482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4-4685-93A3-1A9546A9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24112"/>
        <c:axId val="599725072"/>
      </c:barChart>
      <c:catAx>
        <c:axId val="59972411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725072"/>
        <c:crosses val="autoZero"/>
        <c:auto val="1"/>
        <c:lblAlgn val="ctr"/>
        <c:lblOffset val="100"/>
        <c:noMultiLvlLbl val="0"/>
      </c:catAx>
      <c:valAx>
        <c:axId val="5997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7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RĘTOWNOŚCI OPERACYJNEJ (WRO)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A.RENTOWNOŚCI!$R$39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A.RENTOWNOŚCI!$S$39:$U$39</c:f>
              <c:numCache>
                <c:formatCode>0%</c:formatCode>
                <c:ptCount val="3"/>
                <c:pt idx="0">
                  <c:v>0.1678069921001894</c:v>
                </c:pt>
                <c:pt idx="1">
                  <c:v>0.16131442769339985</c:v>
                </c:pt>
                <c:pt idx="2">
                  <c:v>0.18619478370338785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D-42E7-8206-6C89990C6F13}"/>
            </c:ext>
          </c:extLst>
        </c:ser>
        <c:ser>
          <c:idx val="1"/>
          <c:order val="1"/>
          <c:tx>
            <c:strRef>
              <c:f>A.RENTOWNOŚCI!$R$40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A.RENTOWNOŚCI!$S$40:$U$40</c:f>
              <c:numCache>
                <c:formatCode>0%</c:formatCode>
                <c:ptCount val="3"/>
                <c:pt idx="0">
                  <c:v>4.1005821141527246E-2</c:v>
                </c:pt>
                <c:pt idx="1">
                  <c:v>6.7107935045044387E-3</c:v>
                </c:pt>
                <c:pt idx="2">
                  <c:v>1.3538579065603002E-2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D-42E7-8206-6C89990C6F13}"/>
            </c:ext>
          </c:extLst>
        </c:ser>
        <c:ser>
          <c:idx val="2"/>
          <c:order val="2"/>
          <c:tx>
            <c:strRef>
              <c:f>A.RENTOWNOŚCI!$R$41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A.RENTOWNOŚCI!$S$41:$U$41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1.9606164383561643E-2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D-42E7-8206-6C89990C6F13}"/>
            </c:ext>
          </c:extLst>
        </c:ser>
        <c:ser>
          <c:idx val="3"/>
          <c:order val="3"/>
          <c:tx>
            <c:strRef>
              <c:f>A.RENTOWNOŚCI!$R$42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A.RENTOWNOŚCI!$S$42:$U$42</c:f>
              <c:numCache>
                <c:formatCode>0%</c:formatCode>
                <c:ptCount val="3"/>
                <c:pt idx="0">
                  <c:v>0.21069433427212791</c:v>
                </c:pt>
                <c:pt idx="1">
                  <c:v>0.19814707489981404</c:v>
                </c:pt>
                <c:pt idx="2">
                  <c:v>0.16326582086917044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D-42E7-8206-6C89990C6F13}"/>
            </c:ext>
          </c:extLst>
        </c:ser>
        <c:ser>
          <c:idx val="4"/>
          <c:order val="4"/>
          <c:tx>
            <c:strRef>
              <c:f>A.RENTOWNOŚCI!$R$43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A.RENTOWNOŚCI!$S$43:$U$43</c:f>
              <c:numCache>
                <c:formatCode>0%</c:formatCode>
                <c:ptCount val="3"/>
                <c:pt idx="0">
                  <c:v>0.1077076575997377</c:v>
                </c:pt>
                <c:pt idx="1">
                  <c:v>9.97063008997916E-2</c:v>
                </c:pt>
                <c:pt idx="2">
                  <c:v>0.10607416290987585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D-42E7-8206-6C89990C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46896"/>
        <c:axId val="552748176"/>
      </c:barChart>
      <c:catAx>
        <c:axId val="55274689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48176"/>
        <c:crosses val="autoZero"/>
        <c:auto val="1"/>
        <c:lblAlgn val="ctr"/>
        <c:lblOffset val="100"/>
        <c:noMultiLvlLbl val="0"/>
      </c:catAx>
      <c:valAx>
        <c:axId val="552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ANALIZA ZYSKU (STRATY) NETTO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A.RENTOWNOŚCI!$R$45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A.RENTOWNOŚCI!$S$44:$U$44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A.RENTOWNOŚCI!$S$45:$U$45</c:f>
              <c:numCache>
                <c:formatCode>0,00</c:formatCode>
                <c:ptCount val="3"/>
                <c:pt idx="0">
                  <c:v>1114600</c:v>
                </c:pt>
                <c:pt idx="1">
                  <c:v>816100</c:v>
                </c:pt>
                <c:pt idx="2">
                  <c:v>945200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0-400A-8C3B-E1EE6F7CDCCE}"/>
            </c:ext>
          </c:extLst>
        </c:ser>
        <c:ser>
          <c:idx val="1"/>
          <c:order val="1"/>
          <c:tx>
            <c:strRef>
              <c:f>A.RENTOWNOŚCI!$R$46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A.RENTOWNOŚCI!$S$44:$U$44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A.RENTOWNOŚCI!$S$46:$U$46</c:f>
              <c:numCache>
                <c:formatCode>0,00</c:formatCode>
                <c:ptCount val="3"/>
                <c:pt idx="0">
                  <c:v>89071.43</c:v>
                </c:pt>
                <c:pt idx="1">
                  <c:v>3492.65</c:v>
                </c:pt>
                <c:pt idx="2">
                  <c:v>563.79999999999995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0-400A-8C3B-E1EE6F7CDCCE}"/>
            </c:ext>
          </c:extLst>
        </c:ser>
        <c:ser>
          <c:idx val="2"/>
          <c:order val="2"/>
          <c:tx>
            <c:strRef>
              <c:f>A.RENTOWNOŚCI!$R$47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A.RENTOWNOŚCI!$S$44:$U$44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A.RENTOWNOŚCI!$S$47:$U$47</c:f>
              <c:numCache>
                <c:formatCode>0,00</c:formatCode>
                <c:ptCount val="3"/>
                <c:pt idx="0">
                  <c:v>91000</c:v>
                </c:pt>
                <c:pt idx="1">
                  <c:v>10000</c:v>
                </c:pt>
                <c:pt idx="2">
                  <c:v>-60000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0-400A-8C3B-E1EE6F7CDCCE}"/>
            </c:ext>
          </c:extLst>
        </c:ser>
        <c:ser>
          <c:idx val="3"/>
          <c:order val="3"/>
          <c:tx>
            <c:strRef>
              <c:f>A.RENTOWNOŚCI!$R$48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A.RENTOWNOŚCI!$S$44:$U$44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A.RENTOWNOŚCI!$S$48:$U$48</c:f>
              <c:numCache>
                <c:formatCode>0,00</c:formatCode>
                <c:ptCount val="3"/>
                <c:pt idx="0">
                  <c:v>866937</c:v>
                </c:pt>
                <c:pt idx="1">
                  <c:v>744604</c:v>
                </c:pt>
                <c:pt idx="2">
                  <c:v>387346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0-400A-8C3B-E1EE6F7CDCCE}"/>
            </c:ext>
          </c:extLst>
        </c:ser>
        <c:ser>
          <c:idx val="4"/>
          <c:order val="4"/>
          <c:tx>
            <c:strRef>
              <c:f>A.RENTOWNOŚCI!$R$49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A.RENTOWNOŚCI!$S$44:$U$44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A.RENTOWNOŚCI!$S$49:$U$49</c:f>
              <c:numCache>
                <c:formatCode>0,00</c:formatCode>
                <c:ptCount val="3"/>
                <c:pt idx="0">
                  <c:v>540402.10749999993</c:v>
                </c:pt>
                <c:pt idx="1">
                  <c:v>393549.16249999998</c:v>
                </c:pt>
                <c:pt idx="2">
                  <c:v>318277.45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0-400A-8C3B-E1EE6F7C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30584"/>
        <c:axId val="597831864"/>
      </c:barChart>
      <c:catAx>
        <c:axId val="59783058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31864"/>
        <c:crosses val="autoZero"/>
        <c:auto val="1"/>
        <c:lblAlgn val="ctr"/>
        <c:lblOffset val="100"/>
        <c:noMultiLvlLbl val="0"/>
      </c:catAx>
      <c:valAx>
        <c:axId val="5978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3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BEAVERA 2019 </a:t>
            </a:r>
          </a:p>
        </c:rich>
      </c:tx>
      <c:layout>
        <c:manualLayout>
          <c:xMode val="edge"/>
          <c:yMode val="edge"/>
          <c:x val="0.349243000874890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SYNTETYCZNA'!$S$32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'A. SYNTETYCZNA'!$T$31:$Y$31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SYNTETYCZNA'!$T$32:$Y$32</c:f>
              <c:numCache>
                <c:formatCode>0,000</c:formatCode>
                <c:ptCount val="6"/>
                <c:pt idx="0">
                  <c:v>0.10390398296693548</c:v>
                </c:pt>
                <c:pt idx="1">
                  <c:v>3.4201094827797825E-2</c:v>
                </c:pt>
                <c:pt idx="2">
                  <c:v>0.53611888455212708</c:v>
                </c:pt>
                <c:pt idx="3">
                  <c:v>0.84947684128012002</c:v>
                </c:pt>
                <c:pt idx="4">
                  <c:v>-2.7103738616000198E-2</c:v>
                </c:pt>
                <c:pt idx="5">
                  <c:v>0.25428529569761193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8-4CBB-9EF8-A244B0458BB3}"/>
            </c:ext>
          </c:extLst>
        </c:ser>
        <c:ser>
          <c:idx val="1"/>
          <c:order val="1"/>
          <c:tx>
            <c:strRef>
              <c:f>'A. SYNTETYCZNA'!$S$33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'A. SYNTETYCZNA'!$T$31:$Y$31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SYNTETYCZNA'!$T$33:$Y$33</c:f>
              <c:numCache>
                <c:formatCode>0,000</c:formatCode>
                <c:ptCount val="6"/>
                <c:pt idx="0">
                  <c:v>4.1442616513868907E-2</c:v>
                </c:pt>
                <c:pt idx="1">
                  <c:v>4.1442616513868907E-2</c:v>
                </c:pt>
                <c:pt idx="2">
                  <c:v>0.74172039297466297</c:v>
                </c:pt>
                <c:pt idx="3">
                  <c:v>1.2354971280237734</c:v>
                </c:pt>
                <c:pt idx="4">
                  <c:v>0.10061033288122818</c:v>
                </c:pt>
                <c:pt idx="5">
                  <c:v>0.27302388581654552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8-4CBB-9EF8-A244B0458BB3}"/>
            </c:ext>
          </c:extLst>
        </c:ser>
        <c:ser>
          <c:idx val="2"/>
          <c:order val="2"/>
          <c:tx>
            <c:strRef>
              <c:f>'A. SYNTETYCZNA'!$S$34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'A. SYNTETYCZNA'!$T$31:$Y$31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SYNTETYCZNA'!$T$34:$Y$34</c:f>
              <c:numCache>
                <c:formatCode>0,000</c:formatCode>
                <c:ptCount val="6"/>
                <c:pt idx="0">
                  <c:v>2.1565495207667731E-2</c:v>
                </c:pt>
                <c:pt idx="1">
                  <c:v>3.7387017255546425E-3</c:v>
                </c:pt>
                <c:pt idx="2">
                  <c:v>0.56581758422350037</c:v>
                </c:pt>
                <c:pt idx="3">
                  <c:v>0.85361681329423267</c:v>
                </c:pt>
                <c:pt idx="4">
                  <c:v>-2.4609695973705836E-2</c:v>
                </c:pt>
                <c:pt idx="5">
                  <c:v>0.11986749865187582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8-4CBB-9EF8-A244B0458BB3}"/>
            </c:ext>
          </c:extLst>
        </c:ser>
        <c:ser>
          <c:idx val="3"/>
          <c:order val="3"/>
          <c:tx>
            <c:strRef>
              <c:f>'A. SYNTETYCZNA'!$S$35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'A. SYNTETYCZNA'!$T$31:$Y$31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SYNTETYCZNA'!$T$35:$Y$35</c:f>
              <c:numCache>
                <c:formatCode>0,000</c:formatCode>
                <c:ptCount val="6"/>
                <c:pt idx="0">
                  <c:v>0.15373503559323062</c:v>
                </c:pt>
                <c:pt idx="1">
                  <c:v>9.7566061919449595E-2</c:v>
                </c:pt>
                <c:pt idx="2">
                  <c:v>0.9638008107687448</c:v>
                </c:pt>
                <c:pt idx="3">
                  <c:v>1.4843732128638989</c:v>
                </c:pt>
                <c:pt idx="4">
                  <c:v>9.8656135218607194E-2</c:v>
                </c:pt>
                <c:pt idx="5">
                  <c:v>0.10383427042197625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8-4CBB-9EF8-A244B0458BB3}"/>
            </c:ext>
          </c:extLst>
        </c:ser>
        <c:ser>
          <c:idx val="4"/>
          <c:order val="4"/>
          <c:tx>
            <c:strRef>
              <c:f>'A. SYNTETYCZNA'!$S$36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'A. SYNTETYCZNA'!$T$31:$Y$31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'A. SYNTETYCZNA'!$T$36:$Y$36</c:f>
              <c:numCache>
                <c:formatCode>0,000</c:formatCode>
                <c:ptCount val="6"/>
                <c:pt idx="0">
                  <c:v>9.2405078270524771E-2</c:v>
                </c:pt>
                <c:pt idx="1">
                  <c:v>3.1804957528365187E-2</c:v>
                </c:pt>
                <c:pt idx="2">
                  <c:v>0.60917153620441067</c:v>
                </c:pt>
                <c:pt idx="3">
                  <c:v>0.96930714334275037</c:v>
                </c:pt>
                <c:pt idx="4">
                  <c:v>-5.7300210993244775E-3</c:v>
                </c:pt>
                <c:pt idx="5">
                  <c:v>0.16399871282741618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8-4CBB-9EF8-A244B045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70352"/>
        <c:axId val="525468752"/>
      </c:barChart>
      <c:catAx>
        <c:axId val="52547035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68752"/>
        <c:crosses val="autoZero"/>
        <c:auto val="1"/>
        <c:lblAlgn val="ctr"/>
        <c:lblOffset val="100"/>
        <c:noMultiLvlLbl val="0"/>
      </c:catAx>
      <c:valAx>
        <c:axId val="525468752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STRUKTURY AKTYWÓW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M-K.'!$R$2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M-K.'!$S$2:$U$2</c:f>
              <c:numCache>
                <c:formatCode>0,000</c:formatCode>
                <c:ptCount val="3"/>
                <c:pt idx="0">
                  <c:v>0.8470401600510592</c:v>
                </c:pt>
                <c:pt idx="1">
                  <c:v>0.82334640744312115</c:v>
                </c:pt>
                <c:pt idx="2">
                  <c:v>0.85835495028102027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DA6-9FD5-F614B136F0E7}"/>
            </c:ext>
          </c:extLst>
        </c:ser>
        <c:ser>
          <c:idx val="1"/>
          <c:order val="1"/>
          <c:tx>
            <c:strRef>
              <c:f>'A. SYTUACJI M-K.'!$R$3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M-K.'!$S$3:$U$3</c:f>
              <c:numCache>
                <c:formatCode>0,000</c:formatCode>
                <c:ptCount val="3"/>
                <c:pt idx="0">
                  <c:v>0.47216435984847865</c:v>
                </c:pt>
                <c:pt idx="1">
                  <c:v>0.59179777054970273</c:v>
                </c:pt>
                <c:pt idx="2">
                  <c:v>0.50619776156630347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A-4DA6-9FD5-F614B136F0E7}"/>
            </c:ext>
          </c:extLst>
        </c:ser>
        <c:ser>
          <c:idx val="2"/>
          <c:order val="2"/>
          <c:tx>
            <c:strRef>
              <c:f>'A. SYTUACJI M-K.'!$R$4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M-K.'!$S$4:$U$4</c:f>
              <c:numCache>
                <c:formatCode>0,000</c:formatCode>
                <c:ptCount val="3"/>
                <c:pt idx="0">
                  <c:v>0.85649137222678717</c:v>
                </c:pt>
                <c:pt idx="1">
                  <c:v>0.82962009014810045</c:v>
                </c:pt>
                <c:pt idx="2">
                  <c:v>0.85727990232416174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A-4DA6-9FD5-F614B136F0E7}"/>
            </c:ext>
          </c:extLst>
        </c:ser>
        <c:ser>
          <c:idx val="3"/>
          <c:order val="3"/>
          <c:tx>
            <c:strRef>
              <c:f>'A. SYTUACJI M-K.'!$R$5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M-K.'!$S$5:$U$5</c:f>
              <c:numCache>
                <c:formatCode>0,000</c:formatCode>
                <c:ptCount val="3"/>
                <c:pt idx="0">
                  <c:v>0.69766593091033047</c:v>
                </c:pt>
                <c:pt idx="1">
                  <c:v>0.67108461930455565</c:v>
                </c:pt>
                <c:pt idx="2">
                  <c:v>0.62332083829079232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A-4DA6-9FD5-F614B136F0E7}"/>
            </c:ext>
          </c:extLst>
        </c:ser>
        <c:ser>
          <c:idx val="4"/>
          <c:order val="4"/>
          <c:tx>
            <c:strRef>
              <c:f>'A. SYTUACJI M-K.'!$R$6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M-K.'!$S$1:$U$1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M-K.'!$S$6:$U$6</c:f>
              <c:numCache>
                <c:formatCode>0,000</c:formatCode>
                <c:ptCount val="3"/>
                <c:pt idx="0">
                  <c:v>0.81904094346434841</c:v>
                </c:pt>
                <c:pt idx="1">
                  <c:v>0.79999506871682868</c:v>
                </c:pt>
                <c:pt idx="2">
                  <c:v>0.81534917060996981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A-4DA6-9FD5-F614B136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67664"/>
        <c:axId val="642864784"/>
      </c:barChart>
      <c:catAx>
        <c:axId val="6428676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64784"/>
        <c:crosses val="autoZero"/>
        <c:auto val="1"/>
        <c:lblAlgn val="ctr"/>
        <c:lblOffset val="100"/>
        <c:noMultiLvlLbl val="0"/>
      </c:catAx>
      <c:valAx>
        <c:axId val="6428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RENTOWNOŚCI RZECZOWYCH AKTYWÓW TRWAŁYCH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M-K.'!$S$8:$U$8</c:f>
              <c:numCache>
                <c:formatCode>0,000</c:formatCode>
                <c:ptCount val="3"/>
                <c:pt idx="0">
                  <c:v>0.37541033666692114</c:v>
                </c:pt>
                <c:pt idx="1">
                  <c:v>0.34152708288013922</c:v>
                </c:pt>
                <c:pt idx="2">
                  <c:v>0.57448941235434159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F-407E-B5D3-A8C92E361326}"/>
            </c:ext>
          </c:extLst>
        </c:ser>
        <c:ser>
          <c:idx val="1"/>
          <c:order val="1"/>
          <c:tx>
            <c:strRef>
              <c:f>'A. SYTUACJI M-K.'!$R$9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M-K.'!$S$9:$U$9</c:f>
              <c:numCache>
                <c:formatCode>0,000</c:formatCode>
                <c:ptCount val="3"/>
                <c:pt idx="0">
                  <c:v>0.18091387488609875</c:v>
                </c:pt>
                <c:pt idx="1">
                  <c:v>2.6364822589784068E-2</c:v>
                </c:pt>
                <c:pt idx="2">
                  <c:v>5.1444583452498888E-2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F-407E-B5D3-A8C92E361326}"/>
            </c:ext>
          </c:extLst>
        </c:ser>
        <c:ser>
          <c:idx val="2"/>
          <c:order val="2"/>
          <c:tx>
            <c:strRef>
              <c:f>'A. SYTUACJI M-K.'!$R$10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M-K.'!$S$10:$U$10</c:f>
              <c:numCache>
                <c:formatCode>0,000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2.1470091880742545E-2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F-407E-B5D3-A8C92E361326}"/>
            </c:ext>
          </c:extLst>
        </c:ser>
        <c:ser>
          <c:idx val="3"/>
          <c:order val="3"/>
          <c:tx>
            <c:strRef>
              <c:f>'A. SYTUACJI M-K.'!$R$11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M-K.'!$S$11:$U$11</c:f>
              <c:numCache>
                <c:formatCode>0,000</c:formatCode>
                <c:ptCount val="3"/>
                <c:pt idx="0">
                  <c:v>0.64786969042663223</c:v>
                </c:pt>
                <c:pt idx="1">
                  <c:v>0.70310700598584308</c:v>
                </c:pt>
                <c:pt idx="2">
                  <c:v>0.69804149339912136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F-407E-B5D3-A8C92E361326}"/>
            </c:ext>
          </c:extLst>
        </c:ser>
        <c:ser>
          <c:idx val="4"/>
          <c:order val="4"/>
          <c:tx>
            <c:strRef>
              <c:f>'A. SYTUACJI M-K.'!$R$12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M-K.'!$S$12:$U$12</c:f>
              <c:numCache>
                <c:formatCode>0,000</c:formatCode>
                <c:ptCount val="3"/>
                <c:pt idx="0">
                  <c:v>0.19265249272186954</c:v>
                </c:pt>
                <c:pt idx="1">
                  <c:v>0.16995667412597176</c:v>
                </c:pt>
                <c:pt idx="2">
                  <c:v>0.20066082798761176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F-407E-B5D3-A8C92E36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81968"/>
        <c:axId val="620785168"/>
      </c:barChart>
      <c:catAx>
        <c:axId val="620781968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785168"/>
        <c:crosses val="autoZero"/>
        <c:auto val="1"/>
        <c:lblAlgn val="ctr"/>
        <c:lblOffset val="100"/>
        <c:noMultiLvlLbl val="0"/>
      </c:catAx>
      <c:valAx>
        <c:axId val="620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7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WYKORZYSTANIA AKTYWÓW OGÓŁEM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M-K.'!$R$14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M-K.'!$S$14:$U$14</c:f>
              <c:numCache>
                <c:formatCode>0,000</c:formatCode>
                <c:ptCount val="3"/>
                <c:pt idx="0">
                  <c:v>0.35827687360384908</c:v>
                </c:pt>
                <c:pt idx="1">
                  <c:v>0.34811771911078682</c:v>
                </c:pt>
                <c:pt idx="2">
                  <c:v>0.35410722006052747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981-97BB-E7B86CCDD55E}"/>
            </c:ext>
          </c:extLst>
        </c:ser>
        <c:ser>
          <c:idx val="1"/>
          <c:order val="1"/>
          <c:tx>
            <c:strRef>
              <c:f>'A. SYTUACJI M-K.'!$R$15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M-K.'!$S$15:$U$15</c:f>
              <c:numCache>
                <c:formatCode>0,000</c:formatCode>
                <c:ptCount val="3"/>
                <c:pt idx="0">
                  <c:v>1.259649629449541</c:v>
                </c:pt>
                <c:pt idx="1">
                  <c:v>1.4879277533063786</c:v>
                </c:pt>
                <c:pt idx="2">
                  <c:v>1.1958645700056947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3-4981-97BB-E7B86CCDD55E}"/>
            </c:ext>
          </c:extLst>
        </c:ser>
        <c:ser>
          <c:idx val="2"/>
          <c:order val="2"/>
          <c:tx>
            <c:strRef>
              <c:f>'A. SYTUACJI M-K.'!$R$16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M-K.'!$S$16:$U$16</c:f>
              <c:numCache>
                <c:formatCode>0,000</c:formatCode>
                <c:ptCount val="3"/>
                <c:pt idx="0">
                  <c:v>0.46861133935907973</c:v>
                </c:pt>
                <c:pt idx="1">
                  <c:v>0.47654003004936679</c:v>
                </c:pt>
                <c:pt idx="2">
                  <c:v>0.49627174813587405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3-4981-97BB-E7B86CCDD55E}"/>
            </c:ext>
          </c:extLst>
        </c:ser>
        <c:ser>
          <c:idx val="3"/>
          <c:order val="3"/>
          <c:tx>
            <c:strRef>
              <c:f>'A. SYTUACJI M-K.'!$R$17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M-K.'!$S$17:$U$17</c:f>
              <c:numCache>
                <c:formatCode>0,000</c:formatCode>
                <c:ptCount val="3"/>
                <c:pt idx="0">
                  <c:v>0.79237423614120805</c:v>
                </c:pt>
                <c:pt idx="1">
                  <c:v>0.80266621661683801</c:v>
                </c:pt>
                <c:pt idx="2">
                  <c:v>0.75528053603177636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3-4981-97BB-E7B86CCDD55E}"/>
            </c:ext>
          </c:extLst>
        </c:ser>
        <c:ser>
          <c:idx val="4"/>
          <c:order val="4"/>
          <c:tx>
            <c:strRef>
              <c:f>'A. SYTUACJI M-K.'!$R$18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M-K.'!$S$13:$U$13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M-K.'!$S$18:$U$18</c:f>
              <c:numCache>
                <c:formatCode>0,000</c:formatCode>
                <c:ptCount val="3"/>
                <c:pt idx="0">
                  <c:v>0.48304888471222945</c:v>
                </c:pt>
                <c:pt idx="1">
                  <c:v>0.48178193059213603</c:v>
                </c:pt>
                <c:pt idx="2">
                  <c:v>0.486127446646342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3-4981-97BB-E7B86CCD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341840"/>
        <c:axId val="630339280"/>
      </c:barChart>
      <c:catAx>
        <c:axId val="63034184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39280"/>
        <c:crosses val="autoZero"/>
        <c:auto val="1"/>
        <c:lblAlgn val="ctr"/>
        <c:lblOffset val="100"/>
        <c:noMultiLvlLbl val="0"/>
      </c:catAx>
      <c:valAx>
        <c:axId val="6303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PRODUKTYWNOŚCI RZECZOWYCH AKTYWÓW TRWAŁYCH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M-K.'!$R$20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M-K.'!$S$20:$U$20</c:f>
              <c:numCache>
                <c:formatCode>0,000</c:formatCode>
                <c:ptCount val="3"/>
                <c:pt idx="0">
                  <c:v>2.2284334682036797</c:v>
                </c:pt>
                <c:pt idx="1">
                  <c:v>2.1132556805821978</c:v>
                </c:pt>
                <c:pt idx="2">
                  <c:v>3.0787495301340684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6D1-AE3D-11F1511CA716}"/>
            </c:ext>
          </c:extLst>
        </c:ser>
        <c:ser>
          <c:idx val="1"/>
          <c:order val="1"/>
          <c:tx>
            <c:strRef>
              <c:f>'A. SYTUACJI M-K.'!$R$21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M-K.'!$S$21:$U$21</c:f>
              <c:numCache>
                <c:formatCode>0,000</c:formatCode>
                <c:ptCount val="3"/>
                <c:pt idx="0">
                  <c:v>4.3454327241890232</c:v>
                </c:pt>
                <c:pt idx="1">
                  <c:v>3.8647836273028879</c:v>
                </c:pt>
                <c:pt idx="2">
                  <c:v>3.7428103553819567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6D1-AE3D-11F1511CA716}"/>
            </c:ext>
          </c:extLst>
        </c:ser>
        <c:ser>
          <c:idx val="2"/>
          <c:order val="2"/>
          <c:tx>
            <c:strRef>
              <c:f>'A. SYTUACJI M-K.'!$R$22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M-K.'!$S$22:$U$22</c:f>
              <c:numCache>
                <c:formatCode>0,000</c:formatCode>
                <c:ptCount val="3"/>
                <c:pt idx="0">
                  <c:v>1.0965199000192272</c:v>
                </c:pt>
                <c:pt idx="1">
                  <c:v>1.0338051778729744</c:v>
                </c:pt>
                <c:pt idx="2">
                  <c:v>1.0670354397149822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6-46D1-AE3D-11F1511CA716}"/>
            </c:ext>
          </c:extLst>
        </c:ser>
        <c:ser>
          <c:idx val="3"/>
          <c:order val="3"/>
          <c:tx>
            <c:strRef>
              <c:f>'A. SYTUACJI M-K.'!$R$23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M-K.'!$S$23:$U$23</c:f>
              <c:numCache>
                <c:formatCode>0,000</c:formatCode>
                <c:ptCount val="3"/>
                <c:pt idx="0">
                  <c:v>3.0417114882314773</c:v>
                </c:pt>
                <c:pt idx="1">
                  <c:v>3.5082754831789553</c:v>
                </c:pt>
                <c:pt idx="2">
                  <c:v>4.2062605868204415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6-46D1-AE3D-11F1511CA716}"/>
            </c:ext>
          </c:extLst>
        </c:ser>
        <c:ser>
          <c:idx val="4"/>
          <c:order val="4"/>
          <c:tx>
            <c:strRef>
              <c:f>'A. SYTUACJI M-K.'!$R$24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M-K.'!$S$24:$U$24</c:f>
              <c:numCache>
                <c:formatCode>0,000</c:formatCode>
                <c:ptCount val="3"/>
                <c:pt idx="0">
                  <c:v>1.7670241223630438</c:v>
                </c:pt>
                <c:pt idx="1">
                  <c:v>1.6834196832907262</c:v>
                </c:pt>
                <c:pt idx="2">
                  <c:v>1.8629849086955923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E6-46D1-AE3D-11F1511C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10296"/>
        <c:axId val="630809336"/>
      </c:barChart>
      <c:catAx>
        <c:axId val="63081029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09336"/>
        <c:crosses val="autoZero"/>
        <c:auto val="1"/>
        <c:lblAlgn val="ctr"/>
        <c:lblOffset val="100"/>
        <c:noMultiLvlLbl val="0"/>
      </c:catAx>
      <c:valAx>
        <c:axId val="6308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1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RENTOWNOŚCI RZECZOWYCH AKTYWÓW TRWAŁYCH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M-K.'!$R$26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M-K.'!$S$26:$U$26</c:f>
              <c:numCache>
                <c:formatCode>0,000</c:formatCode>
                <c:ptCount val="3"/>
                <c:pt idx="0">
                  <c:v>0.37541033666692114</c:v>
                </c:pt>
                <c:pt idx="1">
                  <c:v>0.34152708288013922</c:v>
                </c:pt>
                <c:pt idx="2">
                  <c:v>0.57448941235434159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8D7-B752-6D574A346205}"/>
            </c:ext>
          </c:extLst>
        </c:ser>
        <c:ser>
          <c:idx val="1"/>
          <c:order val="1"/>
          <c:tx>
            <c:strRef>
              <c:f>'A. SYTUACJI M-K.'!$R$27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M-K.'!$S$27:$U$27</c:f>
              <c:numCache>
                <c:formatCode>0,000</c:formatCode>
                <c:ptCount val="3"/>
                <c:pt idx="0">
                  <c:v>0.18091387488609875</c:v>
                </c:pt>
                <c:pt idx="1">
                  <c:v>2.6364822589784068E-2</c:v>
                </c:pt>
                <c:pt idx="2">
                  <c:v>5.1444583452498888E-2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8D7-B752-6D574A346205}"/>
            </c:ext>
          </c:extLst>
        </c:ser>
        <c:ser>
          <c:idx val="2"/>
          <c:order val="2"/>
          <c:tx>
            <c:strRef>
              <c:f>'A. SYTUACJI M-K.'!$R$28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M-K.'!$S$28:$U$28</c:f>
              <c:numCache>
                <c:formatCode>0,000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2.1470091880742545E-2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8D7-B752-6D574A346205}"/>
            </c:ext>
          </c:extLst>
        </c:ser>
        <c:ser>
          <c:idx val="3"/>
          <c:order val="3"/>
          <c:tx>
            <c:strRef>
              <c:f>'A. SYTUACJI M-K.'!$R$29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M-K.'!$S$29:$U$29</c:f>
              <c:numCache>
                <c:formatCode>0,000</c:formatCode>
                <c:ptCount val="3"/>
                <c:pt idx="0">
                  <c:v>0.64786969042663223</c:v>
                </c:pt>
                <c:pt idx="1">
                  <c:v>0.70310700598584308</c:v>
                </c:pt>
                <c:pt idx="2">
                  <c:v>0.69804149339912136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0-48D7-B752-6D574A346205}"/>
            </c:ext>
          </c:extLst>
        </c:ser>
        <c:ser>
          <c:idx val="4"/>
          <c:order val="4"/>
          <c:tx>
            <c:strRef>
              <c:f>'A. SYTUACJI M-K.'!$R$30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M-K.'!$S$25:$U$25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M-K.'!$S$30:$U$30</c:f>
              <c:numCache>
                <c:formatCode>0,000</c:formatCode>
                <c:ptCount val="3"/>
                <c:pt idx="0">
                  <c:v>0.19265249272186954</c:v>
                </c:pt>
                <c:pt idx="1">
                  <c:v>0.16995667412597176</c:v>
                </c:pt>
                <c:pt idx="2">
                  <c:v>0.20066082798761176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0-48D7-B752-6D574A34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15096"/>
        <c:axId val="630814136"/>
      </c:barChart>
      <c:catAx>
        <c:axId val="63081509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14136"/>
        <c:crosses val="autoZero"/>
        <c:auto val="1"/>
        <c:lblAlgn val="ctr"/>
        <c:lblOffset val="100"/>
        <c:noMultiLvlLbl val="0"/>
      </c:catAx>
      <c:valAx>
        <c:axId val="6308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1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STRUKTURY PASYWÓW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M-K.'!$R$33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M-K.'!$S$33:$U$33</c:f>
              <c:numCache>
                <c:formatCode>0,000</c:formatCode>
                <c:ptCount val="3"/>
                <c:pt idx="0">
                  <c:v>0.8652579284451033</c:v>
                </c:pt>
                <c:pt idx="1">
                  <c:v>0.89798063486960067</c:v>
                </c:pt>
                <c:pt idx="2">
                  <c:v>0.77477108803519357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917-95F8-3E1D1626AA0B}"/>
            </c:ext>
          </c:extLst>
        </c:ser>
        <c:ser>
          <c:idx val="1"/>
          <c:order val="1"/>
          <c:tx>
            <c:strRef>
              <c:f>'A. SYTUACJI M-K.'!$R$34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M-K.'!$S$34:$U$34</c:f>
              <c:numCache>
                <c:formatCode>0,000</c:formatCode>
                <c:ptCount val="3"/>
                <c:pt idx="0">
                  <c:v>0.34821694195235625</c:v>
                </c:pt>
                <c:pt idx="1">
                  <c:v>0.45873955767805513</c:v>
                </c:pt>
                <c:pt idx="2">
                  <c:v>0.45184925236961831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E-4917-95F8-3E1D1626AA0B}"/>
            </c:ext>
          </c:extLst>
        </c:ser>
        <c:ser>
          <c:idx val="2"/>
          <c:order val="2"/>
          <c:tx>
            <c:strRef>
              <c:f>'A. SYTUACJI M-K.'!$R$35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M-K.'!$S$35:$U$35</c:f>
              <c:numCache>
                <c:formatCode>0,000</c:formatCode>
                <c:ptCount val="3"/>
                <c:pt idx="0">
                  <c:v>0.76735405169909965</c:v>
                </c:pt>
                <c:pt idx="1">
                  <c:v>0.82134480062548865</c:v>
                </c:pt>
                <c:pt idx="2">
                  <c:v>0.76475567525971533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E-4917-95F8-3E1D1626AA0B}"/>
            </c:ext>
          </c:extLst>
        </c:ser>
        <c:ser>
          <c:idx val="3"/>
          <c:order val="3"/>
          <c:tx>
            <c:strRef>
              <c:f>'A. SYTUACJI M-K.'!$R$36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M-K.'!$S$36:$U$36</c:f>
              <c:numCache>
                <c:formatCode>0,000</c:formatCode>
                <c:ptCount val="3"/>
                <c:pt idx="0">
                  <c:v>3.7558786864250626E-2</c:v>
                </c:pt>
                <c:pt idx="1">
                  <c:v>-2.2994639652263092E-2</c:v>
                </c:pt>
                <c:pt idx="2">
                  <c:v>-2.3506150462185859E-2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E-4917-95F8-3E1D1626AA0B}"/>
            </c:ext>
          </c:extLst>
        </c:ser>
        <c:ser>
          <c:idx val="4"/>
          <c:order val="4"/>
          <c:tx>
            <c:strRef>
              <c:f>'A. SYTUACJI M-K.'!$R$37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M-K.'!$S$32:$U$32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M-K.'!$S$37:$U$37</c:f>
              <c:numCache>
                <c:formatCode>0,000</c:formatCode>
                <c:ptCount val="3"/>
                <c:pt idx="0">
                  <c:v>0.64157374494340269</c:v>
                </c:pt>
                <c:pt idx="1">
                  <c:v>0.6535825933277869</c:v>
                </c:pt>
                <c:pt idx="2">
                  <c:v>0.57632938214782614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E-4917-95F8-3E1D1626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23096"/>
        <c:axId val="630818936"/>
      </c:barChart>
      <c:catAx>
        <c:axId val="63082309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18936"/>
        <c:crosses val="autoZero"/>
        <c:auto val="1"/>
        <c:lblAlgn val="ctr"/>
        <c:lblOffset val="100"/>
        <c:noMultiLvlLbl val="0"/>
      </c:catAx>
      <c:valAx>
        <c:axId val="6308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2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ZADŁUŻENIA KRÓTKOTERMINOWEGO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M-K.'!$R$39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M-K.'!$S$39:$U$39</c:f>
              <c:numCache>
                <c:formatCode>0,000</c:formatCode>
                <c:ptCount val="3"/>
                <c:pt idx="0">
                  <c:v>0.38816751225384816</c:v>
                </c:pt>
                <c:pt idx="1">
                  <c:v>0.34555269427269097</c:v>
                </c:pt>
                <c:pt idx="2">
                  <c:v>0.32314637528060214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5-4B87-A470-9543C5E28429}"/>
            </c:ext>
          </c:extLst>
        </c:ser>
        <c:ser>
          <c:idx val="1"/>
          <c:order val="1"/>
          <c:tx>
            <c:strRef>
              <c:f>'A. SYTUACJI M-K.'!$R$40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M-K.'!$S$40:$U$40</c:f>
              <c:numCache>
                <c:formatCode>0,000</c:formatCode>
                <c:ptCount val="3"/>
                <c:pt idx="0">
                  <c:v>1.6541193948323709</c:v>
                </c:pt>
                <c:pt idx="1">
                  <c:v>1.2288521963085095</c:v>
                </c:pt>
                <c:pt idx="2">
                  <c:v>1.0872621505428788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5-4B87-A470-9543C5E28429}"/>
            </c:ext>
          </c:extLst>
        </c:ser>
        <c:ser>
          <c:idx val="2"/>
          <c:order val="2"/>
          <c:tx>
            <c:strRef>
              <c:f>'A. SYTUACJI M-K.'!$R$41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M-K.'!$S$41:$U$41</c:f>
              <c:numCache>
                <c:formatCode>0,000</c:formatCode>
                <c:ptCount val="3"/>
                <c:pt idx="0">
                  <c:v>0.38720666161998485</c:v>
                </c:pt>
                <c:pt idx="1">
                  <c:v>0.56601618277010946</c:v>
                </c:pt>
                <c:pt idx="2">
                  <c:v>0.60807003421211514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5-4B87-A470-9543C5E28429}"/>
            </c:ext>
          </c:extLst>
        </c:ser>
        <c:ser>
          <c:idx val="3"/>
          <c:order val="3"/>
          <c:tx>
            <c:strRef>
              <c:f>'A. SYTUACJI M-K.'!$R$42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M-K.'!$S$42:$U$42</c:f>
              <c:numCache>
                <c:formatCode>0,000</c:formatCode>
                <c:ptCount val="3"/>
                <c:pt idx="0">
                  <c:v>5.6265882799165556</c:v>
                </c:pt>
                <c:pt idx="1">
                  <c:v>-11.35623173662847</c:v>
                </c:pt>
                <c:pt idx="2">
                  <c:v>-9.9027655600976576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5-4B87-A470-9543C5E28429}"/>
            </c:ext>
          </c:extLst>
        </c:ser>
        <c:ser>
          <c:idx val="4"/>
          <c:order val="4"/>
          <c:tx>
            <c:strRef>
              <c:f>'A. SYTUACJI M-K.'!$R$43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M-K.'!$S$38:$U$38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M-K.'!$S$43:$U$43</c:f>
              <c:numCache>
                <c:formatCode>0,000</c:formatCode>
                <c:ptCount val="3"/>
                <c:pt idx="0">
                  <c:v>0.47767523332849654</c:v>
                </c:pt>
                <c:pt idx="1">
                  <c:v>0.5461652903101093</c:v>
                </c:pt>
                <c:pt idx="2">
                  <c:v>0.56340110019552458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5-4B87-A470-9543C5E2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34936"/>
        <c:axId val="630835256"/>
      </c:barChart>
      <c:catAx>
        <c:axId val="63083493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35256"/>
        <c:crosses val="autoZero"/>
        <c:auto val="1"/>
        <c:lblAlgn val="ctr"/>
        <c:lblOffset val="100"/>
        <c:noMultiLvlLbl val="0"/>
      </c:catAx>
      <c:valAx>
        <c:axId val="630835256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ZADŁUŻENIA KAPITAŁÓW WŁASNYCH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M-K.'!$R$45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M-K.'!$S$45:$U$45</c:f>
              <c:numCache>
                <c:formatCode>0,000</c:formatCode>
                <c:ptCount val="3"/>
                <c:pt idx="0">
                  <c:v>1.1989323772796125</c:v>
                </c:pt>
                <c:pt idx="1">
                  <c:v>1.158241183194018</c:v>
                </c:pt>
                <c:pt idx="2">
                  <c:v>1.2907038161890929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2-4EDC-967D-5D4DA9B45EDE}"/>
            </c:ext>
          </c:extLst>
        </c:ser>
        <c:ser>
          <c:idx val="1"/>
          <c:order val="1"/>
          <c:tx>
            <c:strRef>
              <c:f>'A. SYTUACJI M-K.'!$R$46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M-K.'!$S$46:$U$46</c:f>
              <c:numCache>
                <c:formatCode>0,000</c:formatCode>
                <c:ptCount val="3"/>
                <c:pt idx="0">
                  <c:v>2.4007973548159036</c:v>
                </c:pt>
                <c:pt idx="1">
                  <c:v>1.7708285832202857</c:v>
                </c:pt>
                <c:pt idx="2">
                  <c:v>1.860825108905247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2-4EDC-967D-5D4DA9B45EDE}"/>
            </c:ext>
          </c:extLst>
        </c:ser>
        <c:ser>
          <c:idx val="2"/>
          <c:order val="2"/>
          <c:tx>
            <c:strRef>
              <c:f>'A. SYTUACJI M-K.'!$R$47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M-K.'!$S$47:$U$47</c:f>
              <c:numCache>
                <c:formatCode>0,000</c:formatCode>
                <c:ptCount val="3"/>
                <c:pt idx="0">
                  <c:v>1.3033686601059804</c:v>
                </c:pt>
                <c:pt idx="1">
                  <c:v>1.217705854355069</c:v>
                </c:pt>
                <c:pt idx="2">
                  <c:v>1.3076071644194003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2-4EDC-967D-5D4DA9B45EDE}"/>
            </c:ext>
          </c:extLst>
        </c:ser>
        <c:ser>
          <c:idx val="3"/>
          <c:order val="3"/>
          <c:tx>
            <c:strRef>
              <c:f>'A. SYTUACJI M-K.'!$R$48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M-K.'!$S$48:$U$48</c:f>
              <c:numCache>
                <c:formatCode>0,000</c:formatCode>
                <c:ptCount val="3"/>
                <c:pt idx="0">
                  <c:v>26.624928105753717</c:v>
                </c:pt>
                <c:pt idx="1">
                  <c:v>-43.488396214183844</c:v>
                </c:pt>
                <c:pt idx="2">
                  <c:v>-42.542057305754568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2-4EDC-967D-5D4DA9B45EDE}"/>
            </c:ext>
          </c:extLst>
        </c:ser>
        <c:ser>
          <c:idx val="4"/>
          <c:order val="4"/>
          <c:tx>
            <c:strRef>
              <c:f>'A. SYTUACJI M-K.'!$R$49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M-K.'!$S$44:$U$44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M-K.'!$S$49:$U$49</c:f>
              <c:numCache>
                <c:formatCode>0,000</c:formatCode>
                <c:ptCount val="3"/>
                <c:pt idx="0">
                  <c:v>1.5734910229044521</c:v>
                </c:pt>
                <c:pt idx="1">
                  <c:v>1.5481973993485072</c:v>
                </c:pt>
                <c:pt idx="2">
                  <c:v>1.7278129645514189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2-4EDC-967D-5D4DA9B4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89392"/>
        <c:axId val="677593552"/>
      </c:barChart>
      <c:catAx>
        <c:axId val="67758939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593552"/>
        <c:crosses val="autoZero"/>
        <c:auto val="1"/>
        <c:lblAlgn val="ctr"/>
        <c:lblOffset val="100"/>
        <c:noMultiLvlLbl val="0"/>
      </c:catAx>
      <c:valAx>
        <c:axId val="67759355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5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ZASTOSOWANIA KAPITAŁÓW WŁASNYCH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M-K.'!$R$51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M-K.'!$S$50:$U$50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M-K.'!$S$51:$U$51</c:f>
              <c:numCache>
                <c:formatCode>0,000</c:formatCode>
                <c:ptCount val="3"/>
                <c:pt idx="0">
                  <c:v>0.54764949447014455</c:v>
                </c:pt>
                <c:pt idx="1">
                  <c:v>0.57463569424826211</c:v>
                </c:pt>
                <c:pt idx="2">
                  <c:v>0.50858569959495481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790-902E-51E996BC4E25}"/>
            </c:ext>
          </c:extLst>
        </c:ser>
        <c:ser>
          <c:idx val="1"/>
          <c:order val="1"/>
          <c:tx>
            <c:strRef>
              <c:f>'A. SYTUACJI M-K.'!$R$52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M-K.'!$S$50:$U$50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M-K.'!$S$52:$U$52</c:f>
              <c:numCache>
                <c:formatCode>0,000</c:formatCode>
                <c:ptCount val="3"/>
                <c:pt idx="0">
                  <c:v>0.54701207670189478</c:v>
                </c:pt>
                <c:pt idx="1">
                  <c:v>0.53139211583589219</c:v>
                </c:pt>
                <c:pt idx="2">
                  <c:v>0.61482543029410608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4-4790-902E-51E996BC4E25}"/>
            </c:ext>
          </c:extLst>
        </c:ser>
        <c:ser>
          <c:idx val="2"/>
          <c:order val="2"/>
          <c:tx>
            <c:strRef>
              <c:f>'A. SYTUACJI M-K.'!$R$53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M-K.'!$S$50:$U$50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M-K.'!$S$53:$U$53</c:f>
              <c:numCache>
                <c:formatCode>0,000</c:formatCode>
                <c:ptCount val="3"/>
                <c:pt idx="0">
                  <c:v>0.50693145296685371</c:v>
                </c:pt>
                <c:pt idx="1">
                  <c:v>0.54356825002587184</c:v>
                </c:pt>
                <c:pt idx="2">
                  <c:v>0.50549338758901319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4-4790-902E-51E996BC4E25}"/>
            </c:ext>
          </c:extLst>
        </c:ser>
        <c:ser>
          <c:idx val="3"/>
          <c:order val="3"/>
          <c:tx>
            <c:strRef>
              <c:f>'A. SYTUACJI M-K.'!$R$54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M-K.'!$S$50:$U$50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M-K.'!$S$54:$U$54</c:f>
              <c:numCache>
                <c:formatCode>0,000</c:formatCode>
                <c:ptCount val="3"/>
                <c:pt idx="0">
                  <c:v>5.1886135795712003E-2</c:v>
                </c:pt>
                <c:pt idx="1">
                  <c:v>-3.507134135315098E-2</c:v>
                </c:pt>
                <c:pt idx="2">
                  <c:v>-3.8618940373986721E-2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4-4790-902E-51E996BC4E25}"/>
            </c:ext>
          </c:extLst>
        </c:ser>
        <c:ser>
          <c:idx val="4"/>
          <c:order val="4"/>
          <c:tx>
            <c:strRef>
              <c:f>'A. SYTUACJI M-K.'!$R$55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M-K.'!$S$50:$U$50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M-K.'!$S$55:$U$55</c:f>
              <c:numCache>
                <c:formatCode>0,000</c:formatCode>
                <c:ptCount val="3"/>
                <c:pt idx="0">
                  <c:v>0.47717817639552651</c:v>
                </c:pt>
                <c:pt idx="1">
                  <c:v>0.49406862464936735</c:v>
                </c:pt>
                <c:pt idx="2">
                  <c:v>0.44841502565856556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4-4790-902E-51E996BC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82384"/>
        <c:axId val="642882704"/>
      </c:barChart>
      <c:catAx>
        <c:axId val="64288238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82704"/>
        <c:crosses val="autoZero"/>
        <c:auto val="1"/>
        <c:lblAlgn val="ctr"/>
        <c:lblOffset val="100"/>
        <c:noMultiLvlLbl val="0"/>
      </c:catAx>
      <c:valAx>
        <c:axId val="642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OGÓLNEGO ZADŁUŻENIA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M-K.'!$R$57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M-K.'!$S$56:$U$56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M-K.'!$S$57:$U$57</c:f>
              <c:numCache>
                <c:formatCode>0,000</c:formatCode>
                <c:ptCount val="3"/>
                <c:pt idx="0">
                  <c:v>0.5561620885190367</c:v>
                </c:pt>
                <c:pt idx="1">
                  <c:v>0.54799197310468839</c:v>
                </c:pt>
                <c:pt idx="2">
                  <c:v>0.56345294711053462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4C5F-8857-631882CF5F53}"/>
            </c:ext>
          </c:extLst>
        </c:ser>
        <c:ser>
          <c:idx val="1"/>
          <c:order val="1"/>
          <c:tx>
            <c:strRef>
              <c:f>'A. SYTUACJI M-K.'!$R$58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M-K.'!$S$56:$U$56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M-K.'!$S$58:$U$58</c:f>
              <c:numCache>
                <c:formatCode>0,000</c:formatCode>
                <c:ptCount val="3"/>
                <c:pt idx="0">
                  <c:v>0.62007699734932031</c:v>
                </c:pt>
                <c:pt idx="1">
                  <c:v>0.55688427499915438</c:v>
                </c:pt>
                <c:pt idx="2">
                  <c:v>0.57913205029869841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7-4C5F-8857-631882CF5F53}"/>
            </c:ext>
          </c:extLst>
        </c:ser>
        <c:ser>
          <c:idx val="2"/>
          <c:order val="2"/>
          <c:tx>
            <c:strRef>
              <c:f>'A. SYTUACJI M-K.'!$R$59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M-K.'!$S$56:$U$56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M-K.'!$S$59:$U$59</c:f>
              <c:numCache>
                <c:formatCode>0,000</c:formatCode>
                <c:ptCount val="3"/>
                <c:pt idx="0">
                  <c:v>0.5658997534921939</c:v>
                </c:pt>
                <c:pt idx="1">
                  <c:v>0.54913071474565356</c:v>
                </c:pt>
                <c:pt idx="2">
                  <c:v>0.56665067806218117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7-4C5F-8857-631882CF5F53}"/>
            </c:ext>
          </c:extLst>
        </c:ser>
        <c:ser>
          <c:idx val="3"/>
          <c:order val="3"/>
          <c:tx>
            <c:strRef>
              <c:f>'A. SYTUACJI M-K.'!$R$60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M-K.'!$S$56:$U$56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M-K.'!$S$60:$U$60</c:f>
              <c:numCache>
                <c:formatCode>0,000</c:formatCode>
                <c:ptCount val="3"/>
                <c:pt idx="0">
                  <c:v>0.9638008107687448</c:v>
                </c:pt>
                <c:pt idx="1">
                  <c:v>1.0235358377604795</c:v>
                </c:pt>
                <c:pt idx="2">
                  <c:v>1.0240719902878155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7-4C5F-8857-631882CF5F53}"/>
            </c:ext>
          </c:extLst>
        </c:ser>
        <c:ser>
          <c:idx val="4"/>
          <c:order val="4"/>
          <c:tx>
            <c:strRef>
              <c:f>'A. SYTUACJI M-K.'!$R$61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M-K.'!$S$56:$U$56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M-K.'!$S$61:$U$61</c:f>
              <c:numCache>
                <c:formatCode>0,000</c:formatCode>
                <c:ptCount val="3"/>
                <c:pt idx="0">
                  <c:v>0.61496507927789756</c:v>
                </c:pt>
                <c:pt idx="1">
                  <c:v>0.61192883580926183</c:v>
                </c:pt>
                <c:pt idx="2">
                  <c:v>0.63171402474913674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7-4C5F-8857-631882CF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80144"/>
        <c:axId val="642879504"/>
      </c:barChart>
      <c:catAx>
        <c:axId val="64288014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79504"/>
        <c:crosses val="autoZero"/>
        <c:auto val="1"/>
        <c:lblAlgn val="ctr"/>
        <c:lblOffset val="100"/>
        <c:noMultiLvlLbl val="0"/>
      </c:catAx>
      <c:valAx>
        <c:axId val="6428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MĄCZYŃSKIEJ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SYNTETYCZNA'!$S$42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SYNTETYCZNA'!$T$41:$V$41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SYNTETYCZNA'!$T$42:$V$42</c:f>
              <c:numCache>
                <c:formatCode>0,000</c:formatCode>
                <c:ptCount val="3"/>
                <c:pt idx="0">
                  <c:v>5.9847543491511157</c:v>
                </c:pt>
                <c:pt idx="1">
                  <c:v>6.1060040617035183</c:v>
                </c:pt>
                <c:pt idx="2">
                  <c:v>6.2528887887046665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B-4B5D-9C82-F6A0094FD43F}"/>
            </c:ext>
          </c:extLst>
        </c:ser>
        <c:ser>
          <c:idx val="1"/>
          <c:order val="1"/>
          <c:tx>
            <c:strRef>
              <c:f>'A. SYNTETYCZNA'!$S$43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SYNTETYCZNA'!$T$41:$V$41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SYNTETYCZNA'!$T$43:$V$43</c:f>
              <c:numCache>
                <c:formatCode>0,000</c:formatCode>
                <c:ptCount val="3"/>
                <c:pt idx="0">
                  <c:v>3.2590045740435092</c:v>
                </c:pt>
                <c:pt idx="1">
                  <c:v>3.3530374007577222</c:v>
                </c:pt>
                <c:pt idx="2">
                  <c:v>3.1513222005462032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B-4B5D-9C82-F6A0094FD43F}"/>
            </c:ext>
          </c:extLst>
        </c:ser>
        <c:ser>
          <c:idx val="2"/>
          <c:order val="2"/>
          <c:tx>
            <c:strRef>
              <c:f>'A. SYNTETYCZNA'!$S$44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SYNTETYCZNA'!$T$41:$V$41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SYNTETYCZNA'!$T$44:$V$44</c:f>
              <c:numCache>
                <c:formatCode>0,000</c:formatCode>
                <c:ptCount val="3"/>
                <c:pt idx="0">
                  <c:v>5.2636479994223677</c:v>
                </c:pt>
                <c:pt idx="1">
                  <c:v>2.6281986537392559</c:v>
                </c:pt>
                <c:pt idx="2">
                  <c:v>5.3665645305265794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B-4B5D-9C82-F6A0094FD43F}"/>
            </c:ext>
          </c:extLst>
        </c:ser>
        <c:ser>
          <c:idx val="3"/>
          <c:order val="3"/>
          <c:tx>
            <c:strRef>
              <c:f>'A. SYNTETYCZNA'!$S$45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SYNTETYCZNA'!$T$41:$V$41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SYNTETYCZNA'!$T$45:$V$45</c:f>
              <c:numCache>
                <c:formatCode>0,000</c:formatCode>
                <c:ptCount val="3"/>
                <c:pt idx="0">
                  <c:v>5.8771512475038126</c:v>
                </c:pt>
                <c:pt idx="1">
                  <c:v>5.4435156293585276</c:v>
                </c:pt>
                <c:pt idx="2">
                  <c:v>4.8465512849402188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B-4B5D-9C82-F6A0094FD43F}"/>
            </c:ext>
          </c:extLst>
        </c:ser>
        <c:ser>
          <c:idx val="4"/>
          <c:order val="4"/>
          <c:tx>
            <c:strRef>
              <c:f>'A. SYNTETYCZNA'!$S$46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SYNTETYCZNA'!$T$41:$V$41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SYNTETYCZNA'!$T$46:$V$46</c:f>
              <c:numCache>
                <c:formatCode>0,000</c:formatCode>
                <c:ptCount val="3"/>
                <c:pt idx="0">
                  <c:v>5.4453555677786474</c:v>
                </c:pt>
                <c:pt idx="1">
                  <c:v>4.4596847295232243</c:v>
                </c:pt>
                <c:pt idx="2">
                  <c:v>5.3892440412878351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B-4B5D-9C82-F6A0094F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46992"/>
        <c:axId val="525447632"/>
      </c:barChart>
      <c:catAx>
        <c:axId val="52544699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47632"/>
        <c:crosses val="autoZero"/>
        <c:auto val="1"/>
        <c:lblAlgn val="ctr"/>
        <c:lblOffset val="100"/>
        <c:noMultiLvlLbl val="0"/>
      </c:catAx>
      <c:valAx>
        <c:axId val="525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WSKAŹNIK ZADŁUŻENIA DŁUGOTERMINOWEGO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SYTUACJI M-K.'!$R$63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M-K.'!$S$62:$U$62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M-K.'!$S$63:$U$63</c:f>
              <c:numCache>
                <c:formatCode>0,000</c:formatCode>
                <c:ptCount val="3"/>
                <c:pt idx="0">
                  <c:v>0.8107648650257645</c:v>
                </c:pt>
                <c:pt idx="1">
                  <c:v>0.81268848892132695</c:v>
                </c:pt>
                <c:pt idx="2">
                  <c:v>0.96755744090849072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1-4BA2-AA5F-AB9C135ABCB7}"/>
            </c:ext>
          </c:extLst>
        </c:ser>
        <c:ser>
          <c:idx val="1"/>
          <c:order val="1"/>
          <c:tx>
            <c:strRef>
              <c:f>'A. SYTUACJI M-K.'!$R$64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SYTUACJI M-K.'!$S$62:$U$62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M-K.'!$S$64:$U$64</c:f>
              <c:numCache>
                <c:formatCode>0,000</c:formatCode>
                <c:ptCount val="3"/>
                <c:pt idx="0">
                  <c:v>0.7466779599835327</c:v>
                </c:pt>
                <c:pt idx="1">
                  <c:v>0.54197638691177619</c:v>
                </c:pt>
                <c:pt idx="2">
                  <c:v>0.7735629583623681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1-4BA2-AA5F-AB9C135ABCB7}"/>
            </c:ext>
          </c:extLst>
        </c:ser>
        <c:ser>
          <c:idx val="2"/>
          <c:order val="2"/>
          <c:tx>
            <c:strRef>
              <c:f>'A. SYTUACJI M-K.'!$R$65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SYTUACJI M-K.'!$S$62:$U$62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M-K.'!$S$65:$U$65</c:f>
              <c:numCache>
                <c:formatCode>0,000</c:formatCode>
                <c:ptCount val="3"/>
                <c:pt idx="0">
                  <c:v>0.91616199848599544</c:v>
                </c:pt>
                <c:pt idx="1">
                  <c:v>0.6516896715849595</c:v>
                </c:pt>
                <c:pt idx="2">
                  <c:v>0.69953713020728514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1-4BA2-AA5F-AB9C135ABCB7}"/>
            </c:ext>
          </c:extLst>
        </c:ser>
        <c:ser>
          <c:idx val="3"/>
          <c:order val="3"/>
          <c:tx>
            <c:strRef>
              <c:f>'A. SYTUACJI M-K.'!$R$66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M-K.'!$S$62:$U$62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M-K.'!$S$66:$U$66</c:f>
              <c:numCache>
                <c:formatCode>0,000</c:formatCode>
                <c:ptCount val="3"/>
                <c:pt idx="0">
                  <c:v>20.99833982583716</c:v>
                </c:pt>
                <c:pt idx="1">
                  <c:v>-32.132164477555378</c:v>
                </c:pt>
                <c:pt idx="2">
                  <c:v>-32.639291745656912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1-4BA2-AA5F-AB9C135ABCB7}"/>
            </c:ext>
          </c:extLst>
        </c:ser>
        <c:ser>
          <c:idx val="4"/>
          <c:order val="4"/>
          <c:tx>
            <c:strRef>
              <c:f>'A. SYTUACJI M-K.'!$R$67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SYTUACJI M-K.'!$S$62:$U$62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M-K.'!$S$67:$U$67</c:f>
              <c:numCache>
                <c:formatCode>0,000</c:formatCode>
                <c:ptCount val="3"/>
                <c:pt idx="0">
                  <c:v>1.0958157895759555</c:v>
                </c:pt>
                <c:pt idx="1">
                  <c:v>1.0020321090383979</c:v>
                </c:pt>
                <c:pt idx="2">
                  <c:v>1.1644118643558943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1-4BA2-AA5F-AB9C135A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350480"/>
        <c:axId val="630351120"/>
      </c:barChart>
      <c:catAx>
        <c:axId val="63035048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51120"/>
        <c:crosses val="autoZero"/>
        <c:auto val="1"/>
        <c:lblAlgn val="ctr"/>
        <c:lblOffset val="100"/>
        <c:noMultiLvlLbl val="0"/>
      </c:catAx>
      <c:valAx>
        <c:axId val="630351120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AKTYWA</a:t>
            </a:r>
            <a:r>
              <a:rPr lang="pl-PL" baseline="0"/>
              <a:t> OGÓŁEM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'A. SYTUACJI M-K.'!$AM$26</c:f>
              <c:strCache>
                <c:ptCount val="1"/>
                <c:pt idx="0">
                  <c:v>Rzeczowe aktywa trwałe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M-K.'!$AN$26:$AP$26</c:f>
              <c:numCache>
                <c:formatCode>@</c:formatCode>
                <c:ptCount val="3"/>
                <c:pt idx="0">
                  <c:v>5239600</c:v>
                </c:pt>
                <c:pt idx="1">
                  <c:v>5056700</c:v>
                </c:pt>
                <c:pt idx="2">
                  <c:v>3192400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0-433F-9626-1B11CD5EE3B9}"/>
            </c:ext>
          </c:extLst>
        </c:ser>
        <c:ser>
          <c:idx val="1"/>
          <c:order val="1"/>
          <c:tx>
            <c:strRef>
              <c:f>'A. SYTUACJI M-K.'!$AM$27</c:f>
              <c:strCache>
                <c:ptCount val="1"/>
                <c:pt idx="0">
                  <c:v>Wartości niematerialne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M-K.'!$AN$27:$AP$27</c:f>
              <c:numCache>
                <c:formatCode>@</c:formatCode>
                <c:ptCount val="3"/>
                <c:pt idx="0">
                  <c:v>8162700</c:v>
                </c:pt>
                <c:pt idx="1">
                  <c:v>5101600</c:v>
                </c:pt>
                <c:pt idx="2">
                  <c:v>5298600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0-433F-9626-1B11CD5EE3B9}"/>
            </c:ext>
          </c:extLst>
        </c:ser>
        <c:ser>
          <c:idx val="2"/>
          <c:order val="2"/>
          <c:tx>
            <c:strRef>
              <c:f>'A. SYTUACJI M-K.'!$AM$28</c:f>
              <c:strCache>
                <c:ptCount val="1"/>
                <c:pt idx="0">
                  <c:v>Wartość firmy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M-K.'!$AN$28:$AP$28</c:f>
              <c:numCache>
                <c:formatCode>@</c:formatCode>
                <c:ptCount val="3"/>
                <c:pt idx="0">
                  <c:v>11336400</c:v>
                </c:pt>
                <c:pt idx="1">
                  <c:v>11309400</c:v>
                </c:pt>
                <c:pt idx="2">
                  <c:v>11041700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0-433F-9626-1B11CD5EE3B9}"/>
            </c:ext>
          </c:extLst>
        </c:ser>
        <c:ser>
          <c:idx val="3"/>
          <c:order val="3"/>
          <c:tx>
            <c:strRef>
              <c:f>'A. SYTUACJI M-K.'!$AM$29</c:f>
              <c:strCache>
                <c:ptCount val="1"/>
                <c:pt idx="0">
                  <c:v>Inwestycyje krótkoterminowe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M-K.'!$AN$29:$AP$29</c:f>
              <c:numCache>
                <c:formatCode>Standardowy</c:formatCode>
                <c:ptCount val="3"/>
                <c:pt idx="0" formatCode="@">
                  <c:v>29400</c:v>
                </c:pt>
                <c:pt idx="1">
                  <c:v>72900</c:v>
                </c:pt>
                <c:pt idx="2" formatCode="@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0-433F-9626-1B11CD5EE3B9}"/>
            </c:ext>
          </c:extLst>
        </c:ser>
        <c:ser>
          <c:idx val="4"/>
          <c:order val="4"/>
          <c:tx>
            <c:strRef>
              <c:f>'A. SYTUACJI M-K.'!$AM$30</c:f>
              <c:strCache>
                <c:ptCount val="1"/>
                <c:pt idx="0">
                  <c:v>Długoterminowe pożyczki i należności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M-K.'!$AN$30:$AP$30</c:f>
              <c:numCache>
                <c:formatCode>@</c:formatCode>
                <c:ptCount val="3"/>
                <c:pt idx="0">
                  <c:v>776500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0-433F-9626-1B11CD5EE3B9}"/>
            </c:ext>
          </c:extLst>
        </c:ser>
        <c:ser>
          <c:idx val="5"/>
          <c:order val="5"/>
          <c:tx>
            <c:strRef>
              <c:f>'A. SYTUACJI M-K.'!#REF!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M-K.'!#REF!</c:f>
              <c:numCache>
                <c:formatCode>Standardowy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0-433F-9626-1B11CD5EE3B9}"/>
            </c:ext>
          </c:extLst>
        </c:ser>
        <c:ser>
          <c:idx val="6"/>
          <c:order val="6"/>
          <c:tx>
            <c:strRef>
              <c:f>'A. SYTUACJI M-K.'!$AM$31</c:f>
              <c:strCache>
                <c:ptCount val="1"/>
                <c:pt idx="0">
                  <c:v>Aktywa długoterminowe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M-K.'!$AN$31:$AP$31</c:f>
              <c:numCache>
                <c:formatCode>Standardowy</c:formatCode>
                <c:ptCount val="3"/>
                <c:pt idx="0">
                  <c:v>2060100</c:v>
                </c:pt>
                <c:pt idx="1">
                  <c:v>3075400</c:v>
                </c:pt>
                <c:pt idx="2" formatCode="#\ ###">
                  <c:v>4286700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0-433F-9626-1B11CD5EE3B9}"/>
            </c:ext>
          </c:extLst>
        </c:ser>
        <c:ser>
          <c:idx val="7"/>
          <c:order val="7"/>
          <c:tx>
            <c:strRef>
              <c:f>'A. SYTUACJI M-K.'!$AM$32</c:f>
              <c:strCache>
                <c:ptCount val="1"/>
                <c:pt idx="0">
                  <c:v>Zapasy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M-K.'!$AN$32:$AP$32</c:f>
              <c:numCache>
                <c:formatCode>@</c:formatCode>
                <c:ptCount val="3"/>
                <c:pt idx="0">
                  <c:v>306800</c:v>
                </c:pt>
                <c:pt idx="1">
                  <c:v>394000</c:v>
                </c:pt>
                <c:pt idx="2">
                  <c:v>283700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0-433F-9626-1B11CD5EE3B9}"/>
            </c:ext>
          </c:extLst>
        </c:ser>
        <c:ser>
          <c:idx val="8"/>
          <c:order val="8"/>
          <c:tx>
            <c:strRef>
              <c:f>'A. SYTUACJI M-K.'!$AM$33</c:f>
              <c:strCache>
                <c:ptCount val="1"/>
                <c:pt idx="0">
                  <c:v>Należności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M-K.'!$AN$33:$AP$33</c:f>
              <c:numCache>
                <c:formatCode>Standardowy</c:formatCode>
                <c:ptCount val="3"/>
                <c:pt idx="0">
                  <c:v>2516400</c:v>
                </c:pt>
                <c:pt idx="1">
                  <c:v>2405000</c:v>
                </c:pt>
                <c:pt idx="2" formatCode="@">
                  <c:v>1983200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0-433F-9626-1B11CD5EE3B9}"/>
            </c:ext>
          </c:extLst>
        </c:ser>
        <c:ser>
          <c:idx val="9"/>
          <c:order val="9"/>
          <c:tx>
            <c:strRef>
              <c:f>'A. SYTUACJI M-K.'!$AM$34</c:f>
              <c:strCache>
                <c:ptCount val="1"/>
                <c:pt idx="0">
                  <c:v>Środki pieniężne i ich ekwiwalenty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M-K.'!$AN$34:$AP$34</c:f>
              <c:numCache>
                <c:formatCode>@</c:formatCode>
                <c:ptCount val="3"/>
                <c:pt idx="0">
                  <c:v>753100</c:v>
                </c:pt>
                <c:pt idx="1">
                  <c:v>1178700</c:v>
                </c:pt>
                <c:pt idx="2">
                  <c:v>1172000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30-433F-9626-1B11CD5EE3B9}"/>
            </c:ext>
          </c:extLst>
        </c:ser>
        <c:ser>
          <c:idx val="10"/>
          <c:order val="10"/>
          <c:tx>
            <c:strRef>
              <c:f>'A. SYTUACJI M-K.'!$AM$35</c:f>
              <c:strCache>
                <c:ptCount val="1"/>
                <c:pt idx="0">
                  <c:v>Pozostałe aktywa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'A. SYTUACJI M-K.'!$AN$25:$AP$25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M-K.'!$AN$35:$AP$35</c:f>
              <c:numCache>
                <c:formatCode>@</c:formatCode>
                <c:ptCount val="3"/>
                <c:pt idx="0">
                  <c:v>1408600</c:v>
                </c:pt>
                <c:pt idx="1">
                  <c:v>1445000</c:v>
                </c:pt>
                <c:pt idx="2" formatCode="#\ ###">
                  <c:v>240900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30-433F-9626-1B11CD5E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335760"/>
        <c:axId val="630333520"/>
      </c:barChart>
      <c:catAx>
        <c:axId val="63033576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33520"/>
        <c:crosses val="autoZero"/>
        <c:auto val="1"/>
        <c:lblAlgn val="ctr"/>
        <c:lblOffset val="100"/>
        <c:noMultiLvlLbl val="0"/>
      </c:catAx>
      <c:valAx>
        <c:axId val="630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PASYWA 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'A. SYTUACJI M-K.'!$AQ$30</c:f>
              <c:strCache>
                <c:ptCount val="1"/>
                <c:pt idx="0">
                  <c:v> Kapitał własny udziałowców podmiotu dominującego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'A. SYTUACJI M-K.'!$AR$29:$AT$29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M-K.'!$AR$30:$AT$30</c:f>
              <c:numCache>
                <c:formatCode>Standardowy</c:formatCode>
                <c:ptCount val="3"/>
                <c:pt idx="0">
                  <c:v>14464500</c:v>
                </c:pt>
                <c:pt idx="1">
                  <c:v>13875200</c:v>
                </c:pt>
                <c:pt idx="2">
                  <c:v>12074200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3-4933-AB15-105039BB9D3D}"/>
            </c:ext>
          </c:extLst>
        </c:ser>
        <c:ser>
          <c:idx val="1"/>
          <c:order val="1"/>
          <c:tx>
            <c:strRef>
              <c:f>'A. SYTUACJI M-K.'!$AQ$31</c:f>
              <c:strCache>
                <c:ptCount val="1"/>
                <c:pt idx="0">
                  <c:v>Udziały niekontrolujące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'A. SYTUACJI M-K.'!$AR$29:$AT$29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M-K.'!$AR$31:$AT$31</c:f>
              <c:numCache>
                <c:formatCode>Standardowy</c:formatCode>
                <c:ptCount val="3"/>
                <c:pt idx="0">
                  <c:v>653200</c:v>
                </c:pt>
                <c:pt idx="1">
                  <c:v>648200</c:v>
                </c:pt>
                <c:pt idx="2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3-4933-AB15-105039BB9D3D}"/>
            </c:ext>
          </c:extLst>
        </c:ser>
        <c:ser>
          <c:idx val="2"/>
          <c:order val="2"/>
          <c:tx>
            <c:strRef>
              <c:f>'A. SYTUACJI M-K.'!$AQ$32</c:f>
              <c:strCache>
                <c:ptCount val="1"/>
                <c:pt idx="0">
                  <c:v>Zobowiązania długoterminowe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'A. SYTUACJI M-K.'!$AR$29:$AT$29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M-K.'!$AR$32:$AT$32</c:f>
              <c:numCache>
                <c:formatCode>Standardowy</c:formatCode>
                <c:ptCount val="3"/>
                <c:pt idx="0">
                  <c:v>12256900</c:v>
                </c:pt>
                <c:pt idx="1">
                  <c:v>11803000</c:v>
                </c:pt>
                <c:pt idx="2">
                  <c:v>11723700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3-4933-AB15-105039BB9D3D}"/>
            </c:ext>
          </c:extLst>
        </c:ser>
        <c:ser>
          <c:idx val="3"/>
          <c:order val="3"/>
          <c:tx>
            <c:strRef>
              <c:f>'A. SYTUACJI M-K.'!$AQ$33</c:f>
              <c:strCache>
                <c:ptCount val="1"/>
                <c:pt idx="0">
                  <c:v> Zobowiązania krótkoterminowe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'A. SYTUACJI M-K.'!$AR$29:$AT$29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SYTUACJI M-K.'!$AR$33:$AT$33</c:f>
              <c:numCache>
                <c:formatCode>Standardowy</c:formatCode>
                <c:ptCount val="3"/>
                <c:pt idx="0">
                  <c:v>5868200</c:v>
                </c:pt>
                <c:pt idx="1">
                  <c:v>5018600</c:v>
                </c:pt>
                <c:pt idx="2">
                  <c:v>3915500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3-4933-AB15-105039BB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865104"/>
        <c:axId val="671867664"/>
      </c:barChart>
      <c:catAx>
        <c:axId val="67186510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67664"/>
        <c:crosses val="autoZero"/>
        <c:auto val="1"/>
        <c:lblAlgn val="ctr"/>
        <c:lblOffset val="100"/>
        <c:noMultiLvlLbl val="0"/>
      </c:catAx>
      <c:valAx>
        <c:axId val="6718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ZYSKOWNOŚĆ AKCJI ZWYKŁYCH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RYNKOWEJ'!$R$4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RYNKOWEJ'!$S$3:$U$3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RYNKOWEJ'!$S$4:$U$4</c:f>
              <c:numCache>
                <c:formatCode>0,0000</c:formatCode>
                <c:ptCount val="3"/>
                <c:pt idx="0">
                  <c:v>2.692324024654206E-3</c:v>
                </c:pt>
                <c:pt idx="1">
                  <c:v>1.4110007212351791E-3</c:v>
                </c:pt>
                <c:pt idx="2">
                  <c:v>2.0542087029750806E-3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514-AD1E-00C6B3879C50}"/>
            </c:ext>
          </c:extLst>
        </c:ser>
        <c:ser>
          <c:idx val="1"/>
          <c:order val="1"/>
          <c:tx>
            <c:strRef>
              <c:f>'A. POZYCJI RYNKOWEJ'!$R$5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RYNKOWEJ'!$S$3:$U$3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RYNKOWEJ'!$S$5:$U$5</c:f>
              <c:numCache>
                <c:formatCode>0,0000</c:formatCode>
                <c:ptCount val="3"/>
                <c:pt idx="0">
                  <c:v>6.934086287932833E-5</c:v>
                </c:pt>
                <c:pt idx="1">
                  <c:v>1.1429812562526647E-5</c:v>
                </c:pt>
                <c:pt idx="2">
                  <c:v>-6.8578875375159884E-5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B-4514-AD1E-00C6B3879C50}"/>
            </c:ext>
          </c:extLst>
        </c:ser>
        <c:ser>
          <c:idx val="2"/>
          <c:order val="2"/>
          <c:tx>
            <c:strRef>
              <c:f>'A. POZYCJI RYNKOWEJ'!$R$6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RYNKOWEJ'!$S$6:$U$6</c:f>
              <c:numCache>
                <c:formatCode>0,0000</c:formatCode>
                <c:ptCount val="3"/>
                <c:pt idx="0">
                  <c:v>1.3808324437667671E-3</c:v>
                </c:pt>
                <c:pt idx="1">
                  <c:v>7.1121526689885291E-4</c:v>
                </c:pt>
                <c:pt idx="2">
                  <c:v>9.9281491379996046E-4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3-460C-BFB4-FFDD6F7C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33360"/>
        <c:axId val="477236560"/>
      </c:lineChart>
      <c:catAx>
        <c:axId val="47723336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36560"/>
        <c:crosses val="autoZero"/>
        <c:auto val="1"/>
        <c:lblAlgn val="ctr"/>
        <c:lblOffset val="100"/>
        <c:noMultiLvlLbl val="0"/>
      </c:catAx>
      <c:valAx>
        <c:axId val="477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 NA 1 AKCJĘ (w zł)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RYNKOWEJ'!$S$11:$U$11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RYNKOWEJ'!$S$8:$U$8</c:f>
              <c:numCache>
                <c:formatCode>0,00</c:formatCode>
                <c:ptCount val="3"/>
                <c:pt idx="0">
                  <c:v>1.7427987542963603</c:v>
                </c:pt>
                <c:pt idx="1">
                  <c:v>1.2760614241712358</c:v>
                </c:pt>
                <c:pt idx="2">
                  <c:v>1.4779233649389194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7-424D-9B1D-544AD7424369}"/>
            </c:ext>
          </c:extLst>
        </c:ser>
        <c:ser>
          <c:idx val="1"/>
          <c:order val="1"/>
          <c:tx>
            <c:strRef>
              <c:f>'A. POZYCJI RYNKOWEJ'!$R$9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RYNKOWEJ'!$S$11:$U$11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RYNKOWEJ'!$S$9:$U$9</c:f>
              <c:numCache>
                <c:formatCode>0,00</c:formatCode>
                <c:ptCount val="3"/>
                <c:pt idx="0">
                  <c:v>6.9340862879328335E-2</c:v>
                </c:pt>
                <c:pt idx="1">
                  <c:v>7.6198750416844319E-3</c:v>
                </c:pt>
                <c:pt idx="2">
                  <c:v>-4.5719250250106584E-2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7-424D-9B1D-544AD7424369}"/>
            </c:ext>
          </c:extLst>
        </c:ser>
        <c:ser>
          <c:idx val="2"/>
          <c:order val="2"/>
          <c:tx>
            <c:strRef>
              <c:f>'A. POZYCJI RYNKOWEJ'!$R$10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RYNKOWEJ'!$S$10:$U$10</c:f>
              <c:numCache>
                <c:formatCode>0,00</c:formatCode>
                <c:ptCount val="3"/>
                <c:pt idx="0">
                  <c:v>0.90606980858784425</c:v>
                </c:pt>
                <c:pt idx="1">
                  <c:v>0.64184064960646015</c:v>
                </c:pt>
                <c:pt idx="2">
                  <c:v>0.71610205734440635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9F6-A80E-6DBDE9DB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73648"/>
        <c:axId val="396972048"/>
      </c:lineChart>
      <c:catAx>
        <c:axId val="396973648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972048"/>
        <c:crosses val="autoZero"/>
        <c:auto val="1"/>
        <c:lblAlgn val="ctr"/>
        <c:lblOffset val="100"/>
        <c:noMultiLvlLbl val="0"/>
      </c:catAx>
      <c:valAx>
        <c:axId val="396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9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DYWIDENDA NA 1 AKCJĘ (w zł)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RYNKOWEJ'!$R$12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RYNKOWEJ'!$S$12:$U$12</c:f>
              <c:numCache>
                <c:formatCode>0,00</c:formatCode>
                <c:ptCount val="3"/>
                <c:pt idx="0">
                  <c:v>0.99999997498225368</c:v>
                </c:pt>
                <c:pt idx="1">
                  <c:v>0.93000032072750805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FA4-B462-E572B039A9E1}"/>
            </c:ext>
          </c:extLst>
        </c:ser>
        <c:ser>
          <c:idx val="1"/>
          <c:order val="1"/>
          <c:tx>
            <c:strRef>
              <c:f>'A. POZYCJI RYNKOWEJ'!$R$13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RYNKOWEJ'!$S$13:$U$13</c:f>
              <c:numCache>
                <c:formatCode>0,00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7-4FA4-B462-E572B039A9E1}"/>
            </c:ext>
          </c:extLst>
        </c:ser>
        <c:ser>
          <c:idx val="2"/>
          <c:order val="2"/>
          <c:tx>
            <c:strRef>
              <c:f>'A. POZYCJI RYNKOWEJ'!$R$14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RYNKOWEJ'!$S$14:$U$14</c:f>
              <c:numCache>
                <c:formatCode>0,00</c:formatCode>
                <c:ptCount val="3"/>
                <c:pt idx="0">
                  <c:v>0.49999998749112684</c:v>
                </c:pt>
                <c:pt idx="1">
                  <c:v>0.46500016036375402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C5-9D28-848037DB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55120"/>
        <c:axId val="477254800"/>
      </c:lineChart>
      <c:catAx>
        <c:axId val="47725512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54800"/>
        <c:crosses val="autoZero"/>
        <c:auto val="1"/>
        <c:lblAlgn val="ctr"/>
        <c:lblOffset val="100"/>
        <c:noMultiLvlLbl val="0"/>
      </c:catAx>
      <c:valAx>
        <c:axId val="477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STOPA WYPŁATY DYWIDENDY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RYNKOWEJ'!$R$16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RYNKOWEJ'!$S$16:$U$16</c:f>
              <c:numCache>
                <c:formatCode>0%</c:formatCode>
                <c:ptCount val="3"/>
                <c:pt idx="0">
                  <c:v>0.57378970034092946</c:v>
                </c:pt>
                <c:pt idx="1">
                  <c:v>0.72880529346893763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B-48AA-A7CF-BB1216F3FFB8}"/>
            </c:ext>
          </c:extLst>
        </c:ser>
        <c:ser>
          <c:idx val="1"/>
          <c:order val="1"/>
          <c:tx>
            <c:strRef>
              <c:f>'A. POZYCJI RYNKOWEJ'!$R$17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RYNKOWEJ'!$S$17:$U$17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B-48AA-A7CF-BB1216F3FFB8}"/>
            </c:ext>
          </c:extLst>
        </c:ser>
        <c:ser>
          <c:idx val="2"/>
          <c:order val="2"/>
          <c:tx>
            <c:strRef>
              <c:f>'A. POZYCJI RYNKOWEJ'!$R$18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RYNKOWEJ'!$S$18:$U$18</c:f>
              <c:numCache>
                <c:formatCode>0%</c:formatCode>
                <c:ptCount val="3"/>
                <c:pt idx="0">
                  <c:v>0.28689485017046473</c:v>
                </c:pt>
                <c:pt idx="1">
                  <c:v>0.36440264673446882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1-4493-8A1B-BCA1FD67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39440"/>
        <c:axId val="477237520"/>
      </c:lineChart>
      <c:catAx>
        <c:axId val="47723944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37520"/>
        <c:crosses val="autoZero"/>
        <c:auto val="1"/>
        <c:lblAlgn val="ctr"/>
        <c:lblOffset val="100"/>
        <c:noMultiLvlLbl val="0"/>
      </c:catAx>
      <c:valAx>
        <c:axId val="4772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2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RYNKOWA STOPA DYWIDENDY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RYNKOWEJ'!$R$20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RYNKOWEJ'!$S$20:$U$20</c:f>
              <c:numCache>
                <c:formatCode>0,00</c:formatCode>
                <c:ptCount val="3"/>
                <c:pt idx="0">
                  <c:v>23695.665061133754</c:v>
                </c:pt>
                <c:pt idx="1">
                  <c:v>25331.260647359453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400E-98E8-B041541C7A99}"/>
            </c:ext>
          </c:extLst>
        </c:ser>
        <c:ser>
          <c:idx val="1"/>
          <c:order val="1"/>
          <c:tx>
            <c:strRef>
              <c:f>'A. POZYCJI RYNKOWEJ'!$R$21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RYNKOWEJ'!$S$7:$U$7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RYNKOWEJ'!$S$21:$U$21</c:f>
              <c:numCache>
                <c:formatCode>0,00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00E-98E8-B041541C7A99}"/>
            </c:ext>
          </c:extLst>
        </c:ser>
        <c:ser>
          <c:idx val="2"/>
          <c:order val="2"/>
          <c:tx>
            <c:strRef>
              <c:f>'A. POZYCJI RYNKOWEJ'!$R$22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RYNKOWEJ'!$S$22:$U$22</c:f>
              <c:numCache>
                <c:formatCode>0,00</c:formatCode>
                <c:ptCount val="3"/>
                <c:pt idx="0">
                  <c:v>11847.832530566877</c:v>
                </c:pt>
                <c:pt idx="1">
                  <c:v>12665.630323679727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5-4F97-870E-338A7BC2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09016"/>
        <c:axId val="486207736"/>
      </c:lineChart>
      <c:catAx>
        <c:axId val="48620901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07736"/>
        <c:crosses val="autoZero"/>
        <c:auto val="1"/>
        <c:lblAlgn val="ctr"/>
        <c:lblOffset val="100"/>
        <c:noMultiLvlLbl val="0"/>
      </c:catAx>
      <c:valAx>
        <c:axId val="4862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0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WARTOŚĆ GIEŁDOWA SPÓŁKI</a:t>
            </a:r>
            <a:r>
              <a:rPr lang="pl-PL" sz="1400" b="0" i="0" u="none" strike="noStrike" baseline="0"/>
              <a:t> 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POZYCJI RYNKOWEJ'!$R$24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POZYCJI RYNKOWEJ'!$S$23:$U$23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RYNKOWEJ'!$S$24:$U$24</c:f>
              <c:numCache>
                <c:formatCode>0</c:formatCode>
                <c:ptCount val="3"/>
                <c:pt idx="0">
                  <c:v>17261346971.84</c:v>
                </c:pt>
                <c:pt idx="1">
                  <c:v>15016540455.68</c:v>
                </c:pt>
                <c:pt idx="2">
                  <c:v>16039814081.279999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AFB-B660-7D7F4938B38C}"/>
            </c:ext>
          </c:extLst>
        </c:ser>
        <c:ser>
          <c:idx val="1"/>
          <c:order val="1"/>
          <c:tx>
            <c:strRef>
              <c:f>'A. POZYCJI RYNKOWEJ'!$R$25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POZYCJI RYNKOWEJ'!$S$23:$U$23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RYNKOWEJ'!$S$25:$U$25</c:f>
              <c:numCache>
                <c:formatCode>0</c:formatCode>
                <c:ptCount val="3"/>
                <c:pt idx="0">
                  <c:v>8031627771.4800005</c:v>
                </c:pt>
                <c:pt idx="1">
                  <c:v>6456798796.6800003</c:v>
                </c:pt>
                <c:pt idx="2">
                  <c:v>6837382465.5900002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F-4AFB-B660-7D7F4938B38C}"/>
            </c:ext>
          </c:extLst>
        </c:ser>
        <c:ser>
          <c:idx val="2"/>
          <c:order val="2"/>
          <c:tx>
            <c:strRef>
              <c:f>'A. POZYCJI RYNKOWEJ'!$R$26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'A. POZYCJI RYNKOWEJ'!$S$26:$U$26</c:f>
              <c:numCache>
                <c:formatCode>0</c:formatCode>
                <c:ptCount val="3"/>
                <c:pt idx="0">
                  <c:v>12646487371.66</c:v>
                </c:pt>
                <c:pt idx="1">
                  <c:v>10736669626.18</c:v>
                </c:pt>
                <c:pt idx="2">
                  <c:v>11438598273.434999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C-4D19-A966-2B7EF9FE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19256"/>
        <c:axId val="486215736"/>
      </c:barChart>
      <c:catAx>
        <c:axId val="48621925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5736"/>
        <c:crosses val="autoZero"/>
        <c:auto val="1"/>
        <c:lblAlgn val="ctr"/>
        <c:lblOffset val="100"/>
        <c:noMultiLvlLbl val="0"/>
      </c:catAx>
      <c:valAx>
        <c:axId val="4862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CENA/ZYSK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RYNKOWEJ'!$R$28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RYNKOWEJ'!$S$27:$U$27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RYNKOWEJ'!$S$28:$U$28</c:f>
              <c:numCache>
                <c:formatCode>0,00</c:formatCode>
                <c:ptCount val="3"/>
                <c:pt idx="0">
                  <c:v>15.486584399641124</c:v>
                </c:pt>
                <c:pt idx="1">
                  <c:v>18.400368160372505</c:v>
                </c:pt>
                <c:pt idx="2">
                  <c:v>16.969756751248411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4-4E5B-9B43-1834FF3345AD}"/>
            </c:ext>
          </c:extLst>
        </c:ser>
        <c:ser>
          <c:idx val="1"/>
          <c:order val="1"/>
          <c:tx>
            <c:strRef>
              <c:f>'A. POZYCJI RYNKOWEJ'!$R$29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RYNKOWEJ'!$S$27:$U$27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RYNKOWEJ'!$S$29:$U$29</c:f>
              <c:numCache>
                <c:formatCode>0,00</c:formatCode>
                <c:ptCount val="3"/>
                <c:pt idx="0">
                  <c:v>88.259645840439546</c:v>
                </c:pt>
                <c:pt idx="1">
                  <c:v>645.6798796679999</c:v>
                </c:pt>
                <c:pt idx="2">
                  <c:v>-113.95637442650001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4-4E5B-9B43-1834FF3345AD}"/>
            </c:ext>
          </c:extLst>
        </c:ser>
        <c:ser>
          <c:idx val="2"/>
          <c:order val="2"/>
          <c:tx>
            <c:strRef>
              <c:f>'A. POZYCJI RYNKOWEJ'!$R$30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POZYCJI RYNKOWEJ'!$S$30:$U$30</c:f>
              <c:numCache>
                <c:formatCode>Standardowy</c:formatCode>
                <c:ptCount val="3"/>
                <c:pt idx="0">
                  <c:v>34.6</c:v>
                </c:pt>
                <c:pt idx="1">
                  <c:v>28.8</c:v>
                </c:pt>
                <c:pt idx="2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45DE-86E4-37D89258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33656"/>
        <c:axId val="486230136"/>
      </c:lineChart>
      <c:catAx>
        <c:axId val="48623365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30136"/>
        <c:crosses val="autoZero"/>
        <c:auto val="1"/>
        <c:lblAlgn val="ctr"/>
        <c:lblOffset val="100"/>
        <c:noMultiLvlLbl val="0"/>
      </c:catAx>
      <c:valAx>
        <c:axId val="4862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ALTMANA 1968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SYNTETYCZNA'!$S$48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SYNTETYCZNA'!$T$47:$V$47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SYNTETYCZNA'!$T$48:$V$48</c:f>
              <c:numCache>
                <c:formatCode>0,000</c:formatCode>
                <c:ptCount val="3"/>
                <c:pt idx="0">
                  <c:v>1.3425218373395684</c:v>
                </c:pt>
                <c:pt idx="1">
                  <c:v>1.3433676892734407</c:v>
                </c:pt>
                <c:pt idx="2">
                  <c:v>1.4750597699001771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7-4EF6-BF86-6AD24D0189C1}"/>
            </c:ext>
          </c:extLst>
        </c:ser>
        <c:ser>
          <c:idx val="1"/>
          <c:order val="1"/>
          <c:tx>
            <c:strRef>
              <c:f>'A. SYNTETYCZNA'!$S$49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SYNTETYCZNA'!$T$47:$V$47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SYNTETYCZNA'!$T$49:$V$49</c:f>
              <c:numCache>
                <c:formatCode>0,000</c:formatCode>
                <c:ptCount val="3"/>
                <c:pt idx="0">
                  <c:v>1.9332409682334253</c:v>
                </c:pt>
                <c:pt idx="1">
                  <c:v>1.9729057725705144</c:v>
                </c:pt>
                <c:pt idx="2">
                  <c:v>1.8157636565876154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EF6-BF86-6AD24D0189C1}"/>
            </c:ext>
          </c:extLst>
        </c:ser>
        <c:ser>
          <c:idx val="2"/>
          <c:order val="2"/>
          <c:tx>
            <c:strRef>
              <c:f>'A. SYNTETYCZNA'!$S$50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SYNTETYCZNA'!$T$47:$V$47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SYNTETYCZNA'!$T$50:$V$50</c:f>
              <c:numCache>
                <c:formatCode>0,000</c:formatCode>
                <c:ptCount val="3"/>
                <c:pt idx="0">
                  <c:v>1.1667461493809563</c:v>
                </c:pt>
                <c:pt idx="1">
                  <c:v>0.67815114639957397</c:v>
                </c:pt>
                <c:pt idx="2">
                  <c:v>1.0664145862313141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7-4EF6-BF86-6AD24D0189C1}"/>
            </c:ext>
          </c:extLst>
        </c:ser>
        <c:ser>
          <c:idx val="3"/>
          <c:order val="3"/>
          <c:tx>
            <c:strRef>
              <c:f>'A. SYNTETYCZNA'!$S$51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SYNTETYCZNA'!$T$47:$V$47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SYNTETYCZNA'!$T$51:$V$51</c:f>
              <c:numCache>
                <c:formatCode>0,000</c:formatCode>
                <c:ptCount val="3"/>
                <c:pt idx="0">
                  <c:v>1.9408746538375792</c:v>
                </c:pt>
                <c:pt idx="1">
                  <c:v>1.8355231324594761</c:v>
                </c:pt>
                <c:pt idx="2">
                  <c:v>1.6941955633634316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7-4EF6-BF86-6AD24D0189C1}"/>
            </c:ext>
          </c:extLst>
        </c:ser>
        <c:ser>
          <c:idx val="4"/>
          <c:order val="4"/>
          <c:tx>
            <c:strRef>
              <c:f>'A. SYNTETYCZNA'!$S$52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SYNTETYCZNA'!$T$47:$V$47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SYNTETYCZNA'!$T$52:$V$52</c:f>
              <c:numCache>
                <c:formatCode>0,000</c:formatCode>
                <c:ptCount val="3"/>
                <c:pt idx="0">
                  <c:v>1.3402843844239811</c:v>
                </c:pt>
                <c:pt idx="1">
                  <c:v>1.1431664379298012</c:v>
                </c:pt>
                <c:pt idx="2">
                  <c:v>1.318990218257218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7-4EF6-BF86-6AD24D01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3712"/>
        <c:axId val="525457872"/>
      </c:barChart>
      <c:catAx>
        <c:axId val="52545371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57872"/>
        <c:crosses val="autoZero"/>
        <c:auto val="1"/>
        <c:lblAlgn val="ctr"/>
        <c:lblOffset val="100"/>
        <c:noMultiLvlLbl val="0"/>
      </c:catAx>
      <c:valAx>
        <c:axId val="5254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CENA/ZYSK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POZYCJI RYNKOWEJ'!$R$28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RYNKOWEJ'!$S$28:$U$28</c:f>
              <c:numCache>
                <c:formatCode>0,00</c:formatCode>
                <c:ptCount val="3"/>
                <c:pt idx="0">
                  <c:v>15.486584399641124</c:v>
                </c:pt>
                <c:pt idx="1">
                  <c:v>18.400368160372505</c:v>
                </c:pt>
                <c:pt idx="2">
                  <c:v>16.969756751248411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E-4BA9-8954-C1924396A469}"/>
            </c:ext>
          </c:extLst>
        </c:ser>
        <c:ser>
          <c:idx val="1"/>
          <c:order val="1"/>
          <c:tx>
            <c:strRef>
              <c:f>'A. POZYCJI RYNKOWEJ'!$R$29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RYNKOWEJ'!$S$29:$U$29</c:f>
              <c:numCache>
                <c:formatCode>0,00</c:formatCode>
                <c:ptCount val="3"/>
                <c:pt idx="0">
                  <c:v>88.259645840439546</c:v>
                </c:pt>
                <c:pt idx="1">
                  <c:v>645.6798796679999</c:v>
                </c:pt>
                <c:pt idx="2">
                  <c:v>-113.95637442650001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E-4BA9-8954-C1924396A469}"/>
            </c:ext>
          </c:extLst>
        </c:ser>
        <c:ser>
          <c:idx val="2"/>
          <c:order val="2"/>
          <c:tx>
            <c:strRef>
              <c:f>'A. POZYCJI RYNKOWEJ'!$R$30</c:f>
              <c:strCache>
                <c:ptCount val="1"/>
                <c:pt idx="0">
                  <c:v>Branża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'A. POZYCJI RYNKOWEJ'!$S$19:$U$19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POZYCJI RYNKOWEJ'!$S$30:$U$30</c:f>
              <c:numCache>
                <c:formatCode>Standardowy</c:formatCode>
                <c:ptCount val="3"/>
                <c:pt idx="0">
                  <c:v>34.6</c:v>
                </c:pt>
                <c:pt idx="1">
                  <c:v>28.8</c:v>
                </c:pt>
                <c:pt idx="2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E-4BA9-8954-C1924396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28664"/>
        <c:axId val="597829304"/>
      </c:lineChart>
      <c:catAx>
        <c:axId val="59782866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29304"/>
        <c:crosses val="autoZero"/>
        <c:auto val="1"/>
        <c:lblAlgn val="ctr"/>
        <c:lblOffset val="100"/>
        <c:noMultiLvlLbl val="0"/>
      </c:catAx>
      <c:valAx>
        <c:axId val="5978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DRUGI MODEL ALTMANA 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SYNTETYCZNA'!$S$54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SYNTETYCZNA'!$T$53:$V$53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SYNTETYCZNA'!$T$54:$V$54</c:f>
              <c:numCache>
                <c:formatCode>0,000</c:formatCode>
                <c:ptCount val="3"/>
                <c:pt idx="0">
                  <c:v>1.1505598776024599</c:v>
                </c:pt>
                <c:pt idx="1">
                  <c:v>1.1462737507773535</c:v>
                </c:pt>
                <c:pt idx="2">
                  <c:v>1.2438902464816444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7-42B4-BE88-CEC445705CE1}"/>
            </c:ext>
          </c:extLst>
        </c:ser>
        <c:ser>
          <c:idx val="1"/>
          <c:order val="1"/>
          <c:tx>
            <c:strRef>
              <c:f>'A. SYNTETYCZNA'!$S$55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SYNTETYCZNA'!$T$53:$V$53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SYNTETYCZNA'!$T$55:$V$55</c:f>
              <c:numCache>
                <c:formatCode>0,000</c:formatCode>
                <c:ptCount val="3"/>
                <c:pt idx="0">
                  <c:v>1.8302685111674053</c:v>
                </c:pt>
                <c:pt idx="1">
                  <c:v>1.9314740853868275</c:v>
                </c:pt>
                <c:pt idx="2">
                  <c:v>1.712777900965055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7-42B4-BE88-CEC445705CE1}"/>
            </c:ext>
          </c:extLst>
        </c:ser>
        <c:ser>
          <c:idx val="2"/>
          <c:order val="2"/>
          <c:tx>
            <c:strRef>
              <c:f>'A. SYNTETYCZNA'!$S$56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SYNTETYCZNA'!$T$53:$V$53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SYNTETYCZNA'!$T$56:$V$56</c:f>
              <c:numCache>
                <c:formatCode>0,000</c:formatCode>
                <c:ptCount val="3"/>
                <c:pt idx="0">
                  <c:v>1.0488799873932924</c:v>
                </c:pt>
                <c:pt idx="1">
                  <c:v>0.62709640132065481</c:v>
                </c:pt>
                <c:pt idx="2">
                  <c:v>1.0069282254493486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7-42B4-BE88-CEC445705CE1}"/>
            </c:ext>
          </c:extLst>
        </c:ser>
        <c:ser>
          <c:idx val="3"/>
          <c:order val="3"/>
          <c:tx>
            <c:strRef>
              <c:f>'A. SYNTETYCZNA'!$S$57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SYNTETYCZNA'!$T$53:$V$53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SYNTETYCZNA'!$T$57:$V$57</c:f>
              <c:numCache>
                <c:formatCode>0,000</c:formatCode>
                <c:ptCount val="3"/>
                <c:pt idx="0">
                  <c:v>1.7854275447320007</c:v>
                </c:pt>
                <c:pt idx="1">
                  <c:v>1.7068955037815687</c:v>
                </c:pt>
                <c:pt idx="2">
                  <c:v>1.5600155646566081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7-42B4-BE88-CEC445705CE1}"/>
            </c:ext>
          </c:extLst>
        </c:ser>
        <c:ser>
          <c:idx val="4"/>
          <c:order val="4"/>
          <c:tx>
            <c:strRef>
              <c:f>'A. SYNTETYCZNA'!$S$58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SYNTETYCZNA'!$T$53:$V$53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SYNTETYCZNA'!$T$58:$V$58</c:f>
              <c:numCache>
                <c:formatCode>0,000</c:formatCode>
                <c:ptCount val="3"/>
                <c:pt idx="0">
                  <c:v>1.193305128380765</c:v>
                </c:pt>
                <c:pt idx="1">
                  <c:v>1.0234013779129831</c:v>
                </c:pt>
                <c:pt idx="2">
                  <c:v>1.1822638924046718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7-42B4-BE88-CEC44570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53784"/>
        <c:axId val="443352184"/>
      </c:barChart>
      <c:catAx>
        <c:axId val="443353784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52184"/>
        <c:crosses val="autoZero"/>
        <c:auto val="1"/>
        <c:lblAlgn val="ctr"/>
        <c:lblOffset val="100"/>
        <c:noMultiLvlLbl val="0"/>
      </c:catAx>
      <c:valAx>
        <c:axId val="4433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TRZECI MODEL ALTMANA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SYNTETYCZNA'!$S$60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SYNTETYCZNA'!$T$59:$V$59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SYNTETYCZNA'!$T$60:$V$60</c:f>
              <c:numCache>
                <c:formatCode>0,000</c:formatCode>
                <c:ptCount val="3"/>
                <c:pt idx="0">
                  <c:v>4.9850448966167988</c:v>
                </c:pt>
                <c:pt idx="1">
                  <c:v>5.1804481107853473</c:v>
                </c:pt>
                <c:pt idx="2">
                  <c:v>5.3727515565413348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9-434B-A575-00DCD3D36223}"/>
            </c:ext>
          </c:extLst>
        </c:ser>
        <c:ser>
          <c:idx val="1"/>
          <c:order val="1"/>
          <c:tx>
            <c:strRef>
              <c:f>'A. SYNTETYCZNA'!$S$61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SYNTETYCZNA'!$T$59:$V$59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SYNTETYCZNA'!$T$61:$V$61</c:f>
              <c:numCache>
                <c:formatCode>0,000</c:formatCode>
                <c:ptCount val="3"/>
                <c:pt idx="0">
                  <c:v>5.0527794214484931</c:v>
                </c:pt>
                <c:pt idx="1">
                  <c:v>4.3281149839209787</c:v>
                </c:pt>
                <c:pt idx="2">
                  <c:v>5.1522643807158266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9-434B-A575-00DCD3D36223}"/>
            </c:ext>
          </c:extLst>
        </c:ser>
        <c:ser>
          <c:idx val="2"/>
          <c:order val="2"/>
          <c:tx>
            <c:strRef>
              <c:f>'A. SYNTETYCZNA'!$S$62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SYNTETYCZNA'!$T$59:$V$59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SYNTETYCZNA'!$T$62:$V$62</c:f>
              <c:numCache>
                <c:formatCode>0,000</c:formatCode>
                <c:ptCount val="3"/>
                <c:pt idx="0">
                  <c:v>4.471696065442968</c:v>
                </c:pt>
                <c:pt idx="1">
                  <c:v>3.2246558992020451</c:v>
                </c:pt>
                <c:pt idx="2">
                  <c:v>3.8223431293583388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9-434B-A575-00DCD3D36223}"/>
            </c:ext>
          </c:extLst>
        </c:ser>
        <c:ser>
          <c:idx val="3"/>
          <c:order val="3"/>
          <c:tx>
            <c:strRef>
              <c:f>'A. SYNTETYCZNA'!$S$63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SYNTETYCZNA'!$T$59:$V$59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SYNTETYCZNA'!$T$63:$V$63</c:f>
              <c:numCache>
                <c:formatCode>0,000</c:formatCode>
                <c:ptCount val="3"/>
                <c:pt idx="0">
                  <c:v>6.0347824034304338</c:v>
                </c:pt>
                <c:pt idx="1">
                  <c:v>5.6427425521721748</c:v>
                </c:pt>
                <c:pt idx="2">
                  <c:v>5.7492086780057772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9-434B-A575-00DCD3D36223}"/>
            </c:ext>
          </c:extLst>
        </c:ser>
        <c:ser>
          <c:idx val="4"/>
          <c:order val="4"/>
          <c:tx>
            <c:strRef>
              <c:f>'A. SYNTETYCZNA'!$S$64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SYNTETYCZNA'!$T$59:$V$59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SYNTETYCZNA'!$T$64:$V$64</c:f>
              <c:numCache>
                <c:formatCode>0,000</c:formatCode>
                <c:ptCount val="3"/>
                <c:pt idx="0">
                  <c:v>4.8772411416404129</c:v>
                </c:pt>
                <c:pt idx="1">
                  <c:v>4.4435445382352663</c:v>
                </c:pt>
                <c:pt idx="2">
                  <c:v>4.764723231476836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9-434B-A575-00DCD3D3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52632"/>
        <c:axId val="520751032"/>
      </c:barChart>
      <c:catAx>
        <c:axId val="52075263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751032"/>
        <c:crosses val="autoZero"/>
        <c:auto val="1"/>
        <c:lblAlgn val="ctr"/>
        <c:lblOffset val="100"/>
        <c:noMultiLvlLbl val="0"/>
      </c:catAx>
      <c:valAx>
        <c:axId val="52075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7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OHLSONA WSKAŹNIK 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SYNTETYCZNA'!$S$67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SYNTETYCZNA'!$T$66:$V$66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SYNTETYCZNA'!$T$67:$V$67</c:f>
              <c:numCache>
                <c:formatCode>0,000</c:formatCode>
                <c:ptCount val="3"/>
                <c:pt idx="0">
                  <c:v>-0.80672054212834221</c:v>
                </c:pt>
                <c:pt idx="1">
                  <c:v>-0.76080251654388575</c:v>
                </c:pt>
                <c:pt idx="2">
                  <c:v>-0.67077624691190685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1-45DC-817E-19F02C9EAA07}"/>
            </c:ext>
          </c:extLst>
        </c:ser>
        <c:ser>
          <c:idx val="1"/>
          <c:order val="1"/>
          <c:tx>
            <c:strRef>
              <c:f>'A. SYNTETYCZNA'!$S$68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SYNTETYCZNA'!$T$66:$V$66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SYNTETYCZNA'!$T$68:$V$68</c:f>
              <c:numCache>
                <c:formatCode>0,000</c:formatCode>
                <c:ptCount val="3"/>
                <c:pt idx="0">
                  <c:v>-0.52586395010159925</c:v>
                </c:pt>
                <c:pt idx="1">
                  <c:v>-0.5609631944834863</c:v>
                </c:pt>
                <c:pt idx="2">
                  <c:v>-2.47010870800275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1-45DC-817E-19F02C9EAA07}"/>
            </c:ext>
          </c:extLst>
        </c:ser>
        <c:ser>
          <c:idx val="2"/>
          <c:order val="2"/>
          <c:tx>
            <c:strRef>
              <c:f>'A. SYNTETYCZNA'!$S$69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SYNTETYCZNA'!$T$66:$V$66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SYNTETYCZNA'!$T$69:$V$69</c:f>
              <c:numCache>
                <c:formatCode>0,000</c:formatCode>
                <c:ptCount val="3"/>
                <c:pt idx="0">
                  <c:v>-1.0133468613811243</c:v>
                </c:pt>
                <c:pt idx="1">
                  <c:v>-2.798614246187439</c:v>
                </c:pt>
                <c:pt idx="2">
                  <c:v>-0.90269784443557755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1-45DC-817E-19F02C9EAA07}"/>
            </c:ext>
          </c:extLst>
        </c:ser>
        <c:ser>
          <c:idx val="3"/>
          <c:order val="3"/>
          <c:tx>
            <c:strRef>
              <c:f>'A. SYNTETYCZNA'!$S$70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SYNTETYCZNA'!$T$66:$V$66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SYNTETYCZNA'!$T$70:$V$70</c:f>
              <c:numCache>
                <c:formatCode>0,000</c:formatCode>
                <c:ptCount val="3"/>
                <c:pt idx="0">
                  <c:v>1.6470191424296463</c:v>
                </c:pt>
                <c:pt idx="1">
                  <c:v>-0.39654563954266586</c:v>
                </c:pt>
                <c:pt idx="2">
                  <c:v>-0.13311911890248415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1-45DC-817E-19F02C9EAA07}"/>
            </c:ext>
          </c:extLst>
        </c:ser>
        <c:ser>
          <c:idx val="4"/>
          <c:order val="4"/>
          <c:tx>
            <c:strRef>
              <c:f>'A. SYNTETYCZNA'!$S$71</c:f>
              <c:strCache>
                <c:ptCount val="1"/>
                <c:pt idx="0">
                  <c:v>Branża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SYNTETYCZNA'!$T$66:$V$66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SYNTETYCZNA'!$T$71:$V$71</c:f>
              <c:numCache>
                <c:formatCode>0,000</c:formatCode>
                <c:ptCount val="3"/>
                <c:pt idx="0">
                  <c:v>-0.37058660004578048</c:v>
                </c:pt>
                <c:pt idx="1">
                  <c:v>-0.31084676509942288</c:v>
                </c:pt>
                <c:pt idx="2">
                  <c:v>-0.64382922401207754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1-45DC-817E-19F02C9E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869816"/>
        <c:axId val="650870456"/>
      </c:barChart>
      <c:catAx>
        <c:axId val="650869816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870456"/>
        <c:crosses val="autoZero"/>
        <c:auto val="1"/>
        <c:lblAlgn val="ctr"/>
        <c:lblOffset val="100"/>
        <c:noMultiLvlLbl val="0"/>
      </c:catAx>
      <c:valAx>
        <c:axId val="650870456"/>
        <c:scaling>
          <c:orientation val="minMax"/>
          <c:max val="1.700000000000000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8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OHLSONA P(X)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SYNTETYCZNA'!$S$73</c:f>
              <c:strCache>
                <c:ptCount val="1"/>
                <c:pt idx="0">
                  <c:v>Cyfrowy Polsat S.A. (Polska)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'A. SYNTETYCZNA'!$T$72:$V$72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SYNTETYCZNA'!$T$73:$V$73</c:f>
              <c:numCache>
                <c:formatCode>0,000</c:formatCode>
                <c:ptCount val="3"/>
                <c:pt idx="0">
                  <c:v>0.30858976821723949</c:v>
                </c:pt>
                <c:pt idx="1">
                  <c:v>0.3184720565471818</c:v>
                </c:pt>
                <c:pt idx="2">
                  <c:v>0.33832304792369772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E-43B9-9452-E9FD353C6452}"/>
            </c:ext>
          </c:extLst>
        </c:ser>
        <c:ser>
          <c:idx val="1"/>
          <c:order val="1"/>
          <c:tx>
            <c:strRef>
              <c:f>'A. SYNTETYCZNA'!$S$74</c:f>
              <c:strCache>
                <c:ptCount val="1"/>
                <c:pt idx="0">
                  <c:v>Telewizja Polska S.A. (Polska)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'A. SYNTETYCZNA'!$T$72:$V$72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SYNTETYCZNA'!$T$74:$V$74</c:f>
              <c:numCache>
                <c:formatCode>0,000</c:formatCode>
                <c:ptCount val="3"/>
                <c:pt idx="0">
                  <c:v>0.37148207153304341</c:v>
                </c:pt>
                <c:pt idx="1">
                  <c:v>0.36332462440506175</c:v>
                </c:pt>
                <c:pt idx="2">
                  <c:v>7.7980418722670905E-2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E-43B9-9452-E9FD353C6452}"/>
            </c:ext>
          </c:extLst>
        </c:ser>
        <c:ser>
          <c:idx val="2"/>
          <c:order val="2"/>
          <c:tx>
            <c:strRef>
              <c:f>'A. SYNTETYCZNA'!$S$75</c:f>
              <c:strCache>
                <c:ptCount val="1"/>
                <c:pt idx="0">
                  <c:v>Orange Polska S.A. (Polska)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'A. SYNTETYCZNA'!$T$72:$V$72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SYNTETYCZNA'!$T$75:$V$75</c:f>
              <c:numCache>
                <c:formatCode>0,000</c:formatCode>
                <c:ptCount val="3"/>
                <c:pt idx="0">
                  <c:v>0.26632537562725567</c:v>
                </c:pt>
                <c:pt idx="1">
                  <c:v>5.7399105375141604E-2</c:v>
                </c:pt>
                <c:pt idx="2">
                  <c:v>0.28849640518921449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E-43B9-9452-E9FD353C6452}"/>
            </c:ext>
          </c:extLst>
        </c:ser>
        <c:ser>
          <c:idx val="3"/>
          <c:order val="3"/>
          <c:tx>
            <c:strRef>
              <c:f>'A. SYNTETYCZNA'!$S$76</c:f>
              <c:strCache>
                <c:ptCount val="1"/>
                <c:pt idx="0">
                  <c:v>Play Communications S.A. (Polska)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'A. SYNTETYCZNA'!$T$72:$V$72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SYNTETYCZNA'!$T$76:$V$76</c:f>
              <c:numCache>
                <c:formatCode>0,000</c:formatCode>
                <c:ptCount val="3"/>
                <c:pt idx="0">
                  <c:v>0.83848777192195634</c:v>
                </c:pt>
                <c:pt idx="1">
                  <c:v>0.4021425693090141</c:v>
                </c:pt>
                <c:pt idx="2">
                  <c:v>0.46676927842394722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E-43B9-9452-E9FD353C6452}"/>
            </c:ext>
          </c:extLst>
        </c:ser>
        <c:ser>
          <c:idx val="4"/>
          <c:order val="4"/>
          <c:tx>
            <c:strRef>
              <c:f>'A. SYNTETYCZNA'!$V$85</c:f>
              <c:strCache>
                <c:ptCount val="1"/>
                <c:pt idx="0">
                  <c:v>1,000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'A. SYNTETYCZNA'!$T$72:$V$72</c:f>
              <c:numCache>
                <c:formatCode>Standardowy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cat>
          <c:val>
            <c:numRef>
              <c:f>'A. SYNTETYCZNA'!$T$77:$V$77</c:f>
              <c:numCache>
                <c:formatCode>0,000</c:formatCode>
                <c:ptCount val="3"/>
                <c:pt idx="0">
                  <c:v>0.40839928592357888</c:v>
                </c:pt>
                <c:pt idx="1">
                  <c:v>0.4229080665798533</c:v>
                </c:pt>
                <c:pt idx="2">
                  <c:v>0.34438145176897161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E-43B9-9452-E9FD353C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91992"/>
        <c:axId val="643388152"/>
      </c:barChart>
      <c:catAx>
        <c:axId val="643391992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388152"/>
        <c:crosses val="autoZero"/>
        <c:auto val="1"/>
        <c:lblAlgn val="ctr"/>
        <c:lblOffset val="100"/>
        <c:noMultiLvlLbl val="0"/>
      </c:catAx>
      <c:valAx>
        <c:axId val="6433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3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409700" cy="561975"/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9700" cy="561975"/>
    <xdr:pic>
      <xdr:nvPicPr>
        <xdr:cNvPr id="6" name="Obraz 5">
          <a:extLst>
            <a:ext uri="{FF2B5EF4-FFF2-40B4-BE49-F238E27FC236}">
              <a16:creationId xmlns:a16="http://schemas.microsoft.com/office/drawing/2014/main" id="{145E2B9B-1F54-4305-8B4D-C0D08FA27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9700" cy="5619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0</xdr:row>
      <xdr:rowOff>0</xdr:rowOff>
    </xdr:from>
    <xdr:ext cx="1409700" cy="561975"/>
    <xdr:pic>
      <xdr:nvPicPr>
        <xdr:cNvPr id="3" name="Obraz 2">
          <a:extLst>
            <a:ext uri="{FF2B5EF4-FFF2-40B4-BE49-F238E27FC236}">
              <a16:creationId xmlns:a16="http://schemas.microsoft.com/office/drawing/2014/main" id="{38D372F7-CA1C-47E0-9194-D51D5A94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409700" cy="5619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409700" cy="561975"/>
    <xdr:pic>
      <xdr:nvPicPr>
        <xdr:cNvPr id="5" name="Obraz 4">
          <a:extLst>
            <a:ext uri="{FF2B5EF4-FFF2-40B4-BE49-F238E27FC236}">
              <a16:creationId xmlns:a16="http://schemas.microsoft.com/office/drawing/2014/main" id="{8E576278-00DE-42CE-BE48-8FFE078B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409700" cy="5619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142876</xdr:colOff>
      <xdr:row>47</xdr:row>
      <xdr:rowOff>38099</xdr:rowOff>
    </xdr:from>
    <xdr:to>
      <xdr:col>34</xdr:col>
      <xdr:colOff>114301</xdr:colOff>
      <xdr:row>71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F310377-925A-4869-A8E1-61EF21F9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47</xdr:row>
      <xdr:rowOff>0</xdr:rowOff>
    </xdr:from>
    <xdr:to>
      <xdr:col>41</xdr:col>
      <xdr:colOff>304800</xdr:colOff>
      <xdr:row>71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0554C95-A829-4036-AB01-376140CA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47</xdr:row>
      <xdr:rowOff>0</xdr:rowOff>
    </xdr:from>
    <xdr:to>
      <xdr:col>49</xdr:col>
      <xdr:colOff>304800</xdr:colOff>
      <xdr:row>71</xdr:row>
      <xdr:rowOff>180975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507D485-A39C-45EC-AE58-E7D85564E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180975</xdr:colOff>
      <xdr:row>92</xdr:row>
      <xdr:rowOff>47625</xdr:rowOff>
    </xdr:from>
    <xdr:to>
      <xdr:col>32</xdr:col>
      <xdr:colOff>85725</xdr:colOff>
      <xdr:row>106</xdr:row>
      <xdr:rowOff>123825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FA4E059-31CF-4A57-B502-DD63F55E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50347</xdr:colOff>
      <xdr:row>92</xdr:row>
      <xdr:rowOff>59870</xdr:rowOff>
    </xdr:from>
    <xdr:to>
      <xdr:col>40</xdr:col>
      <xdr:colOff>608241</xdr:colOff>
      <xdr:row>106</xdr:row>
      <xdr:rowOff>136070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78455B1-801B-4CB7-8662-9E6D93BB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123825</xdr:colOff>
      <xdr:row>77</xdr:row>
      <xdr:rowOff>142875</xdr:rowOff>
    </xdr:from>
    <xdr:to>
      <xdr:col>30</xdr:col>
      <xdr:colOff>381000</xdr:colOff>
      <xdr:row>92</xdr:row>
      <xdr:rowOff>28575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EE04A82-7E83-4791-A58B-727E21D3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77</xdr:row>
      <xdr:rowOff>133349</xdr:rowOff>
    </xdr:from>
    <xdr:to>
      <xdr:col>40</xdr:col>
      <xdr:colOff>152400</xdr:colOff>
      <xdr:row>92</xdr:row>
      <xdr:rowOff>28574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E85D258-1AFA-4504-9BCA-D8B811B8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238124</xdr:colOff>
      <xdr:row>106</xdr:row>
      <xdr:rowOff>130629</xdr:rowOff>
    </xdr:from>
    <xdr:to>
      <xdr:col>32</xdr:col>
      <xdr:colOff>172809</xdr:colOff>
      <xdr:row>121</xdr:row>
      <xdr:rowOff>16329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38A8AC-F58A-48DB-855D-26D75630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-1</xdr:colOff>
      <xdr:row>106</xdr:row>
      <xdr:rowOff>152399</xdr:rowOff>
    </xdr:from>
    <xdr:to>
      <xdr:col>41</xdr:col>
      <xdr:colOff>176892</xdr:colOff>
      <xdr:row>121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3C77C3-C400-4544-919E-0278735C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312964</xdr:colOff>
      <xdr:row>121</xdr:row>
      <xdr:rowOff>16328</xdr:rowOff>
    </xdr:from>
    <xdr:to>
      <xdr:col>33</xdr:col>
      <xdr:colOff>40821</xdr:colOff>
      <xdr:row>135</xdr:row>
      <xdr:rowOff>92528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8999676-0D7C-4C96-8DAD-4C2C6CB0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13606</xdr:colOff>
      <xdr:row>121</xdr:row>
      <xdr:rowOff>57150</xdr:rowOff>
    </xdr:from>
    <xdr:to>
      <xdr:col>41</xdr:col>
      <xdr:colOff>190499</xdr:colOff>
      <xdr:row>135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08684D-6882-408E-B0C1-6B2E4ED9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299358</xdr:colOff>
      <xdr:row>135</xdr:row>
      <xdr:rowOff>138792</xdr:rowOff>
    </xdr:from>
    <xdr:to>
      <xdr:col>33</xdr:col>
      <xdr:colOff>27215</xdr:colOff>
      <xdr:row>150</xdr:row>
      <xdr:rowOff>24492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178634D-DE53-428E-ACAD-E3EE9351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68035</xdr:colOff>
      <xdr:row>135</xdr:row>
      <xdr:rowOff>152398</xdr:rowOff>
    </xdr:from>
    <xdr:to>
      <xdr:col>41</xdr:col>
      <xdr:colOff>244928</xdr:colOff>
      <xdr:row>154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505F8C1-5CF3-4C81-A3B5-8EF23167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0</xdr:row>
      <xdr:rowOff>28574</xdr:rowOff>
    </xdr:from>
    <xdr:to>
      <xdr:col>28</xdr:col>
      <xdr:colOff>581025</xdr:colOff>
      <xdr:row>13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E724CF-FB22-47A3-AF77-9A47F10AA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14</xdr:row>
      <xdr:rowOff>0</xdr:rowOff>
    </xdr:from>
    <xdr:to>
      <xdr:col>28</xdr:col>
      <xdr:colOff>571500</xdr:colOff>
      <xdr:row>28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8517FD-3FD3-415B-9C4B-3FCAF7E8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276225</xdr:colOff>
      <xdr:row>28</xdr:row>
      <xdr:rowOff>152400</xdr:rowOff>
    </xdr:from>
    <xdr:to>
      <xdr:col>28</xdr:col>
      <xdr:colOff>581025</xdr:colOff>
      <xdr:row>43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E80C18-C710-407A-A713-1E156CF28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303832</xdr:colOff>
      <xdr:row>37</xdr:row>
      <xdr:rowOff>0</xdr:rowOff>
    </xdr:from>
    <xdr:to>
      <xdr:col>33</xdr:col>
      <xdr:colOff>84068</xdr:colOff>
      <xdr:row>51</xdr:row>
      <xdr:rowOff>153367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30E6CD-E8F5-4A17-A89F-13EA9530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290995</xdr:colOff>
      <xdr:row>52</xdr:row>
      <xdr:rowOff>89038</xdr:rowOff>
    </xdr:from>
    <xdr:to>
      <xdr:col>33</xdr:col>
      <xdr:colOff>69022</xdr:colOff>
      <xdr:row>66</xdr:row>
      <xdr:rowOff>165239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185D74B-3811-4817-8D06-EA4555E1C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72</xdr:row>
      <xdr:rowOff>152400</xdr:rowOff>
    </xdr:from>
    <xdr:to>
      <xdr:col>29</xdr:col>
      <xdr:colOff>0</xdr:colOff>
      <xdr:row>87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C6E7115-7FE4-4315-829D-3999A36C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323850</xdr:colOff>
      <xdr:row>87</xdr:row>
      <xdr:rowOff>66675</xdr:rowOff>
    </xdr:from>
    <xdr:to>
      <xdr:col>29</xdr:col>
      <xdr:colOff>19050</xdr:colOff>
      <xdr:row>101</xdr:row>
      <xdr:rowOff>142875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59DDC94-98E8-4FE3-8991-346F071D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314325</xdr:colOff>
      <xdr:row>101</xdr:row>
      <xdr:rowOff>180975</xdr:rowOff>
    </xdr:from>
    <xdr:to>
      <xdr:col>29</xdr:col>
      <xdr:colOff>9525</xdr:colOff>
      <xdr:row>116</xdr:row>
      <xdr:rowOff>66675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5B8764-94F2-401E-9DD8-C87A10A8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0</xdr:row>
      <xdr:rowOff>0</xdr:rowOff>
    </xdr:from>
    <xdr:to>
      <xdr:col>31</xdr:col>
      <xdr:colOff>333375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9C6ED3-5CB7-4BAD-8DF2-2C6FD3A7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15</xdr:row>
      <xdr:rowOff>0</xdr:rowOff>
    </xdr:from>
    <xdr:to>
      <xdr:col>31</xdr:col>
      <xdr:colOff>333375</xdr:colOff>
      <xdr:row>29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6596DC8-5507-4A8B-9E8C-34F3637C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29</xdr:row>
      <xdr:rowOff>95250</xdr:rowOff>
    </xdr:from>
    <xdr:to>
      <xdr:col>31</xdr:col>
      <xdr:colOff>342900</xdr:colOff>
      <xdr:row>43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3E84987-8F4D-4A1E-83B8-EE97F762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33401</xdr:colOff>
      <xdr:row>44</xdr:row>
      <xdr:rowOff>49479</xdr:rowOff>
    </xdr:from>
    <xdr:to>
      <xdr:col>31</xdr:col>
      <xdr:colOff>316677</xdr:colOff>
      <xdr:row>58</xdr:row>
      <xdr:rowOff>136071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D808342-356B-4554-B857-6F119278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</xdr:colOff>
      <xdr:row>59</xdr:row>
      <xdr:rowOff>0</xdr:rowOff>
    </xdr:from>
    <xdr:to>
      <xdr:col>31</xdr:col>
      <xdr:colOff>342900</xdr:colOff>
      <xdr:row>73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D6B9A7B-ECC6-47D2-B638-31060690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28575</xdr:colOff>
      <xdr:row>73</xdr:row>
      <xdr:rowOff>104775</xdr:rowOff>
    </xdr:from>
    <xdr:to>
      <xdr:col>31</xdr:col>
      <xdr:colOff>333375</xdr:colOff>
      <xdr:row>87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38B510E-4C63-4862-B4B9-9E7E70DDA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38100</xdr:colOff>
      <xdr:row>88</xdr:row>
      <xdr:rowOff>47625</xdr:rowOff>
    </xdr:from>
    <xdr:to>
      <xdr:col>31</xdr:col>
      <xdr:colOff>342900</xdr:colOff>
      <xdr:row>102</xdr:row>
      <xdr:rowOff>123825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3F8AF54-E589-4A9C-B9BB-18B6AB6D0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53577</xdr:colOff>
      <xdr:row>103</xdr:row>
      <xdr:rowOff>15477</xdr:rowOff>
    </xdr:from>
    <xdr:to>
      <xdr:col>31</xdr:col>
      <xdr:colOff>375046</xdr:colOff>
      <xdr:row>117</xdr:row>
      <xdr:rowOff>91677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B1C0B0B-0DF5-4608-B493-34833799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39221</xdr:colOff>
      <xdr:row>0</xdr:row>
      <xdr:rowOff>0</xdr:rowOff>
    </xdr:from>
    <xdr:to>
      <xdr:col>27</xdr:col>
      <xdr:colOff>644340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BAE27E-8077-48F7-A1F3-510D0927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39220</xdr:colOff>
      <xdr:row>14</xdr:row>
      <xdr:rowOff>96371</xdr:rowOff>
    </xdr:from>
    <xdr:to>
      <xdr:col>27</xdr:col>
      <xdr:colOff>644338</xdr:colOff>
      <xdr:row>28</xdr:row>
      <xdr:rowOff>172571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ACFFA7-3895-43D8-81C9-5C1A57FE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28014</xdr:colOff>
      <xdr:row>29</xdr:row>
      <xdr:rowOff>6724</xdr:rowOff>
    </xdr:from>
    <xdr:to>
      <xdr:col>27</xdr:col>
      <xdr:colOff>633132</xdr:colOff>
      <xdr:row>43</xdr:row>
      <xdr:rowOff>82924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F224A2-B7A7-4285-97D3-5C4438366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39221</xdr:colOff>
      <xdr:row>43</xdr:row>
      <xdr:rowOff>85164</xdr:rowOff>
    </xdr:from>
    <xdr:to>
      <xdr:col>27</xdr:col>
      <xdr:colOff>644339</xdr:colOff>
      <xdr:row>59</xdr:row>
      <xdr:rowOff>190499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3DE528-DC0F-4A1D-8DA3-8CAF4DA6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39221</xdr:colOff>
      <xdr:row>59</xdr:row>
      <xdr:rowOff>186017</xdr:rowOff>
    </xdr:from>
    <xdr:to>
      <xdr:col>27</xdr:col>
      <xdr:colOff>644339</xdr:colOff>
      <xdr:row>76</xdr:row>
      <xdr:rowOff>100852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C096256-9A49-49AB-849E-2BD8D73D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39221</xdr:colOff>
      <xdr:row>76</xdr:row>
      <xdr:rowOff>118782</xdr:rowOff>
    </xdr:from>
    <xdr:to>
      <xdr:col>27</xdr:col>
      <xdr:colOff>644339</xdr:colOff>
      <xdr:row>91</xdr:row>
      <xdr:rowOff>4482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B4D3BAC-E339-49B1-8262-F9B7BDEB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28015</xdr:colOff>
      <xdr:row>34</xdr:row>
      <xdr:rowOff>186017</xdr:rowOff>
    </xdr:from>
    <xdr:to>
      <xdr:col>30</xdr:col>
      <xdr:colOff>1731309</xdr:colOff>
      <xdr:row>53</xdr:row>
      <xdr:rowOff>33617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C294457-B89D-40D7-BBA4-1A90987B7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39217</xdr:colOff>
      <xdr:row>53</xdr:row>
      <xdr:rowOff>51546</xdr:rowOff>
    </xdr:from>
    <xdr:to>
      <xdr:col>30</xdr:col>
      <xdr:colOff>2095501</xdr:colOff>
      <xdr:row>68</xdr:row>
      <xdr:rowOff>123264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3076B2A-B28A-4027-8513-273EDF8F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5601</xdr:colOff>
      <xdr:row>68</xdr:row>
      <xdr:rowOff>107577</xdr:rowOff>
    </xdr:from>
    <xdr:to>
      <xdr:col>30</xdr:col>
      <xdr:colOff>1927412</xdr:colOff>
      <xdr:row>85</xdr:row>
      <xdr:rowOff>67236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C918EDE-9D3A-43C1-82F2-33568F12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61632</xdr:colOff>
      <xdr:row>85</xdr:row>
      <xdr:rowOff>118783</xdr:rowOff>
    </xdr:from>
    <xdr:to>
      <xdr:col>30</xdr:col>
      <xdr:colOff>1764926</xdr:colOff>
      <xdr:row>100</xdr:row>
      <xdr:rowOff>4483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4271DA0-E150-41FC-9EF6-559A5976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453836</xdr:colOff>
      <xdr:row>91</xdr:row>
      <xdr:rowOff>29135</xdr:rowOff>
    </xdr:from>
    <xdr:to>
      <xdr:col>27</xdr:col>
      <xdr:colOff>627529</xdr:colOff>
      <xdr:row>111</xdr:row>
      <xdr:rowOff>112058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C9C2814-BECE-417A-A292-C4FF919F8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549086</xdr:colOff>
      <xdr:row>36</xdr:row>
      <xdr:rowOff>67235</xdr:rowOff>
    </xdr:from>
    <xdr:to>
      <xdr:col>42</xdr:col>
      <xdr:colOff>1098176</xdr:colOff>
      <xdr:row>67</xdr:row>
      <xdr:rowOff>190499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8755419-8FE2-4A7B-AD59-32268874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1473573</xdr:colOff>
      <xdr:row>36</xdr:row>
      <xdr:rowOff>73957</xdr:rowOff>
    </xdr:from>
    <xdr:to>
      <xdr:col>47</xdr:col>
      <xdr:colOff>537882</xdr:colOff>
      <xdr:row>62</xdr:row>
      <xdr:rowOff>89646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CE13913-2B96-49D5-9C2F-D124A45DA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2</xdr:row>
      <xdr:rowOff>14287</xdr:rowOff>
    </xdr:from>
    <xdr:to>
      <xdr:col>28</xdr:col>
      <xdr:colOff>476250</xdr:colOff>
      <xdr:row>16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E5611C-A090-413A-8600-2CAA485D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180975</xdr:colOff>
      <xdr:row>16</xdr:row>
      <xdr:rowOff>109537</xdr:rowOff>
    </xdr:from>
    <xdr:to>
      <xdr:col>28</xdr:col>
      <xdr:colOff>485775</xdr:colOff>
      <xdr:row>30</xdr:row>
      <xdr:rowOff>185737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F74A4EF-AD93-4D2C-9918-4744A7E7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523875</xdr:colOff>
      <xdr:row>16</xdr:row>
      <xdr:rowOff>109537</xdr:rowOff>
    </xdr:from>
    <xdr:to>
      <xdr:col>36</xdr:col>
      <xdr:colOff>219075</xdr:colOff>
      <xdr:row>30</xdr:row>
      <xdr:rowOff>185737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6C4680-EB5A-44BF-895B-15DAB07D4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533400</xdr:colOff>
      <xdr:row>2</xdr:row>
      <xdr:rowOff>4762</xdr:rowOff>
    </xdr:from>
    <xdr:to>
      <xdr:col>36</xdr:col>
      <xdr:colOff>228600</xdr:colOff>
      <xdr:row>16</xdr:row>
      <xdr:rowOff>80962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69B8976-E326-4BF4-8D65-A2F88C36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180975</xdr:colOff>
      <xdr:row>31</xdr:row>
      <xdr:rowOff>42862</xdr:rowOff>
    </xdr:from>
    <xdr:to>
      <xdr:col>28</xdr:col>
      <xdr:colOff>485775</xdr:colOff>
      <xdr:row>45</xdr:row>
      <xdr:rowOff>119062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032EB50-1DDC-4161-83F2-19F27CD6A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133350</xdr:colOff>
      <xdr:row>46</xdr:row>
      <xdr:rowOff>23812</xdr:rowOff>
    </xdr:from>
    <xdr:to>
      <xdr:col>28</xdr:col>
      <xdr:colOff>438150</xdr:colOff>
      <xdr:row>60</xdr:row>
      <xdr:rowOff>100012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6669E1A-A227-4D9B-81A0-E4F2183C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571500</xdr:colOff>
      <xdr:row>31</xdr:row>
      <xdr:rowOff>4762</xdr:rowOff>
    </xdr:from>
    <xdr:to>
      <xdr:col>36</xdr:col>
      <xdr:colOff>266700</xdr:colOff>
      <xdr:row>45</xdr:row>
      <xdr:rowOff>80962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300F5EE-5612-49B6-9DC7-E534D39C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552450</xdr:colOff>
      <xdr:row>31</xdr:row>
      <xdr:rowOff>42862</xdr:rowOff>
    </xdr:from>
    <xdr:to>
      <xdr:col>20</xdr:col>
      <xdr:colOff>952500</xdr:colOff>
      <xdr:row>45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5051B6-A926-4C98-B686-A23F1B8C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K257"/>
  <sheetViews>
    <sheetView showGridLines="0" topLeftCell="E151" zoomScale="85" zoomScaleNormal="85" workbookViewId="0">
      <selection activeCell="F188" sqref="F188"/>
    </sheetView>
  </sheetViews>
  <sheetFormatPr defaultRowHeight="15" x14ac:dyDescent="0.25"/>
  <cols>
    <col min="1" max="1" width="50" customWidth="1"/>
    <col min="2" max="4" width="20" customWidth="1"/>
    <col min="5" max="5" width="68.5703125" bestFit="1" customWidth="1"/>
    <col min="6" max="8" width="20.42578125" bestFit="1" customWidth="1"/>
  </cols>
  <sheetData>
    <row r="1" spans="1:11" x14ac:dyDescent="0.25">
      <c r="A1" s="21"/>
      <c r="B1" s="21"/>
      <c r="C1" s="21"/>
      <c r="D1" s="1" t="s">
        <v>0</v>
      </c>
      <c r="E1" s="76"/>
      <c r="F1" s="76"/>
      <c r="G1" s="76"/>
      <c r="H1" s="176" t="s">
        <v>0</v>
      </c>
      <c r="I1" s="176"/>
      <c r="J1" s="176"/>
      <c r="K1" s="176"/>
    </row>
    <row r="2" spans="1:11" x14ac:dyDescent="0.25">
      <c r="A2" s="21"/>
      <c r="B2" s="21"/>
      <c r="C2" s="21"/>
      <c r="D2" s="1" t="s">
        <v>1</v>
      </c>
      <c r="E2" s="76"/>
      <c r="F2" s="76"/>
      <c r="G2" s="76"/>
      <c r="H2" s="176" t="s">
        <v>1</v>
      </c>
      <c r="I2" s="176"/>
      <c r="J2" s="176"/>
      <c r="K2" s="176"/>
    </row>
    <row r="3" spans="1:11" x14ac:dyDescent="0.25">
      <c r="A3" s="21"/>
      <c r="B3" s="21"/>
      <c r="C3" s="21"/>
      <c r="D3" s="1" t="s">
        <v>2</v>
      </c>
      <c r="E3" s="76"/>
      <c r="F3" s="76"/>
      <c r="G3" s="76"/>
      <c r="H3" s="176" t="s">
        <v>2</v>
      </c>
      <c r="I3" s="176"/>
      <c r="J3" s="176"/>
      <c r="K3" s="176"/>
    </row>
    <row r="4" spans="1:11" x14ac:dyDescent="0.25">
      <c r="A4" s="95" t="s">
        <v>446</v>
      </c>
      <c r="B4" s="21"/>
      <c r="C4" s="21"/>
      <c r="D4" s="1" t="s">
        <v>3</v>
      </c>
      <c r="E4" s="76" t="s">
        <v>445</v>
      </c>
      <c r="F4" s="76"/>
      <c r="G4" s="76"/>
      <c r="H4" s="76" t="s">
        <v>3</v>
      </c>
      <c r="I4" s="76"/>
      <c r="J4" s="76"/>
      <c r="K4" s="76"/>
    </row>
    <row r="5" spans="1:11" ht="20.100000000000001" customHeight="1" x14ac:dyDescent="0.25">
      <c r="A5" s="172" t="s">
        <v>4</v>
      </c>
      <c r="B5" s="173"/>
      <c r="C5" s="173"/>
      <c r="D5" s="173"/>
      <c r="E5" s="174" t="s">
        <v>4</v>
      </c>
      <c r="F5" s="175"/>
      <c r="G5" s="175"/>
      <c r="H5" s="175"/>
      <c r="I5" s="175"/>
      <c r="J5" s="175"/>
      <c r="K5" s="175"/>
    </row>
    <row r="6" spans="1:11" x14ac:dyDescent="0.25">
      <c r="A6" t="s">
        <v>5</v>
      </c>
      <c r="E6" s="77" t="s">
        <v>5</v>
      </c>
      <c r="F6" s="77"/>
      <c r="G6" s="77"/>
      <c r="H6" s="77"/>
      <c r="I6" s="77"/>
      <c r="J6" s="77"/>
      <c r="K6" s="77"/>
    </row>
    <row r="7" spans="1:11" x14ac:dyDescent="0.25">
      <c r="E7" s="67"/>
      <c r="F7" s="67"/>
      <c r="G7" s="67"/>
      <c r="H7" s="67"/>
      <c r="I7" s="67"/>
      <c r="J7" s="67"/>
      <c r="K7" s="67"/>
    </row>
    <row r="8" spans="1:11" x14ac:dyDescent="0.25">
      <c r="A8" s="2" t="s">
        <v>6</v>
      </c>
      <c r="B8" s="3" t="s">
        <v>7</v>
      </c>
      <c r="C8" s="3" t="s">
        <v>7</v>
      </c>
      <c r="D8" s="3" t="s">
        <v>7</v>
      </c>
      <c r="E8" s="78" t="s">
        <v>6</v>
      </c>
      <c r="F8" s="79" t="s">
        <v>7</v>
      </c>
      <c r="G8" s="79" t="s">
        <v>7</v>
      </c>
      <c r="H8" s="79" t="s">
        <v>7</v>
      </c>
      <c r="I8" s="77"/>
      <c r="J8" s="77"/>
      <c r="K8" s="77"/>
    </row>
    <row r="9" spans="1:11" x14ac:dyDescent="0.25">
      <c r="A9" s="4" t="s">
        <v>8</v>
      </c>
      <c r="B9" s="5" t="s">
        <v>9</v>
      </c>
      <c r="C9" s="5" t="s">
        <v>10</v>
      </c>
      <c r="D9" s="5" t="s">
        <v>11</v>
      </c>
      <c r="E9" s="80" t="s">
        <v>8</v>
      </c>
      <c r="F9" s="81" t="s">
        <v>9</v>
      </c>
      <c r="G9" s="81" t="s">
        <v>10</v>
      </c>
      <c r="H9" s="81" t="s">
        <v>11</v>
      </c>
      <c r="I9" s="77"/>
      <c r="J9" s="77"/>
      <c r="K9" s="77"/>
    </row>
    <row r="10" spans="1:11" x14ac:dyDescent="0.25">
      <c r="A10" s="2" t="s">
        <v>6</v>
      </c>
      <c r="B10" s="3" t="s">
        <v>12</v>
      </c>
      <c r="C10" s="3" t="s">
        <v>12</v>
      </c>
      <c r="D10" s="3" t="s">
        <v>12</v>
      </c>
      <c r="E10" s="78" t="s">
        <v>13</v>
      </c>
      <c r="F10" s="79" t="s">
        <v>14</v>
      </c>
      <c r="G10" s="79" t="s">
        <v>14</v>
      </c>
      <c r="H10" s="79" t="s">
        <v>14</v>
      </c>
      <c r="I10" s="77"/>
      <c r="J10" s="77"/>
      <c r="K10" s="77"/>
    </row>
    <row r="11" spans="1:11" x14ac:dyDescent="0.25">
      <c r="A11" s="4" t="s">
        <v>13</v>
      </c>
      <c r="B11" s="5" t="s">
        <v>14</v>
      </c>
      <c r="C11" s="5" t="s">
        <v>14</v>
      </c>
      <c r="D11" s="5" t="s">
        <v>14</v>
      </c>
      <c r="F11" s="67"/>
      <c r="G11" s="67"/>
      <c r="H11" s="67"/>
      <c r="I11" s="67"/>
      <c r="J11" s="67"/>
      <c r="K11" s="67"/>
    </row>
    <row r="12" spans="1:11" x14ac:dyDescent="0.25">
      <c r="A12" s="6" t="s">
        <v>15</v>
      </c>
      <c r="B12" s="6">
        <v>2019</v>
      </c>
      <c r="C12" s="6">
        <v>2018</v>
      </c>
      <c r="D12" s="6">
        <v>2017</v>
      </c>
      <c r="E12" s="97" t="s">
        <v>15</v>
      </c>
      <c r="F12" s="97">
        <v>2019</v>
      </c>
      <c r="G12" s="97">
        <v>2018</v>
      </c>
      <c r="H12" s="97">
        <v>2017</v>
      </c>
      <c r="I12" s="67"/>
      <c r="J12" s="67"/>
      <c r="K12" s="67"/>
    </row>
    <row r="13" spans="1:11" x14ac:dyDescent="0.25">
      <c r="A13" s="4" t="s">
        <v>16</v>
      </c>
      <c r="B13" s="7">
        <v>11721800</v>
      </c>
      <c r="C13" s="7">
        <v>10705800</v>
      </c>
      <c r="D13" s="7">
        <v>9849900</v>
      </c>
      <c r="E13" s="98" t="s">
        <v>344</v>
      </c>
      <c r="F13" s="99">
        <v>11676100</v>
      </c>
      <c r="G13" s="99">
        <v>10686100</v>
      </c>
      <c r="H13" s="99">
        <v>9828600</v>
      </c>
      <c r="I13" s="77"/>
      <c r="J13" s="77"/>
      <c r="K13" s="77"/>
    </row>
    <row r="14" spans="1:11" x14ac:dyDescent="0.25">
      <c r="A14" s="2" t="s">
        <v>17</v>
      </c>
      <c r="B14" s="8">
        <v>11676100</v>
      </c>
      <c r="C14" s="8">
        <v>10686100</v>
      </c>
      <c r="D14" s="8">
        <v>9828600</v>
      </c>
      <c r="E14" s="100" t="s">
        <v>447</v>
      </c>
      <c r="F14" s="101" t="s">
        <v>12</v>
      </c>
      <c r="G14" s="101" t="s">
        <v>12</v>
      </c>
      <c r="H14" s="101" t="s">
        <v>12</v>
      </c>
      <c r="I14" s="77"/>
      <c r="J14" s="77"/>
      <c r="K14" s="77"/>
    </row>
    <row r="15" spans="1:11" x14ac:dyDescent="0.25">
      <c r="A15" s="4" t="s">
        <v>18</v>
      </c>
      <c r="B15" s="5" t="s">
        <v>12</v>
      </c>
      <c r="C15" s="5" t="s">
        <v>12</v>
      </c>
      <c r="D15" s="5" t="s">
        <v>12</v>
      </c>
      <c r="E15" s="98" t="s">
        <v>448</v>
      </c>
      <c r="F15" s="54" t="s">
        <v>12</v>
      </c>
      <c r="G15" s="54" t="s">
        <v>12</v>
      </c>
      <c r="H15" s="54" t="s">
        <v>12</v>
      </c>
      <c r="I15" s="67"/>
      <c r="J15" s="67"/>
      <c r="K15" s="67"/>
    </row>
    <row r="16" spans="1:11" x14ac:dyDescent="0.25">
      <c r="A16" s="2" t="s">
        <v>19</v>
      </c>
      <c r="B16" s="3" t="s">
        <v>12</v>
      </c>
      <c r="C16" s="3" t="s">
        <v>12</v>
      </c>
      <c r="D16" s="3" t="s">
        <v>12</v>
      </c>
      <c r="E16" s="100" t="s">
        <v>449</v>
      </c>
      <c r="F16" s="101" t="s">
        <v>12</v>
      </c>
      <c r="G16" s="101" t="s">
        <v>12</v>
      </c>
      <c r="H16" s="101" t="s">
        <v>12</v>
      </c>
      <c r="I16" s="67"/>
      <c r="J16" s="67"/>
      <c r="K16" s="67"/>
    </row>
    <row r="17" spans="1:11" x14ac:dyDescent="0.25">
      <c r="A17" s="4" t="s">
        <v>20</v>
      </c>
      <c r="B17" s="7">
        <v>-9754800</v>
      </c>
      <c r="C17" s="9">
        <v>0</v>
      </c>
      <c r="D17" s="9">
        <v>0</v>
      </c>
      <c r="E17" s="98" t="s">
        <v>450</v>
      </c>
      <c r="F17" s="54" t="s">
        <v>12</v>
      </c>
      <c r="G17" s="54" t="s">
        <v>12</v>
      </c>
      <c r="H17" s="54" t="s">
        <v>12</v>
      </c>
      <c r="I17" s="67"/>
      <c r="J17" s="67"/>
      <c r="K17" s="67"/>
    </row>
    <row r="18" spans="1:11" x14ac:dyDescent="0.25">
      <c r="A18" s="2" t="s">
        <v>21</v>
      </c>
      <c r="B18" s="10">
        <v>0</v>
      </c>
      <c r="C18" s="10">
        <v>0</v>
      </c>
      <c r="D18" s="10">
        <v>0</v>
      </c>
      <c r="E18" s="100" t="s">
        <v>451</v>
      </c>
      <c r="F18" s="101" t="s">
        <v>12</v>
      </c>
      <c r="G18" s="101" t="s">
        <v>12</v>
      </c>
      <c r="H18" s="101" t="s">
        <v>12</v>
      </c>
      <c r="I18" s="67"/>
      <c r="J18" s="67"/>
      <c r="K18" s="67"/>
    </row>
    <row r="19" spans="1:11" x14ac:dyDescent="0.25">
      <c r="A19" s="4" t="s">
        <v>22</v>
      </c>
      <c r="B19" s="9">
        <v>0</v>
      </c>
      <c r="C19" s="9">
        <v>0</v>
      </c>
      <c r="D19" s="9">
        <v>0</v>
      </c>
      <c r="E19" s="98" t="s">
        <v>345</v>
      </c>
      <c r="F19" s="99">
        <v>-9754800</v>
      </c>
      <c r="G19" s="54" t="s">
        <v>12</v>
      </c>
      <c r="H19" s="54" t="s">
        <v>12</v>
      </c>
      <c r="I19" s="67"/>
      <c r="J19" s="67"/>
      <c r="K19" s="67"/>
    </row>
    <row r="20" spans="1:11" x14ac:dyDescent="0.25">
      <c r="A20" s="2" t="s">
        <v>23</v>
      </c>
      <c r="B20" s="8">
        <v>2229700</v>
      </c>
      <c r="C20" s="8">
        <v>2307700</v>
      </c>
      <c r="D20" s="8">
        <v>2011600</v>
      </c>
      <c r="E20" s="100" t="s">
        <v>452</v>
      </c>
      <c r="F20" s="101" t="s">
        <v>12</v>
      </c>
      <c r="G20" s="101" t="s">
        <v>12</v>
      </c>
      <c r="H20" s="101" t="s">
        <v>12</v>
      </c>
      <c r="I20" s="67"/>
      <c r="J20" s="67"/>
      <c r="K20" s="67"/>
    </row>
    <row r="21" spans="1:11" x14ac:dyDescent="0.25">
      <c r="A21" s="4" t="s">
        <v>24</v>
      </c>
      <c r="B21" s="5" t="s">
        <v>12</v>
      </c>
      <c r="C21" s="5" t="s">
        <v>12</v>
      </c>
      <c r="D21" s="5" t="s">
        <v>12</v>
      </c>
      <c r="E21" s="98" t="s">
        <v>453</v>
      </c>
      <c r="F21" s="54" t="s">
        <v>12</v>
      </c>
      <c r="G21" s="54" t="s">
        <v>12</v>
      </c>
      <c r="H21" s="54" t="s">
        <v>12</v>
      </c>
      <c r="I21" s="67"/>
      <c r="J21" s="67"/>
      <c r="K21" s="67"/>
    </row>
    <row r="22" spans="1:11" x14ac:dyDescent="0.25">
      <c r="A22" s="2" t="s">
        <v>25</v>
      </c>
      <c r="B22" s="3" t="s">
        <v>12</v>
      </c>
      <c r="C22" s="3" t="s">
        <v>12</v>
      </c>
      <c r="D22" s="3" t="s">
        <v>12</v>
      </c>
      <c r="E22" s="100" t="s">
        <v>454</v>
      </c>
      <c r="F22" s="101" t="s">
        <v>12</v>
      </c>
      <c r="G22" s="101" t="s">
        <v>12</v>
      </c>
      <c r="H22" s="101" t="s">
        <v>12</v>
      </c>
      <c r="I22" s="67"/>
      <c r="J22" s="67"/>
      <c r="K22" s="67"/>
    </row>
    <row r="23" spans="1:11" x14ac:dyDescent="0.25">
      <c r="A23" s="4" t="s">
        <v>26</v>
      </c>
      <c r="B23" s="54"/>
      <c r="C23" s="5" t="s">
        <v>12</v>
      </c>
      <c r="D23" s="5" t="s">
        <v>12</v>
      </c>
      <c r="E23" s="98" t="s">
        <v>455</v>
      </c>
      <c r="F23" s="54" t="s">
        <v>12</v>
      </c>
      <c r="G23" s="54" t="s">
        <v>12</v>
      </c>
      <c r="H23" s="54" t="s">
        <v>12</v>
      </c>
      <c r="I23" s="67"/>
      <c r="J23" s="67"/>
      <c r="K23" s="67"/>
    </row>
    <row r="24" spans="1:11" x14ac:dyDescent="0.25">
      <c r="A24" s="2" t="s">
        <v>27</v>
      </c>
      <c r="B24" s="3" t="s">
        <v>12</v>
      </c>
      <c r="C24" s="3" t="s">
        <v>12</v>
      </c>
      <c r="D24" s="3" t="s">
        <v>12</v>
      </c>
      <c r="E24" s="100" t="s">
        <v>456</v>
      </c>
      <c r="F24" s="101" t="s">
        <v>12</v>
      </c>
      <c r="G24" s="101" t="s">
        <v>12</v>
      </c>
      <c r="H24" s="101" t="s">
        <v>12</v>
      </c>
      <c r="I24" s="67"/>
      <c r="J24" s="67"/>
      <c r="K24" s="67"/>
    </row>
    <row r="25" spans="1:11" x14ac:dyDescent="0.25">
      <c r="A25" s="4" t="s">
        <v>28</v>
      </c>
      <c r="B25" s="5" t="s">
        <v>12</v>
      </c>
      <c r="C25" s="5" t="s">
        <v>12</v>
      </c>
      <c r="D25" s="5" t="s">
        <v>12</v>
      </c>
      <c r="E25" s="98" t="s">
        <v>346</v>
      </c>
      <c r="F25" s="54" t="s">
        <v>12</v>
      </c>
      <c r="G25" s="54" t="s">
        <v>12</v>
      </c>
      <c r="H25" s="99">
        <v>-8015900</v>
      </c>
      <c r="I25" s="67"/>
      <c r="J25" s="67"/>
      <c r="K25" s="67"/>
    </row>
    <row r="26" spans="1:11" x14ac:dyDescent="0.25">
      <c r="A26" s="2" t="s">
        <v>29</v>
      </c>
      <c r="B26" s="3" t="s">
        <v>12</v>
      </c>
      <c r="C26" s="3" t="s">
        <v>12</v>
      </c>
      <c r="D26" s="3" t="s">
        <v>12</v>
      </c>
      <c r="E26" s="100" t="s">
        <v>347</v>
      </c>
      <c r="F26" s="101" t="s">
        <v>12</v>
      </c>
      <c r="G26" s="101" t="s">
        <v>12</v>
      </c>
      <c r="H26" s="102">
        <v>1812700</v>
      </c>
      <c r="I26" s="67"/>
      <c r="J26" s="67"/>
      <c r="K26" s="67"/>
    </row>
    <row r="27" spans="1:11" x14ac:dyDescent="0.25">
      <c r="A27" s="4" t="s">
        <v>30</v>
      </c>
      <c r="B27" s="5" t="s">
        <v>12</v>
      </c>
      <c r="C27" s="5" t="s">
        <v>12</v>
      </c>
      <c r="D27" s="5" t="s">
        <v>12</v>
      </c>
      <c r="E27" s="98" t="s">
        <v>348</v>
      </c>
      <c r="F27" s="99">
        <v>45700</v>
      </c>
      <c r="G27" s="99">
        <v>19700</v>
      </c>
      <c r="H27" s="99">
        <v>21300</v>
      </c>
      <c r="I27" s="67"/>
      <c r="J27" s="67"/>
      <c r="K27" s="67"/>
    </row>
    <row r="28" spans="1:11" x14ac:dyDescent="0.25">
      <c r="A28" s="2" t="s">
        <v>31</v>
      </c>
      <c r="B28" s="10">
        <v>0</v>
      </c>
      <c r="C28" s="10">
        <v>0</v>
      </c>
      <c r="D28" s="10">
        <v>0</v>
      </c>
      <c r="E28" s="100" t="s">
        <v>349</v>
      </c>
      <c r="F28" s="101" t="s">
        <v>12</v>
      </c>
      <c r="G28" s="102">
        <v>-8978800</v>
      </c>
      <c r="H28" s="101" t="s">
        <v>12</v>
      </c>
      <c r="I28" s="67"/>
      <c r="J28" s="67"/>
      <c r="K28" s="67"/>
    </row>
    <row r="29" spans="1:11" x14ac:dyDescent="0.25">
      <c r="A29" s="4" t="s">
        <v>32</v>
      </c>
      <c r="B29" s="9">
        <v>0</v>
      </c>
      <c r="C29" s="9">
        <v>0</v>
      </c>
      <c r="D29" s="9">
        <v>0</v>
      </c>
      <c r="E29" s="98" t="s">
        <v>457</v>
      </c>
      <c r="F29" s="54" t="s">
        <v>12</v>
      </c>
      <c r="G29" s="54" t="s">
        <v>12</v>
      </c>
      <c r="H29" s="54" t="s">
        <v>12</v>
      </c>
      <c r="I29" s="67"/>
      <c r="J29" s="67"/>
      <c r="K29" s="67"/>
    </row>
    <row r="30" spans="1:11" x14ac:dyDescent="0.25">
      <c r="A30" s="2" t="s">
        <v>33</v>
      </c>
      <c r="B30" s="10">
        <v>0</v>
      </c>
      <c r="C30" s="10">
        <v>0</v>
      </c>
      <c r="D30" s="10">
        <v>0</v>
      </c>
      <c r="E30" s="100" t="s">
        <v>350</v>
      </c>
      <c r="F30" s="102">
        <v>1967000</v>
      </c>
      <c r="G30" s="102">
        <v>1727000</v>
      </c>
      <c r="H30" s="102">
        <v>1834000</v>
      </c>
      <c r="I30" s="67"/>
      <c r="J30" s="67"/>
      <c r="K30" s="67"/>
    </row>
    <row r="31" spans="1:11" x14ac:dyDescent="0.25">
      <c r="A31" s="4" t="s">
        <v>34</v>
      </c>
      <c r="B31" s="9">
        <v>0</v>
      </c>
      <c r="C31" s="9">
        <v>0</v>
      </c>
      <c r="D31" s="9">
        <v>0</v>
      </c>
      <c r="E31" s="98" t="s">
        <v>458</v>
      </c>
      <c r="F31" s="54" t="s">
        <v>12</v>
      </c>
      <c r="G31" s="54" t="s">
        <v>12</v>
      </c>
      <c r="H31" s="54" t="s">
        <v>12</v>
      </c>
      <c r="I31" s="67"/>
      <c r="J31" s="67"/>
      <c r="K31" s="67"/>
    </row>
    <row r="32" spans="1:11" x14ac:dyDescent="0.25">
      <c r="A32" s="2" t="s">
        <v>35</v>
      </c>
      <c r="B32" s="10">
        <v>0</v>
      </c>
      <c r="C32" s="10">
        <v>0</v>
      </c>
      <c r="D32" s="10">
        <v>0</v>
      </c>
      <c r="E32" s="100" t="s">
        <v>351</v>
      </c>
      <c r="F32" s="102">
        <v>-465900</v>
      </c>
      <c r="G32" s="102">
        <v>-419700</v>
      </c>
      <c r="H32" s="102">
        <v>-509000</v>
      </c>
      <c r="I32" s="67"/>
      <c r="J32" s="67"/>
      <c r="K32" s="67"/>
    </row>
    <row r="33" spans="1:11" x14ac:dyDescent="0.25">
      <c r="A33" s="4" t="s">
        <v>36</v>
      </c>
      <c r="B33" s="9">
        <v>0</v>
      </c>
      <c r="C33" s="9">
        <v>0</v>
      </c>
      <c r="D33" s="7">
        <v>-8015900</v>
      </c>
      <c r="E33" s="98" t="s">
        <v>352</v>
      </c>
      <c r="F33" s="99">
        <v>-6500</v>
      </c>
      <c r="G33" s="99">
        <v>-1200</v>
      </c>
      <c r="H33" s="54" t="s">
        <v>12</v>
      </c>
      <c r="I33" s="67"/>
      <c r="J33" s="67"/>
      <c r="K33" s="67"/>
    </row>
    <row r="34" spans="1:11" x14ac:dyDescent="0.25">
      <c r="A34" s="2" t="s">
        <v>37</v>
      </c>
      <c r="B34" s="8">
        <v>2229700</v>
      </c>
      <c r="C34" s="8">
        <v>2307700</v>
      </c>
      <c r="D34" s="8">
        <v>2011600</v>
      </c>
      <c r="E34" s="100" t="s">
        <v>459</v>
      </c>
      <c r="F34" s="101" t="s">
        <v>12</v>
      </c>
      <c r="G34" s="101" t="s">
        <v>12</v>
      </c>
      <c r="H34" s="101" t="s">
        <v>12</v>
      </c>
      <c r="I34" s="67"/>
      <c r="J34" s="67"/>
      <c r="K34" s="67"/>
    </row>
    <row r="35" spans="1:11" x14ac:dyDescent="0.25">
      <c r="A35" s="4" t="s">
        <v>38</v>
      </c>
      <c r="B35" s="7">
        <v>45700</v>
      </c>
      <c r="C35" s="7">
        <v>-8959100</v>
      </c>
      <c r="D35" s="7">
        <v>21300</v>
      </c>
      <c r="E35" s="98" t="s">
        <v>353</v>
      </c>
      <c r="F35" s="99">
        <v>-27000</v>
      </c>
      <c r="G35" s="54" t="s">
        <v>12</v>
      </c>
      <c r="H35" s="99">
        <v>7200</v>
      </c>
      <c r="I35" s="67"/>
      <c r="J35" s="67"/>
      <c r="K35" s="67"/>
    </row>
    <row r="36" spans="1:11" x14ac:dyDescent="0.25">
      <c r="A36" s="2" t="s">
        <v>39</v>
      </c>
      <c r="B36" s="8">
        <v>45700</v>
      </c>
      <c r="C36" s="8">
        <v>19700</v>
      </c>
      <c r="D36" s="8">
        <v>21300</v>
      </c>
      <c r="E36" s="100" t="s">
        <v>460</v>
      </c>
      <c r="F36" s="101" t="s">
        <v>12</v>
      </c>
      <c r="G36" s="101" t="s">
        <v>12</v>
      </c>
      <c r="H36" s="101" t="s">
        <v>12</v>
      </c>
      <c r="I36" s="67"/>
      <c r="J36" s="67"/>
      <c r="K36" s="67"/>
    </row>
    <row r="37" spans="1:11" x14ac:dyDescent="0.25">
      <c r="A37" s="4" t="s">
        <v>40</v>
      </c>
      <c r="B37" s="18">
        <v>-8008800</v>
      </c>
      <c r="C37" s="7">
        <v>-8978800</v>
      </c>
      <c r="D37" s="18">
        <v>-8015900</v>
      </c>
      <c r="E37" s="98" t="s">
        <v>354</v>
      </c>
      <c r="F37" s="99">
        <v>1467600</v>
      </c>
      <c r="G37" s="99">
        <v>1306100</v>
      </c>
      <c r="H37" s="99">
        <v>1335000</v>
      </c>
      <c r="I37" s="67"/>
      <c r="J37" s="67"/>
      <c r="K37" s="67"/>
    </row>
    <row r="38" spans="1:11" x14ac:dyDescent="0.25">
      <c r="A38" s="2" t="s">
        <v>41</v>
      </c>
      <c r="B38" s="3" t="s">
        <v>12</v>
      </c>
      <c r="C38" s="3" t="s">
        <v>12</v>
      </c>
      <c r="D38" s="3" t="s">
        <v>12</v>
      </c>
      <c r="E38" s="100" t="s">
        <v>355</v>
      </c>
      <c r="F38" s="102">
        <v>-353000</v>
      </c>
      <c r="G38" s="102">
        <v>-490000</v>
      </c>
      <c r="H38" s="102">
        <v>-389800</v>
      </c>
      <c r="I38" s="67"/>
      <c r="J38" s="67"/>
      <c r="K38" s="67"/>
    </row>
    <row r="39" spans="1:11" x14ac:dyDescent="0.25">
      <c r="A39" s="4" t="s">
        <v>42</v>
      </c>
      <c r="B39" s="7">
        <v>1967000</v>
      </c>
      <c r="C39" s="7">
        <v>1727000</v>
      </c>
      <c r="D39" s="7">
        <v>1834000</v>
      </c>
      <c r="E39" s="98" t="s">
        <v>461</v>
      </c>
      <c r="F39" s="54" t="s">
        <v>12</v>
      </c>
      <c r="G39" s="54" t="s">
        <v>12</v>
      </c>
      <c r="H39" s="54" t="s">
        <v>12</v>
      </c>
      <c r="I39" s="67"/>
      <c r="J39" s="67"/>
      <c r="K39" s="67"/>
    </row>
    <row r="40" spans="1:11" x14ac:dyDescent="0.25">
      <c r="A40" s="2" t="s">
        <v>43</v>
      </c>
      <c r="B40" s="8">
        <v>4196700</v>
      </c>
      <c r="C40" s="8">
        <v>4034700</v>
      </c>
      <c r="D40" s="8">
        <v>3845600</v>
      </c>
      <c r="E40" s="100" t="s">
        <v>356</v>
      </c>
      <c r="F40" s="102">
        <v>6500</v>
      </c>
      <c r="G40" s="102">
        <v>1200</v>
      </c>
      <c r="H40" s="101" t="s">
        <v>12</v>
      </c>
      <c r="I40" s="67"/>
      <c r="J40" s="67"/>
      <c r="K40" s="67"/>
    </row>
    <row r="41" spans="1:11" x14ac:dyDescent="0.25">
      <c r="A41" s="4" t="s">
        <v>44</v>
      </c>
      <c r="B41" s="7">
        <v>-486400</v>
      </c>
      <c r="C41" s="7">
        <v>-418500</v>
      </c>
      <c r="D41" s="7">
        <v>-501800</v>
      </c>
      <c r="E41" s="98" t="s">
        <v>462</v>
      </c>
      <c r="F41" s="54" t="s">
        <v>12</v>
      </c>
      <c r="G41" s="54" t="s">
        <v>12</v>
      </c>
      <c r="H41" s="54" t="s">
        <v>12</v>
      </c>
      <c r="I41" s="67"/>
      <c r="J41" s="67"/>
      <c r="K41" s="67"/>
    </row>
    <row r="42" spans="1:11" x14ac:dyDescent="0.25">
      <c r="A42" s="2" t="s">
        <v>45</v>
      </c>
      <c r="B42" s="8">
        <v>-27000</v>
      </c>
      <c r="C42" s="10">
        <v>0</v>
      </c>
      <c r="D42" s="8">
        <v>7200</v>
      </c>
      <c r="E42" s="100" t="s">
        <v>463</v>
      </c>
      <c r="F42" s="101" t="s">
        <v>12</v>
      </c>
      <c r="G42" s="101" t="s">
        <v>12</v>
      </c>
      <c r="H42" s="101" t="s">
        <v>12</v>
      </c>
      <c r="I42" s="67"/>
      <c r="J42" s="67"/>
      <c r="K42" s="67"/>
    </row>
    <row r="43" spans="1:11" x14ac:dyDescent="0.25">
      <c r="A43" s="4" t="s">
        <v>46</v>
      </c>
      <c r="B43" s="5" t="s">
        <v>12</v>
      </c>
      <c r="C43" s="5" t="s">
        <v>12</v>
      </c>
      <c r="D43" s="5" t="s">
        <v>12</v>
      </c>
      <c r="E43" s="98" t="s">
        <v>357</v>
      </c>
      <c r="F43" s="99">
        <v>1114600</v>
      </c>
      <c r="G43" s="99">
        <v>816100</v>
      </c>
      <c r="H43" s="99">
        <v>945200</v>
      </c>
      <c r="I43" s="67"/>
      <c r="J43" s="67"/>
      <c r="K43" s="67"/>
    </row>
    <row r="44" spans="1:11" x14ac:dyDescent="0.25">
      <c r="A44" s="2" t="s">
        <v>47</v>
      </c>
      <c r="B44" s="3" t="s">
        <v>12</v>
      </c>
      <c r="C44" s="3" t="s">
        <v>12</v>
      </c>
      <c r="D44" s="3" t="s">
        <v>12</v>
      </c>
      <c r="E44" s="100" t="s">
        <v>358</v>
      </c>
      <c r="F44" s="101" t="s">
        <v>12</v>
      </c>
      <c r="G44" s="102">
        <v>833600</v>
      </c>
      <c r="H44" s="102">
        <v>980600</v>
      </c>
      <c r="I44" s="67"/>
      <c r="J44" s="67"/>
      <c r="K44" s="67"/>
    </row>
    <row r="45" spans="1:11" x14ac:dyDescent="0.25">
      <c r="A45" s="4" t="s">
        <v>48</v>
      </c>
      <c r="B45" s="5" t="s">
        <v>12</v>
      </c>
      <c r="C45" s="5" t="s">
        <v>12</v>
      </c>
      <c r="D45" s="5" t="s">
        <v>12</v>
      </c>
      <c r="E45" s="98" t="s">
        <v>359</v>
      </c>
      <c r="F45" s="54" t="s">
        <v>12</v>
      </c>
      <c r="G45" s="99">
        <v>-17500</v>
      </c>
      <c r="H45" s="99">
        <v>-35400</v>
      </c>
      <c r="I45" s="67"/>
      <c r="J45" s="67"/>
      <c r="K45" s="67"/>
    </row>
    <row r="46" spans="1:11" x14ac:dyDescent="0.25">
      <c r="A46" s="2" t="s">
        <v>49</v>
      </c>
      <c r="B46" s="3" t="s">
        <v>12</v>
      </c>
      <c r="C46" s="3" t="s">
        <v>12</v>
      </c>
      <c r="D46" s="3" t="s">
        <v>12</v>
      </c>
      <c r="E46" s="100" t="s">
        <v>464</v>
      </c>
      <c r="F46" s="101" t="s">
        <v>12</v>
      </c>
      <c r="G46" s="101" t="s">
        <v>12</v>
      </c>
      <c r="H46" s="101" t="s">
        <v>12</v>
      </c>
      <c r="I46" s="67"/>
      <c r="J46" s="67"/>
      <c r="K46" s="67"/>
    </row>
    <row r="47" spans="1:11" x14ac:dyDescent="0.25">
      <c r="A47" s="4" t="s">
        <v>50</v>
      </c>
      <c r="B47" s="7">
        <v>-465900</v>
      </c>
      <c r="C47" s="7">
        <v>-419700</v>
      </c>
      <c r="D47" s="7">
        <v>-509000</v>
      </c>
      <c r="E47" s="98" t="s">
        <v>465</v>
      </c>
      <c r="F47" s="54" t="s">
        <v>12</v>
      </c>
      <c r="G47" s="54" t="s">
        <v>12</v>
      </c>
      <c r="H47" s="54" t="s">
        <v>12</v>
      </c>
      <c r="I47" s="67"/>
      <c r="J47" s="67"/>
      <c r="K47" s="67"/>
    </row>
    <row r="48" spans="1:11" x14ac:dyDescent="0.25">
      <c r="A48" s="2" t="s">
        <v>51</v>
      </c>
      <c r="B48" s="3" t="s">
        <v>12</v>
      </c>
      <c r="C48" s="3" t="s">
        <v>12</v>
      </c>
      <c r="D48" s="3" t="s">
        <v>12</v>
      </c>
      <c r="E48" s="100" t="s">
        <v>466</v>
      </c>
      <c r="F48" s="101" t="s">
        <v>12</v>
      </c>
      <c r="G48" s="101" t="s">
        <v>12</v>
      </c>
      <c r="H48" s="101" t="s">
        <v>12</v>
      </c>
      <c r="I48" s="67"/>
      <c r="J48" s="67"/>
      <c r="K48" s="67"/>
    </row>
    <row r="49" spans="1:11" x14ac:dyDescent="0.25">
      <c r="A49" s="4" t="s">
        <v>52</v>
      </c>
      <c r="B49" s="5" t="s">
        <v>12</v>
      </c>
      <c r="C49" s="5" t="s">
        <v>12</v>
      </c>
      <c r="D49" s="5" t="s">
        <v>12</v>
      </c>
      <c r="E49" s="98" t="s">
        <v>467</v>
      </c>
      <c r="F49" s="54" t="s">
        <v>12</v>
      </c>
      <c r="G49" s="54" t="s">
        <v>12</v>
      </c>
      <c r="H49" s="54" t="s">
        <v>12</v>
      </c>
      <c r="I49" s="67"/>
      <c r="J49" s="67"/>
      <c r="K49" s="67"/>
    </row>
    <row r="50" spans="1:11" x14ac:dyDescent="0.25">
      <c r="A50" s="2" t="s">
        <v>53</v>
      </c>
      <c r="B50" s="3" t="s">
        <v>12</v>
      </c>
      <c r="C50" s="3" t="s">
        <v>12</v>
      </c>
      <c r="D50" s="3" t="s">
        <v>12</v>
      </c>
      <c r="E50" s="100" t="s">
        <v>468</v>
      </c>
      <c r="F50" s="101" t="s">
        <v>12</v>
      </c>
      <c r="G50" s="101" t="s">
        <v>12</v>
      </c>
      <c r="H50" s="101" t="s">
        <v>12</v>
      </c>
      <c r="I50" s="67"/>
      <c r="J50" s="67"/>
      <c r="K50" s="67"/>
    </row>
    <row r="51" spans="1:11" x14ac:dyDescent="0.25">
      <c r="A51" s="4" t="s">
        <v>54</v>
      </c>
      <c r="B51" s="7">
        <v>6500</v>
      </c>
      <c r="C51" s="7">
        <v>1200</v>
      </c>
      <c r="D51" s="9">
        <v>0</v>
      </c>
      <c r="E51" s="98" t="s">
        <v>469</v>
      </c>
      <c r="F51" s="54" t="s">
        <v>12</v>
      </c>
      <c r="G51" s="54" t="s">
        <v>12</v>
      </c>
      <c r="H51" s="54" t="s">
        <v>12</v>
      </c>
      <c r="I51" s="67"/>
      <c r="J51" s="67"/>
      <c r="K51" s="67"/>
    </row>
    <row r="52" spans="1:11" x14ac:dyDescent="0.25">
      <c r="A52" s="2" t="s">
        <v>55</v>
      </c>
      <c r="B52" s="3" t="s">
        <v>12</v>
      </c>
      <c r="C52" s="3" t="s">
        <v>12</v>
      </c>
      <c r="D52" s="3" t="s">
        <v>12</v>
      </c>
      <c r="E52" s="100" t="s">
        <v>470</v>
      </c>
      <c r="F52" s="101" t="s">
        <v>12</v>
      </c>
      <c r="G52" s="101" t="s">
        <v>12</v>
      </c>
      <c r="H52" s="101" t="s">
        <v>12</v>
      </c>
      <c r="I52" s="67"/>
      <c r="J52" s="67"/>
      <c r="K52" s="67"/>
    </row>
    <row r="53" spans="1:11" x14ac:dyDescent="0.25">
      <c r="A53" s="4" t="s">
        <v>56</v>
      </c>
      <c r="B53" s="5" t="s">
        <v>12</v>
      </c>
      <c r="C53" s="5" t="s">
        <v>12</v>
      </c>
      <c r="D53" s="5" t="s">
        <v>12</v>
      </c>
      <c r="E53" s="98" t="s">
        <v>471</v>
      </c>
      <c r="F53" s="54" t="s">
        <v>12</v>
      </c>
      <c r="G53" s="54" t="s">
        <v>12</v>
      </c>
      <c r="H53" s="54" t="s">
        <v>12</v>
      </c>
      <c r="I53" s="67"/>
      <c r="J53" s="67"/>
      <c r="K53" s="67"/>
    </row>
    <row r="54" spans="1:11" x14ac:dyDescent="0.25">
      <c r="A54" s="2" t="s">
        <v>57</v>
      </c>
      <c r="B54" s="3" t="s">
        <v>12</v>
      </c>
      <c r="C54" s="3" t="s">
        <v>12</v>
      </c>
      <c r="D54" s="3" t="s">
        <v>12</v>
      </c>
      <c r="E54" s="100" t="s">
        <v>472</v>
      </c>
      <c r="F54" s="101" t="s">
        <v>12</v>
      </c>
      <c r="G54" s="101" t="s">
        <v>12</v>
      </c>
      <c r="H54" s="101" t="s">
        <v>12</v>
      </c>
      <c r="I54" s="67"/>
      <c r="J54" s="67"/>
      <c r="K54" s="67"/>
    </row>
    <row r="55" spans="1:11" x14ac:dyDescent="0.25">
      <c r="A55" s="4" t="s">
        <v>58</v>
      </c>
      <c r="B55" s="9">
        <v>0</v>
      </c>
      <c r="C55" s="9">
        <v>0</v>
      </c>
      <c r="D55" s="9">
        <v>0</v>
      </c>
      <c r="E55" s="100" t="s">
        <v>1022</v>
      </c>
      <c r="F55" s="99">
        <v>2229700</v>
      </c>
      <c r="G55" s="99">
        <v>2307700</v>
      </c>
      <c r="H55" s="99">
        <v>2011600</v>
      </c>
      <c r="I55" s="67"/>
      <c r="J55" s="67"/>
      <c r="K55" s="67"/>
    </row>
    <row r="56" spans="1:11" x14ac:dyDescent="0.25">
      <c r="A56" s="2" t="s">
        <v>21</v>
      </c>
      <c r="B56" s="8">
        <v>1480600</v>
      </c>
      <c r="C56" s="8">
        <v>1308500</v>
      </c>
      <c r="D56" s="8">
        <v>1332200</v>
      </c>
      <c r="E56" s="100" t="s">
        <v>361</v>
      </c>
      <c r="F56" s="101" t="s">
        <v>12</v>
      </c>
      <c r="G56" s="101" t="s">
        <v>12</v>
      </c>
      <c r="H56" s="102">
        <v>-439400</v>
      </c>
      <c r="I56" s="67"/>
      <c r="J56" s="67"/>
      <c r="K56" s="67"/>
    </row>
    <row r="57" spans="1:11" x14ac:dyDescent="0.25">
      <c r="A57" s="4" t="s">
        <v>59</v>
      </c>
      <c r="B57" s="7">
        <v>-353000</v>
      </c>
      <c r="C57" s="7">
        <v>-490000</v>
      </c>
      <c r="D57" s="7">
        <v>-389800</v>
      </c>
      <c r="E57" s="98" t="s">
        <v>362</v>
      </c>
      <c r="F57" s="54" t="s">
        <v>12</v>
      </c>
      <c r="G57" s="54" t="s">
        <v>12</v>
      </c>
      <c r="H57" s="99">
        <v>-8015900</v>
      </c>
      <c r="I57" s="67"/>
      <c r="J57" s="67"/>
      <c r="K57" s="67"/>
    </row>
    <row r="58" spans="1:11" x14ac:dyDescent="0.25">
      <c r="A58" s="2" t="s">
        <v>60</v>
      </c>
      <c r="B58" s="10">
        <v>0</v>
      </c>
      <c r="C58" s="10">
        <v>0</v>
      </c>
      <c r="D58" s="10">
        <v>0</v>
      </c>
      <c r="E58" s="100" t="s">
        <v>363</v>
      </c>
      <c r="F58" s="101" t="s">
        <v>12</v>
      </c>
      <c r="G58" s="101" t="s">
        <v>12</v>
      </c>
      <c r="H58" s="102">
        <v>-1783000</v>
      </c>
      <c r="I58" s="67"/>
      <c r="J58" s="67"/>
      <c r="K58" s="67"/>
    </row>
    <row r="59" spans="1:11" x14ac:dyDescent="0.25">
      <c r="A59" s="4" t="s">
        <v>61</v>
      </c>
      <c r="B59" s="9">
        <v>0</v>
      </c>
      <c r="C59" s="9">
        <v>0</v>
      </c>
      <c r="D59" s="9">
        <v>0</v>
      </c>
      <c r="E59" s="98" t="s">
        <v>473</v>
      </c>
      <c r="F59" s="54" t="s">
        <v>12</v>
      </c>
      <c r="G59" s="54" t="s">
        <v>12</v>
      </c>
      <c r="H59" s="54" t="s">
        <v>12</v>
      </c>
      <c r="I59" s="67"/>
      <c r="J59" s="67"/>
      <c r="K59" s="67"/>
    </row>
    <row r="60" spans="1:11" x14ac:dyDescent="0.25">
      <c r="A60" s="2" t="s">
        <v>62</v>
      </c>
      <c r="B60" s="10">
        <v>0</v>
      </c>
      <c r="C60" s="10">
        <v>0</v>
      </c>
      <c r="D60" s="10">
        <v>0</v>
      </c>
      <c r="E60" s="100" t="s">
        <v>474</v>
      </c>
      <c r="F60" s="101" t="s">
        <v>12</v>
      </c>
      <c r="G60" s="101" t="s">
        <v>12</v>
      </c>
      <c r="H60" s="101" t="s">
        <v>12</v>
      </c>
      <c r="I60" s="67"/>
      <c r="J60" s="67"/>
      <c r="K60" s="67"/>
    </row>
    <row r="61" spans="1:11" x14ac:dyDescent="0.25">
      <c r="A61" s="4" t="s">
        <v>63</v>
      </c>
      <c r="B61" s="5" t="s">
        <v>12</v>
      </c>
      <c r="C61" s="5" t="s">
        <v>12</v>
      </c>
      <c r="D61" s="5" t="s">
        <v>12</v>
      </c>
      <c r="E61" s="98" t="s">
        <v>475</v>
      </c>
      <c r="F61" s="54" t="s">
        <v>12</v>
      </c>
      <c r="G61" s="54" t="s">
        <v>12</v>
      </c>
      <c r="H61" s="54" t="s">
        <v>12</v>
      </c>
      <c r="I61" s="67"/>
      <c r="J61" s="67"/>
      <c r="K61" s="67"/>
    </row>
    <row r="62" spans="1:11" x14ac:dyDescent="0.25">
      <c r="A62" s="2" t="s">
        <v>64</v>
      </c>
      <c r="B62" s="8">
        <v>1114600</v>
      </c>
      <c r="C62" s="8">
        <v>816100</v>
      </c>
      <c r="D62" s="8">
        <v>945200</v>
      </c>
      <c r="E62" s="100" t="s">
        <v>364</v>
      </c>
      <c r="F62" s="101" t="s">
        <v>12</v>
      </c>
      <c r="G62" s="101" t="s">
        <v>12</v>
      </c>
      <c r="H62" s="102">
        <v>-553100</v>
      </c>
      <c r="I62" s="67"/>
      <c r="J62" s="67"/>
      <c r="K62" s="67"/>
    </row>
    <row r="63" spans="1:11" x14ac:dyDescent="0.25">
      <c r="A63" s="4" t="s">
        <v>65</v>
      </c>
      <c r="B63" s="5" t="s">
        <v>12</v>
      </c>
      <c r="C63" s="5" t="s">
        <v>12</v>
      </c>
      <c r="D63" s="5" t="s">
        <v>12</v>
      </c>
      <c r="E63" s="98" t="s">
        <v>476</v>
      </c>
      <c r="F63" s="54" t="s">
        <v>12</v>
      </c>
      <c r="G63" s="54" t="s">
        <v>12</v>
      </c>
      <c r="H63" s="54" t="s">
        <v>12</v>
      </c>
      <c r="I63" s="67"/>
      <c r="J63" s="67"/>
      <c r="K63" s="67"/>
    </row>
    <row r="64" spans="1:11" x14ac:dyDescent="0.25">
      <c r="A64" s="2" t="s">
        <v>66</v>
      </c>
      <c r="B64" s="3" t="s">
        <v>12</v>
      </c>
      <c r="C64" s="3" t="s">
        <v>12</v>
      </c>
      <c r="D64" s="3" t="s">
        <v>12</v>
      </c>
      <c r="E64" s="100" t="s">
        <v>365</v>
      </c>
      <c r="F64" s="101" t="s">
        <v>12</v>
      </c>
      <c r="G64" s="101" t="s">
        <v>12</v>
      </c>
      <c r="H64" s="102">
        <v>-5679800</v>
      </c>
      <c r="I64" s="67"/>
      <c r="J64" s="67"/>
      <c r="K64" s="67"/>
    </row>
    <row r="65" spans="1:11" x14ac:dyDescent="0.25">
      <c r="A65" s="4" t="s">
        <v>67</v>
      </c>
      <c r="B65" s="5" t="s">
        <v>12</v>
      </c>
      <c r="C65" s="5" t="s">
        <v>12</v>
      </c>
      <c r="D65" s="5" t="s">
        <v>12</v>
      </c>
      <c r="E65" s="98" t="s">
        <v>477</v>
      </c>
      <c r="F65" s="54" t="s">
        <v>12</v>
      </c>
      <c r="G65" s="54" t="s">
        <v>12</v>
      </c>
      <c r="H65" s="54" t="s">
        <v>12</v>
      </c>
      <c r="I65" s="67"/>
      <c r="J65" s="67"/>
      <c r="K65" s="67"/>
    </row>
    <row r="66" spans="1:11" x14ac:dyDescent="0.25">
      <c r="A66" s="2" t="s">
        <v>68</v>
      </c>
      <c r="B66" s="3" t="s">
        <v>12</v>
      </c>
      <c r="C66" s="3" t="s">
        <v>12</v>
      </c>
      <c r="D66" s="3" t="s">
        <v>12</v>
      </c>
      <c r="E66" s="67"/>
      <c r="F66" s="67"/>
      <c r="G66" s="67"/>
      <c r="H66" s="67"/>
      <c r="I66" s="67"/>
      <c r="J66" s="67"/>
      <c r="K66" s="67"/>
    </row>
    <row r="67" spans="1:11" x14ac:dyDescent="0.25">
      <c r="A67" s="4" t="s">
        <v>69</v>
      </c>
      <c r="B67" s="5" t="s">
        <v>12</v>
      </c>
      <c r="C67" s="5" t="s">
        <v>12</v>
      </c>
      <c r="D67" s="5" t="s">
        <v>12</v>
      </c>
      <c r="E67" s="67"/>
      <c r="F67" s="67"/>
      <c r="G67" s="67"/>
      <c r="H67" s="67"/>
      <c r="I67" s="67"/>
      <c r="J67" s="67"/>
      <c r="K67" s="67"/>
    </row>
    <row r="68" spans="1:11" x14ac:dyDescent="0.25">
      <c r="A68" s="2" t="s">
        <v>70</v>
      </c>
      <c r="B68" s="3" t="s">
        <v>12</v>
      </c>
      <c r="C68" s="3" t="s">
        <v>12</v>
      </c>
      <c r="D68" s="3" t="s">
        <v>12</v>
      </c>
      <c r="E68" s="97" t="s">
        <v>83</v>
      </c>
      <c r="F68" s="97">
        <v>2019</v>
      </c>
      <c r="G68" s="97">
        <v>2018</v>
      </c>
      <c r="H68" s="97">
        <v>2017</v>
      </c>
      <c r="I68" s="67"/>
      <c r="J68" s="67"/>
      <c r="K68" s="67"/>
    </row>
    <row r="69" spans="1:11" x14ac:dyDescent="0.25">
      <c r="A69" s="4" t="s">
        <v>71</v>
      </c>
      <c r="B69" s="5" t="s">
        <v>12</v>
      </c>
      <c r="C69" s="5" t="s">
        <v>12</v>
      </c>
      <c r="D69" s="5" t="s">
        <v>12</v>
      </c>
      <c r="E69" s="98" t="s">
        <v>341</v>
      </c>
      <c r="F69" s="99">
        <v>32589600</v>
      </c>
      <c r="G69" s="99">
        <v>30696800</v>
      </c>
      <c r="H69" s="99">
        <v>27756000</v>
      </c>
      <c r="I69" s="67"/>
      <c r="J69" s="67"/>
      <c r="K69" s="67"/>
    </row>
    <row r="70" spans="1:11" x14ac:dyDescent="0.25">
      <c r="A70" s="2" t="s">
        <v>72</v>
      </c>
      <c r="B70" s="3" t="s">
        <v>12</v>
      </c>
      <c r="C70" s="3" t="s">
        <v>12</v>
      </c>
      <c r="D70" s="3" t="s">
        <v>12</v>
      </c>
      <c r="E70" s="100" t="s">
        <v>366</v>
      </c>
      <c r="F70" s="102">
        <v>27604700</v>
      </c>
      <c r="G70" s="102">
        <v>25274100</v>
      </c>
      <c r="H70" s="102">
        <v>23824500</v>
      </c>
      <c r="I70" s="67"/>
      <c r="J70" s="67"/>
      <c r="K70" s="67"/>
    </row>
    <row r="71" spans="1:11" x14ac:dyDescent="0.25">
      <c r="A71" s="4" t="s">
        <v>73</v>
      </c>
      <c r="B71" s="5" t="s">
        <v>12</v>
      </c>
      <c r="C71" s="5" t="s">
        <v>12</v>
      </c>
      <c r="D71" s="5" t="s">
        <v>12</v>
      </c>
      <c r="E71" s="98" t="s">
        <v>367</v>
      </c>
      <c r="F71" s="99">
        <v>5239600</v>
      </c>
      <c r="G71" s="99">
        <v>5056700</v>
      </c>
      <c r="H71" s="99">
        <v>3192400</v>
      </c>
      <c r="I71" s="67"/>
      <c r="J71" s="67"/>
      <c r="K71" s="67"/>
    </row>
    <row r="72" spans="1:11" x14ac:dyDescent="0.25">
      <c r="A72" s="2" t="s">
        <v>74</v>
      </c>
      <c r="B72" s="3" t="s">
        <v>12</v>
      </c>
      <c r="C72" s="3" t="s">
        <v>12</v>
      </c>
      <c r="D72" s="3" t="s">
        <v>12</v>
      </c>
      <c r="E72" s="100" t="s">
        <v>478</v>
      </c>
      <c r="F72" s="101" t="s">
        <v>12</v>
      </c>
      <c r="G72" s="101" t="s">
        <v>12</v>
      </c>
      <c r="H72" s="101" t="s">
        <v>12</v>
      </c>
      <c r="I72" s="67"/>
      <c r="J72" s="67"/>
      <c r="K72" s="67"/>
    </row>
    <row r="73" spans="1:11" x14ac:dyDescent="0.25">
      <c r="A73" s="4" t="s">
        <v>75</v>
      </c>
      <c r="B73" s="5" t="s">
        <v>12</v>
      </c>
      <c r="C73" s="5" t="s">
        <v>12</v>
      </c>
      <c r="D73" s="5" t="s">
        <v>12</v>
      </c>
      <c r="E73" s="98" t="s">
        <v>368</v>
      </c>
      <c r="F73" s="99">
        <v>8162700</v>
      </c>
      <c r="G73" s="99">
        <v>5101600</v>
      </c>
      <c r="H73" s="99">
        <v>5298600</v>
      </c>
      <c r="I73" s="67"/>
      <c r="J73" s="67"/>
      <c r="K73" s="67"/>
    </row>
    <row r="74" spans="1:11" x14ac:dyDescent="0.25">
      <c r="A74" s="2" t="s">
        <v>76</v>
      </c>
      <c r="B74" s="3" t="s">
        <v>12</v>
      </c>
      <c r="C74" s="3" t="s">
        <v>12</v>
      </c>
      <c r="D74" s="3" t="s">
        <v>12</v>
      </c>
      <c r="E74" s="100" t="s">
        <v>369</v>
      </c>
      <c r="F74" s="102">
        <v>11336400</v>
      </c>
      <c r="G74" s="102">
        <v>11309400</v>
      </c>
      <c r="H74" s="102">
        <v>11041700</v>
      </c>
      <c r="I74" s="67"/>
      <c r="J74" s="67"/>
      <c r="K74" s="67"/>
    </row>
    <row r="75" spans="1:11" x14ac:dyDescent="0.25">
      <c r="A75" s="4" t="s">
        <v>77</v>
      </c>
      <c r="B75" s="5" t="s">
        <v>12</v>
      </c>
      <c r="C75" s="5" t="s">
        <v>12</v>
      </c>
      <c r="D75" s="5" t="s">
        <v>12</v>
      </c>
      <c r="E75" s="98" t="s">
        <v>370</v>
      </c>
      <c r="F75" s="99">
        <v>29400</v>
      </c>
      <c r="G75" s="99">
        <v>29900</v>
      </c>
      <c r="H75" s="99">
        <v>5100</v>
      </c>
      <c r="I75" s="67"/>
      <c r="J75" s="67"/>
      <c r="K75" s="67"/>
    </row>
    <row r="76" spans="1:11" x14ac:dyDescent="0.25">
      <c r="A76" s="2" t="s">
        <v>78</v>
      </c>
      <c r="B76" s="3" t="s">
        <v>12</v>
      </c>
      <c r="C76" s="3" t="s">
        <v>12</v>
      </c>
      <c r="D76" s="3" t="s">
        <v>12</v>
      </c>
      <c r="E76" s="100" t="s">
        <v>371</v>
      </c>
      <c r="F76" s="101" t="s">
        <v>12</v>
      </c>
      <c r="G76" s="102">
        <v>43000</v>
      </c>
      <c r="H76" s="101" t="s">
        <v>12</v>
      </c>
      <c r="I76" s="67"/>
      <c r="J76" s="67"/>
      <c r="K76" s="67"/>
    </row>
    <row r="77" spans="1:11" x14ac:dyDescent="0.25">
      <c r="A77" s="4" t="s">
        <v>79</v>
      </c>
      <c r="B77" s="5" t="s">
        <v>12</v>
      </c>
      <c r="C77" s="5" t="s">
        <v>12</v>
      </c>
      <c r="D77" s="5" t="s">
        <v>12</v>
      </c>
      <c r="E77" s="98" t="s">
        <v>479</v>
      </c>
      <c r="F77" s="54" t="s">
        <v>12</v>
      </c>
      <c r="G77" s="54" t="s">
        <v>12</v>
      </c>
      <c r="H77" s="54" t="s">
        <v>12</v>
      </c>
      <c r="I77" s="67"/>
      <c r="J77" s="67"/>
      <c r="K77" s="67"/>
    </row>
    <row r="78" spans="1:11" x14ac:dyDescent="0.25">
      <c r="A78" s="2" t="s">
        <v>80</v>
      </c>
      <c r="B78" s="3" t="s">
        <v>12</v>
      </c>
      <c r="C78" s="3" t="s">
        <v>12</v>
      </c>
      <c r="D78" s="3" t="s">
        <v>12</v>
      </c>
      <c r="E78" s="100" t="s">
        <v>372</v>
      </c>
      <c r="F78" s="102">
        <v>776500</v>
      </c>
      <c r="G78" s="101" t="s">
        <v>12</v>
      </c>
      <c r="H78" s="101" t="s">
        <v>12</v>
      </c>
      <c r="I78" s="67"/>
      <c r="J78" s="67"/>
      <c r="K78" s="67"/>
    </row>
    <row r="79" spans="1:11" x14ac:dyDescent="0.25">
      <c r="A79" s="4" t="s">
        <v>81</v>
      </c>
      <c r="B79" s="5" t="s">
        <v>12</v>
      </c>
      <c r="C79" s="5" t="s">
        <v>12</v>
      </c>
      <c r="D79" s="5" t="s">
        <v>12</v>
      </c>
      <c r="E79" s="98" t="s">
        <v>373</v>
      </c>
      <c r="F79" s="99">
        <v>241200</v>
      </c>
      <c r="G79" s="99">
        <v>259700</v>
      </c>
      <c r="H79" s="99">
        <v>197200</v>
      </c>
      <c r="I79" s="67"/>
      <c r="J79" s="67"/>
      <c r="K79" s="67"/>
    </row>
    <row r="80" spans="1:11" x14ac:dyDescent="0.25">
      <c r="A80" s="2" t="s">
        <v>82</v>
      </c>
      <c r="B80" s="3" t="s">
        <v>12</v>
      </c>
      <c r="C80" s="3" t="s">
        <v>12</v>
      </c>
      <c r="D80" s="3" t="s">
        <v>12</v>
      </c>
      <c r="E80" s="100" t="s">
        <v>374</v>
      </c>
      <c r="F80" s="101" t="s">
        <v>12</v>
      </c>
      <c r="G80" s="101" t="s">
        <v>12</v>
      </c>
      <c r="H80" s="102">
        <v>91400</v>
      </c>
      <c r="I80" s="67"/>
      <c r="J80" s="67"/>
      <c r="K80" s="67"/>
    </row>
    <row r="81" spans="1:11" x14ac:dyDescent="0.25">
      <c r="E81" s="98" t="s">
        <v>375</v>
      </c>
      <c r="F81" s="54" t="s">
        <v>12</v>
      </c>
      <c r="G81" s="54" t="s">
        <v>12</v>
      </c>
      <c r="H81" s="99">
        <v>1900</v>
      </c>
      <c r="I81" s="67"/>
      <c r="J81" s="67"/>
      <c r="K81" s="67"/>
    </row>
    <row r="82" spans="1:11" x14ac:dyDescent="0.25">
      <c r="E82" s="100" t="s">
        <v>376</v>
      </c>
      <c r="F82" s="102">
        <v>1818900</v>
      </c>
      <c r="G82" s="102">
        <v>2815700</v>
      </c>
      <c r="H82" s="102">
        <v>3996200</v>
      </c>
      <c r="I82" s="67"/>
      <c r="J82" s="67"/>
      <c r="K82" s="67"/>
    </row>
    <row r="83" spans="1:11" x14ac:dyDescent="0.25">
      <c r="A83" s="6" t="s">
        <v>83</v>
      </c>
      <c r="B83" s="6">
        <v>2019</v>
      </c>
      <c r="C83" s="6">
        <v>2018</v>
      </c>
      <c r="D83" s="6">
        <v>2017</v>
      </c>
      <c r="E83" s="98" t="s">
        <v>377</v>
      </c>
      <c r="F83" s="99">
        <v>4984900</v>
      </c>
      <c r="G83" s="99">
        <v>5422700</v>
      </c>
      <c r="H83" s="99">
        <v>3931500</v>
      </c>
      <c r="I83" s="67"/>
      <c r="J83" s="67"/>
      <c r="K83" s="67"/>
    </row>
    <row r="84" spans="1:11" x14ac:dyDescent="0.25">
      <c r="A84" s="2" t="s">
        <v>84</v>
      </c>
      <c r="B84" s="8">
        <v>32589600</v>
      </c>
      <c r="C84" s="8">
        <v>30696800</v>
      </c>
      <c r="D84" s="8">
        <v>27756000</v>
      </c>
      <c r="E84" s="100" t="s">
        <v>378</v>
      </c>
      <c r="F84" s="102">
        <v>306800</v>
      </c>
      <c r="G84" s="102">
        <v>394000</v>
      </c>
      <c r="H84" s="102">
        <v>283700</v>
      </c>
      <c r="I84" s="67"/>
      <c r="J84" s="67"/>
      <c r="K84" s="67"/>
    </row>
    <row r="85" spans="1:11" x14ac:dyDescent="0.25">
      <c r="A85" s="4" t="s">
        <v>85</v>
      </c>
      <c r="B85" s="7">
        <v>27604700</v>
      </c>
      <c r="C85" s="7">
        <v>25274100</v>
      </c>
      <c r="D85" s="7">
        <v>23824500</v>
      </c>
      <c r="E85" s="98" t="s">
        <v>480</v>
      </c>
      <c r="F85" s="54" t="s">
        <v>12</v>
      </c>
      <c r="G85" s="54" t="s">
        <v>12</v>
      </c>
      <c r="H85" s="54" t="s">
        <v>12</v>
      </c>
      <c r="I85" s="67"/>
      <c r="J85" s="67"/>
      <c r="K85" s="67"/>
    </row>
    <row r="86" spans="1:11" x14ac:dyDescent="0.25">
      <c r="A86" s="2" t="s">
        <v>86</v>
      </c>
      <c r="B86" s="8">
        <v>5239600</v>
      </c>
      <c r="C86" s="8">
        <v>5056700</v>
      </c>
      <c r="D86" s="8">
        <v>3192400</v>
      </c>
      <c r="E86" s="100" t="s">
        <v>379</v>
      </c>
      <c r="F86" s="102">
        <v>2511600</v>
      </c>
      <c r="G86" s="102">
        <v>2370400</v>
      </c>
      <c r="H86" s="102">
        <v>1983200</v>
      </c>
      <c r="I86" s="67"/>
      <c r="J86" s="67"/>
      <c r="K86" s="67"/>
    </row>
    <row r="87" spans="1:11" x14ac:dyDescent="0.25">
      <c r="A87" s="4" t="s">
        <v>87</v>
      </c>
      <c r="B87" s="5" t="s">
        <v>12</v>
      </c>
      <c r="C87" s="5" t="s">
        <v>12</v>
      </c>
      <c r="D87" s="5" t="s">
        <v>12</v>
      </c>
      <c r="E87" s="98" t="s">
        <v>380</v>
      </c>
      <c r="F87" s="99">
        <v>4800</v>
      </c>
      <c r="G87" s="99">
        <v>34600</v>
      </c>
      <c r="H87" s="54" t="s">
        <v>12</v>
      </c>
      <c r="I87" s="67"/>
      <c r="J87" s="67"/>
      <c r="K87" s="67"/>
    </row>
    <row r="88" spans="1:11" x14ac:dyDescent="0.25">
      <c r="A88" s="2" t="s">
        <v>88</v>
      </c>
      <c r="B88" s="3" t="s">
        <v>12</v>
      </c>
      <c r="C88" s="3" t="s">
        <v>12</v>
      </c>
      <c r="D88" s="3" t="s">
        <v>12</v>
      </c>
      <c r="E88" s="100" t="s">
        <v>481</v>
      </c>
      <c r="F88" s="101" t="s">
        <v>12</v>
      </c>
      <c r="G88" s="101" t="s">
        <v>12</v>
      </c>
      <c r="H88" s="101" t="s">
        <v>12</v>
      </c>
      <c r="I88" s="67"/>
      <c r="J88" s="67"/>
      <c r="K88" s="67"/>
    </row>
    <row r="89" spans="1:11" x14ac:dyDescent="0.25">
      <c r="A89" s="4" t="s">
        <v>89</v>
      </c>
      <c r="B89" s="5" t="s">
        <v>12</v>
      </c>
      <c r="C89" s="5" t="s">
        <v>12</v>
      </c>
      <c r="D89" s="5" t="s">
        <v>12</v>
      </c>
      <c r="E89" s="98" t="s">
        <v>381</v>
      </c>
      <c r="F89" s="99">
        <v>753100</v>
      </c>
      <c r="G89" s="99">
        <v>1178700</v>
      </c>
      <c r="H89" s="99">
        <v>1172000</v>
      </c>
      <c r="I89" s="67"/>
      <c r="J89" s="67"/>
      <c r="K89" s="67"/>
    </row>
    <row r="90" spans="1:11" x14ac:dyDescent="0.25">
      <c r="A90" s="2" t="s">
        <v>90</v>
      </c>
      <c r="B90" s="3" t="s">
        <v>12</v>
      </c>
      <c r="C90" s="3" t="s">
        <v>12</v>
      </c>
      <c r="D90" s="3" t="s">
        <v>12</v>
      </c>
      <c r="E90" s="100" t="s">
        <v>382</v>
      </c>
      <c r="F90" s="101" t="s">
        <v>12</v>
      </c>
      <c r="G90" s="101" t="s">
        <v>12</v>
      </c>
      <c r="H90" s="102">
        <v>207900</v>
      </c>
      <c r="I90" s="67"/>
      <c r="J90" s="67"/>
      <c r="K90" s="67"/>
    </row>
    <row r="91" spans="1:11" x14ac:dyDescent="0.25">
      <c r="A91" s="4" t="s">
        <v>91</v>
      </c>
      <c r="B91" s="5" t="s">
        <v>12</v>
      </c>
      <c r="C91" s="5" t="s">
        <v>12</v>
      </c>
      <c r="D91" s="5" t="s">
        <v>12</v>
      </c>
      <c r="E91" s="98" t="s">
        <v>383</v>
      </c>
      <c r="F91" s="54" t="s">
        <v>12</v>
      </c>
      <c r="G91" s="54" t="s">
        <v>12</v>
      </c>
      <c r="H91" s="99">
        <v>1300</v>
      </c>
      <c r="I91" s="67"/>
      <c r="J91" s="67"/>
      <c r="K91" s="67"/>
    </row>
    <row r="92" spans="1:11" x14ac:dyDescent="0.25">
      <c r="A92" s="2" t="s">
        <v>92</v>
      </c>
      <c r="B92" s="8">
        <v>19499100</v>
      </c>
      <c r="C92" s="8">
        <v>16411000</v>
      </c>
      <c r="D92" s="8">
        <v>16340300</v>
      </c>
      <c r="E92" s="100" t="s">
        <v>384</v>
      </c>
      <c r="F92" s="101" t="s">
        <v>12</v>
      </c>
      <c r="G92" s="101" t="s">
        <v>12</v>
      </c>
      <c r="H92" s="102">
        <v>5100</v>
      </c>
      <c r="I92" s="67"/>
      <c r="J92" s="67"/>
      <c r="K92" s="67"/>
    </row>
    <row r="93" spans="1:11" x14ac:dyDescent="0.25">
      <c r="A93" s="4" t="s">
        <v>93</v>
      </c>
      <c r="B93" s="7">
        <v>11336400</v>
      </c>
      <c r="C93" s="7">
        <v>11309400</v>
      </c>
      <c r="D93" s="7">
        <v>11041700</v>
      </c>
      <c r="E93" s="98" t="s">
        <v>385</v>
      </c>
      <c r="F93" s="99">
        <v>1408600</v>
      </c>
      <c r="G93" s="99">
        <v>1445000</v>
      </c>
      <c r="H93" s="99">
        <v>26600</v>
      </c>
      <c r="I93" s="67"/>
      <c r="J93" s="67"/>
      <c r="K93" s="67"/>
    </row>
    <row r="94" spans="1:11" x14ac:dyDescent="0.25">
      <c r="A94" s="2" t="s">
        <v>94</v>
      </c>
      <c r="B94" s="3" t="s">
        <v>12</v>
      </c>
      <c r="C94" s="3" t="s">
        <v>12</v>
      </c>
      <c r="D94" s="3" t="s">
        <v>12</v>
      </c>
      <c r="E94" s="100" t="s">
        <v>482</v>
      </c>
      <c r="F94" s="101" t="s">
        <v>12</v>
      </c>
      <c r="G94" s="101" t="s">
        <v>12</v>
      </c>
      <c r="H94" s="101" t="s">
        <v>12</v>
      </c>
      <c r="I94" s="67"/>
      <c r="J94" s="67"/>
      <c r="K94" s="67"/>
    </row>
    <row r="95" spans="1:11" x14ac:dyDescent="0.25">
      <c r="A95" s="4" t="s">
        <v>95</v>
      </c>
      <c r="B95" s="5" t="s">
        <v>12</v>
      </c>
      <c r="C95" s="5" t="s">
        <v>12</v>
      </c>
      <c r="D95" s="5" t="s">
        <v>12</v>
      </c>
      <c r="E95" s="98" t="s">
        <v>483</v>
      </c>
      <c r="F95" s="54" t="s">
        <v>12</v>
      </c>
      <c r="G95" s="54" t="s">
        <v>12</v>
      </c>
      <c r="H95" s="54" t="s">
        <v>12</v>
      </c>
      <c r="I95" s="67"/>
      <c r="J95" s="67"/>
      <c r="K95" s="67"/>
    </row>
    <row r="96" spans="1:11" x14ac:dyDescent="0.25">
      <c r="A96" s="2" t="s">
        <v>96</v>
      </c>
      <c r="B96" s="3" t="s">
        <v>12</v>
      </c>
      <c r="C96" s="3" t="s">
        <v>12</v>
      </c>
      <c r="D96" s="3" t="s">
        <v>12</v>
      </c>
      <c r="E96" s="100" t="s">
        <v>342</v>
      </c>
      <c r="F96" s="102">
        <v>32589600</v>
      </c>
      <c r="G96" s="102">
        <v>30696800</v>
      </c>
      <c r="H96" s="102">
        <v>27756000</v>
      </c>
      <c r="I96" s="67"/>
      <c r="J96" s="67"/>
      <c r="K96" s="67"/>
    </row>
    <row r="97" spans="1:11" x14ac:dyDescent="0.25">
      <c r="A97" s="4" t="s">
        <v>97</v>
      </c>
      <c r="B97" s="7">
        <v>8162700</v>
      </c>
      <c r="C97" s="7">
        <v>5101600</v>
      </c>
      <c r="D97" s="7">
        <v>5298600</v>
      </c>
      <c r="E97" s="98" t="s">
        <v>386</v>
      </c>
      <c r="F97" s="99">
        <v>14464500</v>
      </c>
      <c r="G97" s="99">
        <v>13875200</v>
      </c>
      <c r="H97" s="99">
        <v>12074200</v>
      </c>
      <c r="I97" s="67"/>
      <c r="J97" s="67"/>
      <c r="K97" s="67"/>
    </row>
    <row r="98" spans="1:11" x14ac:dyDescent="0.25">
      <c r="A98" s="2" t="s">
        <v>98</v>
      </c>
      <c r="B98" s="3" t="s">
        <v>12</v>
      </c>
      <c r="C98" s="3" t="s">
        <v>12</v>
      </c>
      <c r="D98" s="3" t="s">
        <v>12</v>
      </c>
      <c r="E98" s="100" t="s">
        <v>387</v>
      </c>
      <c r="F98" s="102">
        <v>25600</v>
      </c>
      <c r="G98" s="102">
        <v>25600</v>
      </c>
      <c r="H98" s="102">
        <v>25600</v>
      </c>
      <c r="I98" s="67"/>
      <c r="J98" s="67"/>
      <c r="K98" s="67"/>
    </row>
    <row r="99" spans="1:11" x14ac:dyDescent="0.25">
      <c r="A99" s="4" t="s">
        <v>99</v>
      </c>
      <c r="B99" s="7">
        <v>776500</v>
      </c>
      <c r="C99" s="9">
        <v>0</v>
      </c>
      <c r="D99" s="9">
        <v>0</v>
      </c>
      <c r="E99" s="98" t="s">
        <v>484</v>
      </c>
      <c r="F99" s="54" t="s">
        <v>12</v>
      </c>
      <c r="G99" s="54" t="s">
        <v>12</v>
      </c>
      <c r="H99" s="54" t="s">
        <v>12</v>
      </c>
      <c r="I99" s="67"/>
      <c r="J99" s="67"/>
      <c r="K99" s="67"/>
    </row>
    <row r="100" spans="1:11" x14ac:dyDescent="0.25">
      <c r="A100" s="2" t="s">
        <v>100</v>
      </c>
      <c r="B100" s="3" t="s">
        <v>12</v>
      </c>
      <c r="C100" s="3" t="s">
        <v>12</v>
      </c>
      <c r="D100" s="3" t="s">
        <v>12</v>
      </c>
      <c r="E100" s="100" t="s">
        <v>485</v>
      </c>
      <c r="F100" s="101" t="s">
        <v>12</v>
      </c>
      <c r="G100" s="101" t="s">
        <v>12</v>
      </c>
      <c r="H100" s="101" t="s">
        <v>12</v>
      </c>
      <c r="I100" s="67"/>
      <c r="J100" s="67"/>
      <c r="K100" s="67"/>
    </row>
    <row r="101" spans="1:11" x14ac:dyDescent="0.25">
      <c r="A101" s="4" t="s">
        <v>101</v>
      </c>
      <c r="B101" s="5" t="s">
        <v>12</v>
      </c>
      <c r="C101" s="5" t="s">
        <v>12</v>
      </c>
      <c r="D101" s="5" t="s">
        <v>12</v>
      </c>
      <c r="E101" s="98" t="s">
        <v>388</v>
      </c>
      <c r="F101" s="99">
        <v>7174000</v>
      </c>
      <c r="G101" s="99">
        <v>7174000</v>
      </c>
      <c r="H101" s="99">
        <v>7174000</v>
      </c>
      <c r="I101" s="67"/>
      <c r="J101" s="67"/>
      <c r="K101" s="67"/>
    </row>
    <row r="102" spans="1:11" x14ac:dyDescent="0.25">
      <c r="A102" s="2" t="s">
        <v>102</v>
      </c>
      <c r="B102" s="3" t="s">
        <v>12</v>
      </c>
      <c r="C102" s="3" t="s">
        <v>12</v>
      </c>
      <c r="D102" s="3" t="s">
        <v>12</v>
      </c>
      <c r="E102" s="100" t="s">
        <v>486</v>
      </c>
      <c r="F102" s="101" t="s">
        <v>12</v>
      </c>
      <c r="G102" s="101" t="s">
        <v>12</v>
      </c>
      <c r="H102" s="101" t="s">
        <v>12</v>
      </c>
      <c r="I102" s="67"/>
      <c r="J102" s="67"/>
      <c r="K102" s="67"/>
    </row>
    <row r="103" spans="1:11" x14ac:dyDescent="0.25">
      <c r="A103" s="4" t="s">
        <v>103</v>
      </c>
      <c r="B103" s="5" t="s">
        <v>12</v>
      </c>
      <c r="C103" s="5" t="s">
        <v>12</v>
      </c>
      <c r="D103" s="5" t="s">
        <v>12</v>
      </c>
      <c r="E103" s="98" t="s">
        <v>389</v>
      </c>
      <c r="F103" s="99">
        <v>1500</v>
      </c>
      <c r="G103" s="99">
        <v>-162500</v>
      </c>
      <c r="H103" s="99">
        <v>3200</v>
      </c>
      <c r="I103" s="67"/>
      <c r="J103" s="67"/>
      <c r="K103" s="67"/>
    </row>
    <row r="104" spans="1:11" x14ac:dyDescent="0.25">
      <c r="A104" s="2" t="s">
        <v>104</v>
      </c>
      <c r="B104" s="8">
        <v>29400</v>
      </c>
      <c r="C104" s="8">
        <v>72900</v>
      </c>
      <c r="D104" s="8">
        <v>7000</v>
      </c>
      <c r="E104" s="100" t="s">
        <v>390</v>
      </c>
      <c r="F104" s="102">
        <v>6610200</v>
      </c>
      <c r="G104" s="102">
        <v>6189900</v>
      </c>
      <c r="H104" s="102">
        <v>4871400</v>
      </c>
      <c r="I104" s="67"/>
      <c r="J104" s="67"/>
      <c r="K104" s="67"/>
    </row>
    <row r="105" spans="1:11" x14ac:dyDescent="0.25">
      <c r="A105" s="4" t="s">
        <v>105</v>
      </c>
      <c r="B105" s="7">
        <v>29400</v>
      </c>
      <c r="C105" s="7">
        <v>29900</v>
      </c>
      <c r="D105" s="7">
        <v>5100</v>
      </c>
      <c r="E105" s="98" t="s">
        <v>391</v>
      </c>
      <c r="F105" s="99">
        <v>653200</v>
      </c>
      <c r="G105" s="99">
        <v>648200</v>
      </c>
      <c r="H105" s="99">
        <v>42600</v>
      </c>
      <c r="I105" s="67"/>
      <c r="J105" s="67"/>
      <c r="K105" s="67"/>
    </row>
    <row r="106" spans="1:11" x14ac:dyDescent="0.25">
      <c r="A106" s="2" t="s">
        <v>106</v>
      </c>
      <c r="B106" s="10">
        <v>0</v>
      </c>
      <c r="C106" s="8">
        <v>43000</v>
      </c>
      <c r="D106" s="10">
        <v>0</v>
      </c>
      <c r="E106" s="100" t="s">
        <v>392</v>
      </c>
      <c r="F106" s="102">
        <v>12256900</v>
      </c>
      <c r="G106" s="102">
        <v>11803000</v>
      </c>
      <c r="H106" s="102">
        <v>11723700</v>
      </c>
      <c r="I106" s="67"/>
      <c r="J106" s="67"/>
      <c r="K106" s="67"/>
    </row>
    <row r="107" spans="1:11" x14ac:dyDescent="0.25">
      <c r="A107" s="4" t="s">
        <v>107</v>
      </c>
      <c r="B107" s="5" t="s">
        <v>12</v>
      </c>
      <c r="C107" s="5" t="s">
        <v>12</v>
      </c>
      <c r="D107" s="5" t="s">
        <v>12</v>
      </c>
      <c r="E107" s="98" t="s">
        <v>393</v>
      </c>
      <c r="F107" s="54" t="s">
        <v>12</v>
      </c>
      <c r="G107" s="99">
        <v>165200</v>
      </c>
      <c r="H107" s="54" t="s">
        <v>12</v>
      </c>
      <c r="I107" s="67"/>
      <c r="J107" s="67"/>
      <c r="K107" s="67"/>
    </row>
    <row r="108" spans="1:11" x14ac:dyDescent="0.25">
      <c r="A108" s="2" t="s">
        <v>108</v>
      </c>
      <c r="B108" s="3" t="s">
        <v>12</v>
      </c>
      <c r="C108" s="3" t="s">
        <v>12</v>
      </c>
      <c r="D108" s="3" t="s">
        <v>12</v>
      </c>
      <c r="E108" s="100" t="s">
        <v>394</v>
      </c>
      <c r="F108" s="102">
        <v>969200</v>
      </c>
      <c r="G108" s="102">
        <v>976000</v>
      </c>
      <c r="H108" s="102">
        <v>9291400</v>
      </c>
      <c r="I108" s="67"/>
      <c r="J108" s="67"/>
      <c r="K108" s="67"/>
    </row>
    <row r="109" spans="1:11" x14ac:dyDescent="0.25">
      <c r="A109" s="4" t="s">
        <v>109</v>
      </c>
      <c r="B109" s="9">
        <v>0</v>
      </c>
      <c r="C109" s="9">
        <v>0</v>
      </c>
      <c r="D109" s="7">
        <v>1900</v>
      </c>
      <c r="E109" s="98" t="s">
        <v>395</v>
      </c>
      <c r="F109" s="99">
        <v>8617000</v>
      </c>
      <c r="G109" s="99">
        <v>8605300</v>
      </c>
      <c r="H109" s="54" t="s">
        <v>12</v>
      </c>
      <c r="I109" s="67"/>
      <c r="J109" s="67"/>
      <c r="K109" s="67"/>
    </row>
    <row r="110" spans="1:11" x14ac:dyDescent="0.25">
      <c r="A110" s="2" t="s">
        <v>110</v>
      </c>
      <c r="B110" s="3" t="s">
        <v>12</v>
      </c>
      <c r="C110" s="3" t="s">
        <v>12</v>
      </c>
      <c r="D110" s="3" t="s">
        <v>12</v>
      </c>
      <c r="E110" s="100" t="s">
        <v>487</v>
      </c>
      <c r="F110" s="101" t="s">
        <v>12</v>
      </c>
      <c r="G110" s="101" t="s">
        <v>12</v>
      </c>
      <c r="H110" s="101" t="s">
        <v>12</v>
      </c>
      <c r="I110" s="67"/>
      <c r="J110" s="67"/>
      <c r="K110" s="67"/>
    </row>
    <row r="111" spans="1:11" x14ac:dyDescent="0.25">
      <c r="A111" s="4" t="s">
        <v>111</v>
      </c>
      <c r="B111" s="5" t="s">
        <v>12</v>
      </c>
      <c r="C111" s="5" t="s">
        <v>12</v>
      </c>
      <c r="D111" s="5" t="s">
        <v>12</v>
      </c>
      <c r="E111" s="98" t="s">
        <v>488</v>
      </c>
      <c r="F111" s="54" t="s">
        <v>12</v>
      </c>
      <c r="G111" s="54" t="s">
        <v>12</v>
      </c>
      <c r="H111" s="54" t="s">
        <v>12</v>
      </c>
      <c r="I111" s="67"/>
      <c r="J111" s="67"/>
      <c r="K111" s="67"/>
    </row>
    <row r="112" spans="1:11" x14ac:dyDescent="0.25">
      <c r="A112" s="2" t="s">
        <v>112</v>
      </c>
      <c r="B112" s="10">
        <v>0</v>
      </c>
      <c r="C112" s="10">
        <v>0</v>
      </c>
      <c r="D112" s="10">
        <v>0</v>
      </c>
      <c r="E112" s="100" t="s">
        <v>396</v>
      </c>
      <c r="F112" s="102">
        <v>1025300</v>
      </c>
      <c r="G112" s="102">
        <v>1160100</v>
      </c>
      <c r="H112" s="102">
        <v>879800</v>
      </c>
      <c r="I112" s="67"/>
      <c r="J112" s="67"/>
      <c r="K112" s="67"/>
    </row>
    <row r="113" spans="1:11" x14ac:dyDescent="0.25">
      <c r="A113" s="4" t="s">
        <v>113</v>
      </c>
      <c r="B113" s="7">
        <v>241200</v>
      </c>
      <c r="C113" s="7">
        <v>259700</v>
      </c>
      <c r="D113" s="7">
        <v>288600</v>
      </c>
      <c r="E113" s="98" t="s">
        <v>397</v>
      </c>
      <c r="F113" s="99">
        <v>3200</v>
      </c>
      <c r="G113" s="54" t="s">
        <v>12</v>
      </c>
      <c r="H113" s="99">
        <v>114200</v>
      </c>
      <c r="I113" s="67"/>
      <c r="J113" s="67"/>
      <c r="K113" s="67"/>
    </row>
    <row r="114" spans="1:11" x14ac:dyDescent="0.25">
      <c r="A114" s="2" t="s">
        <v>114</v>
      </c>
      <c r="B114" s="8">
        <v>241200</v>
      </c>
      <c r="C114" s="8">
        <v>259700</v>
      </c>
      <c r="D114" s="8">
        <v>197200</v>
      </c>
      <c r="E114" s="100" t="s">
        <v>398</v>
      </c>
      <c r="F114" s="102">
        <v>236900</v>
      </c>
      <c r="G114" s="102">
        <v>880600</v>
      </c>
      <c r="H114" s="102">
        <v>440800</v>
      </c>
      <c r="I114" s="67"/>
      <c r="J114" s="67"/>
      <c r="K114" s="67"/>
    </row>
    <row r="115" spans="1:11" x14ac:dyDescent="0.25">
      <c r="A115" s="4" t="s">
        <v>115</v>
      </c>
      <c r="B115" s="9">
        <v>0</v>
      </c>
      <c r="C115" s="9">
        <v>0</v>
      </c>
      <c r="D115" s="7">
        <v>91400</v>
      </c>
      <c r="E115" s="98" t="s">
        <v>399</v>
      </c>
      <c r="F115" s="54" t="s">
        <v>12</v>
      </c>
      <c r="G115" s="54" t="s">
        <v>12</v>
      </c>
      <c r="H115" s="99">
        <v>3200</v>
      </c>
      <c r="I115" s="67"/>
      <c r="J115" s="67"/>
      <c r="K115" s="67"/>
    </row>
    <row r="116" spans="1:11" x14ac:dyDescent="0.25">
      <c r="A116" s="2" t="s">
        <v>116</v>
      </c>
      <c r="B116" s="8">
        <v>1818900</v>
      </c>
      <c r="C116" s="8">
        <v>2815700</v>
      </c>
      <c r="D116" s="8">
        <v>3996200</v>
      </c>
      <c r="E116" s="100" t="s">
        <v>489</v>
      </c>
      <c r="F116" s="101" t="s">
        <v>12</v>
      </c>
      <c r="G116" s="101" t="s">
        <v>12</v>
      </c>
      <c r="H116" s="101" t="s">
        <v>12</v>
      </c>
      <c r="I116" s="67"/>
      <c r="J116" s="67"/>
      <c r="K116" s="67"/>
    </row>
    <row r="117" spans="1:11" x14ac:dyDescent="0.25">
      <c r="A117" s="4" t="s">
        <v>117</v>
      </c>
      <c r="B117" s="7">
        <v>4984900</v>
      </c>
      <c r="C117" s="7">
        <v>5422700</v>
      </c>
      <c r="D117" s="7">
        <v>3931500</v>
      </c>
      <c r="E117" s="98" t="s">
        <v>400</v>
      </c>
      <c r="F117" s="99">
        <v>1023800</v>
      </c>
      <c r="G117" s="99">
        <v>15800</v>
      </c>
      <c r="H117" s="54" t="s">
        <v>12</v>
      </c>
      <c r="I117" s="67"/>
      <c r="J117" s="67"/>
      <c r="K117" s="67"/>
    </row>
    <row r="118" spans="1:11" x14ac:dyDescent="0.25">
      <c r="A118" s="2" t="s">
        <v>118</v>
      </c>
      <c r="B118" s="8">
        <v>306800</v>
      </c>
      <c r="C118" s="8">
        <v>394000</v>
      </c>
      <c r="D118" s="8">
        <v>283700</v>
      </c>
      <c r="E118" s="100" t="s">
        <v>401</v>
      </c>
      <c r="F118" s="102">
        <v>5868200</v>
      </c>
      <c r="G118" s="102">
        <v>5018600</v>
      </c>
      <c r="H118" s="102">
        <v>3915500</v>
      </c>
      <c r="I118" s="67"/>
      <c r="J118" s="67"/>
      <c r="K118" s="67"/>
    </row>
    <row r="119" spans="1:11" x14ac:dyDescent="0.25">
      <c r="A119" s="4" t="s">
        <v>119</v>
      </c>
      <c r="B119" s="5" t="s">
        <v>12</v>
      </c>
      <c r="C119" s="5" t="s">
        <v>12</v>
      </c>
      <c r="D119" s="5" t="s">
        <v>12</v>
      </c>
      <c r="E119" s="98" t="s">
        <v>402</v>
      </c>
      <c r="F119" s="54" t="s">
        <v>12</v>
      </c>
      <c r="G119" s="99">
        <v>8800</v>
      </c>
      <c r="H119" s="99">
        <v>3600</v>
      </c>
      <c r="I119" s="67"/>
      <c r="J119" s="67"/>
      <c r="K119" s="67"/>
    </row>
    <row r="120" spans="1:11" x14ac:dyDescent="0.25">
      <c r="A120" s="2" t="s">
        <v>120</v>
      </c>
      <c r="B120" s="3" t="s">
        <v>12</v>
      </c>
      <c r="C120" s="3" t="s">
        <v>12</v>
      </c>
      <c r="D120" s="3" t="s">
        <v>12</v>
      </c>
      <c r="E120" s="100" t="s">
        <v>403</v>
      </c>
      <c r="F120" s="102">
        <v>34800</v>
      </c>
      <c r="G120" s="102">
        <v>42300</v>
      </c>
      <c r="H120" s="102">
        <v>1341900</v>
      </c>
      <c r="I120" s="67"/>
      <c r="J120" s="67"/>
      <c r="K120" s="67"/>
    </row>
    <row r="121" spans="1:11" x14ac:dyDescent="0.25">
      <c r="A121" s="4" t="s">
        <v>121</v>
      </c>
      <c r="B121" s="5" t="s">
        <v>12</v>
      </c>
      <c r="C121" s="5" t="s">
        <v>12</v>
      </c>
      <c r="D121" s="5" t="s">
        <v>12</v>
      </c>
      <c r="E121" s="98" t="s">
        <v>404</v>
      </c>
      <c r="F121" s="99">
        <v>1892500</v>
      </c>
      <c r="G121" s="99">
        <v>1611300</v>
      </c>
      <c r="H121" s="54" t="s">
        <v>12</v>
      </c>
      <c r="I121" s="67"/>
      <c r="J121" s="67"/>
      <c r="K121" s="67"/>
    </row>
    <row r="122" spans="1:11" x14ac:dyDescent="0.25">
      <c r="A122" s="2" t="s">
        <v>122</v>
      </c>
      <c r="B122" s="3" t="s">
        <v>12</v>
      </c>
      <c r="C122" s="3" t="s">
        <v>12</v>
      </c>
      <c r="D122" s="3" t="s">
        <v>12</v>
      </c>
      <c r="E122" s="100" t="s">
        <v>405</v>
      </c>
      <c r="F122" s="102">
        <v>413500</v>
      </c>
      <c r="G122" s="102">
        <v>8200</v>
      </c>
      <c r="H122" s="101" t="s">
        <v>12</v>
      </c>
      <c r="I122" s="67"/>
      <c r="J122" s="67"/>
      <c r="K122" s="67"/>
    </row>
    <row r="123" spans="1:11" x14ac:dyDescent="0.25">
      <c r="A123" s="4" t="s">
        <v>123</v>
      </c>
      <c r="B123" s="9">
        <v>0</v>
      </c>
      <c r="C123" s="9">
        <v>0</v>
      </c>
      <c r="D123" s="9">
        <v>0</v>
      </c>
      <c r="E123" s="98" t="s">
        <v>406</v>
      </c>
      <c r="F123" s="99">
        <v>2420800</v>
      </c>
      <c r="G123" s="99">
        <v>2373600</v>
      </c>
      <c r="H123" s="99">
        <v>1723700</v>
      </c>
      <c r="I123" s="67"/>
      <c r="J123" s="67"/>
      <c r="K123" s="67"/>
    </row>
    <row r="124" spans="1:11" x14ac:dyDescent="0.25">
      <c r="A124" s="2" t="s">
        <v>124</v>
      </c>
      <c r="B124" s="8">
        <v>2516400</v>
      </c>
      <c r="C124" s="8">
        <v>2405000</v>
      </c>
      <c r="D124" s="8">
        <v>1983200</v>
      </c>
      <c r="E124" s="100" t="s">
        <v>490</v>
      </c>
      <c r="F124" s="101" t="s">
        <v>12</v>
      </c>
      <c r="G124" s="101" t="s">
        <v>12</v>
      </c>
      <c r="H124" s="101" t="s">
        <v>12</v>
      </c>
      <c r="I124" s="67"/>
      <c r="J124" s="67"/>
      <c r="K124" s="67"/>
    </row>
    <row r="125" spans="1:11" x14ac:dyDescent="0.25">
      <c r="A125" s="4" t="s">
        <v>125</v>
      </c>
      <c r="B125" s="7">
        <v>2511600</v>
      </c>
      <c r="C125" s="7">
        <v>2370400</v>
      </c>
      <c r="D125" s="7">
        <v>1983200</v>
      </c>
      <c r="E125" s="98" t="s">
        <v>407</v>
      </c>
      <c r="F125" s="99">
        <v>276600</v>
      </c>
      <c r="G125" s="99">
        <v>151100</v>
      </c>
      <c r="H125" s="99">
        <v>61300</v>
      </c>
      <c r="I125" s="67"/>
      <c r="J125" s="67"/>
      <c r="K125" s="67"/>
    </row>
    <row r="126" spans="1:11" x14ac:dyDescent="0.25">
      <c r="A126" s="2" t="s">
        <v>101</v>
      </c>
      <c r="B126" s="3" t="s">
        <v>12</v>
      </c>
      <c r="C126" s="3" t="s">
        <v>12</v>
      </c>
      <c r="D126" s="3" t="s">
        <v>12</v>
      </c>
      <c r="E126" s="100" t="s">
        <v>491</v>
      </c>
      <c r="F126" s="101" t="s">
        <v>12</v>
      </c>
      <c r="G126" s="101" t="s">
        <v>12</v>
      </c>
      <c r="H126" s="101" t="s">
        <v>12</v>
      </c>
      <c r="I126" s="67"/>
      <c r="J126" s="67"/>
      <c r="K126" s="67"/>
    </row>
    <row r="127" spans="1:11" x14ac:dyDescent="0.25">
      <c r="A127" s="4" t="s">
        <v>126</v>
      </c>
      <c r="B127" s="7">
        <v>4800</v>
      </c>
      <c r="C127" s="7">
        <v>34600</v>
      </c>
      <c r="D127" s="9">
        <v>0</v>
      </c>
      <c r="E127" s="98" t="s">
        <v>408</v>
      </c>
      <c r="F127" s="99">
        <v>830000</v>
      </c>
      <c r="G127" s="99">
        <v>823300</v>
      </c>
      <c r="H127" s="99">
        <v>114500</v>
      </c>
      <c r="I127" s="67"/>
      <c r="J127" s="67"/>
      <c r="K127" s="67"/>
    </row>
    <row r="128" spans="1:11" x14ac:dyDescent="0.25">
      <c r="A128" s="2" t="s">
        <v>103</v>
      </c>
      <c r="B128" s="3" t="s">
        <v>12</v>
      </c>
      <c r="C128" s="3" t="s">
        <v>12</v>
      </c>
      <c r="D128" s="3" t="s">
        <v>12</v>
      </c>
      <c r="E128" s="100" t="s">
        <v>409</v>
      </c>
      <c r="F128" s="101" t="s">
        <v>12</v>
      </c>
      <c r="G128" s="101" t="s">
        <v>12</v>
      </c>
      <c r="H128" s="102">
        <v>618300</v>
      </c>
      <c r="I128" s="67"/>
      <c r="J128" s="67"/>
      <c r="K128" s="67"/>
    </row>
    <row r="129" spans="1:11" x14ac:dyDescent="0.25">
      <c r="A129" s="4" t="s">
        <v>127</v>
      </c>
      <c r="B129" s="5" t="s">
        <v>12</v>
      </c>
      <c r="C129" s="5" t="s">
        <v>12</v>
      </c>
      <c r="D129" s="5" t="s">
        <v>12</v>
      </c>
      <c r="E129" s="98" t="s">
        <v>492</v>
      </c>
      <c r="F129" s="54" t="s">
        <v>12</v>
      </c>
      <c r="G129" s="54" t="s">
        <v>12</v>
      </c>
      <c r="H129" s="54" t="s">
        <v>12</v>
      </c>
      <c r="I129" s="67"/>
      <c r="J129" s="67"/>
      <c r="K129" s="67"/>
    </row>
    <row r="130" spans="1:11" x14ac:dyDescent="0.25">
      <c r="A130" s="2" t="s">
        <v>128</v>
      </c>
      <c r="B130" s="10">
        <v>0</v>
      </c>
      <c r="C130" s="10">
        <v>0</v>
      </c>
      <c r="D130" s="8">
        <v>209200</v>
      </c>
      <c r="E130" s="100" t="s">
        <v>493</v>
      </c>
      <c r="F130" s="101" t="s">
        <v>12</v>
      </c>
      <c r="G130" s="101" t="s">
        <v>12</v>
      </c>
      <c r="H130" s="101" t="s">
        <v>12</v>
      </c>
      <c r="I130" s="67"/>
      <c r="J130" s="67"/>
      <c r="K130" s="67"/>
    </row>
    <row r="131" spans="1:11" x14ac:dyDescent="0.25">
      <c r="A131" s="4" t="s">
        <v>129</v>
      </c>
      <c r="B131" s="9">
        <v>0</v>
      </c>
      <c r="C131" s="9">
        <v>0</v>
      </c>
      <c r="D131" s="7">
        <v>5100</v>
      </c>
      <c r="E131" s="98" t="s">
        <v>494</v>
      </c>
      <c r="F131" s="54" t="s">
        <v>12</v>
      </c>
      <c r="G131" s="54" t="s">
        <v>12</v>
      </c>
      <c r="H131" s="54" t="s">
        <v>12</v>
      </c>
      <c r="I131" s="67"/>
      <c r="J131" s="67"/>
      <c r="K131" s="67"/>
    </row>
    <row r="132" spans="1:11" x14ac:dyDescent="0.25">
      <c r="A132" s="2" t="s">
        <v>108</v>
      </c>
      <c r="B132" s="3" t="s">
        <v>12</v>
      </c>
      <c r="C132" s="3" t="s">
        <v>12</v>
      </c>
      <c r="D132" s="3" t="s">
        <v>12</v>
      </c>
      <c r="E132" s="67"/>
      <c r="F132" s="67"/>
      <c r="G132" s="67"/>
      <c r="H132" s="67"/>
      <c r="I132" s="67"/>
      <c r="J132" s="67"/>
      <c r="K132" s="67"/>
    </row>
    <row r="133" spans="1:11" x14ac:dyDescent="0.25">
      <c r="A133" s="4" t="s">
        <v>109</v>
      </c>
      <c r="B133" s="9">
        <v>0</v>
      </c>
      <c r="C133" s="9">
        <v>0</v>
      </c>
      <c r="D133" s="7">
        <v>5100</v>
      </c>
      <c r="E133" s="67"/>
      <c r="F133" s="67"/>
      <c r="G133" s="67"/>
      <c r="H133" s="67"/>
      <c r="I133" s="67"/>
      <c r="J133" s="67"/>
      <c r="K133" s="67"/>
    </row>
    <row r="134" spans="1:11" x14ac:dyDescent="0.25">
      <c r="A134" s="2" t="s">
        <v>110</v>
      </c>
      <c r="B134" s="3" t="s">
        <v>12</v>
      </c>
      <c r="C134" s="3" t="s">
        <v>12</v>
      </c>
      <c r="D134" s="3" t="s">
        <v>12</v>
      </c>
      <c r="E134" s="97" t="s">
        <v>176</v>
      </c>
      <c r="F134" s="97">
        <v>2019</v>
      </c>
      <c r="G134" s="97">
        <v>2018</v>
      </c>
      <c r="H134" s="97">
        <v>2017</v>
      </c>
      <c r="I134" s="67"/>
      <c r="J134" s="67"/>
      <c r="K134" s="67"/>
    </row>
    <row r="135" spans="1:11" x14ac:dyDescent="0.25">
      <c r="A135" s="4" t="s">
        <v>111</v>
      </c>
      <c r="B135" s="5" t="s">
        <v>12</v>
      </c>
      <c r="C135" s="5" t="s">
        <v>12</v>
      </c>
      <c r="D135" s="5" t="s">
        <v>12</v>
      </c>
      <c r="E135" s="98" t="s">
        <v>410</v>
      </c>
      <c r="F135" s="99">
        <v>3473400</v>
      </c>
      <c r="G135" s="99">
        <v>2915100</v>
      </c>
      <c r="H135" s="99">
        <v>2941400</v>
      </c>
    </row>
    <row r="136" spans="1:11" x14ac:dyDescent="0.25">
      <c r="A136" s="2" t="s">
        <v>130</v>
      </c>
      <c r="B136" s="10">
        <v>0</v>
      </c>
      <c r="C136" s="10">
        <v>0</v>
      </c>
      <c r="D136" s="10">
        <v>0</v>
      </c>
      <c r="E136" s="100" t="s">
        <v>411</v>
      </c>
      <c r="F136" s="102">
        <v>1114600</v>
      </c>
      <c r="G136" s="102">
        <v>816100</v>
      </c>
      <c r="H136" s="102">
        <v>945200</v>
      </c>
    </row>
    <row r="137" spans="1:11" x14ac:dyDescent="0.25">
      <c r="A137" s="4" t="s">
        <v>131</v>
      </c>
      <c r="B137" s="7">
        <v>753100</v>
      </c>
      <c r="C137" s="7">
        <v>1178700</v>
      </c>
      <c r="D137" s="7">
        <v>1172000</v>
      </c>
      <c r="E137" s="98" t="s">
        <v>412</v>
      </c>
      <c r="F137" s="54" t="s">
        <v>12</v>
      </c>
      <c r="G137" s="54" t="s">
        <v>12</v>
      </c>
      <c r="H137" s="99">
        <v>-2800</v>
      </c>
    </row>
    <row r="138" spans="1:11" x14ac:dyDescent="0.25">
      <c r="A138" s="2" t="s">
        <v>132</v>
      </c>
      <c r="B138" s="3" t="s">
        <v>12</v>
      </c>
      <c r="C138" s="3" t="s">
        <v>12</v>
      </c>
      <c r="D138" s="3" t="s">
        <v>12</v>
      </c>
      <c r="E138" s="100" t="s">
        <v>413</v>
      </c>
      <c r="F138" s="102">
        <v>2229700</v>
      </c>
      <c r="G138" s="102">
        <v>2307700</v>
      </c>
      <c r="H138" s="102">
        <v>2011600</v>
      </c>
    </row>
    <row r="139" spans="1:11" x14ac:dyDescent="0.25">
      <c r="A139" s="4" t="s">
        <v>133</v>
      </c>
      <c r="B139" s="5" t="s">
        <v>12</v>
      </c>
      <c r="C139" s="5" t="s">
        <v>12</v>
      </c>
      <c r="D139" s="5" t="s">
        <v>12</v>
      </c>
      <c r="E139" s="98" t="s">
        <v>414</v>
      </c>
      <c r="F139" s="99">
        <v>-4800</v>
      </c>
      <c r="G139" s="99">
        <v>15800</v>
      </c>
      <c r="H139" s="99">
        <v>-31100</v>
      </c>
    </row>
    <row r="140" spans="1:11" x14ac:dyDescent="0.25">
      <c r="A140" s="2" t="s">
        <v>134</v>
      </c>
      <c r="B140" s="8">
        <v>1408600</v>
      </c>
      <c r="C140" s="8">
        <v>1445000</v>
      </c>
      <c r="D140" s="8">
        <v>26600</v>
      </c>
      <c r="E140" s="100" t="s">
        <v>415</v>
      </c>
      <c r="F140" s="102">
        <v>437800</v>
      </c>
      <c r="G140" s="102">
        <v>427800</v>
      </c>
      <c r="H140" s="102">
        <v>463600</v>
      </c>
    </row>
    <row r="141" spans="1:11" x14ac:dyDescent="0.25">
      <c r="A141" s="4" t="s">
        <v>135</v>
      </c>
      <c r="B141" s="9">
        <v>0</v>
      </c>
      <c r="C141" s="9">
        <v>0</v>
      </c>
      <c r="D141" s="9">
        <v>0</v>
      </c>
      <c r="E141" s="98" t="s">
        <v>495</v>
      </c>
      <c r="F141" s="54" t="s">
        <v>12</v>
      </c>
      <c r="G141" s="54" t="s">
        <v>12</v>
      </c>
      <c r="H141" s="54" t="s">
        <v>12</v>
      </c>
    </row>
    <row r="142" spans="1:11" x14ac:dyDescent="0.25">
      <c r="A142" s="2" t="s">
        <v>136</v>
      </c>
      <c r="B142" s="3" t="s">
        <v>12</v>
      </c>
      <c r="C142" s="3" t="s">
        <v>12</v>
      </c>
      <c r="D142" s="3" t="s">
        <v>12</v>
      </c>
      <c r="E142" s="100" t="s">
        <v>496</v>
      </c>
      <c r="F142" s="101" t="s">
        <v>12</v>
      </c>
      <c r="G142" s="101" t="s">
        <v>12</v>
      </c>
      <c r="H142" s="101" t="s">
        <v>12</v>
      </c>
    </row>
    <row r="143" spans="1:11" x14ac:dyDescent="0.25">
      <c r="A143" s="4" t="s">
        <v>137</v>
      </c>
      <c r="B143" s="7">
        <v>32589600</v>
      </c>
      <c r="C143" s="7">
        <v>30696800</v>
      </c>
      <c r="D143" s="7">
        <v>27756000</v>
      </c>
      <c r="E143" s="98" t="s">
        <v>497</v>
      </c>
      <c r="F143" s="54" t="s">
        <v>12</v>
      </c>
      <c r="G143" s="54" t="s">
        <v>12</v>
      </c>
      <c r="H143" s="54" t="s">
        <v>12</v>
      </c>
    </row>
    <row r="144" spans="1:11" x14ac:dyDescent="0.25">
      <c r="A144" s="2" t="s">
        <v>138</v>
      </c>
      <c r="B144" s="8">
        <v>15117700</v>
      </c>
      <c r="C144" s="8">
        <v>14523400</v>
      </c>
      <c r="D144" s="8">
        <v>12116800</v>
      </c>
      <c r="E144" s="100" t="s">
        <v>416</v>
      </c>
      <c r="F144" s="102">
        <v>353000</v>
      </c>
      <c r="G144" s="102">
        <v>490000</v>
      </c>
      <c r="H144" s="101" t="s">
        <v>12</v>
      </c>
    </row>
    <row r="145" spans="1:8" x14ac:dyDescent="0.25">
      <c r="A145" s="4" t="s">
        <v>139</v>
      </c>
      <c r="B145" s="7">
        <v>14464500</v>
      </c>
      <c r="C145" s="7">
        <v>13875200</v>
      </c>
      <c r="D145" s="7">
        <v>12074200</v>
      </c>
      <c r="E145" s="98" t="s">
        <v>417</v>
      </c>
      <c r="F145" s="99">
        <v>-328500</v>
      </c>
      <c r="G145" s="99">
        <v>-343200</v>
      </c>
      <c r="H145" s="99">
        <v>173600</v>
      </c>
    </row>
    <row r="146" spans="1:8" x14ac:dyDescent="0.25">
      <c r="A146" s="2" t="s">
        <v>140</v>
      </c>
      <c r="B146" s="8">
        <v>25600</v>
      </c>
      <c r="C146" s="8">
        <v>25600</v>
      </c>
      <c r="D146" s="8">
        <v>25600</v>
      </c>
      <c r="E146" s="100" t="s">
        <v>498</v>
      </c>
      <c r="F146" s="101" t="s">
        <v>12</v>
      </c>
      <c r="G146" s="101" t="s">
        <v>12</v>
      </c>
      <c r="H146" s="101" t="s">
        <v>12</v>
      </c>
    </row>
    <row r="147" spans="1:8" x14ac:dyDescent="0.25">
      <c r="A147" s="4" t="s">
        <v>141</v>
      </c>
      <c r="B147" s="143">
        <f>C147-C148</f>
        <v>280711014</v>
      </c>
      <c r="C147" s="54" t="s">
        <v>882</v>
      </c>
      <c r="D147" s="15" t="s">
        <v>882</v>
      </c>
      <c r="E147" s="98" t="s">
        <v>499</v>
      </c>
      <c r="F147" s="54" t="s">
        <v>12</v>
      </c>
      <c r="G147" s="54" t="s">
        <v>12</v>
      </c>
      <c r="H147" s="54" t="s">
        <v>12</v>
      </c>
    </row>
    <row r="148" spans="1:8" x14ac:dyDescent="0.25">
      <c r="A148" s="2" t="s">
        <v>142</v>
      </c>
      <c r="B148" s="101" t="s">
        <v>879</v>
      </c>
      <c r="C148" s="101" t="s">
        <v>878</v>
      </c>
      <c r="D148" s="13" t="s">
        <v>878</v>
      </c>
      <c r="E148" s="100" t="s">
        <v>418</v>
      </c>
      <c r="F148" s="102">
        <v>89100</v>
      </c>
      <c r="G148" s="102">
        <v>-77200</v>
      </c>
      <c r="H148" s="102">
        <v>-5000</v>
      </c>
    </row>
    <row r="149" spans="1:8" x14ac:dyDescent="0.25">
      <c r="A149" s="4" t="s">
        <v>143</v>
      </c>
      <c r="B149" s="5" t="s">
        <v>877</v>
      </c>
      <c r="C149" s="15" t="s">
        <v>877</v>
      </c>
      <c r="D149" s="15" t="s">
        <v>877</v>
      </c>
      <c r="E149" s="98" t="s">
        <v>419</v>
      </c>
      <c r="F149" s="99">
        <v>-311800</v>
      </c>
      <c r="G149" s="99">
        <v>-289100</v>
      </c>
      <c r="H149" s="99">
        <v>-470800</v>
      </c>
    </row>
    <row r="150" spans="1:8" x14ac:dyDescent="0.25">
      <c r="A150" s="2" t="s">
        <v>144</v>
      </c>
      <c r="B150" s="10">
        <v>0</v>
      </c>
      <c r="C150" s="10">
        <v>0</v>
      </c>
      <c r="D150" s="10">
        <v>0</v>
      </c>
      <c r="E150" s="100" t="s">
        <v>420</v>
      </c>
      <c r="F150" s="102">
        <v>7900</v>
      </c>
      <c r="G150" s="102">
        <v>-44200</v>
      </c>
      <c r="H150" s="102">
        <v>183100</v>
      </c>
    </row>
    <row r="151" spans="1:8" x14ac:dyDescent="0.25">
      <c r="A151" s="4" t="s">
        <v>145</v>
      </c>
      <c r="B151" s="5" t="s">
        <v>12</v>
      </c>
      <c r="C151" s="5" t="s">
        <v>12</v>
      </c>
      <c r="D151" s="5" t="s">
        <v>12</v>
      </c>
      <c r="E151" s="98" t="s">
        <v>500</v>
      </c>
      <c r="F151" s="54" t="s">
        <v>12</v>
      </c>
      <c r="G151" s="54" t="s">
        <v>12</v>
      </c>
      <c r="H151" s="54" t="s">
        <v>12</v>
      </c>
    </row>
    <row r="152" spans="1:8" x14ac:dyDescent="0.25">
      <c r="A152" s="2" t="s">
        <v>146</v>
      </c>
      <c r="B152" s="10">
        <v>0</v>
      </c>
      <c r="C152" s="10">
        <v>0</v>
      </c>
      <c r="D152" s="10">
        <v>0</v>
      </c>
      <c r="E152" s="100" t="s">
        <v>421</v>
      </c>
      <c r="F152" s="102">
        <v>9700</v>
      </c>
      <c r="G152" s="102">
        <v>155400</v>
      </c>
      <c r="H152" s="102">
        <v>-133600</v>
      </c>
    </row>
    <row r="153" spans="1:8" x14ac:dyDescent="0.25">
      <c r="A153" s="4" t="s">
        <v>147</v>
      </c>
      <c r="B153" s="5" t="s">
        <v>12</v>
      </c>
      <c r="C153" s="5" t="s">
        <v>12</v>
      </c>
      <c r="D153" s="5" t="s">
        <v>12</v>
      </c>
      <c r="E153" s="98" t="s">
        <v>422</v>
      </c>
      <c r="F153" s="99">
        <v>-54400</v>
      </c>
      <c r="G153" s="99">
        <v>-545200</v>
      </c>
      <c r="H153" s="99">
        <v>-192400</v>
      </c>
    </row>
    <row r="154" spans="1:8" x14ac:dyDescent="0.25">
      <c r="A154" s="2" t="s">
        <v>148</v>
      </c>
      <c r="B154" s="3" t="s">
        <v>12</v>
      </c>
      <c r="C154" s="3" t="s">
        <v>12</v>
      </c>
      <c r="D154" s="3" t="s">
        <v>12</v>
      </c>
      <c r="E154" s="100" t="s">
        <v>501</v>
      </c>
      <c r="F154" s="101" t="s">
        <v>12</v>
      </c>
      <c r="G154" s="101" t="s">
        <v>12</v>
      </c>
      <c r="H154" s="101" t="s">
        <v>12</v>
      </c>
    </row>
    <row r="155" spans="1:8" x14ac:dyDescent="0.25">
      <c r="A155" s="4" t="s">
        <v>149</v>
      </c>
      <c r="B155" s="7">
        <v>7175500</v>
      </c>
      <c r="C155" s="7">
        <v>7011500</v>
      </c>
      <c r="D155" s="7">
        <v>7177200</v>
      </c>
      <c r="E155" s="98" t="s">
        <v>502</v>
      </c>
      <c r="F155" s="54" t="s">
        <v>12</v>
      </c>
      <c r="G155" s="54" t="s">
        <v>12</v>
      </c>
      <c r="H155" s="54" t="s">
        <v>12</v>
      </c>
    </row>
    <row r="156" spans="1:8" x14ac:dyDescent="0.25">
      <c r="A156" s="2" t="s">
        <v>150</v>
      </c>
      <c r="B156" s="8">
        <v>6610200</v>
      </c>
      <c r="C156" s="8">
        <v>6189900</v>
      </c>
      <c r="D156" s="8">
        <v>4871400</v>
      </c>
      <c r="E156" s="100" t="s">
        <v>423</v>
      </c>
      <c r="F156" s="102">
        <v>-2715100</v>
      </c>
      <c r="G156" s="102">
        <v>-1835500</v>
      </c>
      <c r="H156" s="102">
        <v>-1573300</v>
      </c>
    </row>
    <row r="157" spans="1:8" x14ac:dyDescent="0.25">
      <c r="A157" s="4" t="s">
        <v>151</v>
      </c>
      <c r="B157" s="5" t="s">
        <v>12</v>
      </c>
      <c r="C157" s="5" t="s">
        <v>12</v>
      </c>
      <c r="D157" s="5" t="s">
        <v>12</v>
      </c>
      <c r="E157" s="98" t="s">
        <v>424</v>
      </c>
      <c r="F157" s="99">
        <v>6800</v>
      </c>
      <c r="G157" s="99">
        <v>11600</v>
      </c>
      <c r="H157" s="54" t="s">
        <v>12</v>
      </c>
    </row>
    <row r="158" spans="1:8" x14ac:dyDescent="0.25">
      <c r="A158" s="2" t="s">
        <v>152</v>
      </c>
      <c r="B158" s="3" t="s">
        <v>12</v>
      </c>
      <c r="C158" s="3" t="s">
        <v>12</v>
      </c>
      <c r="D158" s="3" t="s">
        <v>12</v>
      </c>
      <c r="E158" s="100" t="s">
        <v>425</v>
      </c>
      <c r="F158" s="102">
        <v>-1231600</v>
      </c>
      <c r="G158" s="102">
        <v>-928400</v>
      </c>
      <c r="H158" s="102">
        <v>-739100</v>
      </c>
    </row>
    <row r="159" spans="1:8" x14ac:dyDescent="0.25">
      <c r="A159" s="4" t="s">
        <v>153</v>
      </c>
      <c r="B159" s="5" t="s">
        <v>12</v>
      </c>
      <c r="C159" s="5" t="s">
        <v>12</v>
      </c>
      <c r="D159" s="5" t="s">
        <v>12</v>
      </c>
      <c r="E159" s="98" t="s">
        <v>503</v>
      </c>
      <c r="F159" s="54" t="s">
        <v>12</v>
      </c>
      <c r="G159" s="54" t="s">
        <v>12</v>
      </c>
      <c r="H159" s="54" t="s">
        <v>12</v>
      </c>
    </row>
    <row r="160" spans="1:8" x14ac:dyDescent="0.25">
      <c r="A160" s="2" t="s">
        <v>154</v>
      </c>
      <c r="B160" s="8">
        <v>653200</v>
      </c>
      <c r="C160" s="8">
        <v>648200</v>
      </c>
      <c r="D160" s="8">
        <v>42600</v>
      </c>
      <c r="E160" s="100" t="s">
        <v>426</v>
      </c>
      <c r="F160" s="102">
        <v>-1341000</v>
      </c>
      <c r="G160" s="102">
        <v>-808500</v>
      </c>
      <c r="H160" s="102">
        <v>-729300</v>
      </c>
    </row>
    <row r="161" spans="1:8" x14ac:dyDescent="0.25">
      <c r="A161" s="4" t="s">
        <v>155</v>
      </c>
      <c r="B161" s="7">
        <v>18125100</v>
      </c>
      <c r="C161" s="7">
        <v>16821600</v>
      </c>
      <c r="D161" s="7">
        <v>15639200</v>
      </c>
      <c r="E161" s="98" t="s">
        <v>504</v>
      </c>
      <c r="F161" s="54" t="s">
        <v>12</v>
      </c>
      <c r="G161" s="54" t="s">
        <v>12</v>
      </c>
      <c r="H161" s="54" t="s">
        <v>12</v>
      </c>
    </row>
    <row r="162" spans="1:8" x14ac:dyDescent="0.25">
      <c r="A162" s="2" t="s">
        <v>156</v>
      </c>
      <c r="B162" s="8">
        <v>12256900</v>
      </c>
      <c r="C162" s="8">
        <v>11803000</v>
      </c>
      <c r="D162" s="8">
        <v>11723700</v>
      </c>
      <c r="E162" s="100" t="s">
        <v>505</v>
      </c>
      <c r="F162" s="101" t="s">
        <v>12</v>
      </c>
      <c r="G162" s="101" t="s">
        <v>12</v>
      </c>
      <c r="H162" s="101" t="s">
        <v>12</v>
      </c>
    </row>
    <row r="163" spans="1:8" x14ac:dyDescent="0.25">
      <c r="A163" s="4" t="s">
        <v>157</v>
      </c>
      <c r="B163" s="7">
        <v>9586200</v>
      </c>
      <c r="C163" s="7">
        <v>9581300</v>
      </c>
      <c r="D163" s="7">
        <v>9291400</v>
      </c>
      <c r="E163" s="98" t="s">
        <v>427</v>
      </c>
      <c r="F163" s="54" t="s">
        <v>12</v>
      </c>
      <c r="G163" s="99">
        <v>11600</v>
      </c>
      <c r="H163" s="54" t="s">
        <v>12</v>
      </c>
    </row>
    <row r="164" spans="1:8" x14ac:dyDescent="0.25">
      <c r="A164" s="2" t="s">
        <v>109</v>
      </c>
      <c r="B164" s="10">
        <v>0</v>
      </c>
      <c r="C164" s="8">
        <v>165200</v>
      </c>
      <c r="D164" s="10">
        <v>0</v>
      </c>
      <c r="E164" s="100" t="s">
        <v>428</v>
      </c>
      <c r="F164" s="101" t="s">
        <v>12</v>
      </c>
      <c r="G164" s="102">
        <v>-9200</v>
      </c>
      <c r="H164" s="101" t="s">
        <v>12</v>
      </c>
    </row>
    <row r="165" spans="1:8" x14ac:dyDescent="0.25">
      <c r="A165" s="4" t="s">
        <v>158</v>
      </c>
      <c r="B165" s="5" t="s">
        <v>12</v>
      </c>
      <c r="C165" s="5" t="s">
        <v>12</v>
      </c>
      <c r="D165" s="5" t="s">
        <v>12</v>
      </c>
      <c r="E165" s="98" t="s">
        <v>429</v>
      </c>
      <c r="F165" s="103">
        <v>700</v>
      </c>
      <c r="G165" s="99">
        <v>29300</v>
      </c>
      <c r="H165" s="99">
        <v>30500</v>
      </c>
    </row>
    <row r="166" spans="1:8" x14ac:dyDescent="0.25">
      <c r="A166" s="2" t="s">
        <v>159</v>
      </c>
      <c r="B166" s="3" t="s">
        <v>12</v>
      </c>
      <c r="C166" s="3" t="s">
        <v>12</v>
      </c>
      <c r="D166" s="3" t="s">
        <v>12</v>
      </c>
      <c r="E166" s="100" t="s">
        <v>430</v>
      </c>
      <c r="F166" s="102">
        <v>-21400</v>
      </c>
      <c r="G166" s="102">
        <v>-12400</v>
      </c>
      <c r="H166" s="102">
        <v>-31100</v>
      </c>
    </row>
    <row r="167" spans="1:8" x14ac:dyDescent="0.25">
      <c r="A167" s="4" t="s">
        <v>160</v>
      </c>
      <c r="B167" s="5" t="s">
        <v>12</v>
      </c>
      <c r="C167" s="5" t="s">
        <v>12</v>
      </c>
      <c r="D167" s="5" t="s">
        <v>12</v>
      </c>
      <c r="E167" s="98" t="s">
        <v>506</v>
      </c>
      <c r="F167" s="54" t="s">
        <v>12</v>
      </c>
      <c r="G167" s="54" t="s">
        <v>12</v>
      </c>
      <c r="H167" s="54" t="s">
        <v>12</v>
      </c>
    </row>
    <row r="168" spans="1:8" x14ac:dyDescent="0.25">
      <c r="A168" s="2" t="s">
        <v>161</v>
      </c>
      <c r="B168" s="10">
        <v>0</v>
      </c>
      <c r="C168" s="10">
        <v>0</v>
      </c>
      <c r="D168" s="10">
        <v>0</v>
      </c>
      <c r="E168" s="100" t="s">
        <v>431</v>
      </c>
      <c r="F168" s="102">
        <v>-128600</v>
      </c>
      <c r="G168" s="102">
        <v>-117900</v>
      </c>
      <c r="H168" s="102">
        <v>-104300</v>
      </c>
    </row>
    <row r="169" spans="1:8" x14ac:dyDescent="0.25">
      <c r="A169" s="4" t="s">
        <v>162</v>
      </c>
      <c r="B169" s="7">
        <v>1025300</v>
      </c>
      <c r="C169" s="7">
        <v>1160100</v>
      </c>
      <c r="D169" s="7">
        <v>883000</v>
      </c>
      <c r="E169" s="98" t="s">
        <v>507</v>
      </c>
      <c r="F169" s="54" t="s">
        <v>12</v>
      </c>
      <c r="G169" s="54" t="s">
        <v>12</v>
      </c>
      <c r="H169" s="54" t="s">
        <v>12</v>
      </c>
    </row>
    <row r="170" spans="1:8" x14ac:dyDescent="0.25">
      <c r="A170" s="2" t="s">
        <v>163</v>
      </c>
      <c r="B170" s="8">
        <v>3200</v>
      </c>
      <c r="C170" s="10">
        <v>0</v>
      </c>
      <c r="D170" s="8">
        <v>114200</v>
      </c>
      <c r="E170" s="100" t="s">
        <v>508</v>
      </c>
      <c r="F170" s="101" t="s">
        <v>12</v>
      </c>
      <c r="G170" s="101" t="s">
        <v>12</v>
      </c>
      <c r="H170" s="101" t="s">
        <v>12</v>
      </c>
    </row>
    <row r="171" spans="1:8" x14ac:dyDescent="0.25">
      <c r="A171" s="4" t="s">
        <v>161</v>
      </c>
      <c r="B171" s="7">
        <v>236900</v>
      </c>
      <c r="C171" s="7">
        <v>880600</v>
      </c>
      <c r="D171" s="7">
        <v>440800</v>
      </c>
      <c r="E171" s="98" t="s">
        <v>432</v>
      </c>
      <c r="F171" s="99">
        <v>-1184700</v>
      </c>
      <c r="G171" s="99">
        <v>-1074300</v>
      </c>
      <c r="H171" s="99">
        <v>-1527700</v>
      </c>
    </row>
    <row r="172" spans="1:8" x14ac:dyDescent="0.25">
      <c r="A172" s="2" t="s">
        <v>164</v>
      </c>
      <c r="B172" s="8">
        <v>5868200</v>
      </c>
      <c r="C172" s="8">
        <v>5018600</v>
      </c>
      <c r="D172" s="8">
        <v>3915500</v>
      </c>
      <c r="E172" s="100" t="s">
        <v>509</v>
      </c>
      <c r="F172" s="101" t="s">
        <v>12</v>
      </c>
      <c r="G172" s="101" t="s">
        <v>12</v>
      </c>
      <c r="H172" s="101" t="s">
        <v>12</v>
      </c>
    </row>
    <row r="173" spans="1:8" x14ac:dyDescent="0.25">
      <c r="A173" s="4" t="s">
        <v>165</v>
      </c>
      <c r="B173" s="5" t="s">
        <v>12</v>
      </c>
      <c r="C173" s="5" t="s">
        <v>12</v>
      </c>
      <c r="D173" s="5" t="s">
        <v>12</v>
      </c>
      <c r="E173" s="98" t="s">
        <v>510</v>
      </c>
      <c r="F173" s="54" t="s">
        <v>12</v>
      </c>
      <c r="G173" s="54" t="s">
        <v>12</v>
      </c>
      <c r="H173" s="54" t="s">
        <v>12</v>
      </c>
    </row>
    <row r="174" spans="1:8" x14ac:dyDescent="0.25">
      <c r="A174" s="2" t="s">
        <v>166</v>
      </c>
      <c r="B174" s="8">
        <v>2340800</v>
      </c>
      <c r="C174" s="8">
        <v>1661800</v>
      </c>
      <c r="D174" s="8">
        <v>1341900</v>
      </c>
      <c r="E174" s="100" t="s">
        <v>433</v>
      </c>
      <c r="F174" s="102">
        <v>893000</v>
      </c>
      <c r="G174" s="101" t="s">
        <v>12</v>
      </c>
      <c r="H174" s="102">
        <v>-58700</v>
      </c>
    </row>
    <row r="175" spans="1:8" x14ac:dyDescent="0.25">
      <c r="A175" s="4" t="s">
        <v>109</v>
      </c>
      <c r="B175" s="9">
        <v>0</v>
      </c>
      <c r="C175" s="7">
        <v>8800</v>
      </c>
      <c r="D175" s="7">
        <v>3600</v>
      </c>
      <c r="E175" s="98" t="s">
        <v>434</v>
      </c>
      <c r="F175" s="99">
        <v>-893000</v>
      </c>
      <c r="G175" s="54" t="s">
        <v>12</v>
      </c>
      <c r="H175" s="99">
        <v>-886700</v>
      </c>
    </row>
    <row r="176" spans="1:8" x14ac:dyDescent="0.25">
      <c r="A176" s="2" t="s">
        <v>167</v>
      </c>
      <c r="B176" s="3" t="s">
        <v>12</v>
      </c>
      <c r="C176" s="3" t="s">
        <v>12</v>
      </c>
      <c r="D176" s="3" t="s">
        <v>12</v>
      </c>
      <c r="E176" s="100" t="s">
        <v>435</v>
      </c>
      <c r="F176" s="102">
        <v>2010000</v>
      </c>
      <c r="G176" s="102">
        <v>635300</v>
      </c>
      <c r="H176" s="102">
        <v>1200000</v>
      </c>
    </row>
    <row r="177" spans="1:8" x14ac:dyDescent="0.25">
      <c r="A177" s="4" t="s">
        <v>168</v>
      </c>
      <c r="B177" s="7">
        <v>2420800</v>
      </c>
      <c r="C177" s="7">
        <v>2373600</v>
      </c>
      <c r="D177" s="7">
        <v>1723700</v>
      </c>
      <c r="E177" s="98" t="s">
        <v>436</v>
      </c>
      <c r="F177" s="99">
        <v>-1742500</v>
      </c>
      <c r="G177" s="99">
        <v>-1282200</v>
      </c>
      <c r="H177" s="99">
        <v>-1162500</v>
      </c>
    </row>
    <row r="178" spans="1:8" x14ac:dyDescent="0.25">
      <c r="A178" s="2" t="s">
        <v>169</v>
      </c>
      <c r="B178" s="8">
        <v>2420800</v>
      </c>
      <c r="C178" s="8">
        <v>2373600</v>
      </c>
      <c r="D178" s="8">
        <v>1723700</v>
      </c>
      <c r="E178" s="100" t="s">
        <v>437</v>
      </c>
      <c r="F178" s="102">
        <v>-594800</v>
      </c>
      <c r="G178" s="101" t="s">
        <v>12</v>
      </c>
      <c r="H178" s="102">
        <v>-204700</v>
      </c>
    </row>
    <row r="179" spans="1:8" x14ac:dyDescent="0.25">
      <c r="A179" s="4" t="s">
        <v>170</v>
      </c>
      <c r="B179" s="5" t="s">
        <v>12</v>
      </c>
      <c r="C179" s="5" t="s">
        <v>12</v>
      </c>
      <c r="D179" s="5" t="s">
        <v>12</v>
      </c>
      <c r="E179" s="98" t="s">
        <v>438</v>
      </c>
      <c r="F179" s="99">
        <v>-343700</v>
      </c>
      <c r="G179" s="54" t="s">
        <v>12</v>
      </c>
      <c r="H179" s="54" t="s">
        <v>12</v>
      </c>
    </row>
    <row r="180" spans="1:8" x14ac:dyDescent="0.25">
      <c r="A180" s="2" t="s">
        <v>171</v>
      </c>
      <c r="B180" s="10">
        <v>0</v>
      </c>
      <c r="C180" s="10">
        <v>0</v>
      </c>
      <c r="D180" s="10">
        <v>0</v>
      </c>
      <c r="E180" s="100" t="s">
        <v>511</v>
      </c>
      <c r="F180" s="101" t="s">
        <v>12</v>
      </c>
      <c r="G180" s="101" t="s">
        <v>12</v>
      </c>
      <c r="H180" s="101" t="s">
        <v>12</v>
      </c>
    </row>
    <row r="181" spans="1:8" x14ac:dyDescent="0.25">
      <c r="A181" s="4" t="s">
        <v>172</v>
      </c>
      <c r="B181" s="9">
        <v>0</v>
      </c>
      <c r="C181" s="9">
        <v>0</v>
      </c>
      <c r="D181" s="7">
        <v>618300</v>
      </c>
      <c r="E181" s="98" t="s">
        <v>439</v>
      </c>
      <c r="F181" s="99">
        <v>-513000</v>
      </c>
      <c r="G181" s="99">
        <v>-419000</v>
      </c>
      <c r="H181" s="99">
        <v>-409900</v>
      </c>
    </row>
    <row r="182" spans="1:8" x14ac:dyDescent="0.25">
      <c r="A182" s="2" t="s">
        <v>163</v>
      </c>
      <c r="B182" s="10">
        <v>0</v>
      </c>
      <c r="C182" s="10">
        <v>0</v>
      </c>
      <c r="D182" s="10">
        <v>0</v>
      </c>
      <c r="E182" s="100" t="s">
        <v>440</v>
      </c>
      <c r="F182" s="104">
        <v>-700</v>
      </c>
      <c r="G182" s="102">
        <v>-8400</v>
      </c>
      <c r="H182" s="102">
        <v>-5200</v>
      </c>
    </row>
    <row r="183" spans="1:8" x14ac:dyDescent="0.25">
      <c r="A183" s="4" t="s">
        <v>173</v>
      </c>
      <c r="B183" s="7">
        <v>830000</v>
      </c>
      <c r="C183" s="7">
        <v>823300</v>
      </c>
      <c r="D183" s="7">
        <v>114500</v>
      </c>
      <c r="E183" s="98" t="s">
        <v>512</v>
      </c>
      <c r="F183" s="54" t="s">
        <v>12</v>
      </c>
      <c r="G183" s="54" t="s">
        <v>12</v>
      </c>
      <c r="H183" s="54" t="s">
        <v>12</v>
      </c>
    </row>
    <row r="184" spans="1:8" x14ac:dyDescent="0.25">
      <c r="A184" s="2" t="s">
        <v>174</v>
      </c>
      <c r="B184" s="8">
        <v>276600</v>
      </c>
      <c r="C184" s="8">
        <v>151100</v>
      </c>
      <c r="D184" s="8">
        <v>61300</v>
      </c>
      <c r="E184" s="100" t="s">
        <v>441</v>
      </c>
      <c r="F184" s="102">
        <v>-426400</v>
      </c>
      <c r="G184" s="102">
        <v>5300</v>
      </c>
      <c r="H184" s="102">
        <v>-159600</v>
      </c>
    </row>
    <row r="185" spans="1:8" x14ac:dyDescent="0.25">
      <c r="A185" s="4" t="s">
        <v>175</v>
      </c>
      <c r="B185" s="9">
        <v>0</v>
      </c>
      <c r="C185" s="9">
        <v>0</v>
      </c>
      <c r="D185" s="9">
        <v>0</v>
      </c>
      <c r="E185" s="98" t="s">
        <v>442</v>
      </c>
      <c r="F185" s="103">
        <v>800</v>
      </c>
      <c r="G185" s="99">
        <v>1400</v>
      </c>
      <c r="H185" s="99">
        <v>-5100</v>
      </c>
    </row>
    <row r="186" spans="1:8" x14ac:dyDescent="0.25">
      <c r="E186" s="100" t="s">
        <v>513</v>
      </c>
      <c r="F186" s="101" t="s">
        <v>12</v>
      </c>
      <c r="G186" s="101" t="s">
        <v>12</v>
      </c>
      <c r="H186" s="101" t="s">
        <v>12</v>
      </c>
    </row>
    <row r="187" spans="1:8" x14ac:dyDescent="0.25">
      <c r="E187" s="98" t="s">
        <v>443</v>
      </c>
      <c r="F187" s="99">
        <v>1178700</v>
      </c>
      <c r="G187" s="99">
        <v>1172000</v>
      </c>
      <c r="H187" s="99">
        <v>1336700</v>
      </c>
    </row>
    <row r="188" spans="1:8" x14ac:dyDescent="0.25">
      <c r="A188" s="6" t="s">
        <v>176</v>
      </c>
      <c r="B188" s="6">
        <v>2019</v>
      </c>
      <c r="C188" s="6">
        <v>2018</v>
      </c>
      <c r="D188" s="6">
        <v>2017</v>
      </c>
      <c r="E188" s="100" t="s">
        <v>444</v>
      </c>
      <c r="F188" s="102">
        <v>753100</v>
      </c>
      <c r="G188" s="102">
        <v>1178700</v>
      </c>
      <c r="H188" s="102">
        <v>1172000</v>
      </c>
    </row>
    <row r="189" spans="1:8" x14ac:dyDescent="0.25">
      <c r="A189" s="4" t="s">
        <v>177</v>
      </c>
      <c r="B189" s="7">
        <v>3473400</v>
      </c>
      <c r="C189" s="7">
        <v>2915100</v>
      </c>
      <c r="D189" s="7">
        <v>2941400</v>
      </c>
      <c r="E189" s="67"/>
      <c r="F189" s="67"/>
      <c r="G189" s="67"/>
      <c r="H189" s="67"/>
    </row>
    <row r="190" spans="1:8" x14ac:dyDescent="0.25">
      <c r="A190" s="2" t="s">
        <v>178</v>
      </c>
      <c r="B190" s="8">
        <v>1114600</v>
      </c>
      <c r="C190" s="8">
        <v>816100</v>
      </c>
      <c r="D190" s="8">
        <v>945200</v>
      </c>
      <c r="E190" s="67"/>
      <c r="F190" s="67"/>
      <c r="G190" s="67"/>
      <c r="H190" s="67"/>
    </row>
    <row r="191" spans="1:8" x14ac:dyDescent="0.25">
      <c r="A191" s="4" t="s">
        <v>179</v>
      </c>
      <c r="B191" s="7">
        <v>2687300</v>
      </c>
      <c r="C191" s="7">
        <v>2442200</v>
      </c>
      <c r="D191" s="7">
        <v>1822600</v>
      </c>
      <c r="E191" s="98" t="s">
        <v>230</v>
      </c>
      <c r="F191" s="54" t="s">
        <v>12</v>
      </c>
      <c r="G191" s="54" t="s">
        <v>12</v>
      </c>
      <c r="H191" s="54" t="s">
        <v>12</v>
      </c>
    </row>
    <row r="192" spans="1:8" x14ac:dyDescent="0.25">
      <c r="A192" s="2" t="s">
        <v>180</v>
      </c>
      <c r="B192" s="8">
        <v>2229700</v>
      </c>
      <c r="C192" s="8">
        <v>2307700</v>
      </c>
      <c r="D192" s="8">
        <v>2011600</v>
      </c>
      <c r="E192" s="100" t="s">
        <v>6</v>
      </c>
      <c r="F192" s="101" t="s">
        <v>7</v>
      </c>
      <c r="G192" s="101" t="s">
        <v>7</v>
      </c>
      <c r="H192" s="101" t="s">
        <v>7</v>
      </c>
    </row>
    <row r="193" spans="1:8" x14ac:dyDescent="0.25">
      <c r="A193" s="4" t="s">
        <v>181</v>
      </c>
      <c r="B193" s="5" t="s">
        <v>12</v>
      </c>
      <c r="C193" s="5" t="s">
        <v>12</v>
      </c>
      <c r="D193" s="5" t="s">
        <v>12</v>
      </c>
      <c r="E193" s="98" t="s">
        <v>231</v>
      </c>
      <c r="F193" s="54" t="s">
        <v>232</v>
      </c>
      <c r="G193" s="54" t="s">
        <v>233</v>
      </c>
      <c r="H193" s="54" t="s">
        <v>234</v>
      </c>
    </row>
    <row r="194" spans="1:8" x14ac:dyDescent="0.25">
      <c r="A194" s="2" t="s">
        <v>182</v>
      </c>
      <c r="B194" s="3" t="s">
        <v>12</v>
      </c>
      <c r="C194" s="3" t="s">
        <v>12</v>
      </c>
      <c r="D194" s="3" t="s">
        <v>12</v>
      </c>
      <c r="E194" s="100" t="s">
        <v>8</v>
      </c>
      <c r="F194" s="101" t="s">
        <v>9</v>
      </c>
      <c r="G194" s="101" t="s">
        <v>10</v>
      </c>
      <c r="H194" s="101" t="s">
        <v>11</v>
      </c>
    </row>
    <row r="195" spans="1:8" x14ac:dyDescent="0.25">
      <c r="A195" s="4" t="s">
        <v>183</v>
      </c>
      <c r="B195" s="5" t="s">
        <v>12</v>
      </c>
      <c r="C195" s="5" t="s">
        <v>12</v>
      </c>
      <c r="D195" s="5" t="s">
        <v>12</v>
      </c>
      <c r="E195" s="98" t="s">
        <v>6</v>
      </c>
      <c r="F195" s="54" t="s">
        <v>12</v>
      </c>
      <c r="G195" s="54" t="s">
        <v>12</v>
      </c>
      <c r="H195" s="54" t="s">
        <v>12</v>
      </c>
    </row>
    <row r="196" spans="1:8" x14ac:dyDescent="0.25">
      <c r="A196" s="2" t="s">
        <v>184</v>
      </c>
      <c r="B196" s="3" t="s">
        <v>12</v>
      </c>
      <c r="C196" s="3" t="s">
        <v>12</v>
      </c>
      <c r="D196" s="3" t="s">
        <v>12</v>
      </c>
      <c r="E196" s="100" t="s">
        <v>235</v>
      </c>
      <c r="F196" s="101" t="s">
        <v>236</v>
      </c>
      <c r="G196" s="101" t="s">
        <v>236</v>
      </c>
      <c r="H196" s="101" t="s">
        <v>237</v>
      </c>
    </row>
    <row r="197" spans="1:8" x14ac:dyDescent="0.25">
      <c r="A197" s="4" t="s">
        <v>185</v>
      </c>
      <c r="B197" s="7">
        <v>437800</v>
      </c>
      <c r="C197" s="7">
        <v>427800</v>
      </c>
      <c r="D197" s="7">
        <v>463600</v>
      </c>
      <c r="E197" s="98" t="s">
        <v>238</v>
      </c>
      <c r="F197" s="54" t="s">
        <v>238</v>
      </c>
      <c r="G197" s="54" t="s">
        <v>238</v>
      </c>
      <c r="H197" s="54" t="s">
        <v>238</v>
      </c>
    </row>
    <row r="198" spans="1:8" x14ac:dyDescent="0.25">
      <c r="A198" s="2" t="s">
        <v>186</v>
      </c>
      <c r="B198" s="3" t="s">
        <v>12</v>
      </c>
      <c r="C198" s="3" t="s">
        <v>12</v>
      </c>
      <c r="D198" s="3" t="s">
        <v>12</v>
      </c>
      <c r="E198" s="100" t="s">
        <v>239</v>
      </c>
      <c r="F198" s="101" t="s">
        <v>240</v>
      </c>
      <c r="G198" s="101" t="s">
        <v>240</v>
      </c>
      <c r="H198" s="101" t="s">
        <v>241</v>
      </c>
    </row>
    <row r="199" spans="1:8" x14ac:dyDescent="0.25">
      <c r="A199" s="4" t="s">
        <v>187</v>
      </c>
      <c r="B199" s="5" t="s">
        <v>12</v>
      </c>
      <c r="C199" s="5" t="s">
        <v>12</v>
      </c>
      <c r="D199" s="5" t="s">
        <v>12</v>
      </c>
      <c r="E199" s="98" t="s">
        <v>242</v>
      </c>
      <c r="F199" s="54" t="s">
        <v>12</v>
      </c>
      <c r="G199" s="54" t="s">
        <v>12</v>
      </c>
      <c r="H199" s="54" t="s">
        <v>12</v>
      </c>
    </row>
    <row r="200" spans="1:8" x14ac:dyDescent="0.25">
      <c r="A200" s="2" t="s">
        <v>188</v>
      </c>
      <c r="B200" s="3" t="s">
        <v>12</v>
      </c>
      <c r="C200" s="3" t="s">
        <v>12</v>
      </c>
      <c r="D200" s="3" t="s">
        <v>12</v>
      </c>
      <c r="E200" s="100" t="s">
        <v>243</v>
      </c>
      <c r="F200" s="101" t="s">
        <v>12</v>
      </c>
      <c r="G200" s="101" t="s">
        <v>12</v>
      </c>
      <c r="H200" s="101" t="s">
        <v>12</v>
      </c>
    </row>
    <row r="201" spans="1:8" x14ac:dyDescent="0.25">
      <c r="A201" s="4" t="s">
        <v>189</v>
      </c>
      <c r="B201" s="7">
        <v>293800</v>
      </c>
      <c r="C201" s="7">
        <v>-39400</v>
      </c>
      <c r="D201" s="7">
        <v>-226300</v>
      </c>
      <c r="E201" s="67"/>
      <c r="F201" s="67"/>
      <c r="G201" s="67"/>
      <c r="H201" s="67"/>
    </row>
    <row r="202" spans="1:8" x14ac:dyDescent="0.25">
      <c r="A202" s="2" t="s">
        <v>190</v>
      </c>
      <c r="B202" s="8">
        <v>89100</v>
      </c>
      <c r="C202" s="8">
        <v>-77200</v>
      </c>
      <c r="D202" s="8">
        <v>-5000</v>
      </c>
      <c r="E202" s="67"/>
      <c r="F202" s="67"/>
      <c r="G202" s="67"/>
      <c r="H202" s="67"/>
    </row>
    <row r="203" spans="1:8" x14ac:dyDescent="0.25">
      <c r="A203" s="4" t="s">
        <v>191</v>
      </c>
      <c r="B203" s="5" t="s">
        <v>12</v>
      </c>
      <c r="C203" s="5" t="s">
        <v>12</v>
      </c>
      <c r="D203" s="5" t="s">
        <v>12</v>
      </c>
      <c r="E203" s="67" t="s">
        <v>244</v>
      </c>
      <c r="F203" s="67"/>
      <c r="G203" s="67"/>
      <c r="H203" s="67"/>
    </row>
    <row r="204" spans="1:8" x14ac:dyDescent="0.25">
      <c r="A204" s="2" t="s">
        <v>192</v>
      </c>
      <c r="B204" s="8">
        <v>-311800</v>
      </c>
      <c r="C204" s="8">
        <v>-289100</v>
      </c>
      <c r="D204" s="8">
        <v>-470800</v>
      </c>
      <c r="E204" s="67" t="s">
        <v>245</v>
      </c>
      <c r="F204" s="67"/>
      <c r="G204" s="67"/>
      <c r="H204" s="67"/>
    </row>
    <row r="205" spans="1:8" x14ac:dyDescent="0.25">
      <c r="A205" s="4" t="s">
        <v>193</v>
      </c>
      <c r="B205" s="9">
        <v>0</v>
      </c>
      <c r="C205" s="9">
        <v>0</v>
      </c>
      <c r="D205" s="9">
        <v>0</v>
      </c>
    </row>
    <row r="206" spans="1:8" x14ac:dyDescent="0.25">
      <c r="A206" s="2" t="s">
        <v>194</v>
      </c>
      <c r="B206" s="8">
        <v>7900</v>
      </c>
      <c r="C206" s="8">
        <v>-44200</v>
      </c>
      <c r="D206" s="8">
        <v>183100</v>
      </c>
    </row>
    <row r="207" spans="1:8" x14ac:dyDescent="0.25">
      <c r="A207" s="4" t="s">
        <v>195</v>
      </c>
      <c r="B207" s="5" t="s">
        <v>12</v>
      </c>
      <c r="C207" s="5" t="s">
        <v>12</v>
      </c>
      <c r="D207" s="5" t="s">
        <v>12</v>
      </c>
    </row>
    <row r="208" spans="1:8" x14ac:dyDescent="0.25">
      <c r="A208" s="2" t="s">
        <v>196</v>
      </c>
      <c r="B208" s="3" t="s">
        <v>12</v>
      </c>
      <c r="C208" s="3" t="s">
        <v>12</v>
      </c>
      <c r="D208" s="3" t="s">
        <v>12</v>
      </c>
    </row>
    <row r="209" spans="1:4" x14ac:dyDescent="0.25">
      <c r="A209" s="4" t="s">
        <v>197</v>
      </c>
      <c r="B209" s="7">
        <v>9700</v>
      </c>
      <c r="C209" s="7">
        <v>155400</v>
      </c>
      <c r="D209" s="7">
        <v>-133600</v>
      </c>
    </row>
    <row r="210" spans="1:4" x14ac:dyDescent="0.25">
      <c r="A210" s="2" t="s">
        <v>198</v>
      </c>
      <c r="B210" s="8">
        <v>-328500</v>
      </c>
      <c r="C210" s="8">
        <v>-343200</v>
      </c>
      <c r="D210" s="8">
        <v>173600</v>
      </c>
    </row>
    <row r="211" spans="1:4" x14ac:dyDescent="0.25">
      <c r="A211" s="4" t="s">
        <v>199</v>
      </c>
      <c r="B211" s="9">
        <v>0</v>
      </c>
      <c r="C211" s="9">
        <v>0</v>
      </c>
      <c r="D211" s="9">
        <v>0</v>
      </c>
    </row>
    <row r="212" spans="1:4" x14ac:dyDescent="0.25">
      <c r="A212" s="2" t="s">
        <v>200</v>
      </c>
      <c r="B212" s="8">
        <v>-2715100</v>
      </c>
      <c r="C212" s="8">
        <v>-1835500</v>
      </c>
      <c r="D212" s="8">
        <v>-1573300</v>
      </c>
    </row>
    <row r="213" spans="1:4" x14ac:dyDescent="0.25">
      <c r="A213" s="4" t="s">
        <v>201</v>
      </c>
      <c r="B213" s="7">
        <v>6800</v>
      </c>
      <c r="C213" s="7">
        <v>11600</v>
      </c>
      <c r="D213" s="9">
        <v>0</v>
      </c>
    </row>
    <row r="214" spans="1:4" x14ac:dyDescent="0.25">
      <c r="A214" s="2" t="s">
        <v>202</v>
      </c>
      <c r="B214" s="8">
        <v>-1231600</v>
      </c>
      <c r="C214" s="8">
        <v>-928400</v>
      </c>
      <c r="D214" s="8">
        <v>-739100</v>
      </c>
    </row>
    <row r="215" spans="1:4" x14ac:dyDescent="0.25">
      <c r="A215" s="4" t="s">
        <v>203</v>
      </c>
      <c r="B215" s="5" t="s">
        <v>12</v>
      </c>
      <c r="C215" s="5" t="s">
        <v>12</v>
      </c>
      <c r="D215" s="5" t="s">
        <v>12</v>
      </c>
    </row>
    <row r="216" spans="1:4" x14ac:dyDescent="0.25">
      <c r="A216" s="2" t="s">
        <v>204</v>
      </c>
      <c r="B216" s="10">
        <v>0</v>
      </c>
      <c r="C216" s="10">
        <v>0</v>
      </c>
      <c r="D216" s="10">
        <v>0</v>
      </c>
    </row>
    <row r="217" spans="1:4" x14ac:dyDescent="0.25">
      <c r="A217" s="4" t="s">
        <v>205</v>
      </c>
      <c r="B217" s="9">
        <v>0</v>
      </c>
      <c r="C217" s="7">
        <v>-9200</v>
      </c>
      <c r="D217" s="9">
        <v>0</v>
      </c>
    </row>
    <row r="218" spans="1:4" x14ac:dyDescent="0.25">
      <c r="A218" s="2" t="s">
        <v>206</v>
      </c>
      <c r="B218" s="10">
        <v>0</v>
      </c>
      <c r="C218" s="8">
        <v>11600</v>
      </c>
      <c r="D218" s="10">
        <v>0</v>
      </c>
    </row>
    <row r="219" spans="1:4" x14ac:dyDescent="0.25">
      <c r="A219" s="4" t="s">
        <v>207</v>
      </c>
      <c r="B219" s="9">
        <v>0</v>
      </c>
      <c r="C219" s="9">
        <v>0</v>
      </c>
      <c r="D219" s="9">
        <v>0</v>
      </c>
    </row>
    <row r="220" spans="1:4" x14ac:dyDescent="0.25">
      <c r="A220" s="2" t="s">
        <v>208</v>
      </c>
      <c r="B220" s="8">
        <v>-1341000</v>
      </c>
      <c r="C220" s="8">
        <v>-808500</v>
      </c>
      <c r="D220" s="8">
        <v>-729300</v>
      </c>
    </row>
    <row r="221" spans="1:4" x14ac:dyDescent="0.25">
      <c r="A221" s="4" t="s">
        <v>209</v>
      </c>
      <c r="B221" s="5" t="s">
        <v>12</v>
      </c>
      <c r="C221" s="5" t="s">
        <v>12</v>
      </c>
      <c r="D221" s="5" t="s">
        <v>12</v>
      </c>
    </row>
    <row r="222" spans="1:4" x14ac:dyDescent="0.25">
      <c r="A222" s="2" t="s">
        <v>210</v>
      </c>
      <c r="B222" s="3" t="s">
        <v>12</v>
      </c>
      <c r="C222" s="3" t="s">
        <v>12</v>
      </c>
      <c r="D222" s="3" t="s">
        <v>12</v>
      </c>
    </row>
    <row r="223" spans="1:4" x14ac:dyDescent="0.25">
      <c r="A223" s="4" t="s">
        <v>211</v>
      </c>
      <c r="B223" s="7">
        <v>-149300</v>
      </c>
      <c r="C223" s="7">
        <v>-101000</v>
      </c>
      <c r="D223" s="7">
        <v>-104900</v>
      </c>
    </row>
    <row r="224" spans="1:4" x14ac:dyDescent="0.25">
      <c r="A224" s="2" t="s">
        <v>212</v>
      </c>
      <c r="B224" s="8">
        <v>-1184700</v>
      </c>
      <c r="C224" s="8">
        <v>-1074300</v>
      </c>
      <c r="D224" s="8">
        <v>-1527700</v>
      </c>
    </row>
    <row r="225" spans="1:4" x14ac:dyDescent="0.25">
      <c r="A225" s="4" t="s">
        <v>213</v>
      </c>
      <c r="B225" s="9">
        <v>0</v>
      </c>
      <c r="C225" s="9">
        <v>0</v>
      </c>
      <c r="D225" s="9">
        <v>0</v>
      </c>
    </row>
    <row r="226" spans="1:4" x14ac:dyDescent="0.25">
      <c r="A226" s="2" t="s">
        <v>214</v>
      </c>
      <c r="B226" s="3" t="s">
        <v>12</v>
      </c>
      <c r="C226" s="3" t="s">
        <v>12</v>
      </c>
      <c r="D226" s="3" t="s">
        <v>12</v>
      </c>
    </row>
    <row r="227" spans="1:4" x14ac:dyDescent="0.25">
      <c r="A227" s="4" t="s">
        <v>215</v>
      </c>
      <c r="B227" s="9">
        <v>0</v>
      </c>
      <c r="C227" s="9">
        <v>0</v>
      </c>
      <c r="D227" s="9">
        <v>0</v>
      </c>
    </row>
    <row r="228" spans="1:4" x14ac:dyDescent="0.25">
      <c r="A228" s="2" t="s">
        <v>216</v>
      </c>
      <c r="B228" s="3" t="s">
        <v>12</v>
      </c>
      <c r="C228" s="3" t="s">
        <v>12</v>
      </c>
      <c r="D228" s="3" t="s">
        <v>12</v>
      </c>
    </row>
    <row r="229" spans="1:4" x14ac:dyDescent="0.25">
      <c r="A229" s="4" t="s">
        <v>217</v>
      </c>
      <c r="B229" s="7">
        <v>2010000</v>
      </c>
      <c r="C229" s="7">
        <v>635300</v>
      </c>
      <c r="D229" s="7">
        <v>1200000</v>
      </c>
    </row>
    <row r="230" spans="1:4" x14ac:dyDescent="0.25">
      <c r="A230" s="2" t="s">
        <v>218</v>
      </c>
      <c r="B230" s="8">
        <v>-1742500</v>
      </c>
      <c r="C230" s="8">
        <v>-1282200</v>
      </c>
      <c r="D230" s="8">
        <v>-1162500</v>
      </c>
    </row>
    <row r="231" spans="1:4" x14ac:dyDescent="0.25">
      <c r="A231" s="4" t="s">
        <v>219</v>
      </c>
      <c r="B231" s="5" t="s">
        <v>12</v>
      </c>
      <c r="C231" s="5" t="s">
        <v>12</v>
      </c>
      <c r="D231" s="5" t="s">
        <v>12</v>
      </c>
    </row>
    <row r="232" spans="1:4" x14ac:dyDescent="0.25">
      <c r="A232" s="2" t="s">
        <v>220</v>
      </c>
      <c r="B232" s="8">
        <v>-343700</v>
      </c>
      <c r="C232" s="10">
        <v>0</v>
      </c>
      <c r="D232" s="10">
        <v>0</v>
      </c>
    </row>
    <row r="233" spans="1:4" x14ac:dyDescent="0.25">
      <c r="A233" s="4" t="s">
        <v>221</v>
      </c>
      <c r="B233" s="5" t="s">
        <v>12</v>
      </c>
      <c r="C233" s="5" t="s">
        <v>12</v>
      </c>
      <c r="D233" s="5" t="s">
        <v>12</v>
      </c>
    </row>
    <row r="234" spans="1:4" x14ac:dyDescent="0.25">
      <c r="A234" s="2" t="s">
        <v>222</v>
      </c>
      <c r="B234" s="8">
        <v>-594800</v>
      </c>
      <c r="C234" s="10">
        <v>0</v>
      </c>
      <c r="D234" s="8">
        <v>-204700</v>
      </c>
    </row>
    <row r="235" spans="1:4" x14ac:dyDescent="0.25">
      <c r="A235" s="4" t="s">
        <v>223</v>
      </c>
      <c r="B235" s="7">
        <v>-513700</v>
      </c>
      <c r="C235" s="7">
        <v>-427400</v>
      </c>
      <c r="D235" s="7">
        <v>-1360500</v>
      </c>
    </row>
    <row r="236" spans="1:4" x14ac:dyDescent="0.25">
      <c r="A236" s="2" t="s">
        <v>224</v>
      </c>
      <c r="B236" s="8">
        <v>-426400</v>
      </c>
      <c r="C236" s="8">
        <v>5300</v>
      </c>
      <c r="D236" s="8">
        <v>-159600</v>
      </c>
    </row>
    <row r="237" spans="1:4" x14ac:dyDescent="0.25">
      <c r="A237" s="4" t="s">
        <v>225</v>
      </c>
      <c r="B237" s="7">
        <v>1178700</v>
      </c>
      <c r="C237" s="7">
        <v>1172000</v>
      </c>
      <c r="D237" s="7">
        <v>1336700</v>
      </c>
    </row>
    <row r="238" spans="1:4" x14ac:dyDescent="0.25">
      <c r="A238" s="2" t="s">
        <v>226</v>
      </c>
      <c r="B238" s="10">
        <v>800</v>
      </c>
      <c r="C238" s="8">
        <v>1400</v>
      </c>
      <c r="D238" s="8">
        <v>-5100</v>
      </c>
    </row>
    <row r="239" spans="1:4" x14ac:dyDescent="0.25">
      <c r="A239" s="4" t="s">
        <v>227</v>
      </c>
      <c r="B239" s="7">
        <v>753100</v>
      </c>
      <c r="C239" s="7">
        <v>1178700</v>
      </c>
      <c r="D239" s="7">
        <v>1172000</v>
      </c>
    </row>
    <row r="240" spans="1:4" x14ac:dyDescent="0.25">
      <c r="A240" s="2" t="s">
        <v>228</v>
      </c>
      <c r="B240" s="8">
        <v>2241800</v>
      </c>
      <c r="C240" s="8">
        <v>1986700</v>
      </c>
      <c r="D240" s="8">
        <v>2202300</v>
      </c>
    </row>
    <row r="241" spans="1:4" x14ac:dyDescent="0.25">
      <c r="A241" s="4" t="s">
        <v>229</v>
      </c>
      <c r="B241" s="7">
        <v>1231600</v>
      </c>
      <c r="C241" s="7">
        <v>928400</v>
      </c>
      <c r="D241" s="7">
        <v>739100</v>
      </c>
    </row>
    <row r="244" spans="1:4" x14ac:dyDescent="0.25">
      <c r="A244" s="2" t="s">
        <v>230</v>
      </c>
      <c r="B244" s="3" t="s">
        <v>12</v>
      </c>
      <c r="C244" s="3" t="s">
        <v>12</v>
      </c>
      <c r="D244" s="3" t="s">
        <v>12</v>
      </c>
    </row>
    <row r="245" spans="1:4" x14ac:dyDescent="0.25">
      <c r="A245" s="4" t="s">
        <v>6</v>
      </c>
      <c r="B245" s="5" t="s">
        <v>7</v>
      </c>
      <c r="C245" s="5" t="s">
        <v>7</v>
      </c>
      <c r="D245" s="5" t="s">
        <v>7</v>
      </c>
    </row>
    <row r="246" spans="1:4" x14ac:dyDescent="0.25">
      <c r="A246" s="2" t="s">
        <v>231</v>
      </c>
      <c r="B246" s="3" t="s">
        <v>232</v>
      </c>
      <c r="C246" s="3" t="s">
        <v>233</v>
      </c>
      <c r="D246" s="3" t="s">
        <v>234</v>
      </c>
    </row>
    <row r="247" spans="1:4" x14ac:dyDescent="0.25">
      <c r="A247" s="4" t="s">
        <v>8</v>
      </c>
      <c r="B247" s="5" t="s">
        <v>9</v>
      </c>
      <c r="C247" s="5" t="s">
        <v>10</v>
      </c>
      <c r="D247" s="5" t="s">
        <v>11</v>
      </c>
    </row>
    <row r="248" spans="1:4" x14ac:dyDescent="0.25">
      <c r="A248" s="2" t="s">
        <v>6</v>
      </c>
      <c r="B248" s="3" t="s">
        <v>12</v>
      </c>
      <c r="C248" s="3" t="s">
        <v>12</v>
      </c>
      <c r="D248" s="3" t="s">
        <v>12</v>
      </c>
    </row>
    <row r="249" spans="1:4" x14ac:dyDescent="0.25">
      <c r="A249" s="4" t="s">
        <v>235</v>
      </c>
      <c r="B249" s="5" t="s">
        <v>236</v>
      </c>
      <c r="C249" s="5" t="s">
        <v>236</v>
      </c>
      <c r="D249" s="5" t="s">
        <v>237</v>
      </c>
    </row>
    <row r="250" spans="1:4" x14ac:dyDescent="0.25">
      <c r="A250" s="2" t="s">
        <v>238</v>
      </c>
      <c r="B250" s="3" t="s">
        <v>238</v>
      </c>
      <c r="C250" s="3" t="s">
        <v>238</v>
      </c>
      <c r="D250" s="3" t="s">
        <v>238</v>
      </c>
    </row>
    <row r="251" spans="1:4" x14ac:dyDescent="0.25">
      <c r="A251" s="4" t="s">
        <v>239</v>
      </c>
      <c r="B251" s="5" t="s">
        <v>240</v>
      </c>
      <c r="C251" s="5" t="s">
        <v>240</v>
      </c>
      <c r="D251" s="5" t="s">
        <v>241</v>
      </c>
    </row>
    <row r="252" spans="1:4" x14ac:dyDescent="0.25">
      <c r="A252" s="2" t="s">
        <v>242</v>
      </c>
      <c r="B252" s="3" t="s">
        <v>12</v>
      </c>
      <c r="C252" s="3" t="s">
        <v>12</v>
      </c>
      <c r="D252" s="3" t="s">
        <v>12</v>
      </c>
    </row>
    <row r="253" spans="1:4" x14ac:dyDescent="0.25">
      <c r="A253" s="4" t="s">
        <v>243</v>
      </c>
      <c r="B253" s="5" t="s">
        <v>12</v>
      </c>
      <c r="C253" s="5" t="s">
        <v>12</v>
      </c>
      <c r="D253" s="5" t="s">
        <v>12</v>
      </c>
    </row>
    <row r="256" spans="1:4" x14ac:dyDescent="0.25">
      <c r="A256" t="s">
        <v>244</v>
      </c>
    </row>
    <row r="257" spans="1:1" x14ac:dyDescent="0.25">
      <c r="A257" t="s">
        <v>245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5:D5"/>
    <mergeCell ref="E5:K5"/>
    <mergeCell ref="H1:K1"/>
    <mergeCell ref="H2:K2"/>
    <mergeCell ref="H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5368-1849-4377-A2E2-8A8B0FD310CA}">
  <dimension ref="A1:K493"/>
  <sheetViews>
    <sheetView topLeftCell="A19" workbookViewId="0">
      <selection activeCell="B33" sqref="B33"/>
    </sheetView>
  </sheetViews>
  <sheetFormatPr defaultRowHeight="15" x14ac:dyDescent="0.25"/>
  <cols>
    <col min="1" max="1" width="50" customWidth="1"/>
    <col min="2" max="4" width="20" customWidth="1"/>
    <col min="5" max="5" width="105.140625" bestFit="1" customWidth="1"/>
    <col min="6" max="8" width="26.85546875" bestFit="1" customWidth="1"/>
  </cols>
  <sheetData>
    <row r="1" spans="1:11" x14ac:dyDescent="0.25">
      <c r="A1" s="179"/>
      <c r="B1" s="179" t="s">
        <v>0</v>
      </c>
      <c r="C1" s="179"/>
      <c r="D1" s="11"/>
      <c r="E1" s="21"/>
      <c r="F1" s="21"/>
      <c r="G1" s="21"/>
      <c r="H1" s="21" t="s">
        <v>0</v>
      </c>
      <c r="I1" s="21"/>
      <c r="J1" s="21"/>
      <c r="K1" s="21"/>
    </row>
    <row r="2" spans="1:11" x14ac:dyDescent="0.25">
      <c r="A2" s="179"/>
      <c r="B2" s="179" t="s">
        <v>1</v>
      </c>
      <c r="C2" s="179"/>
      <c r="E2" s="21"/>
      <c r="F2" s="21"/>
      <c r="G2" s="21"/>
      <c r="H2" s="21" t="s">
        <v>1</v>
      </c>
      <c r="I2" s="21"/>
      <c r="J2" s="21"/>
      <c r="K2" s="21"/>
    </row>
    <row r="3" spans="1:11" x14ac:dyDescent="0.25">
      <c r="A3" s="179"/>
      <c r="B3" s="179" t="s">
        <v>2</v>
      </c>
      <c r="C3" s="179"/>
      <c r="E3" s="21"/>
      <c r="F3" s="21"/>
      <c r="G3" s="21"/>
      <c r="H3" s="21" t="s">
        <v>2</v>
      </c>
      <c r="I3" s="21"/>
      <c r="J3" s="21"/>
      <c r="K3" s="21"/>
    </row>
    <row r="4" spans="1:11" x14ac:dyDescent="0.25">
      <c r="A4" s="179"/>
      <c r="B4" s="179" t="s">
        <v>3</v>
      </c>
      <c r="C4" s="179"/>
      <c r="E4" s="21"/>
      <c r="F4" s="21"/>
      <c r="G4" s="21"/>
      <c r="H4" s="21" t="s">
        <v>3</v>
      </c>
      <c r="I4" s="21"/>
      <c r="J4" s="21"/>
      <c r="K4" s="21"/>
    </row>
    <row r="5" spans="1:11" x14ac:dyDescent="0.25">
      <c r="A5" s="53" t="s">
        <v>446</v>
      </c>
      <c r="B5" s="178" t="s">
        <v>248</v>
      </c>
      <c r="C5" s="178"/>
      <c r="D5" s="178"/>
      <c r="E5" s="53" t="s">
        <v>445</v>
      </c>
      <c r="F5" s="177" t="s">
        <v>248</v>
      </c>
      <c r="G5" s="177"/>
      <c r="H5" s="177"/>
    </row>
    <row r="6" spans="1:11" x14ac:dyDescent="0.25">
      <c r="A6" s="11" t="s">
        <v>5</v>
      </c>
      <c r="B6" s="11"/>
      <c r="C6" s="11"/>
      <c r="D6" s="11"/>
      <c r="E6" s="67" t="s">
        <v>5</v>
      </c>
      <c r="F6" s="67"/>
      <c r="G6" s="67"/>
      <c r="H6" s="67"/>
      <c r="I6" s="67"/>
      <c r="J6" s="67"/>
      <c r="K6" s="67"/>
    </row>
    <row r="7" spans="1:11" x14ac:dyDescent="0.25">
      <c r="A7" s="11"/>
      <c r="B7" s="11"/>
      <c r="C7" s="11"/>
      <c r="D7" s="11"/>
      <c r="E7" s="67"/>
      <c r="F7" s="67"/>
      <c r="G7" s="67"/>
      <c r="H7" s="67"/>
      <c r="I7" s="67"/>
      <c r="J7" s="67"/>
      <c r="K7" s="67"/>
    </row>
    <row r="8" spans="1:11" x14ac:dyDescent="0.25">
      <c r="A8" s="12" t="s">
        <v>6</v>
      </c>
      <c r="B8" s="13" t="s">
        <v>249</v>
      </c>
      <c r="C8" s="13" t="s">
        <v>249</v>
      </c>
      <c r="D8" s="13" t="s">
        <v>249</v>
      </c>
      <c r="E8" s="100" t="s">
        <v>6</v>
      </c>
      <c r="F8" s="101" t="s">
        <v>249</v>
      </c>
      <c r="G8" s="101" t="s">
        <v>249</v>
      </c>
      <c r="H8" s="101" t="s">
        <v>249</v>
      </c>
      <c r="I8" s="67"/>
      <c r="J8" s="67"/>
      <c r="K8" s="67"/>
    </row>
    <row r="9" spans="1:11" x14ac:dyDescent="0.25">
      <c r="A9" s="14" t="s">
        <v>8</v>
      </c>
      <c r="B9" s="15" t="s">
        <v>9</v>
      </c>
      <c r="C9" s="15" t="s">
        <v>250</v>
      </c>
      <c r="D9" s="15" t="s">
        <v>11</v>
      </c>
      <c r="E9" s="98" t="s">
        <v>8</v>
      </c>
      <c r="F9" s="54" t="s">
        <v>9</v>
      </c>
      <c r="G9" s="54" t="s">
        <v>250</v>
      </c>
      <c r="H9" s="54" t="s">
        <v>11</v>
      </c>
      <c r="I9" s="67"/>
      <c r="J9" s="67"/>
      <c r="K9" s="67"/>
    </row>
    <row r="10" spans="1:11" x14ac:dyDescent="0.25">
      <c r="A10" s="12" t="s">
        <v>6</v>
      </c>
      <c r="B10" s="13" t="s">
        <v>12</v>
      </c>
      <c r="C10" s="13" t="s">
        <v>12</v>
      </c>
      <c r="D10" s="13" t="s">
        <v>12</v>
      </c>
      <c r="E10" s="100" t="s">
        <v>6</v>
      </c>
      <c r="F10" s="101" t="s">
        <v>12</v>
      </c>
      <c r="G10" s="101" t="s">
        <v>12</v>
      </c>
      <c r="H10" s="101" t="s">
        <v>12</v>
      </c>
      <c r="I10" s="67"/>
      <c r="J10" s="67"/>
      <c r="K10" s="67"/>
    </row>
    <row r="11" spans="1:11" x14ac:dyDescent="0.25">
      <c r="A11" s="14" t="s">
        <v>13</v>
      </c>
      <c r="B11" s="15" t="s">
        <v>14</v>
      </c>
      <c r="C11" s="15" t="s">
        <v>14</v>
      </c>
      <c r="D11" s="15" t="s">
        <v>14</v>
      </c>
      <c r="E11" s="98" t="s">
        <v>13</v>
      </c>
      <c r="F11" s="54" t="s">
        <v>14</v>
      </c>
      <c r="G11" s="54" t="s">
        <v>14</v>
      </c>
      <c r="H11" s="54" t="s">
        <v>14</v>
      </c>
      <c r="I11" s="67"/>
      <c r="J11" s="67"/>
      <c r="K11" s="67"/>
    </row>
    <row r="12" spans="1:11" x14ac:dyDescent="0.25">
      <c r="A12" s="16" t="s">
        <v>15</v>
      </c>
      <c r="B12" s="16">
        <v>2019</v>
      </c>
      <c r="C12" s="16">
        <v>2018</v>
      </c>
      <c r="D12" s="16">
        <v>2017</v>
      </c>
      <c r="E12" s="97" t="s">
        <v>15</v>
      </c>
      <c r="F12" s="97">
        <v>2019</v>
      </c>
      <c r="G12" s="97">
        <v>2018</v>
      </c>
      <c r="H12" s="97">
        <v>2017</v>
      </c>
      <c r="I12" s="67"/>
      <c r="J12" s="67"/>
      <c r="K12" s="67"/>
    </row>
    <row r="13" spans="1:11" x14ac:dyDescent="0.25">
      <c r="A13" s="14" t="s">
        <v>16</v>
      </c>
      <c r="B13" s="18">
        <v>2748744.37</v>
      </c>
      <c r="C13" s="18">
        <v>2241526.2799999998</v>
      </c>
      <c r="D13" s="18">
        <v>1804414.62</v>
      </c>
      <c r="E13" s="98" t="s">
        <v>514</v>
      </c>
      <c r="F13" s="99">
        <v>2707328.91</v>
      </c>
      <c r="G13" s="99">
        <v>2205047.9700000002</v>
      </c>
      <c r="H13" s="99">
        <v>1777328.03</v>
      </c>
      <c r="I13" s="67"/>
      <c r="J13" s="67"/>
      <c r="K13" s="67"/>
    </row>
    <row r="14" spans="1:11" x14ac:dyDescent="0.25">
      <c r="A14" s="12" t="s">
        <v>17</v>
      </c>
      <c r="B14" s="17">
        <v>2707328.91</v>
      </c>
      <c r="C14" s="17">
        <v>2205047.9700000002</v>
      </c>
      <c r="D14" s="17">
        <v>1777328.03</v>
      </c>
      <c r="E14" s="100" t="s">
        <v>515</v>
      </c>
      <c r="F14" s="104">
        <v>0</v>
      </c>
      <c r="G14" s="104">
        <v>0</v>
      </c>
      <c r="H14" s="104">
        <v>0</v>
      </c>
      <c r="I14" s="67"/>
      <c r="J14" s="67"/>
      <c r="K14" s="67"/>
    </row>
    <row r="15" spans="1:11" x14ac:dyDescent="0.25">
      <c r="A15" s="14" t="s">
        <v>18</v>
      </c>
      <c r="B15" s="15" t="s">
        <v>12</v>
      </c>
      <c r="C15" s="64" t="s">
        <v>12</v>
      </c>
      <c r="D15" s="15" t="s">
        <v>12</v>
      </c>
      <c r="E15" s="98" t="s">
        <v>516</v>
      </c>
      <c r="F15" s="99">
        <v>2510019.81</v>
      </c>
      <c r="G15" s="99">
        <v>2095284.35</v>
      </c>
      <c r="H15" s="99">
        <v>1597092.26</v>
      </c>
      <c r="I15" s="67"/>
      <c r="J15" s="67"/>
      <c r="K15" s="67"/>
    </row>
    <row r="16" spans="1:11" x14ac:dyDescent="0.25">
      <c r="A16" s="12" t="s">
        <v>19</v>
      </c>
      <c r="B16" s="13" t="s">
        <v>12</v>
      </c>
      <c r="C16" s="13" t="s">
        <v>12</v>
      </c>
      <c r="D16" s="13" t="s">
        <v>12</v>
      </c>
      <c r="E16" s="100" t="s">
        <v>517</v>
      </c>
      <c r="F16" s="102">
        <v>76908.740000000005</v>
      </c>
      <c r="G16" s="102">
        <v>5530.95</v>
      </c>
      <c r="H16" s="102">
        <v>138292.97</v>
      </c>
      <c r="I16" s="67"/>
      <c r="J16" s="67"/>
      <c r="K16" s="67"/>
    </row>
    <row r="17" spans="1:11" x14ac:dyDescent="0.25">
      <c r="A17" s="14" t="s">
        <v>20</v>
      </c>
      <c r="B17" s="64">
        <v>0</v>
      </c>
      <c r="C17" s="64">
        <v>0</v>
      </c>
      <c r="D17" s="64">
        <v>0</v>
      </c>
      <c r="E17" s="98" t="s">
        <v>518</v>
      </c>
      <c r="F17" s="99">
        <v>120227.74</v>
      </c>
      <c r="G17" s="99">
        <v>104131.51</v>
      </c>
      <c r="H17" s="99">
        <v>41824.53</v>
      </c>
      <c r="I17" s="67"/>
      <c r="J17" s="67"/>
      <c r="K17" s="67"/>
    </row>
    <row r="18" spans="1:11" x14ac:dyDescent="0.25">
      <c r="A18" s="12" t="s">
        <v>21</v>
      </c>
      <c r="B18" s="56">
        <v>0</v>
      </c>
      <c r="C18" s="56">
        <v>0</v>
      </c>
      <c r="D18" s="56">
        <v>0</v>
      </c>
      <c r="E18" s="100" t="s">
        <v>519</v>
      </c>
      <c r="F18" s="104">
        <v>172.62</v>
      </c>
      <c r="G18" s="104">
        <v>101.15</v>
      </c>
      <c r="H18" s="104">
        <v>118.27</v>
      </c>
      <c r="I18" s="67"/>
      <c r="J18" s="67"/>
      <c r="K18" s="67"/>
    </row>
    <row r="19" spans="1:11" x14ac:dyDescent="0.25">
      <c r="A19" s="14" t="s">
        <v>22</v>
      </c>
      <c r="B19" s="64">
        <v>0</v>
      </c>
      <c r="C19" s="64">
        <v>0</v>
      </c>
      <c r="D19" s="64">
        <v>0</v>
      </c>
      <c r="E19" s="98" t="s">
        <v>520</v>
      </c>
      <c r="F19" s="99">
        <v>2441595.4700000002</v>
      </c>
      <c r="G19" s="99">
        <v>2070881.08</v>
      </c>
      <c r="H19" s="99">
        <v>1685829.41</v>
      </c>
      <c r="I19" s="67"/>
      <c r="J19" s="67"/>
      <c r="K19" s="67"/>
    </row>
    <row r="20" spans="1:11" x14ac:dyDescent="0.25">
      <c r="A20" s="12" t="s">
        <v>23</v>
      </c>
      <c r="B20" s="56">
        <v>0</v>
      </c>
      <c r="C20" s="56">
        <v>0</v>
      </c>
      <c r="D20" s="56">
        <v>0</v>
      </c>
      <c r="E20" s="100" t="s">
        <v>521</v>
      </c>
      <c r="F20" s="102">
        <v>209571.51</v>
      </c>
      <c r="G20" s="102">
        <v>189544.38</v>
      </c>
      <c r="H20" s="102">
        <v>170520.21</v>
      </c>
      <c r="I20" s="67"/>
      <c r="J20" s="67"/>
      <c r="K20" s="67"/>
    </row>
    <row r="21" spans="1:11" x14ac:dyDescent="0.25">
      <c r="A21" s="14" t="s">
        <v>24</v>
      </c>
      <c r="B21" s="64">
        <v>0</v>
      </c>
      <c r="C21" s="64">
        <v>0</v>
      </c>
      <c r="D21" s="64">
        <v>0</v>
      </c>
      <c r="E21" s="98" t="s">
        <v>522</v>
      </c>
      <c r="F21" s="99">
        <v>369305.05</v>
      </c>
      <c r="G21" s="99">
        <v>340164.56</v>
      </c>
      <c r="H21" s="99">
        <v>256908.31</v>
      </c>
      <c r="I21" s="67"/>
      <c r="J21" s="67"/>
      <c r="K21" s="67"/>
    </row>
    <row r="22" spans="1:11" x14ac:dyDescent="0.25">
      <c r="A22" s="12" t="s">
        <v>25</v>
      </c>
      <c r="B22" s="13" t="s">
        <v>12</v>
      </c>
      <c r="C22" s="13" t="s">
        <v>12</v>
      </c>
      <c r="D22" s="13" t="s">
        <v>12</v>
      </c>
      <c r="E22" s="100" t="s">
        <v>523</v>
      </c>
      <c r="F22" s="102">
        <v>670231.84</v>
      </c>
      <c r="G22" s="102">
        <v>531822.72</v>
      </c>
      <c r="H22" s="102">
        <v>441769.05</v>
      </c>
      <c r="I22" s="67"/>
      <c r="J22" s="67"/>
      <c r="K22" s="67"/>
    </row>
    <row r="23" spans="1:11" x14ac:dyDescent="0.25">
      <c r="A23" s="14" t="s">
        <v>26</v>
      </c>
      <c r="B23" s="18">
        <v>-369305.05</v>
      </c>
      <c r="C23" s="18">
        <v>-340164.56</v>
      </c>
      <c r="D23" s="18">
        <v>-256908.31</v>
      </c>
      <c r="E23" s="98" t="s">
        <v>524</v>
      </c>
      <c r="F23" s="99">
        <v>182636.69</v>
      </c>
      <c r="G23" s="99">
        <v>144510.54999999999</v>
      </c>
      <c r="H23" s="99">
        <v>95281.01</v>
      </c>
      <c r="I23" s="67"/>
      <c r="J23" s="67"/>
      <c r="K23" s="67"/>
    </row>
    <row r="24" spans="1:11" x14ac:dyDescent="0.25">
      <c r="A24" s="12" t="s">
        <v>27</v>
      </c>
      <c r="B24" s="17">
        <v>-590086.14</v>
      </c>
      <c r="C24" s="17">
        <v>-530426.69999999995</v>
      </c>
      <c r="D24" s="17">
        <v>-441544.2</v>
      </c>
      <c r="E24" s="100" t="s">
        <v>525</v>
      </c>
      <c r="F24" s="104">
        <v>0</v>
      </c>
      <c r="G24" s="104">
        <v>0</v>
      </c>
      <c r="H24" s="104">
        <v>0</v>
      </c>
      <c r="I24" s="67"/>
      <c r="J24" s="67"/>
      <c r="K24" s="67"/>
    </row>
    <row r="25" spans="1:11" x14ac:dyDescent="0.25">
      <c r="A25" s="14" t="s">
        <v>28</v>
      </c>
      <c r="B25" s="18">
        <v>-513267.15</v>
      </c>
      <c r="C25" s="18">
        <v>-464727.59</v>
      </c>
      <c r="D25" s="18">
        <v>-383056.07</v>
      </c>
      <c r="E25" s="98" t="s">
        <v>526</v>
      </c>
      <c r="F25" s="99">
        <v>513267.15</v>
      </c>
      <c r="G25" s="99">
        <v>464727.59</v>
      </c>
      <c r="H25" s="99">
        <v>383056.07</v>
      </c>
      <c r="I25" s="67"/>
      <c r="J25" s="67"/>
      <c r="K25" s="67"/>
    </row>
    <row r="26" spans="1:11" x14ac:dyDescent="0.25">
      <c r="A26" s="12" t="s">
        <v>29</v>
      </c>
      <c r="B26" s="17">
        <v>-76818.990000000005</v>
      </c>
      <c r="C26" s="17">
        <v>-65699.11</v>
      </c>
      <c r="D26" s="17">
        <v>-58488.13</v>
      </c>
      <c r="E26" s="100" t="s">
        <v>527</v>
      </c>
      <c r="F26" s="102">
        <v>76818.990000000005</v>
      </c>
      <c r="G26" s="102">
        <v>65699.11</v>
      </c>
      <c r="H26" s="102">
        <v>58488.13</v>
      </c>
      <c r="I26" s="67"/>
      <c r="J26" s="67"/>
      <c r="K26" s="67"/>
    </row>
    <row r="27" spans="1:11" x14ac:dyDescent="0.25">
      <c r="A27" s="14" t="s">
        <v>30</v>
      </c>
      <c r="B27" s="15" t="s">
        <v>12</v>
      </c>
      <c r="C27" s="15" t="s">
        <v>12</v>
      </c>
      <c r="D27" s="15" t="s">
        <v>12</v>
      </c>
      <c r="E27" s="98" t="s">
        <v>528</v>
      </c>
      <c r="F27" s="99">
        <v>31610.69</v>
      </c>
      <c r="G27" s="99">
        <v>26981.46</v>
      </c>
      <c r="H27" s="99">
        <v>23830.84</v>
      </c>
      <c r="I27" s="67"/>
      <c r="J27" s="67"/>
      <c r="K27" s="67"/>
    </row>
    <row r="28" spans="1:11" x14ac:dyDescent="0.25">
      <c r="A28" s="12" t="s">
        <v>31</v>
      </c>
      <c r="B28" s="13" t="s">
        <v>12</v>
      </c>
      <c r="C28" s="13" t="s">
        <v>12</v>
      </c>
      <c r="D28" s="13" t="s">
        <v>12</v>
      </c>
      <c r="E28" s="100" t="s">
        <v>529</v>
      </c>
      <c r="F28" s="102">
        <v>419749.63</v>
      </c>
      <c r="G28" s="102">
        <v>334369.44</v>
      </c>
      <c r="H28" s="102">
        <v>279748.14</v>
      </c>
      <c r="I28" s="67"/>
      <c r="J28" s="67"/>
      <c r="K28" s="67"/>
    </row>
    <row r="29" spans="1:11" x14ac:dyDescent="0.25">
      <c r="A29" s="14" t="s">
        <v>32</v>
      </c>
      <c r="B29" s="15" t="s">
        <v>12</v>
      </c>
      <c r="C29" s="15" t="s">
        <v>12</v>
      </c>
      <c r="D29" s="15" t="s">
        <v>12</v>
      </c>
      <c r="E29" s="98" t="s">
        <v>530</v>
      </c>
      <c r="F29" s="103">
        <v>14.61</v>
      </c>
      <c r="G29" s="103">
        <v>42.73</v>
      </c>
      <c r="H29" s="103">
        <v>58.5</v>
      </c>
      <c r="I29" s="67"/>
      <c r="J29" s="67"/>
      <c r="K29" s="67"/>
    </row>
    <row r="30" spans="1:11" x14ac:dyDescent="0.25">
      <c r="A30" s="12" t="s">
        <v>33</v>
      </c>
      <c r="B30" s="13" t="s">
        <v>12</v>
      </c>
      <c r="C30" s="13" t="s">
        <v>12</v>
      </c>
      <c r="D30" s="13" t="s">
        <v>12</v>
      </c>
      <c r="E30" s="100" t="s">
        <v>531</v>
      </c>
      <c r="F30" s="102">
        <v>265733.43</v>
      </c>
      <c r="G30" s="102">
        <v>134166.88</v>
      </c>
      <c r="H30" s="102">
        <v>91498.62</v>
      </c>
      <c r="I30" s="67"/>
      <c r="J30" s="67"/>
      <c r="K30" s="67"/>
    </row>
    <row r="31" spans="1:11" x14ac:dyDescent="0.25">
      <c r="A31" s="14" t="s">
        <v>34</v>
      </c>
      <c r="B31" s="18">
        <v>-182636.69</v>
      </c>
      <c r="C31" s="18">
        <v>-144510.54999999999</v>
      </c>
      <c r="D31" s="18">
        <v>-95281.01</v>
      </c>
      <c r="E31" s="98" t="s">
        <v>532</v>
      </c>
      <c r="F31" s="99">
        <v>41415.46</v>
      </c>
      <c r="G31" s="99">
        <v>36478.31</v>
      </c>
      <c r="H31" s="99">
        <v>27086.59</v>
      </c>
      <c r="I31" s="67"/>
      <c r="J31" s="67"/>
      <c r="K31" s="67"/>
    </row>
    <row r="32" spans="1:11" x14ac:dyDescent="0.25">
      <c r="A32" s="12" t="s">
        <v>35</v>
      </c>
      <c r="B32" s="13" t="s">
        <v>12</v>
      </c>
      <c r="C32" s="13" t="s">
        <v>12</v>
      </c>
      <c r="D32" s="13" t="s">
        <v>12</v>
      </c>
      <c r="E32" s="100" t="s">
        <v>533</v>
      </c>
      <c r="F32" s="102">
        <v>1890.61</v>
      </c>
      <c r="G32" s="102">
        <v>10567.22</v>
      </c>
      <c r="H32" s="104">
        <v>0</v>
      </c>
      <c r="I32" s="67"/>
      <c r="J32" s="67"/>
      <c r="K32" s="67"/>
    </row>
    <row r="33" spans="1:11" x14ac:dyDescent="0.25">
      <c r="A33" s="14" t="s">
        <v>36</v>
      </c>
      <c r="B33" s="18">
        <v>-1089996.0900000001</v>
      </c>
      <c r="C33" s="18">
        <v>-866234.89</v>
      </c>
      <c r="D33" s="18">
        <v>-721575.68</v>
      </c>
      <c r="E33" s="98" t="s">
        <v>534</v>
      </c>
      <c r="F33" s="99">
        <v>3400.98</v>
      </c>
      <c r="G33" s="99">
        <v>3901.32</v>
      </c>
      <c r="H33" s="99">
        <v>2643.93</v>
      </c>
      <c r="I33" s="67"/>
      <c r="J33" s="67"/>
      <c r="K33" s="67"/>
    </row>
    <row r="34" spans="1:11" x14ac:dyDescent="0.25">
      <c r="A34" s="12" t="s">
        <v>37</v>
      </c>
      <c r="B34" s="17">
        <v>-209571.51</v>
      </c>
      <c r="C34" s="17">
        <v>-189544.38</v>
      </c>
      <c r="D34" s="17">
        <v>-170520.21</v>
      </c>
      <c r="E34" s="100" t="s">
        <v>535</v>
      </c>
      <c r="F34" s="102">
        <v>12169.72</v>
      </c>
      <c r="G34" s="102">
        <v>7997.54</v>
      </c>
      <c r="H34" s="102">
        <v>10332.82</v>
      </c>
      <c r="I34" s="67"/>
      <c r="J34" s="67"/>
      <c r="K34" s="67"/>
    </row>
    <row r="35" spans="1:11" x14ac:dyDescent="0.25">
      <c r="A35" s="14" t="s">
        <v>38</v>
      </c>
      <c r="B35" s="18">
        <v>-153018.91</v>
      </c>
      <c r="C35" s="18">
        <v>-119124.46</v>
      </c>
      <c r="D35" s="18">
        <v>-67069.41</v>
      </c>
      <c r="E35" s="98" t="s">
        <v>536</v>
      </c>
      <c r="F35" s="99">
        <v>23954.16</v>
      </c>
      <c r="G35" s="99">
        <v>14012.23</v>
      </c>
      <c r="H35" s="99">
        <v>14109.84</v>
      </c>
      <c r="I35" s="67"/>
      <c r="J35" s="67"/>
      <c r="K35" s="67"/>
    </row>
    <row r="36" spans="1:11" x14ac:dyDescent="0.25">
      <c r="A36" s="12" t="s">
        <v>39</v>
      </c>
      <c r="B36" s="17">
        <v>41415.46</v>
      </c>
      <c r="C36" s="17">
        <v>36478.31</v>
      </c>
      <c r="D36" s="17">
        <v>27086.59</v>
      </c>
      <c r="E36" s="100" t="s">
        <v>537</v>
      </c>
      <c r="F36" s="102">
        <v>194434.37</v>
      </c>
      <c r="G36" s="102">
        <v>155602.76999999999</v>
      </c>
      <c r="H36" s="102">
        <v>94156</v>
      </c>
      <c r="I36" s="67"/>
      <c r="J36" s="67"/>
      <c r="K36" s="67"/>
    </row>
    <row r="37" spans="1:11" x14ac:dyDescent="0.25">
      <c r="A37" s="14" t="s">
        <v>40</v>
      </c>
      <c r="B37" s="18">
        <v>-194434.37</v>
      </c>
      <c r="C37" s="18">
        <v>-155602.76999999999</v>
      </c>
      <c r="D37" s="18">
        <v>-94156</v>
      </c>
      <c r="E37" s="98" t="s">
        <v>538</v>
      </c>
      <c r="F37" s="103">
        <v>0</v>
      </c>
      <c r="G37" s="103">
        <v>0</v>
      </c>
      <c r="H37" s="103">
        <v>42.85</v>
      </c>
      <c r="I37" s="67"/>
      <c r="J37" s="67"/>
      <c r="K37" s="67"/>
    </row>
    <row r="38" spans="1:11" x14ac:dyDescent="0.25">
      <c r="A38" s="12" t="s">
        <v>41</v>
      </c>
      <c r="B38" s="13" t="s">
        <v>12</v>
      </c>
      <c r="C38" s="13" t="s">
        <v>12</v>
      </c>
      <c r="D38" s="13" t="s">
        <v>12</v>
      </c>
      <c r="E38" s="100" t="s">
        <v>539</v>
      </c>
      <c r="F38" s="102">
        <v>140705.95000000001</v>
      </c>
      <c r="G38" s="102">
        <v>109593.62</v>
      </c>
      <c r="H38" s="102">
        <v>44545.96</v>
      </c>
      <c r="I38" s="67"/>
      <c r="J38" s="67"/>
      <c r="K38" s="67"/>
    </row>
    <row r="39" spans="1:11" x14ac:dyDescent="0.25">
      <c r="A39" s="14" t="s">
        <v>42</v>
      </c>
      <c r="B39" s="18">
        <v>112714.52</v>
      </c>
      <c r="C39" s="18">
        <v>15042.42</v>
      </c>
      <c r="D39" s="18">
        <v>24429.21</v>
      </c>
      <c r="E39" s="98" t="s">
        <v>540</v>
      </c>
      <c r="F39" s="99">
        <v>53728.42</v>
      </c>
      <c r="G39" s="99">
        <v>46009.15</v>
      </c>
      <c r="H39" s="99">
        <v>49567.19</v>
      </c>
      <c r="I39" s="67"/>
      <c r="J39" s="67"/>
      <c r="K39" s="67"/>
    </row>
    <row r="40" spans="1:11" x14ac:dyDescent="0.25">
      <c r="A40" s="12" t="s">
        <v>43</v>
      </c>
      <c r="B40" s="17">
        <v>322286.03000000003</v>
      </c>
      <c r="C40" s="17">
        <v>204586.81</v>
      </c>
      <c r="D40" s="17">
        <v>194949.42</v>
      </c>
      <c r="E40" s="100" t="s">
        <v>541</v>
      </c>
      <c r="F40" s="102">
        <v>112714.52</v>
      </c>
      <c r="G40" s="102">
        <v>15042.42</v>
      </c>
      <c r="H40" s="102">
        <v>24429.21</v>
      </c>
      <c r="I40" s="67"/>
      <c r="J40" s="67"/>
      <c r="K40" s="67"/>
    </row>
    <row r="41" spans="1:11" x14ac:dyDescent="0.25">
      <c r="A41" s="14" t="s">
        <v>44</v>
      </c>
      <c r="B41" s="18">
        <v>-47621.919999999998</v>
      </c>
      <c r="C41" s="18">
        <v>-12651.77</v>
      </c>
      <c r="D41" s="18">
        <v>-15695.41</v>
      </c>
      <c r="E41" s="98" t="s">
        <v>542</v>
      </c>
      <c r="F41" s="99">
        <v>7856.32</v>
      </c>
      <c r="G41" s="99">
        <v>11735.74</v>
      </c>
      <c r="H41" s="99">
        <v>8786.33</v>
      </c>
      <c r="I41" s="67"/>
      <c r="J41" s="67"/>
      <c r="K41" s="67"/>
    </row>
    <row r="42" spans="1:11" x14ac:dyDescent="0.25">
      <c r="A42" s="12" t="s">
        <v>45</v>
      </c>
      <c r="B42" s="17">
        <v>7856.32</v>
      </c>
      <c r="C42" s="17">
        <v>11735.74</v>
      </c>
      <c r="D42" s="17">
        <v>8786.33</v>
      </c>
      <c r="E42" s="100" t="s">
        <v>543</v>
      </c>
      <c r="F42" s="104">
        <v>0</v>
      </c>
      <c r="G42" s="104">
        <v>0</v>
      </c>
      <c r="H42" s="104">
        <v>0</v>
      </c>
      <c r="I42" s="67"/>
      <c r="J42" s="67"/>
      <c r="K42" s="67"/>
    </row>
    <row r="43" spans="1:11" x14ac:dyDescent="0.25">
      <c r="A43" s="14" t="s">
        <v>46</v>
      </c>
      <c r="B43" s="18">
        <v>3739.08</v>
      </c>
      <c r="C43" s="18">
        <v>4950.5200000000004</v>
      </c>
      <c r="D43" s="18">
        <v>6018.2</v>
      </c>
      <c r="E43" s="98" t="s">
        <v>544</v>
      </c>
      <c r="F43" s="103">
        <v>0</v>
      </c>
      <c r="G43" s="103">
        <v>0</v>
      </c>
      <c r="H43" s="103">
        <v>0</v>
      </c>
      <c r="I43" s="67"/>
      <c r="J43" s="67"/>
      <c r="K43" s="67"/>
    </row>
    <row r="44" spans="1:11" x14ac:dyDescent="0.25">
      <c r="A44" s="12" t="s">
        <v>47</v>
      </c>
      <c r="B44" s="19">
        <v>0</v>
      </c>
      <c r="C44" s="19">
        <v>0</v>
      </c>
      <c r="D44" s="19">
        <v>0</v>
      </c>
      <c r="E44" s="100" t="s">
        <v>545</v>
      </c>
      <c r="F44" s="104">
        <v>0</v>
      </c>
      <c r="G44" s="104">
        <v>0</v>
      </c>
      <c r="H44" s="104">
        <v>0</v>
      </c>
      <c r="I44" s="67"/>
      <c r="J44" s="67"/>
      <c r="K44" s="67"/>
    </row>
    <row r="45" spans="1:11" x14ac:dyDescent="0.25">
      <c r="A45" s="14" t="s">
        <v>48</v>
      </c>
      <c r="B45" s="15" t="s">
        <v>12</v>
      </c>
      <c r="C45" s="15" t="s">
        <v>12</v>
      </c>
      <c r="D45" s="15" t="s">
        <v>12</v>
      </c>
      <c r="E45" s="98" t="s">
        <v>546</v>
      </c>
      <c r="F45" s="103">
        <v>0</v>
      </c>
      <c r="G45" s="103">
        <v>0</v>
      </c>
      <c r="H45" s="103">
        <v>0</v>
      </c>
      <c r="I45" s="67"/>
      <c r="J45" s="67"/>
      <c r="K45" s="67"/>
    </row>
    <row r="46" spans="1:11" x14ac:dyDescent="0.25">
      <c r="A46" s="12" t="s">
        <v>49</v>
      </c>
      <c r="B46" s="17">
        <v>4117.2299999999996</v>
      </c>
      <c r="C46" s="17">
        <v>6785.22</v>
      </c>
      <c r="D46" s="17">
        <v>2768.13</v>
      </c>
      <c r="E46" s="100" t="s">
        <v>545</v>
      </c>
      <c r="F46" s="104">
        <v>0</v>
      </c>
      <c r="G46" s="104">
        <v>0</v>
      </c>
      <c r="H46" s="104">
        <v>0</v>
      </c>
      <c r="I46" s="67"/>
      <c r="J46" s="67"/>
      <c r="K46" s="67"/>
    </row>
    <row r="47" spans="1:11" x14ac:dyDescent="0.25">
      <c r="A47" s="14" t="s">
        <v>50</v>
      </c>
      <c r="B47" s="18">
        <v>-55478.23</v>
      </c>
      <c r="C47" s="18">
        <v>-24387.51</v>
      </c>
      <c r="D47" s="18">
        <v>-24481.74</v>
      </c>
      <c r="E47" s="98" t="s">
        <v>547</v>
      </c>
      <c r="F47" s="99">
        <v>3739.08</v>
      </c>
      <c r="G47" s="99">
        <v>4950.5200000000004</v>
      </c>
      <c r="H47" s="99">
        <v>6018.2</v>
      </c>
      <c r="I47" s="67"/>
      <c r="J47" s="67"/>
      <c r="K47" s="67"/>
    </row>
    <row r="48" spans="1:11" x14ac:dyDescent="0.25">
      <c r="A48" s="12" t="s">
        <v>51</v>
      </c>
      <c r="B48" s="17">
        <v>-24796.61</v>
      </c>
      <c r="C48" s="17">
        <v>-18372.060000000001</v>
      </c>
      <c r="D48" s="17">
        <v>-14522.69</v>
      </c>
      <c r="E48" s="100" t="s">
        <v>544</v>
      </c>
      <c r="F48" s="104">
        <v>0</v>
      </c>
      <c r="G48" s="104">
        <v>0</v>
      </c>
      <c r="H48" s="104">
        <v>0</v>
      </c>
      <c r="I48" s="67"/>
      <c r="J48" s="67"/>
      <c r="K48" s="67"/>
    </row>
    <row r="49" spans="1:11" x14ac:dyDescent="0.25">
      <c r="A49" s="14" t="s">
        <v>52</v>
      </c>
      <c r="B49" s="15" t="s">
        <v>12</v>
      </c>
      <c r="C49" s="15" t="s">
        <v>12</v>
      </c>
      <c r="D49" s="15" t="s">
        <v>12</v>
      </c>
      <c r="E49" s="98" t="s">
        <v>548</v>
      </c>
      <c r="F49" s="103">
        <v>439.35</v>
      </c>
      <c r="G49" s="99">
        <v>1285.58</v>
      </c>
      <c r="H49" s="103">
        <v>0</v>
      </c>
      <c r="I49" s="67"/>
      <c r="J49" s="67"/>
      <c r="K49" s="67"/>
    </row>
    <row r="50" spans="1:11" x14ac:dyDescent="0.25">
      <c r="A50" s="12" t="s">
        <v>53</v>
      </c>
      <c r="B50" s="17">
        <v>-30681.62</v>
      </c>
      <c r="C50" s="17">
        <v>-6015.45</v>
      </c>
      <c r="D50" s="17">
        <v>-9959.0499999999993</v>
      </c>
      <c r="E50" s="100" t="s">
        <v>549</v>
      </c>
      <c r="F50" s="104">
        <v>0</v>
      </c>
      <c r="G50" s="104">
        <v>0</v>
      </c>
      <c r="H50" s="104">
        <v>0</v>
      </c>
      <c r="I50" s="67"/>
      <c r="J50" s="67"/>
      <c r="K50" s="67"/>
    </row>
    <row r="51" spans="1:11" x14ac:dyDescent="0.25">
      <c r="A51" s="14" t="s">
        <v>54</v>
      </c>
      <c r="B51" s="20">
        <v>0</v>
      </c>
      <c r="C51" s="20">
        <v>0</v>
      </c>
      <c r="D51" s="20">
        <v>0</v>
      </c>
      <c r="E51" s="98" t="s">
        <v>550</v>
      </c>
      <c r="F51" s="103">
        <v>212.69</v>
      </c>
      <c r="G51" s="99">
        <v>1435.29</v>
      </c>
      <c r="H51" s="103">
        <v>109.11</v>
      </c>
      <c r="I51" s="67"/>
      <c r="J51" s="67"/>
      <c r="K51" s="67"/>
    </row>
    <row r="52" spans="1:11" x14ac:dyDescent="0.25">
      <c r="A52" s="12" t="s">
        <v>55</v>
      </c>
      <c r="B52" s="19">
        <v>0</v>
      </c>
      <c r="C52" s="19">
        <v>0</v>
      </c>
      <c r="D52" s="19">
        <v>0</v>
      </c>
      <c r="E52" s="100" t="s">
        <v>551</v>
      </c>
      <c r="F52" s="102">
        <v>3465.2</v>
      </c>
      <c r="G52" s="102">
        <v>4064.35</v>
      </c>
      <c r="H52" s="102">
        <v>2659.02</v>
      </c>
      <c r="I52" s="67"/>
      <c r="J52" s="67"/>
      <c r="K52" s="67"/>
    </row>
    <row r="53" spans="1:11" x14ac:dyDescent="0.25">
      <c r="A53" s="14" t="s">
        <v>56</v>
      </c>
      <c r="B53" s="15" t="s">
        <v>12</v>
      </c>
      <c r="C53" s="15" t="s">
        <v>12</v>
      </c>
      <c r="D53" s="15" t="s">
        <v>12</v>
      </c>
      <c r="E53" s="98" t="s">
        <v>552</v>
      </c>
      <c r="F53" s="99">
        <v>55478.23</v>
      </c>
      <c r="G53" s="99">
        <v>24387.51</v>
      </c>
      <c r="H53" s="99">
        <v>24481.74</v>
      </c>
      <c r="I53" s="67"/>
      <c r="J53" s="67"/>
      <c r="K53" s="67"/>
    </row>
    <row r="54" spans="1:11" x14ac:dyDescent="0.25">
      <c r="A54" s="12" t="s">
        <v>57</v>
      </c>
      <c r="B54" s="13" t="s">
        <v>12</v>
      </c>
      <c r="C54" s="13" t="s">
        <v>12</v>
      </c>
      <c r="D54" s="13" t="s">
        <v>12</v>
      </c>
      <c r="E54" s="100" t="s">
        <v>553</v>
      </c>
      <c r="F54" s="102">
        <v>24796.61</v>
      </c>
      <c r="G54" s="102">
        <v>18372.060000000001</v>
      </c>
      <c r="H54" s="102">
        <v>14522.69</v>
      </c>
      <c r="I54" s="67"/>
      <c r="J54" s="67"/>
      <c r="K54" s="67"/>
    </row>
    <row r="55" spans="1:11" x14ac:dyDescent="0.25">
      <c r="A55" s="14" t="s">
        <v>58</v>
      </c>
      <c r="B55" s="20">
        <v>0</v>
      </c>
      <c r="C55" s="20">
        <v>0</v>
      </c>
      <c r="D55" s="20">
        <v>0</v>
      </c>
      <c r="E55" s="98" t="s">
        <v>554</v>
      </c>
      <c r="F55" s="103">
        <v>0</v>
      </c>
      <c r="G55" s="103">
        <v>0</v>
      </c>
      <c r="H55" s="103">
        <v>0</v>
      </c>
      <c r="I55" s="67"/>
      <c r="J55" s="67"/>
      <c r="K55" s="67"/>
    </row>
    <row r="56" spans="1:11" x14ac:dyDescent="0.25">
      <c r="A56" s="12" t="s">
        <v>21</v>
      </c>
      <c r="B56" s="17">
        <v>65092.6</v>
      </c>
      <c r="C56" s="17">
        <v>2390.65</v>
      </c>
      <c r="D56" s="17">
        <v>8733.7999999999993</v>
      </c>
      <c r="E56" s="100" t="s">
        <v>555</v>
      </c>
      <c r="F56" s="102">
        <v>27517.54</v>
      </c>
      <c r="G56" s="104">
        <v>0</v>
      </c>
      <c r="H56" s="104">
        <v>0</v>
      </c>
      <c r="I56" s="67"/>
      <c r="J56" s="67"/>
      <c r="K56" s="67"/>
    </row>
    <row r="57" spans="1:11" x14ac:dyDescent="0.25">
      <c r="A57" s="14" t="s">
        <v>59</v>
      </c>
      <c r="B57" s="18">
        <v>23978.83</v>
      </c>
      <c r="C57" s="18">
        <v>1102</v>
      </c>
      <c r="D57" s="18">
        <v>-8170</v>
      </c>
      <c r="E57" s="98" t="s">
        <v>549</v>
      </c>
      <c r="F57" s="103">
        <v>0</v>
      </c>
      <c r="G57" s="103">
        <v>0</v>
      </c>
      <c r="H57" s="103">
        <v>0</v>
      </c>
      <c r="I57" s="67"/>
      <c r="J57" s="67"/>
      <c r="K57" s="67"/>
    </row>
    <row r="58" spans="1:11" x14ac:dyDescent="0.25">
      <c r="A58" s="12" t="s">
        <v>60</v>
      </c>
      <c r="B58" s="13" t="s">
        <v>12</v>
      </c>
      <c r="C58" s="13" t="s">
        <v>12</v>
      </c>
      <c r="D58" s="13" t="s">
        <v>12</v>
      </c>
      <c r="E58" s="100" t="s">
        <v>556</v>
      </c>
      <c r="F58" s="104">
        <v>696.07</v>
      </c>
      <c r="G58" s="102">
        <v>1310.06</v>
      </c>
      <c r="H58" s="102">
        <v>4532.57</v>
      </c>
      <c r="I58" s="67"/>
      <c r="J58" s="67"/>
      <c r="K58" s="67"/>
    </row>
    <row r="59" spans="1:11" x14ac:dyDescent="0.25">
      <c r="A59" s="14" t="s">
        <v>61</v>
      </c>
      <c r="B59" s="18">
        <v>89071.43</v>
      </c>
      <c r="C59" s="18">
        <v>3492.65</v>
      </c>
      <c r="D59" s="20">
        <v>563.79999999999995</v>
      </c>
      <c r="E59" s="98" t="s">
        <v>557</v>
      </c>
      <c r="F59" s="99">
        <v>2468.0100000000002</v>
      </c>
      <c r="G59" s="99">
        <v>4705.3900000000003</v>
      </c>
      <c r="H59" s="99">
        <v>5426.48</v>
      </c>
      <c r="I59" s="67"/>
      <c r="J59" s="67"/>
      <c r="K59" s="67"/>
    </row>
    <row r="60" spans="1:11" x14ac:dyDescent="0.25">
      <c r="A60" s="12" t="s">
        <v>62</v>
      </c>
      <c r="B60" s="13" t="s">
        <v>12</v>
      </c>
      <c r="C60" s="13" t="s">
        <v>12</v>
      </c>
      <c r="D60" s="13" t="s">
        <v>12</v>
      </c>
      <c r="E60" s="100" t="s">
        <v>558</v>
      </c>
      <c r="F60" s="101" t="s">
        <v>12</v>
      </c>
      <c r="G60" s="101" t="s">
        <v>12</v>
      </c>
      <c r="H60" s="101" t="s">
        <v>12</v>
      </c>
      <c r="I60" s="67"/>
      <c r="J60" s="67"/>
      <c r="K60" s="67"/>
    </row>
    <row r="61" spans="1:11" x14ac:dyDescent="0.25">
      <c r="A61" s="14" t="s">
        <v>63</v>
      </c>
      <c r="B61" s="20">
        <v>0</v>
      </c>
      <c r="C61" s="20">
        <v>0</v>
      </c>
      <c r="D61" s="20">
        <v>0</v>
      </c>
      <c r="E61" s="98" t="s">
        <v>559</v>
      </c>
      <c r="F61" s="54" t="s">
        <v>12</v>
      </c>
      <c r="G61" s="54" t="s">
        <v>12</v>
      </c>
      <c r="H61" s="54" t="s">
        <v>12</v>
      </c>
      <c r="I61" s="67"/>
      <c r="J61" s="67"/>
      <c r="K61" s="67"/>
    </row>
    <row r="62" spans="1:11" x14ac:dyDescent="0.25">
      <c r="A62" s="12" t="s">
        <v>64</v>
      </c>
      <c r="B62" s="17">
        <v>89071.43</v>
      </c>
      <c r="C62" s="17">
        <v>3492.65</v>
      </c>
      <c r="D62" s="19">
        <v>563.79999999999995</v>
      </c>
      <c r="E62" s="100" t="s">
        <v>560</v>
      </c>
      <c r="F62" s="101" t="s">
        <v>12</v>
      </c>
      <c r="G62" s="101" t="s">
        <v>12</v>
      </c>
      <c r="H62" s="101" t="s">
        <v>12</v>
      </c>
      <c r="I62" s="67"/>
      <c r="J62" s="67"/>
      <c r="K62" s="67"/>
    </row>
    <row r="63" spans="1:11" x14ac:dyDescent="0.25">
      <c r="A63" s="14" t="s">
        <v>65</v>
      </c>
      <c r="B63" s="18">
        <v>89071.43</v>
      </c>
      <c r="C63" s="18">
        <v>3492.65</v>
      </c>
      <c r="D63" s="20">
        <v>563.79999999999995</v>
      </c>
      <c r="E63" s="98" t="s">
        <v>561</v>
      </c>
      <c r="F63" s="54" t="s">
        <v>12</v>
      </c>
      <c r="G63" s="54" t="s">
        <v>12</v>
      </c>
      <c r="H63" s="54" t="s">
        <v>12</v>
      </c>
      <c r="I63" s="67"/>
      <c r="J63" s="67"/>
      <c r="K63" s="67"/>
    </row>
    <row r="64" spans="1:11" x14ac:dyDescent="0.25">
      <c r="A64" s="12" t="s">
        <v>66</v>
      </c>
      <c r="B64" s="19">
        <v>0</v>
      </c>
      <c r="C64" s="19">
        <v>0</v>
      </c>
      <c r="D64" s="19">
        <v>0</v>
      </c>
      <c r="E64" s="100" t="s">
        <v>562</v>
      </c>
      <c r="F64" s="101" t="s">
        <v>12</v>
      </c>
      <c r="G64" s="101" t="s">
        <v>12</v>
      </c>
      <c r="H64" s="101" t="s">
        <v>12</v>
      </c>
      <c r="I64" s="67"/>
      <c r="J64" s="67"/>
      <c r="K64" s="67"/>
    </row>
    <row r="65" spans="1:11" x14ac:dyDescent="0.25">
      <c r="A65" s="14" t="s">
        <v>67</v>
      </c>
      <c r="B65" s="15" t="s">
        <v>12</v>
      </c>
      <c r="C65" s="15" t="s">
        <v>12</v>
      </c>
      <c r="D65" s="15" t="s">
        <v>12</v>
      </c>
      <c r="E65" s="98" t="s">
        <v>563</v>
      </c>
      <c r="F65" s="54" t="s">
        <v>12</v>
      </c>
      <c r="G65" s="54" t="s">
        <v>12</v>
      </c>
      <c r="H65" s="54" t="s">
        <v>12</v>
      </c>
      <c r="I65" s="67"/>
      <c r="J65" s="67"/>
      <c r="K65" s="67"/>
    </row>
    <row r="66" spans="1:11" x14ac:dyDescent="0.25">
      <c r="A66" s="12" t="s">
        <v>68</v>
      </c>
      <c r="B66" s="13" t="s">
        <v>12</v>
      </c>
      <c r="C66" s="13" t="s">
        <v>12</v>
      </c>
      <c r="D66" s="13" t="s">
        <v>12</v>
      </c>
      <c r="E66" s="100" t="s">
        <v>564</v>
      </c>
      <c r="F66" s="101" t="s">
        <v>12</v>
      </c>
      <c r="G66" s="101" t="s">
        <v>12</v>
      </c>
      <c r="H66" s="101" t="s">
        <v>12</v>
      </c>
      <c r="I66" s="67"/>
      <c r="J66" s="67"/>
      <c r="K66" s="67"/>
    </row>
    <row r="67" spans="1:11" x14ac:dyDescent="0.25">
      <c r="A67" s="14" t="s">
        <v>69</v>
      </c>
      <c r="B67" s="15" t="s">
        <v>12</v>
      </c>
      <c r="C67" s="15" t="s">
        <v>12</v>
      </c>
      <c r="D67" s="15" t="s">
        <v>12</v>
      </c>
      <c r="E67" s="98" t="s">
        <v>565</v>
      </c>
      <c r="F67" s="54" t="s">
        <v>12</v>
      </c>
      <c r="G67" s="54" t="s">
        <v>12</v>
      </c>
      <c r="H67" s="54" t="s">
        <v>12</v>
      </c>
      <c r="I67" s="67"/>
      <c r="J67" s="67"/>
      <c r="K67" s="67"/>
    </row>
    <row r="68" spans="1:11" x14ac:dyDescent="0.25">
      <c r="A68" s="12" t="s">
        <v>70</v>
      </c>
      <c r="B68" s="13" t="s">
        <v>12</v>
      </c>
      <c r="C68" s="13" t="s">
        <v>12</v>
      </c>
      <c r="D68" s="13" t="s">
        <v>12</v>
      </c>
      <c r="E68" s="100" t="s">
        <v>566</v>
      </c>
      <c r="F68" s="101" t="s">
        <v>12</v>
      </c>
      <c r="G68" s="101" t="s">
        <v>12</v>
      </c>
      <c r="H68" s="101" t="s">
        <v>12</v>
      </c>
      <c r="I68" s="67"/>
      <c r="J68" s="67"/>
      <c r="K68" s="67"/>
    </row>
    <row r="69" spans="1:11" x14ac:dyDescent="0.25">
      <c r="A69" s="14" t="s">
        <v>71</v>
      </c>
      <c r="B69" s="15" t="s">
        <v>12</v>
      </c>
      <c r="C69" s="15" t="s">
        <v>12</v>
      </c>
      <c r="D69" s="15" t="s">
        <v>12</v>
      </c>
      <c r="E69" s="98" t="s">
        <v>567</v>
      </c>
      <c r="F69" s="54" t="s">
        <v>12</v>
      </c>
      <c r="G69" s="54" t="s">
        <v>12</v>
      </c>
      <c r="H69" s="54" t="s">
        <v>12</v>
      </c>
      <c r="I69" s="67"/>
      <c r="J69" s="67"/>
      <c r="K69" s="67"/>
    </row>
    <row r="70" spans="1:11" x14ac:dyDescent="0.25">
      <c r="A70" s="12" t="s">
        <v>72</v>
      </c>
      <c r="B70" s="13" t="s">
        <v>12</v>
      </c>
      <c r="C70" s="13" t="s">
        <v>12</v>
      </c>
      <c r="D70" s="13" t="s">
        <v>12</v>
      </c>
      <c r="E70" s="100" t="s">
        <v>568</v>
      </c>
      <c r="F70" s="101" t="s">
        <v>12</v>
      </c>
      <c r="G70" s="101" t="s">
        <v>12</v>
      </c>
      <c r="H70" s="101" t="s">
        <v>12</v>
      </c>
      <c r="I70" s="67"/>
      <c r="J70" s="67"/>
      <c r="K70" s="67"/>
    </row>
    <row r="71" spans="1:11" x14ac:dyDescent="0.25">
      <c r="A71" s="14" t="s">
        <v>73</v>
      </c>
      <c r="B71" s="15" t="s">
        <v>12</v>
      </c>
      <c r="C71" s="15" t="s">
        <v>12</v>
      </c>
      <c r="D71" s="15" t="s">
        <v>12</v>
      </c>
      <c r="E71" s="98" t="s">
        <v>569</v>
      </c>
      <c r="F71" s="54" t="s">
        <v>12</v>
      </c>
      <c r="G71" s="54" t="s">
        <v>12</v>
      </c>
      <c r="H71" s="54" t="s">
        <v>12</v>
      </c>
      <c r="I71" s="67"/>
      <c r="J71" s="67"/>
      <c r="K71" s="67"/>
    </row>
    <row r="72" spans="1:11" x14ac:dyDescent="0.25">
      <c r="A72" s="12" t="s">
        <v>74</v>
      </c>
      <c r="B72" s="13" t="s">
        <v>12</v>
      </c>
      <c r="C72" s="13" t="s">
        <v>12</v>
      </c>
      <c r="D72" s="13" t="s">
        <v>12</v>
      </c>
      <c r="E72" s="100" t="s">
        <v>570</v>
      </c>
      <c r="F72" s="101" t="s">
        <v>12</v>
      </c>
      <c r="G72" s="101" t="s">
        <v>12</v>
      </c>
      <c r="H72" s="101" t="s">
        <v>12</v>
      </c>
      <c r="I72" s="67"/>
      <c r="J72" s="67"/>
      <c r="K72" s="67"/>
    </row>
    <row r="73" spans="1:11" x14ac:dyDescent="0.25">
      <c r="A73" s="14" t="s">
        <v>75</v>
      </c>
      <c r="B73" s="15" t="s">
        <v>12</v>
      </c>
      <c r="C73" s="15" t="s">
        <v>12</v>
      </c>
      <c r="D73" s="15" t="s">
        <v>12</v>
      </c>
      <c r="E73" s="98" t="s">
        <v>571</v>
      </c>
      <c r="F73" s="54" t="s">
        <v>12</v>
      </c>
      <c r="G73" s="54" t="s">
        <v>12</v>
      </c>
      <c r="H73" s="54" t="s">
        <v>12</v>
      </c>
      <c r="I73" s="67"/>
      <c r="J73" s="67"/>
      <c r="K73" s="67"/>
    </row>
    <row r="74" spans="1:11" x14ac:dyDescent="0.25">
      <c r="A74" s="12" t="s">
        <v>76</v>
      </c>
      <c r="B74" s="13" t="s">
        <v>12</v>
      </c>
      <c r="C74" s="13" t="s">
        <v>12</v>
      </c>
      <c r="D74" s="13" t="s">
        <v>12</v>
      </c>
      <c r="E74" s="100" t="s">
        <v>572</v>
      </c>
      <c r="F74" s="102">
        <v>65092.6</v>
      </c>
      <c r="G74" s="102">
        <v>2390.65</v>
      </c>
      <c r="H74" s="102">
        <v>8733.7999999999993</v>
      </c>
      <c r="I74" s="67"/>
      <c r="J74" s="67"/>
      <c r="K74" s="67"/>
    </row>
    <row r="75" spans="1:11" x14ac:dyDescent="0.25">
      <c r="A75" s="14" t="s">
        <v>77</v>
      </c>
      <c r="B75" s="15" t="s">
        <v>12</v>
      </c>
      <c r="C75" s="15" t="s">
        <v>12</v>
      </c>
      <c r="D75" s="15" t="s">
        <v>12</v>
      </c>
      <c r="E75" s="98" t="s">
        <v>573</v>
      </c>
      <c r="F75" s="99">
        <v>-23978.83</v>
      </c>
      <c r="G75" s="99">
        <v>-1102</v>
      </c>
      <c r="H75" s="99">
        <v>8170</v>
      </c>
      <c r="I75" s="67"/>
      <c r="J75" s="67"/>
      <c r="K75" s="67"/>
    </row>
    <row r="76" spans="1:11" x14ac:dyDescent="0.25">
      <c r="A76" s="12" t="s">
        <v>78</v>
      </c>
      <c r="B76" s="13" t="s">
        <v>12</v>
      </c>
      <c r="C76" s="13" t="s">
        <v>12</v>
      </c>
      <c r="D76" s="13" t="s">
        <v>12</v>
      </c>
      <c r="E76" s="100" t="s">
        <v>574</v>
      </c>
      <c r="F76" s="101" t="s">
        <v>12</v>
      </c>
      <c r="G76" s="101" t="s">
        <v>12</v>
      </c>
      <c r="H76" s="101" t="s">
        <v>12</v>
      </c>
      <c r="I76" s="67"/>
      <c r="J76" s="67"/>
      <c r="K76" s="67"/>
    </row>
    <row r="77" spans="1:11" x14ac:dyDescent="0.25">
      <c r="A77" s="14" t="s">
        <v>79</v>
      </c>
      <c r="B77" s="15" t="s">
        <v>12</v>
      </c>
      <c r="C77" s="15" t="s">
        <v>12</v>
      </c>
      <c r="D77" s="15" t="s">
        <v>12</v>
      </c>
      <c r="E77" s="98" t="s">
        <v>575</v>
      </c>
      <c r="F77" s="54" t="s">
        <v>12</v>
      </c>
      <c r="G77" s="54" t="s">
        <v>12</v>
      </c>
      <c r="H77" s="54" t="s">
        <v>12</v>
      </c>
      <c r="I77" s="67"/>
      <c r="J77" s="67"/>
      <c r="K77" s="67"/>
    </row>
    <row r="78" spans="1:11" x14ac:dyDescent="0.25">
      <c r="A78" s="12" t="s">
        <v>80</v>
      </c>
      <c r="B78" s="13" t="s">
        <v>12</v>
      </c>
      <c r="C78" s="13" t="s">
        <v>12</v>
      </c>
      <c r="D78" s="13" t="s">
        <v>12</v>
      </c>
      <c r="E78" s="100" t="s">
        <v>576</v>
      </c>
      <c r="F78" s="104">
        <v>0</v>
      </c>
      <c r="G78" s="104">
        <v>0</v>
      </c>
      <c r="H78" s="104">
        <v>0</v>
      </c>
      <c r="I78" s="67"/>
      <c r="J78" s="67"/>
      <c r="K78" s="67"/>
    </row>
    <row r="79" spans="1:11" x14ac:dyDescent="0.25">
      <c r="A79" s="14" t="s">
        <v>81</v>
      </c>
      <c r="B79" s="15" t="s">
        <v>12</v>
      </c>
      <c r="C79" s="15" t="s">
        <v>12</v>
      </c>
      <c r="D79" s="15" t="s">
        <v>12</v>
      </c>
      <c r="E79" s="98" t="s">
        <v>577</v>
      </c>
      <c r="F79" s="54" t="s">
        <v>12</v>
      </c>
      <c r="G79" s="54" t="s">
        <v>12</v>
      </c>
      <c r="H79" s="54" t="s">
        <v>12</v>
      </c>
      <c r="I79" s="67"/>
      <c r="J79" s="67"/>
      <c r="K79" s="67"/>
    </row>
    <row r="80" spans="1:11" x14ac:dyDescent="0.25">
      <c r="A80" s="12" t="s">
        <v>82</v>
      </c>
      <c r="B80" s="13" t="s">
        <v>12</v>
      </c>
      <c r="C80" s="13" t="s">
        <v>12</v>
      </c>
      <c r="D80" s="13" t="s">
        <v>12</v>
      </c>
      <c r="E80" s="100" t="s">
        <v>578</v>
      </c>
      <c r="F80" s="102">
        <v>89071.43</v>
      </c>
      <c r="G80" s="102">
        <v>3492.65</v>
      </c>
      <c r="H80" s="104">
        <v>563.79999999999995</v>
      </c>
      <c r="I80" s="67"/>
      <c r="J80" s="67"/>
      <c r="K80" s="67"/>
    </row>
    <row r="81" spans="1:11" x14ac:dyDescent="0.25">
      <c r="A81" s="11"/>
      <c r="B81" s="11"/>
      <c r="C81" s="11"/>
      <c r="D81" s="11"/>
      <c r="E81" s="67"/>
      <c r="F81" s="67"/>
      <c r="G81" s="67"/>
      <c r="H81" s="67"/>
      <c r="I81" s="67"/>
      <c r="J81" s="67"/>
      <c r="K81" s="67"/>
    </row>
    <row r="82" spans="1:11" x14ac:dyDescent="0.25">
      <c r="A82" s="11"/>
      <c r="B82" s="11"/>
      <c r="C82" s="11"/>
      <c r="D82" s="11"/>
      <c r="E82" s="67"/>
      <c r="F82" s="67"/>
      <c r="G82" s="67"/>
      <c r="H82" s="67"/>
      <c r="I82" s="67"/>
      <c r="J82" s="67"/>
      <c r="K82" s="67"/>
    </row>
    <row r="83" spans="1:11" x14ac:dyDescent="0.25">
      <c r="A83" s="16" t="s">
        <v>83</v>
      </c>
      <c r="B83" s="16">
        <v>2019</v>
      </c>
      <c r="C83" s="16">
        <v>2018</v>
      </c>
      <c r="D83" s="16">
        <v>2017</v>
      </c>
      <c r="E83" s="97" t="s">
        <v>83</v>
      </c>
      <c r="F83" s="97">
        <v>2019</v>
      </c>
      <c r="G83" s="97">
        <v>2018</v>
      </c>
      <c r="H83" s="97">
        <v>2017</v>
      </c>
      <c r="I83" s="67"/>
      <c r="J83" s="67"/>
      <c r="K83" s="67"/>
    </row>
    <row r="84" spans="1:11" x14ac:dyDescent="0.25">
      <c r="A84" s="12" t="s">
        <v>84</v>
      </c>
      <c r="B84" s="17">
        <v>2149271.39</v>
      </c>
      <c r="C84" s="17">
        <v>1481959.03</v>
      </c>
      <c r="D84" s="17">
        <v>1486228.52</v>
      </c>
      <c r="E84" s="100" t="s">
        <v>579</v>
      </c>
      <c r="F84" s="102">
        <v>2149271.39</v>
      </c>
      <c r="G84" s="102">
        <v>1481959.03</v>
      </c>
      <c r="H84" s="102">
        <v>1486228.52</v>
      </c>
      <c r="I84" s="67"/>
      <c r="J84" s="67"/>
      <c r="K84" s="67"/>
    </row>
    <row r="85" spans="1:11" x14ac:dyDescent="0.25">
      <c r="A85" s="14" t="s">
        <v>85</v>
      </c>
      <c r="B85" s="18">
        <v>1014809.35</v>
      </c>
      <c r="C85" s="18">
        <v>877020.05</v>
      </c>
      <c r="D85" s="18">
        <v>752325.55</v>
      </c>
      <c r="E85" s="98" t="s">
        <v>580</v>
      </c>
      <c r="F85" s="99">
        <v>1014809.35</v>
      </c>
      <c r="G85" s="99">
        <v>877020.05</v>
      </c>
      <c r="H85" s="99">
        <v>752325.55</v>
      </c>
      <c r="I85" s="67"/>
      <c r="J85" s="67"/>
      <c r="K85" s="67"/>
    </row>
    <row r="86" spans="1:11" x14ac:dyDescent="0.25">
      <c r="A86" s="12" t="s">
        <v>86</v>
      </c>
      <c r="B86" s="17">
        <v>566846.06999999995</v>
      </c>
      <c r="C86" s="17">
        <v>467795.89</v>
      </c>
      <c r="D86" s="17">
        <v>431572.45</v>
      </c>
      <c r="E86" s="100" t="s">
        <v>581</v>
      </c>
      <c r="F86" s="102">
        <v>352932.49</v>
      </c>
      <c r="G86" s="102">
        <v>299094.15000000002</v>
      </c>
      <c r="H86" s="102">
        <v>270826.33</v>
      </c>
      <c r="I86" s="67"/>
      <c r="J86" s="67"/>
      <c r="K86" s="67"/>
    </row>
    <row r="87" spans="1:11" x14ac:dyDescent="0.25">
      <c r="A87" s="14" t="s">
        <v>87</v>
      </c>
      <c r="B87" s="18">
        <v>236492.5</v>
      </c>
      <c r="C87" s="18">
        <v>246735.96</v>
      </c>
      <c r="D87" s="18">
        <v>260807.66</v>
      </c>
      <c r="E87" s="98" t="s">
        <v>582</v>
      </c>
      <c r="F87" s="103">
        <v>0</v>
      </c>
      <c r="G87" s="103">
        <v>0</v>
      </c>
      <c r="H87" s="103">
        <v>0</v>
      </c>
      <c r="I87" s="67"/>
      <c r="J87" s="67"/>
      <c r="K87" s="67"/>
    </row>
    <row r="88" spans="1:11" x14ac:dyDescent="0.25">
      <c r="A88" s="12" t="s">
        <v>88</v>
      </c>
      <c r="B88" s="17">
        <v>325343.73</v>
      </c>
      <c r="C88" s="17">
        <v>217809.61</v>
      </c>
      <c r="D88" s="17">
        <v>167744.25</v>
      </c>
      <c r="E88" s="100" t="s">
        <v>583</v>
      </c>
      <c r="F88" s="104">
        <v>0</v>
      </c>
      <c r="G88" s="104">
        <v>0</v>
      </c>
      <c r="H88" s="104">
        <v>0</v>
      </c>
      <c r="I88" s="67"/>
      <c r="J88" s="67"/>
      <c r="K88" s="67"/>
    </row>
    <row r="89" spans="1:11" x14ac:dyDescent="0.25">
      <c r="A89" s="14" t="s">
        <v>89</v>
      </c>
      <c r="B89" s="15" t="s">
        <v>12</v>
      </c>
      <c r="C89" s="15" t="s">
        <v>12</v>
      </c>
      <c r="D89" s="15" t="s">
        <v>12</v>
      </c>
      <c r="E89" s="98" t="s">
        <v>584</v>
      </c>
      <c r="F89" s="99">
        <v>352156.79</v>
      </c>
      <c r="G89" s="99">
        <v>297958.34999999998</v>
      </c>
      <c r="H89" s="99">
        <v>269711.56</v>
      </c>
      <c r="I89" s="67"/>
      <c r="J89" s="67"/>
      <c r="K89" s="67"/>
    </row>
    <row r="90" spans="1:11" x14ac:dyDescent="0.25">
      <c r="A90" s="12" t="s">
        <v>90</v>
      </c>
      <c r="B90" s="17">
        <v>5009.83</v>
      </c>
      <c r="C90" s="17">
        <v>3250.31</v>
      </c>
      <c r="D90" s="17">
        <v>3020.53</v>
      </c>
      <c r="E90" s="100" t="s">
        <v>585</v>
      </c>
      <c r="F90" s="104">
        <v>775.7</v>
      </c>
      <c r="G90" s="102">
        <v>1135.8</v>
      </c>
      <c r="H90" s="102">
        <v>1114.77</v>
      </c>
      <c r="I90" s="67"/>
      <c r="J90" s="67"/>
      <c r="K90" s="67"/>
    </row>
    <row r="91" spans="1:11" x14ac:dyDescent="0.25">
      <c r="A91" s="14" t="s">
        <v>91</v>
      </c>
      <c r="B91" s="18">
        <v>56182.54</v>
      </c>
      <c r="C91" s="18">
        <v>102752.99</v>
      </c>
      <c r="D91" s="18">
        <v>43292.12</v>
      </c>
      <c r="E91" s="98" t="s">
        <v>586</v>
      </c>
      <c r="F91" s="54" t="s">
        <v>12</v>
      </c>
      <c r="G91" s="54" t="s">
        <v>12</v>
      </c>
      <c r="H91" s="54" t="s">
        <v>12</v>
      </c>
      <c r="I91" s="67"/>
      <c r="J91" s="67"/>
      <c r="K91" s="67"/>
    </row>
    <row r="92" spans="1:11" x14ac:dyDescent="0.25">
      <c r="A92" s="12" t="s">
        <v>92</v>
      </c>
      <c r="B92" s="17">
        <v>352932.49</v>
      </c>
      <c r="C92" s="17">
        <v>299094.15000000002</v>
      </c>
      <c r="D92" s="17">
        <v>270826.33</v>
      </c>
      <c r="E92" s="100" t="s">
        <v>587</v>
      </c>
      <c r="F92" s="101" t="s">
        <v>12</v>
      </c>
      <c r="G92" s="101" t="s">
        <v>12</v>
      </c>
      <c r="H92" s="101" t="s">
        <v>12</v>
      </c>
      <c r="I92" s="67"/>
      <c r="J92" s="67"/>
      <c r="K92" s="67"/>
    </row>
    <row r="93" spans="1:11" x14ac:dyDescent="0.25">
      <c r="A93" s="14" t="s">
        <v>93</v>
      </c>
      <c r="B93" s="20">
        <v>0</v>
      </c>
      <c r="C93" s="20">
        <v>0</v>
      </c>
      <c r="D93" s="20">
        <v>0</v>
      </c>
      <c r="E93" s="98" t="s">
        <v>588</v>
      </c>
      <c r="F93" s="54" t="s">
        <v>12</v>
      </c>
      <c r="G93" s="54" t="s">
        <v>12</v>
      </c>
      <c r="H93" s="54" t="s">
        <v>12</v>
      </c>
      <c r="I93" s="67"/>
      <c r="J93" s="67"/>
      <c r="K93" s="67"/>
    </row>
    <row r="94" spans="1:11" x14ac:dyDescent="0.25">
      <c r="A94" s="12" t="s">
        <v>94</v>
      </c>
      <c r="B94" s="13" t="s">
        <v>12</v>
      </c>
      <c r="C94" s="13" t="s">
        <v>12</v>
      </c>
      <c r="D94" s="13" t="s">
        <v>12</v>
      </c>
      <c r="E94" s="100" t="s">
        <v>589</v>
      </c>
      <c r="F94" s="101" t="s">
        <v>12</v>
      </c>
      <c r="G94" s="101" t="s">
        <v>12</v>
      </c>
      <c r="H94" s="101" t="s">
        <v>12</v>
      </c>
      <c r="I94" s="67"/>
      <c r="J94" s="67"/>
      <c r="K94" s="67"/>
    </row>
    <row r="95" spans="1:11" x14ac:dyDescent="0.25">
      <c r="A95" s="14" t="s">
        <v>95</v>
      </c>
      <c r="B95" s="20">
        <v>0</v>
      </c>
      <c r="C95" s="20">
        <v>0</v>
      </c>
      <c r="D95" s="20">
        <v>0</v>
      </c>
      <c r="E95" s="98" t="s">
        <v>590</v>
      </c>
      <c r="F95" s="99">
        <v>623028.61</v>
      </c>
      <c r="G95" s="99">
        <v>570548.88</v>
      </c>
      <c r="H95" s="99">
        <v>474864.57</v>
      </c>
      <c r="I95" s="67"/>
      <c r="J95" s="67"/>
      <c r="K95" s="67"/>
    </row>
    <row r="96" spans="1:11" x14ac:dyDescent="0.25">
      <c r="A96" s="12" t="s">
        <v>96</v>
      </c>
      <c r="B96" s="13" t="s">
        <v>12</v>
      </c>
      <c r="C96" s="13" t="s">
        <v>12</v>
      </c>
      <c r="D96" s="13" t="s">
        <v>12</v>
      </c>
      <c r="E96" s="100" t="s">
        <v>591</v>
      </c>
      <c r="F96" s="102">
        <v>566846.06999999995</v>
      </c>
      <c r="G96" s="102">
        <v>467795.89</v>
      </c>
      <c r="H96" s="102">
        <v>431572.45</v>
      </c>
      <c r="I96" s="67"/>
      <c r="J96" s="67"/>
      <c r="K96" s="67"/>
    </row>
    <row r="97" spans="1:11" x14ac:dyDescent="0.25">
      <c r="A97" s="14" t="s">
        <v>97</v>
      </c>
      <c r="B97" s="18">
        <v>352932.49</v>
      </c>
      <c r="C97" s="18">
        <v>299094.15000000002</v>
      </c>
      <c r="D97" s="18">
        <v>270826.33</v>
      </c>
      <c r="E97" s="98" t="s">
        <v>592</v>
      </c>
      <c r="F97" s="99">
        <v>8238.15</v>
      </c>
      <c r="G97" s="99">
        <v>12172.17</v>
      </c>
      <c r="H97" s="99">
        <v>20656.39</v>
      </c>
      <c r="I97" s="67"/>
      <c r="J97" s="67"/>
      <c r="K97" s="67"/>
    </row>
    <row r="98" spans="1:11" x14ac:dyDescent="0.25">
      <c r="A98" s="12" t="s">
        <v>98</v>
      </c>
      <c r="B98" s="13" t="s">
        <v>12</v>
      </c>
      <c r="C98" s="13" t="s">
        <v>12</v>
      </c>
      <c r="D98" s="13" t="s">
        <v>12</v>
      </c>
      <c r="E98" s="100" t="s">
        <v>593</v>
      </c>
      <c r="F98" s="102">
        <v>228254.35</v>
      </c>
      <c r="G98" s="102">
        <v>234563.79</v>
      </c>
      <c r="H98" s="102">
        <v>240151.27</v>
      </c>
      <c r="I98" s="67"/>
      <c r="J98" s="67"/>
      <c r="K98" s="67"/>
    </row>
    <row r="99" spans="1:11" x14ac:dyDescent="0.25">
      <c r="A99" s="14" t="s">
        <v>99</v>
      </c>
      <c r="B99" s="20">
        <v>468.54</v>
      </c>
      <c r="C99" s="20">
        <v>220.57</v>
      </c>
      <c r="D99" s="20">
        <v>221.56</v>
      </c>
      <c r="E99" s="98" t="s">
        <v>594</v>
      </c>
      <c r="F99" s="99">
        <v>288023.28000000003</v>
      </c>
      <c r="G99" s="99">
        <v>193090.46</v>
      </c>
      <c r="H99" s="99">
        <v>148029.88</v>
      </c>
      <c r="I99" s="67"/>
      <c r="J99" s="67"/>
      <c r="K99" s="67"/>
    </row>
    <row r="100" spans="1:11" x14ac:dyDescent="0.25">
      <c r="A100" s="12" t="s">
        <v>100</v>
      </c>
      <c r="B100" s="13" t="s">
        <v>12</v>
      </c>
      <c r="C100" s="13" t="s">
        <v>12</v>
      </c>
      <c r="D100" s="13" t="s">
        <v>12</v>
      </c>
      <c r="E100" s="100" t="s">
        <v>595</v>
      </c>
      <c r="F100" s="102">
        <v>37320.46</v>
      </c>
      <c r="G100" s="102">
        <v>24719.15</v>
      </c>
      <c r="H100" s="102">
        <v>19714.37</v>
      </c>
      <c r="I100" s="67"/>
      <c r="J100" s="67"/>
      <c r="K100" s="67"/>
    </row>
    <row r="101" spans="1:11" x14ac:dyDescent="0.25">
      <c r="A101" s="14" t="s">
        <v>101</v>
      </c>
      <c r="B101" s="20">
        <v>0</v>
      </c>
      <c r="C101" s="20">
        <v>0</v>
      </c>
      <c r="D101" s="20">
        <v>0</v>
      </c>
      <c r="E101" s="98" t="s">
        <v>596</v>
      </c>
      <c r="F101" s="99">
        <v>5009.83</v>
      </c>
      <c r="G101" s="99">
        <v>3250.31</v>
      </c>
      <c r="H101" s="99">
        <v>3020.53</v>
      </c>
      <c r="I101" s="67"/>
      <c r="J101" s="67"/>
      <c r="K101" s="67"/>
    </row>
    <row r="102" spans="1:11" x14ac:dyDescent="0.25">
      <c r="A102" s="12" t="s">
        <v>102</v>
      </c>
      <c r="B102" s="19">
        <v>468.54</v>
      </c>
      <c r="C102" s="19">
        <v>220.57</v>
      </c>
      <c r="D102" s="19">
        <v>221.56</v>
      </c>
      <c r="E102" s="100" t="s">
        <v>597</v>
      </c>
      <c r="F102" s="102">
        <v>56182.54</v>
      </c>
      <c r="G102" s="102">
        <v>102752.99</v>
      </c>
      <c r="H102" s="102">
        <v>43292.12</v>
      </c>
      <c r="I102" s="67"/>
      <c r="J102" s="67"/>
      <c r="K102" s="67"/>
    </row>
    <row r="103" spans="1:11" x14ac:dyDescent="0.25">
      <c r="A103" s="14" t="s">
        <v>103</v>
      </c>
      <c r="B103" s="15" t="s">
        <v>12</v>
      </c>
      <c r="C103" s="15" t="s">
        <v>12</v>
      </c>
      <c r="D103" s="15" t="s">
        <v>12</v>
      </c>
      <c r="E103" s="98" t="s">
        <v>598</v>
      </c>
      <c r="F103" s="103">
        <v>0</v>
      </c>
      <c r="G103" s="103">
        <v>0</v>
      </c>
      <c r="H103" s="103">
        <v>0</v>
      </c>
      <c r="I103" s="67"/>
      <c r="J103" s="67"/>
      <c r="K103" s="67"/>
    </row>
    <row r="104" spans="1:11" x14ac:dyDescent="0.25">
      <c r="A104" s="12" t="s">
        <v>104</v>
      </c>
      <c r="B104" s="19">
        <v>7</v>
      </c>
      <c r="C104" s="19">
        <v>7</v>
      </c>
      <c r="D104" s="19">
        <v>7</v>
      </c>
      <c r="E104" s="100" t="s">
        <v>599</v>
      </c>
      <c r="F104" s="104">
        <v>468.54</v>
      </c>
      <c r="G104" s="104">
        <v>220.57</v>
      </c>
      <c r="H104" s="104">
        <v>221.56</v>
      </c>
      <c r="I104" s="67"/>
      <c r="J104" s="67"/>
      <c r="K104" s="67"/>
    </row>
    <row r="105" spans="1:11" x14ac:dyDescent="0.25">
      <c r="A105" s="14" t="s">
        <v>105</v>
      </c>
      <c r="B105" s="20">
        <v>0</v>
      </c>
      <c r="C105" s="20">
        <v>0</v>
      </c>
      <c r="D105" s="20">
        <v>0</v>
      </c>
      <c r="E105" s="98" t="s">
        <v>600</v>
      </c>
      <c r="F105" s="103">
        <v>0</v>
      </c>
      <c r="G105" s="103">
        <v>0</v>
      </c>
      <c r="H105" s="103">
        <v>0</v>
      </c>
      <c r="I105" s="67"/>
      <c r="J105" s="67"/>
      <c r="K105" s="67"/>
    </row>
    <row r="106" spans="1:11" x14ac:dyDescent="0.25">
      <c r="A106" s="12" t="s">
        <v>106</v>
      </c>
      <c r="B106" s="19">
        <v>0</v>
      </c>
      <c r="C106" s="19">
        <v>0</v>
      </c>
      <c r="D106" s="19">
        <v>0</v>
      </c>
      <c r="E106" s="100" t="s">
        <v>601</v>
      </c>
      <c r="F106" s="104">
        <v>0</v>
      </c>
      <c r="G106" s="104">
        <v>0</v>
      </c>
      <c r="H106" s="104">
        <v>0</v>
      </c>
      <c r="I106" s="67"/>
      <c r="J106" s="67"/>
      <c r="K106" s="67"/>
    </row>
    <row r="107" spans="1:11" x14ac:dyDescent="0.25">
      <c r="A107" s="14" t="s">
        <v>107</v>
      </c>
      <c r="B107" s="20">
        <v>7</v>
      </c>
      <c r="C107" s="20">
        <v>7</v>
      </c>
      <c r="D107" s="20">
        <v>7</v>
      </c>
      <c r="E107" s="98" t="s">
        <v>602</v>
      </c>
      <c r="F107" s="103">
        <v>468.54</v>
      </c>
      <c r="G107" s="103">
        <v>220.57</v>
      </c>
      <c r="H107" s="103">
        <v>221.56</v>
      </c>
      <c r="I107" s="67"/>
      <c r="J107" s="67"/>
      <c r="K107" s="67"/>
    </row>
    <row r="108" spans="1:11" x14ac:dyDescent="0.25">
      <c r="A108" s="12" t="s">
        <v>108</v>
      </c>
      <c r="B108" s="19">
        <v>0</v>
      </c>
      <c r="C108" s="19">
        <v>0</v>
      </c>
      <c r="D108" s="19">
        <v>0</v>
      </c>
      <c r="E108" s="100" t="s">
        <v>603</v>
      </c>
      <c r="F108" s="104">
        <v>7</v>
      </c>
      <c r="G108" s="104">
        <v>7</v>
      </c>
      <c r="H108" s="104">
        <v>7</v>
      </c>
      <c r="I108" s="67"/>
      <c r="J108" s="67"/>
      <c r="K108" s="67"/>
    </row>
    <row r="109" spans="1:11" x14ac:dyDescent="0.25">
      <c r="A109" s="14" t="s">
        <v>109</v>
      </c>
      <c r="B109" s="20">
        <v>0</v>
      </c>
      <c r="C109" s="20">
        <v>0</v>
      </c>
      <c r="D109" s="20">
        <v>0</v>
      </c>
      <c r="E109" s="98" t="s">
        <v>604</v>
      </c>
      <c r="F109" s="103">
        <v>0</v>
      </c>
      <c r="G109" s="103">
        <v>0</v>
      </c>
      <c r="H109" s="103">
        <v>0</v>
      </c>
      <c r="I109" s="67"/>
      <c r="J109" s="67"/>
      <c r="K109" s="67"/>
    </row>
    <row r="110" spans="1:11" x14ac:dyDescent="0.25">
      <c r="A110" s="12" t="s">
        <v>110</v>
      </c>
      <c r="B110" s="13" t="s">
        <v>12</v>
      </c>
      <c r="C110" s="13" t="s">
        <v>12</v>
      </c>
      <c r="D110" s="13" t="s">
        <v>12</v>
      </c>
      <c r="E110" s="100" t="s">
        <v>605</v>
      </c>
      <c r="F110" s="104">
        <v>0</v>
      </c>
      <c r="G110" s="104">
        <v>0</v>
      </c>
      <c r="H110" s="104">
        <v>0</v>
      </c>
      <c r="I110" s="67"/>
      <c r="J110" s="67"/>
      <c r="K110" s="67"/>
    </row>
    <row r="111" spans="1:11" x14ac:dyDescent="0.25">
      <c r="A111" s="14" t="s">
        <v>111</v>
      </c>
      <c r="B111" s="15" t="s">
        <v>12</v>
      </c>
      <c r="C111" s="15" t="s">
        <v>12</v>
      </c>
      <c r="D111" s="15" t="s">
        <v>12</v>
      </c>
      <c r="E111" s="98" t="s">
        <v>606</v>
      </c>
      <c r="F111" s="103">
        <v>7</v>
      </c>
      <c r="G111" s="103">
        <v>7</v>
      </c>
      <c r="H111" s="103">
        <v>7</v>
      </c>
      <c r="I111" s="67"/>
      <c r="J111" s="67"/>
      <c r="K111" s="67"/>
    </row>
    <row r="112" spans="1:11" x14ac:dyDescent="0.25">
      <c r="A112" s="12" t="s">
        <v>112</v>
      </c>
      <c r="B112" s="19">
        <v>0</v>
      </c>
      <c r="C112" s="19">
        <v>0</v>
      </c>
      <c r="D112" s="19">
        <v>0</v>
      </c>
      <c r="E112" s="100" t="s">
        <v>607</v>
      </c>
      <c r="F112" s="104">
        <v>7</v>
      </c>
      <c r="G112" s="104">
        <v>7</v>
      </c>
      <c r="H112" s="104">
        <v>7</v>
      </c>
      <c r="I112" s="67"/>
      <c r="J112" s="67"/>
      <c r="K112" s="67"/>
    </row>
    <row r="113" spans="1:11" x14ac:dyDescent="0.25">
      <c r="A113" s="14" t="s">
        <v>113</v>
      </c>
      <c r="B113" s="18">
        <v>38372.71</v>
      </c>
      <c r="C113" s="18">
        <v>7149.46</v>
      </c>
      <c r="D113" s="18">
        <v>6406.09</v>
      </c>
      <c r="E113" s="98" t="s">
        <v>608</v>
      </c>
      <c r="F113" s="103">
        <v>7</v>
      </c>
      <c r="G113" s="103">
        <v>7</v>
      </c>
      <c r="H113" s="103">
        <v>7</v>
      </c>
      <c r="I113" s="67"/>
      <c r="J113" s="67"/>
      <c r="K113" s="67"/>
    </row>
    <row r="114" spans="1:11" x14ac:dyDescent="0.25">
      <c r="A114" s="12" t="s">
        <v>114</v>
      </c>
      <c r="B114" s="17">
        <v>36918.370000000003</v>
      </c>
      <c r="C114" s="17">
        <v>5548</v>
      </c>
      <c r="D114" s="17">
        <v>4446</v>
      </c>
      <c r="E114" s="100" t="s">
        <v>609</v>
      </c>
      <c r="F114" s="104">
        <v>0</v>
      </c>
      <c r="G114" s="104">
        <v>0</v>
      </c>
      <c r="H114" s="104">
        <v>0</v>
      </c>
      <c r="I114" s="67"/>
      <c r="J114" s="67"/>
      <c r="K114" s="67"/>
    </row>
    <row r="115" spans="1:11" x14ac:dyDescent="0.25">
      <c r="A115" s="14" t="s">
        <v>115</v>
      </c>
      <c r="B115" s="18">
        <v>1454.34</v>
      </c>
      <c r="C115" s="18">
        <v>1601.46</v>
      </c>
      <c r="D115" s="18">
        <v>1960.09</v>
      </c>
      <c r="E115" s="98" t="s">
        <v>610</v>
      </c>
      <c r="F115" s="103">
        <v>0</v>
      </c>
      <c r="G115" s="103">
        <v>0</v>
      </c>
      <c r="H115" s="103">
        <v>0</v>
      </c>
      <c r="I115" s="67"/>
      <c r="J115" s="67"/>
      <c r="K115" s="67"/>
    </row>
    <row r="116" spans="1:11" x14ac:dyDescent="0.25">
      <c r="A116" s="12" t="s">
        <v>116</v>
      </c>
      <c r="B116" s="13" t="s">
        <v>12</v>
      </c>
      <c r="C116" s="13" t="s">
        <v>12</v>
      </c>
      <c r="D116" s="13" t="s">
        <v>12</v>
      </c>
      <c r="E116" s="100" t="s">
        <v>611</v>
      </c>
      <c r="F116" s="104">
        <v>0</v>
      </c>
      <c r="G116" s="104">
        <v>0</v>
      </c>
      <c r="H116" s="104">
        <v>0</v>
      </c>
      <c r="I116" s="67"/>
      <c r="J116" s="67"/>
      <c r="K116" s="67"/>
    </row>
    <row r="117" spans="1:11" x14ac:dyDescent="0.25">
      <c r="A117" s="14" t="s">
        <v>117</v>
      </c>
      <c r="B117" s="18">
        <v>1134462.03</v>
      </c>
      <c r="C117" s="18">
        <v>604938.98</v>
      </c>
      <c r="D117" s="18">
        <v>733902.97</v>
      </c>
      <c r="E117" s="98" t="s">
        <v>612</v>
      </c>
      <c r="F117" s="54" t="s">
        <v>12</v>
      </c>
      <c r="G117" s="54" t="s">
        <v>12</v>
      </c>
      <c r="H117" s="54" t="s">
        <v>12</v>
      </c>
      <c r="I117" s="67"/>
      <c r="J117" s="67"/>
      <c r="K117" s="67"/>
    </row>
    <row r="118" spans="1:11" x14ac:dyDescent="0.25">
      <c r="A118" s="12" t="s">
        <v>118</v>
      </c>
      <c r="B118" s="17">
        <v>447288.34</v>
      </c>
      <c r="C118" s="17">
        <v>354422.6</v>
      </c>
      <c r="D118" s="17">
        <v>328797.03999999998</v>
      </c>
      <c r="E118" s="100" t="s">
        <v>608</v>
      </c>
      <c r="F118" s="101" t="s">
        <v>12</v>
      </c>
      <c r="G118" s="101" t="s">
        <v>12</v>
      </c>
      <c r="H118" s="101" t="s">
        <v>12</v>
      </c>
      <c r="I118" s="67"/>
      <c r="J118" s="67"/>
      <c r="K118" s="67"/>
    </row>
    <row r="119" spans="1:11" x14ac:dyDescent="0.25">
      <c r="A119" s="14" t="s">
        <v>119</v>
      </c>
      <c r="B119" s="18">
        <v>5233.46</v>
      </c>
      <c r="C119" s="18">
        <v>4956.37</v>
      </c>
      <c r="D119" s="18">
        <v>3500.47</v>
      </c>
      <c r="E119" s="98" t="s">
        <v>609</v>
      </c>
      <c r="F119" s="54" t="s">
        <v>12</v>
      </c>
      <c r="G119" s="54" t="s">
        <v>12</v>
      </c>
      <c r="H119" s="54" t="s">
        <v>12</v>
      </c>
      <c r="I119" s="67"/>
      <c r="J119" s="67"/>
      <c r="K119" s="67"/>
    </row>
    <row r="120" spans="1:11" x14ac:dyDescent="0.25">
      <c r="A120" s="12" t="s">
        <v>120</v>
      </c>
      <c r="B120" s="17">
        <v>358563.1</v>
      </c>
      <c r="C120" s="17">
        <v>270184.33</v>
      </c>
      <c r="D120" s="17">
        <v>250976.02</v>
      </c>
      <c r="E120" s="100" t="s">
        <v>610</v>
      </c>
      <c r="F120" s="101" t="s">
        <v>12</v>
      </c>
      <c r="G120" s="101" t="s">
        <v>12</v>
      </c>
      <c r="H120" s="101" t="s">
        <v>12</v>
      </c>
      <c r="I120" s="67"/>
      <c r="J120" s="67"/>
      <c r="K120" s="67"/>
    </row>
    <row r="121" spans="1:11" x14ac:dyDescent="0.25">
      <c r="A121" s="14" t="s">
        <v>121</v>
      </c>
      <c r="B121" s="18">
        <v>81879.23</v>
      </c>
      <c r="C121" s="18">
        <v>77396.509999999995</v>
      </c>
      <c r="D121" s="18">
        <v>73716.94</v>
      </c>
      <c r="E121" s="98" t="s">
        <v>611</v>
      </c>
      <c r="F121" s="54" t="s">
        <v>12</v>
      </c>
      <c r="G121" s="54" t="s">
        <v>12</v>
      </c>
      <c r="H121" s="54" t="s">
        <v>12</v>
      </c>
      <c r="I121" s="67"/>
      <c r="J121" s="67"/>
      <c r="K121" s="67"/>
    </row>
    <row r="122" spans="1:11" x14ac:dyDescent="0.25">
      <c r="A122" s="12" t="s">
        <v>122</v>
      </c>
      <c r="B122" s="17">
        <v>1612.56</v>
      </c>
      <c r="C122" s="17">
        <v>1885.4</v>
      </c>
      <c r="D122" s="19">
        <v>603.61</v>
      </c>
      <c r="E122" s="100" t="s">
        <v>613</v>
      </c>
      <c r="F122" s="101" t="s">
        <v>12</v>
      </c>
      <c r="G122" s="101" t="s">
        <v>12</v>
      </c>
      <c r="H122" s="101" t="s">
        <v>12</v>
      </c>
      <c r="I122" s="67"/>
      <c r="J122" s="67"/>
      <c r="K122" s="67"/>
    </row>
    <row r="123" spans="1:11" x14ac:dyDescent="0.25">
      <c r="A123" s="14" t="s">
        <v>123</v>
      </c>
      <c r="B123" s="15" t="s">
        <v>12</v>
      </c>
      <c r="C123" s="15" t="s">
        <v>12</v>
      </c>
      <c r="D123" s="15" t="s">
        <v>12</v>
      </c>
      <c r="E123" s="98" t="s">
        <v>608</v>
      </c>
      <c r="F123" s="54" t="s">
        <v>12</v>
      </c>
      <c r="G123" s="54" t="s">
        <v>12</v>
      </c>
      <c r="H123" s="54" t="s">
        <v>12</v>
      </c>
      <c r="I123" s="67"/>
      <c r="J123" s="67"/>
      <c r="K123" s="67"/>
    </row>
    <row r="124" spans="1:11" x14ac:dyDescent="0.25">
      <c r="A124" s="12" t="s">
        <v>124</v>
      </c>
      <c r="B124" s="17">
        <v>258878.14</v>
      </c>
      <c r="C124" s="17">
        <v>212817.92000000001</v>
      </c>
      <c r="D124" s="17">
        <v>216532.85</v>
      </c>
      <c r="E124" s="100" t="s">
        <v>609</v>
      </c>
      <c r="F124" s="101" t="s">
        <v>12</v>
      </c>
      <c r="G124" s="101" t="s">
        <v>12</v>
      </c>
      <c r="H124" s="101" t="s">
        <v>12</v>
      </c>
      <c r="I124" s="67"/>
      <c r="J124" s="67"/>
      <c r="K124" s="67"/>
    </row>
    <row r="125" spans="1:11" x14ac:dyDescent="0.25">
      <c r="A125" s="14" t="s">
        <v>125</v>
      </c>
      <c r="B125" s="18">
        <v>192019.11</v>
      </c>
      <c r="C125" s="18">
        <v>200050.75</v>
      </c>
      <c r="D125" s="18">
        <v>203006.83</v>
      </c>
      <c r="E125" s="98" t="s">
        <v>610</v>
      </c>
      <c r="F125" s="54" t="s">
        <v>12</v>
      </c>
      <c r="G125" s="54" t="s">
        <v>12</v>
      </c>
      <c r="H125" s="54" t="s">
        <v>12</v>
      </c>
      <c r="I125" s="67"/>
      <c r="J125" s="67"/>
      <c r="K125" s="67"/>
    </row>
    <row r="126" spans="1:11" x14ac:dyDescent="0.25">
      <c r="A126" s="12" t="s">
        <v>101</v>
      </c>
      <c r="B126" s="19">
        <v>0</v>
      </c>
      <c r="C126" s="19">
        <v>0</v>
      </c>
      <c r="D126" s="19">
        <v>0</v>
      </c>
      <c r="E126" s="100" t="s">
        <v>611</v>
      </c>
      <c r="F126" s="101" t="s">
        <v>12</v>
      </c>
      <c r="G126" s="101" t="s">
        <v>12</v>
      </c>
      <c r="H126" s="101" t="s">
        <v>12</v>
      </c>
      <c r="I126" s="67"/>
      <c r="J126" s="67"/>
      <c r="K126" s="67"/>
    </row>
    <row r="127" spans="1:11" x14ac:dyDescent="0.25">
      <c r="A127" s="14" t="s">
        <v>126</v>
      </c>
      <c r="B127" s="18">
        <v>4792.17</v>
      </c>
      <c r="C127" s="18">
        <v>3727.82</v>
      </c>
      <c r="D127" s="18">
        <v>4151.41</v>
      </c>
      <c r="E127" s="98" t="s">
        <v>614</v>
      </c>
      <c r="F127" s="103">
        <v>0</v>
      </c>
      <c r="G127" s="103">
        <v>0</v>
      </c>
      <c r="H127" s="103">
        <v>0</v>
      </c>
      <c r="I127" s="67"/>
      <c r="J127" s="67"/>
      <c r="K127" s="67"/>
    </row>
    <row r="128" spans="1:11" x14ac:dyDescent="0.25">
      <c r="A128" s="12" t="s">
        <v>103</v>
      </c>
      <c r="B128" s="19">
        <v>0</v>
      </c>
      <c r="C128" s="19">
        <v>0</v>
      </c>
      <c r="D128" s="19">
        <v>0</v>
      </c>
      <c r="E128" s="100" t="s">
        <v>608</v>
      </c>
      <c r="F128" s="104">
        <v>0</v>
      </c>
      <c r="G128" s="104">
        <v>0</v>
      </c>
      <c r="H128" s="104">
        <v>0</v>
      </c>
      <c r="I128" s="67"/>
      <c r="J128" s="67"/>
      <c r="K128" s="67"/>
    </row>
    <row r="129" spans="1:11" x14ac:dyDescent="0.25">
      <c r="A129" s="14" t="s">
        <v>127</v>
      </c>
      <c r="B129" s="18">
        <v>62066.86</v>
      </c>
      <c r="C129" s="18">
        <v>9039.36</v>
      </c>
      <c r="D129" s="18">
        <v>9374.61</v>
      </c>
      <c r="E129" s="98" t="s">
        <v>609</v>
      </c>
      <c r="F129" s="103">
        <v>0</v>
      </c>
      <c r="G129" s="103">
        <v>0</v>
      </c>
      <c r="H129" s="103">
        <v>0</v>
      </c>
      <c r="I129" s="67"/>
      <c r="J129" s="67"/>
      <c r="K129" s="67"/>
    </row>
    <row r="130" spans="1:11" x14ac:dyDescent="0.25">
      <c r="A130" s="12" t="s">
        <v>128</v>
      </c>
      <c r="B130" s="17">
        <v>5874.21</v>
      </c>
      <c r="C130" s="17">
        <v>11472.06</v>
      </c>
      <c r="D130" s="17">
        <v>5291.9</v>
      </c>
      <c r="E130" s="100" t="s">
        <v>610</v>
      </c>
      <c r="F130" s="104">
        <v>0</v>
      </c>
      <c r="G130" s="104">
        <v>0</v>
      </c>
      <c r="H130" s="104">
        <v>0</v>
      </c>
      <c r="I130" s="67"/>
      <c r="J130" s="67"/>
      <c r="K130" s="67"/>
    </row>
    <row r="131" spans="1:11" x14ac:dyDescent="0.25">
      <c r="A131" s="14" t="s">
        <v>129</v>
      </c>
      <c r="B131" s="20">
        <v>0</v>
      </c>
      <c r="C131" s="20">
        <v>245.57</v>
      </c>
      <c r="D131" s="20">
        <v>0</v>
      </c>
      <c r="E131" s="98" t="s">
        <v>611</v>
      </c>
      <c r="F131" s="103">
        <v>0</v>
      </c>
      <c r="G131" s="103">
        <v>0</v>
      </c>
      <c r="H131" s="103">
        <v>0</v>
      </c>
      <c r="I131" s="67"/>
      <c r="J131" s="67"/>
      <c r="K131" s="67"/>
    </row>
    <row r="132" spans="1:11" x14ac:dyDescent="0.25">
      <c r="A132" s="12" t="s">
        <v>108</v>
      </c>
      <c r="B132" s="19">
        <v>0</v>
      </c>
      <c r="C132" s="19">
        <v>0</v>
      </c>
      <c r="D132" s="19">
        <v>0</v>
      </c>
      <c r="E132" s="100" t="s">
        <v>615</v>
      </c>
      <c r="F132" s="104">
        <v>0</v>
      </c>
      <c r="G132" s="104">
        <v>0</v>
      </c>
      <c r="H132" s="104">
        <v>0</v>
      </c>
      <c r="I132" s="67"/>
      <c r="J132" s="67"/>
      <c r="K132" s="67"/>
    </row>
    <row r="133" spans="1:11" x14ac:dyDescent="0.25">
      <c r="A133" s="14" t="s">
        <v>109</v>
      </c>
      <c r="B133" s="15" t="s">
        <v>12</v>
      </c>
      <c r="C133" s="15" t="s">
        <v>12</v>
      </c>
      <c r="D133" s="15" t="s">
        <v>12</v>
      </c>
      <c r="E133" s="98" t="s">
        <v>608</v>
      </c>
      <c r="F133" s="103">
        <v>0</v>
      </c>
      <c r="G133" s="103">
        <v>0</v>
      </c>
      <c r="H133" s="103">
        <v>0</v>
      </c>
      <c r="I133" s="67"/>
      <c r="J133" s="67"/>
      <c r="K133" s="67"/>
    </row>
    <row r="134" spans="1:11" x14ac:dyDescent="0.25">
      <c r="A134" s="12" t="s">
        <v>110</v>
      </c>
      <c r="B134" s="13" t="s">
        <v>12</v>
      </c>
      <c r="C134" s="13" t="s">
        <v>12</v>
      </c>
      <c r="D134" s="13" t="s">
        <v>12</v>
      </c>
      <c r="E134" s="100" t="s">
        <v>609</v>
      </c>
      <c r="F134" s="104">
        <v>0</v>
      </c>
      <c r="G134" s="104">
        <v>0</v>
      </c>
      <c r="H134" s="104">
        <v>0</v>
      </c>
      <c r="I134" s="67"/>
      <c r="J134" s="67"/>
      <c r="K134" s="67"/>
    </row>
    <row r="135" spans="1:11" x14ac:dyDescent="0.25">
      <c r="A135" s="14" t="s">
        <v>111</v>
      </c>
      <c r="B135" s="20">
        <v>0</v>
      </c>
      <c r="C135" s="20">
        <v>0</v>
      </c>
      <c r="D135" s="20">
        <v>0</v>
      </c>
      <c r="E135" s="98" t="s">
        <v>610</v>
      </c>
      <c r="F135" s="103">
        <v>0</v>
      </c>
      <c r="G135" s="103">
        <v>0</v>
      </c>
      <c r="H135" s="103">
        <v>0</v>
      </c>
      <c r="I135" s="67"/>
      <c r="J135" s="67"/>
      <c r="K135" s="67"/>
    </row>
    <row r="136" spans="1:11" x14ac:dyDescent="0.25">
      <c r="A136" s="12" t="s">
        <v>130</v>
      </c>
      <c r="B136" s="19">
        <v>0</v>
      </c>
      <c r="C136" s="19">
        <v>245.57</v>
      </c>
      <c r="D136" s="19">
        <v>0</v>
      </c>
      <c r="E136" s="100" t="s">
        <v>611</v>
      </c>
      <c r="F136" s="104">
        <v>0</v>
      </c>
      <c r="G136" s="104">
        <v>0</v>
      </c>
      <c r="H136" s="104">
        <v>0</v>
      </c>
      <c r="I136" s="67"/>
      <c r="J136" s="67"/>
      <c r="K136" s="67"/>
    </row>
    <row r="137" spans="1:11" x14ac:dyDescent="0.25">
      <c r="A137" s="14" t="s">
        <v>131</v>
      </c>
      <c r="B137" s="18">
        <v>418968.05</v>
      </c>
      <c r="C137" s="18">
        <v>22211.41</v>
      </c>
      <c r="D137" s="18">
        <v>183281.18</v>
      </c>
      <c r="E137" s="98" t="s">
        <v>616</v>
      </c>
      <c r="F137" s="103">
        <v>0</v>
      </c>
      <c r="G137" s="103">
        <v>0</v>
      </c>
      <c r="H137" s="103">
        <v>0</v>
      </c>
      <c r="I137" s="67"/>
      <c r="J137" s="67"/>
      <c r="K137" s="67"/>
    </row>
    <row r="138" spans="1:11" x14ac:dyDescent="0.25">
      <c r="A138" s="12" t="s">
        <v>132</v>
      </c>
      <c r="B138" s="17">
        <v>40782.160000000003</v>
      </c>
      <c r="C138" s="17">
        <v>15155.82</v>
      </c>
      <c r="D138" s="17">
        <v>27073.89</v>
      </c>
      <c r="E138" s="100" t="s">
        <v>617</v>
      </c>
      <c r="F138" s="102">
        <v>38372.71</v>
      </c>
      <c r="G138" s="102">
        <v>7149.46</v>
      </c>
      <c r="H138" s="102">
        <v>6406.09</v>
      </c>
      <c r="I138" s="67"/>
      <c r="J138" s="67"/>
      <c r="K138" s="67"/>
    </row>
    <row r="139" spans="1:11" x14ac:dyDescent="0.25">
      <c r="A139" s="14" t="s">
        <v>133</v>
      </c>
      <c r="B139" s="18">
        <v>378185.89</v>
      </c>
      <c r="C139" s="18">
        <v>7055.6</v>
      </c>
      <c r="D139" s="18">
        <v>156207.29</v>
      </c>
      <c r="E139" s="98" t="s">
        <v>618</v>
      </c>
      <c r="F139" s="99">
        <v>36918.370000000003</v>
      </c>
      <c r="G139" s="99">
        <v>5548</v>
      </c>
      <c r="H139" s="99">
        <v>4446</v>
      </c>
      <c r="I139" s="67"/>
      <c r="J139" s="67"/>
      <c r="K139" s="67"/>
    </row>
    <row r="140" spans="1:11" x14ac:dyDescent="0.25">
      <c r="A140" s="12" t="s">
        <v>134</v>
      </c>
      <c r="B140" s="19">
        <v>0</v>
      </c>
      <c r="C140" s="19">
        <v>0</v>
      </c>
      <c r="D140" s="19">
        <v>0</v>
      </c>
      <c r="E140" s="100" t="s">
        <v>619</v>
      </c>
      <c r="F140" s="102">
        <v>1454.34</v>
      </c>
      <c r="G140" s="102">
        <v>1601.46</v>
      </c>
      <c r="H140" s="102">
        <v>1960.09</v>
      </c>
      <c r="I140" s="67"/>
      <c r="J140" s="67"/>
      <c r="K140" s="67"/>
    </row>
    <row r="141" spans="1:11" x14ac:dyDescent="0.25">
      <c r="A141" s="14" t="s">
        <v>135</v>
      </c>
      <c r="B141" s="15" t="s">
        <v>12</v>
      </c>
      <c r="C141" s="15" t="s">
        <v>12</v>
      </c>
      <c r="D141" s="15" t="s">
        <v>12</v>
      </c>
      <c r="E141" s="98" t="s">
        <v>620</v>
      </c>
      <c r="F141" s="99">
        <v>1134462.03</v>
      </c>
      <c r="G141" s="99">
        <v>604938.98</v>
      </c>
      <c r="H141" s="99">
        <v>733902.97</v>
      </c>
      <c r="I141" s="67"/>
      <c r="J141" s="67"/>
      <c r="K141" s="67"/>
    </row>
    <row r="142" spans="1:11" x14ac:dyDescent="0.25">
      <c r="A142" s="12" t="s">
        <v>136</v>
      </c>
      <c r="B142" s="13" t="s">
        <v>12</v>
      </c>
      <c r="C142" s="13" t="s">
        <v>12</v>
      </c>
      <c r="D142" s="13" t="s">
        <v>12</v>
      </c>
      <c r="E142" s="100" t="s">
        <v>621</v>
      </c>
      <c r="F142" s="102">
        <v>447288.34</v>
      </c>
      <c r="G142" s="102">
        <v>354422.6</v>
      </c>
      <c r="H142" s="102">
        <v>328797.03999999998</v>
      </c>
      <c r="I142" s="67"/>
      <c r="J142" s="67"/>
      <c r="K142" s="67"/>
    </row>
    <row r="143" spans="1:11" x14ac:dyDescent="0.25">
      <c r="A143" s="14" t="s">
        <v>137</v>
      </c>
      <c r="B143" s="18">
        <v>2149271.39</v>
      </c>
      <c r="C143" s="18">
        <v>1481959.03</v>
      </c>
      <c r="D143" s="18">
        <v>1486228.52</v>
      </c>
      <c r="E143" s="98" t="s">
        <v>622</v>
      </c>
      <c r="F143" s="99">
        <v>5233.46</v>
      </c>
      <c r="G143" s="99">
        <v>4956.37</v>
      </c>
      <c r="H143" s="99">
        <v>3500.47</v>
      </c>
      <c r="I143" s="67"/>
      <c r="J143" s="67"/>
      <c r="K143" s="67"/>
    </row>
    <row r="144" spans="1:11" x14ac:dyDescent="0.25">
      <c r="A144" s="12" t="s">
        <v>138</v>
      </c>
      <c r="B144" s="17">
        <v>555112.97</v>
      </c>
      <c r="C144" s="17">
        <v>466041.54</v>
      </c>
      <c r="D144" s="17">
        <v>462548.88</v>
      </c>
      <c r="E144" s="100" t="s">
        <v>623</v>
      </c>
      <c r="F144" s="102">
        <v>358563.1</v>
      </c>
      <c r="G144" s="102">
        <v>270184.33</v>
      </c>
      <c r="H144" s="102">
        <v>250976.02</v>
      </c>
      <c r="I144" s="67"/>
      <c r="J144" s="67"/>
      <c r="K144" s="67"/>
    </row>
    <row r="145" spans="1:11" x14ac:dyDescent="0.25">
      <c r="A145" s="14" t="s">
        <v>139</v>
      </c>
      <c r="B145" s="18">
        <v>555112.97</v>
      </c>
      <c r="C145" s="18">
        <v>466041.54</v>
      </c>
      <c r="D145" s="18">
        <v>462548.88</v>
      </c>
      <c r="E145" s="98" t="s">
        <v>624</v>
      </c>
      <c r="F145" s="99">
        <v>81879.23</v>
      </c>
      <c r="G145" s="99">
        <v>77396.509999999995</v>
      </c>
      <c r="H145" s="99">
        <v>73716.94</v>
      </c>
      <c r="I145" s="67"/>
      <c r="J145" s="67"/>
      <c r="K145" s="67"/>
    </row>
    <row r="146" spans="1:11" x14ac:dyDescent="0.25">
      <c r="A146" s="12" t="s">
        <v>140</v>
      </c>
      <c r="B146" s="17">
        <v>286596.5</v>
      </c>
      <c r="C146" s="17">
        <v>286596.5</v>
      </c>
      <c r="D146" s="17">
        <v>286596.5</v>
      </c>
      <c r="E146" s="100" t="s">
        <v>625</v>
      </c>
      <c r="F146" s="104">
        <v>0</v>
      </c>
      <c r="G146" s="104">
        <v>0</v>
      </c>
      <c r="H146" s="104">
        <v>0</v>
      </c>
      <c r="I146" s="67"/>
      <c r="J146" s="67"/>
      <c r="K146" s="67"/>
    </row>
    <row r="147" spans="1:11" x14ac:dyDescent="0.25">
      <c r="A147" s="14" t="s">
        <v>141</v>
      </c>
      <c r="B147" s="15" t="s">
        <v>877</v>
      </c>
      <c r="C147" s="15" t="s">
        <v>877</v>
      </c>
      <c r="D147" s="15" t="s">
        <v>877</v>
      </c>
      <c r="E147" s="98" t="s">
        <v>626</v>
      </c>
      <c r="F147" s="99">
        <v>1612.56</v>
      </c>
      <c r="G147" s="99">
        <v>1885.4</v>
      </c>
      <c r="H147" s="103">
        <v>603.61</v>
      </c>
      <c r="I147" s="67"/>
      <c r="J147" s="67"/>
      <c r="K147" s="67"/>
    </row>
    <row r="148" spans="1:11" x14ac:dyDescent="0.25">
      <c r="A148" s="12" t="s">
        <v>142</v>
      </c>
      <c r="B148" s="13" t="s">
        <v>877</v>
      </c>
      <c r="C148" s="13" t="s">
        <v>877</v>
      </c>
      <c r="D148" s="13" t="s">
        <v>877</v>
      </c>
      <c r="E148" s="100" t="s">
        <v>627</v>
      </c>
      <c r="F148" s="102">
        <v>258878.14</v>
      </c>
      <c r="G148" s="102">
        <v>212817.92000000001</v>
      </c>
      <c r="H148" s="102">
        <v>216532.85</v>
      </c>
      <c r="I148" s="67"/>
      <c r="J148" s="67"/>
      <c r="K148" s="67"/>
    </row>
    <row r="149" spans="1:11" x14ac:dyDescent="0.25">
      <c r="A149" s="14" t="s">
        <v>143</v>
      </c>
      <c r="B149" s="15" t="s">
        <v>12</v>
      </c>
      <c r="C149" s="15" t="s">
        <v>12</v>
      </c>
      <c r="D149" s="15" t="s">
        <v>12</v>
      </c>
      <c r="E149" s="98" t="s">
        <v>628</v>
      </c>
      <c r="F149" s="103">
        <v>0</v>
      </c>
      <c r="G149" s="103">
        <v>0</v>
      </c>
      <c r="H149" s="103">
        <v>0</v>
      </c>
      <c r="I149" s="67"/>
      <c r="J149" s="67"/>
      <c r="K149" s="67"/>
    </row>
    <row r="150" spans="1:11" x14ac:dyDescent="0.25">
      <c r="A150" s="12" t="s">
        <v>144</v>
      </c>
      <c r="B150" s="19">
        <v>0</v>
      </c>
      <c r="C150" s="19">
        <v>0</v>
      </c>
      <c r="D150" s="19">
        <v>0</v>
      </c>
      <c r="E150" s="100" t="s">
        <v>629</v>
      </c>
      <c r="F150" s="104">
        <v>0</v>
      </c>
      <c r="G150" s="104">
        <v>0</v>
      </c>
      <c r="H150" s="104">
        <v>0</v>
      </c>
      <c r="I150" s="67"/>
      <c r="J150" s="67"/>
      <c r="K150" s="67"/>
    </row>
    <row r="151" spans="1:11" x14ac:dyDescent="0.25">
      <c r="A151" s="14" t="s">
        <v>145</v>
      </c>
      <c r="B151" s="18">
        <v>37044.85</v>
      </c>
      <c r="C151" s="18">
        <v>37921.64</v>
      </c>
      <c r="D151" s="18">
        <v>38482.800000000003</v>
      </c>
      <c r="E151" s="98" t="s">
        <v>630</v>
      </c>
      <c r="F151" s="103">
        <v>0</v>
      </c>
      <c r="G151" s="103">
        <v>0</v>
      </c>
      <c r="H151" s="103">
        <v>0</v>
      </c>
      <c r="I151" s="67"/>
      <c r="J151" s="67"/>
      <c r="K151" s="67"/>
    </row>
    <row r="152" spans="1:11" x14ac:dyDescent="0.25">
      <c r="A152" s="12" t="s">
        <v>146</v>
      </c>
      <c r="B152" s="19">
        <v>0</v>
      </c>
      <c r="C152" s="19">
        <v>0</v>
      </c>
      <c r="D152" s="19">
        <v>0</v>
      </c>
      <c r="E152" s="100" t="s">
        <v>631</v>
      </c>
      <c r="F152" s="104">
        <v>0</v>
      </c>
      <c r="G152" s="104">
        <v>0</v>
      </c>
      <c r="H152" s="104">
        <v>0</v>
      </c>
      <c r="I152" s="67"/>
      <c r="J152" s="67"/>
      <c r="K152" s="67"/>
    </row>
    <row r="153" spans="1:11" x14ac:dyDescent="0.25">
      <c r="A153" s="14" t="s">
        <v>147</v>
      </c>
      <c r="B153" s="15" t="s">
        <v>12</v>
      </c>
      <c r="C153" s="15" t="s">
        <v>12</v>
      </c>
      <c r="D153" s="15" t="s">
        <v>12</v>
      </c>
      <c r="E153" s="98" t="s">
        <v>632</v>
      </c>
      <c r="F153" s="103">
        <v>0</v>
      </c>
      <c r="G153" s="103">
        <v>0</v>
      </c>
      <c r="H153" s="103">
        <v>0</v>
      </c>
      <c r="I153" s="67"/>
      <c r="J153" s="67"/>
      <c r="K153" s="67"/>
    </row>
    <row r="154" spans="1:11" x14ac:dyDescent="0.25">
      <c r="A154" s="12" t="s">
        <v>148</v>
      </c>
      <c r="B154" s="13" t="s">
        <v>12</v>
      </c>
      <c r="C154" s="13" t="s">
        <v>12</v>
      </c>
      <c r="D154" s="13" t="s">
        <v>12</v>
      </c>
      <c r="E154" s="100" t="s">
        <v>633</v>
      </c>
      <c r="F154" s="104">
        <v>0</v>
      </c>
      <c r="G154" s="104">
        <v>0</v>
      </c>
      <c r="H154" s="104">
        <v>0</v>
      </c>
      <c r="I154" s="67"/>
      <c r="J154" s="67"/>
      <c r="K154" s="67"/>
    </row>
    <row r="155" spans="1:11" x14ac:dyDescent="0.25">
      <c r="A155" s="14" t="s">
        <v>149</v>
      </c>
      <c r="B155" s="20">
        <v>0</v>
      </c>
      <c r="C155" s="20">
        <v>0</v>
      </c>
      <c r="D155" s="20">
        <v>0</v>
      </c>
      <c r="E155" s="98" t="s">
        <v>629</v>
      </c>
      <c r="F155" s="103">
        <v>0</v>
      </c>
      <c r="G155" s="103">
        <v>0</v>
      </c>
      <c r="H155" s="103">
        <v>0</v>
      </c>
      <c r="I155" s="67"/>
      <c r="J155" s="67"/>
      <c r="K155" s="67"/>
    </row>
    <row r="156" spans="1:11" x14ac:dyDescent="0.25">
      <c r="A156" s="12" t="s">
        <v>150</v>
      </c>
      <c r="B156" s="19">
        <v>0</v>
      </c>
      <c r="C156" s="19">
        <v>0</v>
      </c>
      <c r="D156" s="19">
        <v>0</v>
      </c>
      <c r="E156" s="100" t="s">
        <v>630</v>
      </c>
      <c r="F156" s="104">
        <v>0</v>
      </c>
      <c r="G156" s="104">
        <v>0</v>
      </c>
      <c r="H156" s="104">
        <v>0</v>
      </c>
      <c r="I156" s="67"/>
      <c r="J156" s="67"/>
      <c r="K156" s="67"/>
    </row>
    <row r="157" spans="1:11" x14ac:dyDescent="0.25">
      <c r="A157" s="14" t="s">
        <v>151</v>
      </c>
      <c r="B157" s="18">
        <v>89071.43</v>
      </c>
      <c r="C157" s="18">
        <v>3492.65</v>
      </c>
      <c r="D157" s="20">
        <v>563.79999999999995</v>
      </c>
      <c r="E157" s="98" t="s">
        <v>631</v>
      </c>
      <c r="F157" s="103">
        <v>0</v>
      </c>
      <c r="G157" s="103">
        <v>0</v>
      </c>
      <c r="H157" s="103">
        <v>0</v>
      </c>
      <c r="I157" s="67"/>
      <c r="J157" s="67"/>
      <c r="K157" s="67"/>
    </row>
    <row r="158" spans="1:11" x14ac:dyDescent="0.25">
      <c r="A158" s="12" t="s">
        <v>152</v>
      </c>
      <c r="B158" s="13" t="s">
        <v>12</v>
      </c>
      <c r="C158" s="13" t="s">
        <v>12</v>
      </c>
      <c r="D158" s="13" t="s">
        <v>12</v>
      </c>
      <c r="E158" s="100" t="s">
        <v>632</v>
      </c>
      <c r="F158" s="104">
        <v>0</v>
      </c>
      <c r="G158" s="104">
        <v>0</v>
      </c>
      <c r="H158" s="104">
        <v>0</v>
      </c>
      <c r="I158" s="67"/>
      <c r="J158" s="67"/>
      <c r="K158" s="67"/>
    </row>
    <row r="159" spans="1:11" x14ac:dyDescent="0.25">
      <c r="A159" s="14" t="s">
        <v>153</v>
      </c>
      <c r="B159" s="18">
        <v>142400.19</v>
      </c>
      <c r="C159" s="18">
        <v>138030.75</v>
      </c>
      <c r="D159" s="18">
        <v>136905.78</v>
      </c>
      <c r="E159" s="98" t="s">
        <v>634</v>
      </c>
      <c r="F159" s="99">
        <v>258878.14</v>
      </c>
      <c r="G159" s="99">
        <v>212817.92000000001</v>
      </c>
      <c r="H159" s="99">
        <v>216532.85</v>
      </c>
      <c r="I159" s="67"/>
      <c r="J159" s="67"/>
      <c r="K159" s="67"/>
    </row>
    <row r="160" spans="1:11" x14ac:dyDescent="0.25">
      <c r="A160" s="12" t="s">
        <v>154</v>
      </c>
      <c r="B160" s="19">
        <v>0</v>
      </c>
      <c r="C160" s="19">
        <v>0</v>
      </c>
      <c r="D160" s="19">
        <v>0</v>
      </c>
      <c r="E160" s="100" t="s">
        <v>629</v>
      </c>
      <c r="F160" s="102">
        <v>192019.11</v>
      </c>
      <c r="G160" s="102">
        <v>200050.75</v>
      </c>
      <c r="H160" s="102">
        <v>203006.83</v>
      </c>
      <c r="I160" s="67"/>
      <c r="J160" s="67"/>
      <c r="K160" s="67"/>
    </row>
    <row r="161" spans="1:11" x14ac:dyDescent="0.25">
      <c r="A161" s="14" t="s">
        <v>155</v>
      </c>
      <c r="B161" s="18">
        <v>1594158.42</v>
      </c>
      <c r="C161" s="18">
        <v>1015917.5</v>
      </c>
      <c r="D161" s="18">
        <v>1023679.64</v>
      </c>
      <c r="E161" s="98" t="s">
        <v>630</v>
      </c>
      <c r="F161" s="99">
        <v>192019.11</v>
      </c>
      <c r="G161" s="99">
        <v>200050.75</v>
      </c>
      <c r="H161" s="99">
        <v>203006.83</v>
      </c>
      <c r="I161" s="67"/>
      <c r="J161" s="67"/>
      <c r="K161" s="67"/>
    </row>
    <row r="162" spans="1:11" x14ac:dyDescent="0.25">
      <c r="A162" s="12" t="s">
        <v>156</v>
      </c>
      <c r="B162" s="17">
        <v>584016.69999999995</v>
      </c>
      <c r="C162" s="17">
        <v>360179.81</v>
      </c>
      <c r="D162" s="17">
        <v>452149.29</v>
      </c>
      <c r="E162" s="100" t="s">
        <v>631</v>
      </c>
      <c r="F162" s="104">
        <v>0</v>
      </c>
      <c r="G162" s="104">
        <v>0</v>
      </c>
      <c r="H162" s="104">
        <v>0</v>
      </c>
      <c r="I162" s="67"/>
      <c r="J162" s="67"/>
      <c r="K162" s="67"/>
    </row>
    <row r="163" spans="1:11" x14ac:dyDescent="0.25">
      <c r="A163" s="14" t="s">
        <v>157</v>
      </c>
      <c r="B163" s="18">
        <v>409596.77</v>
      </c>
      <c r="C163" s="18">
        <v>235940.65</v>
      </c>
      <c r="D163" s="18">
        <v>337578.25</v>
      </c>
      <c r="E163" s="98" t="s">
        <v>635</v>
      </c>
      <c r="F163" s="99">
        <v>62066.86</v>
      </c>
      <c r="G163" s="99">
        <v>9039.36</v>
      </c>
      <c r="H163" s="99">
        <v>9374.61</v>
      </c>
      <c r="I163" s="67"/>
      <c r="J163" s="67"/>
      <c r="K163" s="67"/>
    </row>
    <row r="164" spans="1:11" x14ac:dyDescent="0.25">
      <c r="A164" s="12" t="s">
        <v>109</v>
      </c>
      <c r="B164" s="13" t="s">
        <v>12</v>
      </c>
      <c r="C164" s="13" t="s">
        <v>12</v>
      </c>
      <c r="D164" s="13" t="s">
        <v>12</v>
      </c>
      <c r="E164" s="100" t="s">
        <v>636</v>
      </c>
      <c r="F164" s="102">
        <v>4792.17</v>
      </c>
      <c r="G164" s="102">
        <v>3727.82</v>
      </c>
      <c r="H164" s="102">
        <v>4151.41</v>
      </c>
      <c r="I164" s="67"/>
      <c r="J164" s="67"/>
      <c r="K164" s="67"/>
    </row>
    <row r="165" spans="1:11" x14ac:dyDescent="0.25">
      <c r="A165" s="14" t="s">
        <v>158</v>
      </c>
      <c r="B165" s="18">
        <v>1038.81</v>
      </c>
      <c r="C165" s="18">
        <v>5997.84</v>
      </c>
      <c r="D165" s="18">
        <v>9120.3700000000008</v>
      </c>
      <c r="E165" s="98" t="s">
        <v>637</v>
      </c>
      <c r="F165" s="103">
        <v>0</v>
      </c>
      <c r="G165" s="103">
        <v>0</v>
      </c>
      <c r="H165" s="103">
        <v>0</v>
      </c>
      <c r="I165" s="67"/>
      <c r="J165" s="67"/>
      <c r="K165" s="67"/>
    </row>
    <row r="166" spans="1:11" x14ac:dyDescent="0.25">
      <c r="A166" s="12" t="s">
        <v>159</v>
      </c>
      <c r="B166" s="19">
        <v>0</v>
      </c>
      <c r="C166" s="19">
        <v>0</v>
      </c>
      <c r="D166" s="19">
        <v>0</v>
      </c>
      <c r="E166" s="100" t="s">
        <v>638</v>
      </c>
      <c r="F166" s="102">
        <v>418968.05</v>
      </c>
      <c r="G166" s="102">
        <v>22456.98</v>
      </c>
      <c r="H166" s="102">
        <v>183281.18</v>
      </c>
      <c r="I166" s="67"/>
      <c r="J166" s="67"/>
      <c r="K166" s="67"/>
    </row>
    <row r="167" spans="1:11" x14ac:dyDescent="0.25">
      <c r="A167" s="14" t="s">
        <v>160</v>
      </c>
      <c r="B167" s="15" t="s">
        <v>12</v>
      </c>
      <c r="C167" s="15" t="s">
        <v>12</v>
      </c>
      <c r="D167" s="15" t="s">
        <v>12</v>
      </c>
      <c r="E167" s="98" t="s">
        <v>639</v>
      </c>
      <c r="F167" s="99">
        <v>418968.05</v>
      </c>
      <c r="G167" s="99">
        <v>22456.98</v>
      </c>
      <c r="H167" s="99">
        <v>183281.18</v>
      </c>
      <c r="I167" s="67"/>
      <c r="J167" s="67"/>
      <c r="K167" s="67"/>
    </row>
    <row r="168" spans="1:11" x14ac:dyDescent="0.25">
      <c r="A168" s="12" t="s">
        <v>161</v>
      </c>
      <c r="B168" s="13" t="s">
        <v>12</v>
      </c>
      <c r="C168" s="13" t="s">
        <v>12</v>
      </c>
      <c r="D168" s="13" t="s">
        <v>12</v>
      </c>
      <c r="E168" s="100" t="s">
        <v>607</v>
      </c>
      <c r="F168" s="104">
        <v>0</v>
      </c>
      <c r="G168" s="104">
        <v>0</v>
      </c>
      <c r="H168" s="104">
        <v>0</v>
      </c>
      <c r="I168" s="67"/>
      <c r="J168" s="67"/>
      <c r="K168" s="67"/>
    </row>
    <row r="169" spans="1:11" x14ac:dyDescent="0.25">
      <c r="A169" s="14" t="s">
        <v>162</v>
      </c>
      <c r="B169" s="18">
        <v>80123.37</v>
      </c>
      <c r="C169" s="18">
        <v>29767.79</v>
      </c>
      <c r="D169" s="18">
        <v>27674.16</v>
      </c>
      <c r="E169" s="98" t="s">
        <v>608</v>
      </c>
      <c r="F169" s="103">
        <v>0</v>
      </c>
      <c r="G169" s="103">
        <v>0</v>
      </c>
      <c r="H169" s="103">
        <v>0</v>
      </c>
      <c r="I169" s="67"/>
      <c r="J169" s="67"/>
      <c r="K169" s="67"/>
    </row>
    <row r="170" spans="1:11" x14ac:dyDescent="0.25">
      <c r="A170" s="12" t="s">
        <v>163</v>
      </c>
      <c r="B170" s="17">
        <v>89402.7</v>
      </c>
      <c r="C170" s="17">
        <v>77828.509999999995</v>
      </c>
      <c r="D170" s="17">
        <v>66664.45</v>
      </c>
      <c r="E170" s="100" t="s">
        <v>609</v>
      </c>
      <c r="F170" s="104">
        <v>0</v>
      </c>
      <c r="G170" s="104">
        <v>0</v>
      </c>
      <c r="H170" s="104">
        <v>0</v>
      </c>
      <c r="I170" s="67"/>
      <c r="J170" s="67"/>
      <c r="K170" s="67"/>
    </row>
    <row r="171" spans="1:11" x14ac:dyDescent="0.25">
      <c r="A171" s="14" t="s">
        <v>161</v>
      </c>
      <c r="B171" s="18">
        <v>3855.05</v>
      </c>
      <c r="C171" s="18">
        <v>10645.02</v>
      </c>
      <c r="D171" s="18">
        <v>11112.06</v>
      </c>
      <c r="E171" s="98" t="s">
        <v>610</v>
      </c>
      <c r="F171" s="103">
        <v>0</v>
      </c>
      <c r="G171" s="103">
        <v>0</v>
      </c>
      <c r="H171" s="103">
        <v>0</v>
      </c>
      <c r="I171" s="67"/>
      <c r="J171" s="67"/>
      <c r="K171" s="67"/>
    </row>
    <row r="172" spans="1:11" x14ac:dyDescent="0.25">
      <c r="A172" s="12" t="s">
        <v>164</v>
      </c>
      <c r="B172" s="17">
        <v>1010141.72</v>
      </c>
      <c r="C172" s="17">
        <v>655737.68999999994</v>
      </c>
      <c r="D172" s="17">
        <v>571530.35</v>
      </c>
      <c r="E172" s="100" t="s">
        <v>640</v>
      </c>
      <c r="F172" s="104">
        <v>0</v>
      </c>
      <c r="G172" s="104">
        <v>0</v>
      </c>
      <c r="H172" s="104">
        <v>0</v>
      </c>
      <c r="I172" s="67"/>
      <c r="J172" s="67"/>
      <c r="K172" s="67"/>
    </row>
    <row r="173" spans="1:11" x14ac:dyDescent="0.25">
      <c r="A173" s="14" t="s">
        <v>165</v>
      </c>
      <c r="B173" s="15" t="s">
        <v>12</v>
      </c>
      <c r="C173" s="15" t="s">
        <v>12</v>
      </c>
      <c r="D173" s="15" t="s">
        <v>12</v>
      </c>
      <c r="E173" s="98" t="s">
        <v>641</v>
      </c>
      <c r="F173" s="54" t="s">
        <v>12</v>
      </c>
      <c r="G173" s="54" t="s">
        <v>12</v>
      </c>
      <c r="H173" s="54" t="s">
        <v>12</v>
      </c>
      <c r="I173" s="67"/>
      <c r="J173" s="67"/>
      <c r="K173" s="67"/>
    </row>
    <row r="174" spans="1:11" x14ac:dyDescent="0.25">
      <c r="A174" s="12" t="s">
        <v>166</v>
      </c>
      <c r="B174" s="17">
        <v>227276.72</v>
      </c>
      <c r="C174" s="17">
        <v>121869.97</v>
      </c>
      <c r="D174" s="17">
        <v>13404.44</v>
      </c>
      <c r="E174" s="100" t="s">
        <v>608</v>
      </c>
      <c r="F174" s="101" t="s">
        <v>12</v>
      </c>
      <c r="G174" s="101" t="s">
        <v>12</v>
      </c>
      <c r="H174" s="101" t="s">
        <v>12</v>
      </c>
      <c r="I174" s="67"/>
      <c r="J174" s="67"/>
      <c r="K174" s="67"/>
    </row>
    <row r="175" spans="1:11" x14ac:dyDescent="0.25">
      <c r="A175" s="14" t="s">
        <v>109</v>
      </c>
      <c r="B175" s="15" t="s">
        <v>12</v>
      </c>
      <c r="C175" s="15" t="s">
        <v>12</v>
      </c>
      <c r="D175" s="15" t="s">
        <v>12</v>
      </c>
      <c r="E175" s="98" t="s">
        <v>609</v>
      </c>
      <c r="F175" s="54" t="s">
        <v>12</v>
      </c>
      <c r="G175" s="54" t="s">
        <v>12</v>
      </c>
      <c r="H175" s="54" t="s">
        <v>12</v>
      </c>
      <c r="I175" s="67"/>
      <c r="J175" s="67"/>
      <c r="K175" s="67"/>
    </row>
    <row r="176" spans="1:11" x14ac:dyDescent="0.25">
      <c r="A176" s="12" t="s">
        <v>167</v>
      </c>
      <c r="B176" s="17">
        <v>261379.42</v>
      </c>
      <c r="C176" s="17">
        <v>58153.02</v>
      </c>
      <c r="D176" s="17">
        <v>163855.04999999999</v>
      </c>
      <c r="E176" s="100" t="s">
        <v>610</v>
      </c>
      <c r="F176" s="101" t="s">
        <v>12</v>
      </c>
      <c r="G176" s="101" t="s">
        <v>12</v>
      </c>
      <c r="H176" s="101" t="s">
        <v>12</v>
      </c>
      <c r="I176" s="67"/>
      <c r="J176" s="67"/>
      <c r="K176" s="67"/>
    </row>
    <row r="177" spans="1:11" x14ac:dyDescent="0.25">
      <c r="A177" s="14" t="s">
        <v>168</v>
      </c>
      <c r="B177" s="18">
        <v>419861.86</v>
      </c>
      <c r="C177" s="18">
        <v>382326.68</v>
      </c>
      <c r="D177" s="18">
        <v>318656.67</v>
      </c>
      <c r="E177" s="98" t="s">
        <v>640</v>
      </c>
      <c r="F177" s="54" t="s">
        <v>12</v>
      </c>
      <c r="G177" s="54" t="s">
        <v>12</v>
      </c>
      <c r="H177" s="54" t="s">
        <v>12</v>
      </c>
      <c r="I177" s="67"/>
      <c r="J177" s="67"/>
      <c r="K177" s="67"/>
    </row>
    <row r="178" spans="1:11" x14ac:dyDescent="0.25">
      <c r="A178" s="12" t="s">
        <v>169</v>
      </c>
      <c r="B178" s="17">
        <v>237418.82</v>
      </c>
      <c r="C178" s="17">
        <v>190290.27</v>
      </c>
      <c r="D178" s="17">
        <v>189000.4</v>
      </c>
      <c r="E178" s="100" t="s">
        <v>642</v>
      </c>
      <c r="F178" s="101" t="s">
        <v>12</v>
      </c>
      <c r="G178" s="101" t="s">
        <v>12</v>
      </c>
      <c r="H178" s="101" t="s">
        <v>12</v>
      </c>
      <c r="I178" s="67"/>
      <c r="J178" s="67"/>
      <c r="K178" s="67"/>
    </row>
    <row r="179" spans="1:11" x14ac:dyDescent="0.25">
      <c r="A179" s="14" t="s">
        <v>170</v>
      </c>
      <c r="B179" s="20">
        <v>0</v>
      </c>
      <c r="C179" s="20">
        <v>0</v>
      </c>
      <c r="D179" s="20">
        <v>0</v>
      </c>
      <c r="E179" s="98" t="s">
        <v>608</v>
      </c>
      <c r="F179" s="54" t="s">
        <v>12</v>
      </c>
      <c r="G179" s="54" t="s">
        <v>12</v>
      </c>
      <c r="H179" s="54" t="s">
        <v>12</v>
      </c>
      <c r="I179" s="67"/>
      <c r="J179" s="67"/>
      <c r="K179" s="67"/>
    </row>
    <row r="180" spans="1:11" x14ac:dyDescent="0.25">
      <c r="A180" s="12" t="s">
        <v>171</v>
      </c>
      <c r="B180" s="17">
        <v>182443.03</v>
      </c>
      <c r="C180" s="17">
        <v>192036.41</v>
      </c>
      <c r="D180" s="17">
        <v>129656.26</v>
      </c>
      <c r="E180" s="100" t="s">
        <v>609</v>
      </c>
      <c r="F180" s="101" t="s">
        <v>12</v>
      </c>
      <c r="G180" s="101" t="s">
        <v>12</v>
      </c>
      <c r="H180" s="101" t="s">
        <v>12</v>
      </c>
      <c r="I180" s="67"/>
      <c r="J180" s="67"/>
      <c r="K180" s="67"/>
    </row>
    <row r="181" spans="1:11" x14ac:dyDescent="0.25">
      <c r="A181" s="14" t="s">
        <v>172</v>
      </c>
      <c r="B181" s="18">
        <v>35926.04</v>
      </c>
      <c r="C181" s="18">
        <v>25630</v>
      </c>
      <c r="D181" s="18">
        <v>17792.62</v>
      </c>
      <c r="E181" s="98" t="s">
        <v>610</v>
      </c>
      <c r="F181" s="54" t="s">
        <v>12</v>
      </c>
      <c r="G181" s="54" t="s">
        <v>12</v>
      </c>
      <c r="H181" s="54" t="s">
        <v>12</v>
      </c>
      <c r="I181" s="67"/>
      <c r="J181" s="67"/>
      <c r="K181" s="67"/>
    </row>
    <row r="182" spans="1:11" x14ac:dyDescent="0.25">
      <c r="A182" s="12" t="s">
        <v>163</v>
      </c>
      <c r="B182" s="17">
        <v>55992.55</v>
      </c>
      <c r="C182" s="17">
        <v>57411.519999999997</v>
      </c>
      <c r="D182" s="17">
        <v>50825.84</v>
      </c>
      <c r="E182" s="100" t="s">
        <v>640</v>
      </c>
      <c r="F182" s="101" t="s">
        <v>12</v>
      </c>
      <c r="G182" s="101" t="s">
        <v>12</v>
      </c>
      <c r="H182" s="101" t="s">
        <v>12</v>
      </c>
      <c r="I182" s="67"/>
      <c r="J182" s="67"/>
      <c r="K182" s="67"/>
    </row>
    <row r="183" spans="1:11" x14ac:dyDescent="0.25">
      <c r="A183" s="14" t="s">
        <v>173</v>
      </c>
      <c r="B183" s="18">
        <v>9705.1299999999992</v>
      </c>
      <c r="C183" s="18">
        <v>10346.5</v>
      </c>
      <c r="D183" s="18">
        <v>6995.73</v>
      </c>
      <c r="E183" s="98" t="s">
        <v>643</v>
      </c>
      <c r="F183" s="103">
        <v>0</v>
      </c>
      <c r="G183" s="103">
        <v>245.57</v>
      </c>
      <c r="H183" s="103">
        <v>0</v>
      </c>
      <c r="I183" s="67"/>
      <c r="J183" s="67"/>
      <c r="K183" s="67"/>
    </row>
    <row r="184" spans="1:11" x14ac:dyDescent="0.25">
      <c r="A184" s="12" t="s">
        <v>174</v>
      </c>
      <c r="B184" s="19">
        <v>0</v>
      </c>
      <c r="C184" s="19">
        <v>0</v>
      </c>
      <c r="D184" s="19">
        <v>0</v>
      </c>
      <c r="E184" s="100" t="s">
        <v>608</v>
      </c>
      <c r="F184" s="104">
        <v>0</v>
      </c>
      <c r="G184" s="104">
        <v>0</v>
      </c>
      <c r="H184" s="104">
        <v>0</v>
      </c>
      <c r="I184" s="67"/>
      <c r="J184" s="67"/>
      <c r="K184" s="67"/>
    </row>
    <row r="185" spans="1:11" x14ac:dyDescent="0.25">
      <c r="A185" s="14" t="s">
        <v>175</v>
      </c>
      <c r="B185" s="15" t="s">
        <v>12</v>
      </c>
      <c r="C185" s="15" t="s">
        <v>12</v>
      </c>
      <c r="D185" s="15" t="s">
        <v>12</v>
      </c>
      <c r="E185" s="98" t="s">
        <v>609</v>
      </c>
      <c r="F185" s="103">
        <v>0</v>
      </c>
      <c r="G185" s="103">
        <v>0</v>
      </c>
      <c r="H185" s="103">
        <v>0</v>
      </c>
      <c r="I185" s="67"/>
      <c r="J185" s="67"/>
      <c r="K185" s="67"/>
    </row>
    <row r="186" spans="1:11" x14ac:dyDescent="0.25">
      <c r="A186" s="11"/>
      <c r="B186" s="11"/>
      <c r="C186" s="11"/>
      <c r="D186" s="11"/>
      <c r="E186" s="100" t="s">
        <v>610</v>
      </c>
      <c r="F186" s="104">
        <v>0</v>
      </c>
      <c r="G186" s="104">
        <v>0</v>
      </c>
      <c r="H186" s="104">
        <v>0</v>
      </c>
      <c r="I186" s="67"/>
      <c r="J186" s="67"/>
      <c r="K186" s="67"/>
    </row>
    <row r="187" spans="1:11" x14ac:dyDescent="0.25">
      <c r="A187" s="11"/>
      <c r="B187" s="11"/>
      <c r="C187" s="11"/>
      <c r="D187" s="11"/>
      <c r="E187" s="98" t="s">
        <v>640</v>
      </c>
      <c r="F187" s="103">
        <v>0</v>
      </c>
      <c r="G187" s="103">
        <v>245.57</v>
      </c>
      <c r="H187" s="103">
        <v>0</v>
      </c>
      <c r="I187" s="67"/>
      <c r="J187" s="67"/>
      <c r="K187" s="67"/>
    </row>
    <row r="188" spans="1:11" x14ac:dyDescent="0.25">
      <c r="A188" s="16" t="s">
        <v>176</v>
      </c>
      <c r="B188" s="16">
        <v>2019</v>
      </c>
      <c r="C188" s="16">
        <v>2018</v>
      </c>
      <c r="D188" s="16">
        <v>2017</v>
      </c>
      <c r="E188" s="100" t="s">
        <v>644</v>
      </c>
      <c r="F188" s="102">
        <v>418968.05</v>
      </c>
      <c r="G188" s="102">
        <v>22211.41</v>
      </c>
      <c r="H188" s="102">
        <v>183281.18</v>
      </c>
      <c r="I188" s="67"/>
      <c r="J188" s="67"/>
      <c r="K188" s="67"/>
    </row>
    <row r="189" spans="1:11" x14ac:dyDescent="0.25">
      <c r="A189" s="14" t="s">
        <v>177</v>
      </c>
      <c r="B189" s="18">
        <v>274676.12</v>
      </c>
      <c r="C189" s="18">
        <v>204063.81</v>
      </c>
      <c r="D189" s="18">
        <v>68865.67</v>
      </c>
      <c r="E189" s="98" t="s">
        <v>645</v>
      </c>
      <c r="F189" s="99">
        <v>40782.160000000003</v>
      </c>
      <c r="G189" s="99">
        <v>15155.82</v>
      </c>
      <c r="H189" s="99">
        <v>27073.89</v>
      </c>
      <c r="I189" s="67"/>
      <c r="J189" s="67"/>
      <c r="K189" s="67"/>
    </row>
    <row r="190" spans="1:11" x14ac:dyDescent="0.25">
      <c r="A190" s="12" t="s">
        <v>178</v>
      </c>
      <c r="B190" s="17">
        <v>89071.43</v>
      </c>
      <c r="C190" s="17">
        <v>3492.65</v>
      </c>
      <c r="D190" s="19">
        <v>563.79999999999995</v>
      </c>
      <c r="E190" s="100" t="s">
        <v>646</v>
      </c>
      <c r="F190" s="102">
        <v>378185.89</v>
      </c>
      <c r="G190" s="102">
        <v>7055.6</v>
      </c>
      <c r="H190" s="102">
        <v>156207.29</v>
      </c>
      <c r="I190" s="67"/>
      <c r="J190" s="67"/>
      <c r="K190" s="67"/>
    </row>
    <row r="191" spans="1:11" x14ac:dyDescent="0.25">
      <c r="A191" s="14" t="s">
        <v>179</v>
      </c>
      <c r="B191" s="18">
        <v>185604.69</v>
      </c>
      <c r="C191" s="18">
        <v>200571.16</v>
      </c>
      <c r="D191" s="18">
        <v>68301.87</v>
      </c>
      <c r="E191" s="98" t="s">
        <v>647</v>
      </c>
      <c r="F191" s="103">
        <v>0</v>
      </c>
      <c r="G191" s="103">
        <v>0</v>
      </c>
      <c r="H191" s="103">
        <v>0</v>
      </c>
      <c r="I191" s="67"/>
      <c r="J191" s="67"/>
      <c r="K191" s="67"/>
    </row>
    <row r="192" spans="1:11" x14ac:dyDescent="0.25">
      <c r="A192" s="12" t="s">
        <v>180</v>
      </c>
      <c r="B192" s="17">
        <v>209571.51</v>
      </c>
      <c r="C192" s="17">
        <v>189544.38</v>
      </c>
      <c r="D192" s="17">
        <v>170520.21</v>
      </c>
      <c r="E192" s="100" t="s">
        <v>648</v>
      </c>
      <c r="F192" s="104">
        <v>0</v>
      </c>
      <c r="G192" s="104">
        <v>0</v>
      </c>
      <c r="H192" s="104">
        <v>0</v>
      </c>
      <c r="I192" s="67"/>
      <c r="J192" s="67"/>
      <c r="K192" s="67"/>
    </row>
    <row r="193" spans="1:11" x14ac:dyDescent="0.25">
      <c r="A193" s="14" t="s">
        <v>181</v>
      </c>
      <c r="B193" s="15" t="s">
        <v>12</v>
      </c>
      <c r="C193" s="15" t="s">
        <v>12</v>
      </c>
      <c r="D193" s="15" t="s">
        <v>12</v>
      </c>
      <c r="E193" s="98" t="s">
        <v>649</v>
      </c>
      <c r="F193" s="99">
        <v>5874.21</v>
      </c>
      <c r="G193" s="99">
        <v>11472.06</v>
      </c>
      <c r="H193" s="99">
        <v>5291.9</v>
      </c>
      <c r="I193" s="67"/>
      <c r="J193" s="67"/>
      <c r="K193" s="67"/>
    </row>
    <row r="194" spans="1:11" x14ac:dyDescent="0.25">
      <c r="A194" s="12" t="s">
        <v>182</v>
      </c>
      <c r="B194" s="13" t="s">
        <v>12</v>
      </c>
      <c r="C194" s="13" t="s">
        <v>12</v>
      </c>
      <c r="D194" s="13" t="s">
        <v>12</v>
      </c>
      <c r="E194" s="100" t="s">
        <v>650</v>
      </c>
      <c r="F194" s="104">
        <v>0</v>
      </c>
      <c r="G194" s="104">
        <v>0</v>
      </c>
      <c r="H194" s="104">
        <v>0</v>
      </c>
      <c r="I194" s="67"/>
      <c r="J194" s="67"/>
      <c r="K194" s="67"/>
    </row>
    <row r="195" spans="1:11" x14ac:dyDescent="0.25">
      <c r="A195" s="14" t="s">
        <v>183</v>
      </c>
      <c r="B195" s="20">
        <v>0</v>
      </c>
      <c r="C195" s="20">
        <v>0</v>
      </c>
      <c r="D195" s="20">
        <v>0</v>
      </c>
      <c r="E195" s="98" t="s">
        <v>651</v>
      </c>
      <c r="F195" s="103">
        <v>0</v>
      </c>
      <c r="G195" s="103">
        <v>0</v>
      </c>
      <c r="H195" s="103">
        <v>0</v>
      </c>
      <c r="I195" s="67"/>
      <c r="J195" s="67"/>
      <c r="K195" s="67"/>
    </row>
    <row r="196" spans="1:11" x14ac:dyDescent="0.25">
      <c r="A196" s="12" t="s">
        <v>184</v>
      </c>
      <c r="B196" s="13" t="s">
        <v>12</v>
      </c>
      <c r="C196" s="13" t="s">
        <v>12</v>
      </c>
      <c r="D196" s="13" t="s">
        <v>12</v>
      </c>
      <c r="E196" s="100" t="s">
        <v>652</v>
      </c>
      <c r="F196" s="102">
        <v>555112.97</v>
      </c>
      <c r="G196" s="102">
        <v>466041.54</v>
      </c>
      <c r="H196" s="102">
        <v>462548.88</v>
      </c>
      <c r="I196" s="67"/>
      <c r="J196" s="67"/>
      <c r="K196" s="67"/>
    </row>
    <row r="197" spans="1:11" x14ac:dyDescent="0.25">
      <c r="A197" s="14" t="s">
        <v>185</v>
      </c>
      <c r="B197" s="18">
        <v>23980.16</v>
      </c>
      <c r="C197" s="18">
        <v>12909</v>
      </c>
      <c r="D197" s="18">
        <v>13826.4</v>
      </c>
      <c r="E197" s="98" t="s">
        <v>653</v>
      </c>
      <c r="F197" s="99">
        <v>286596.5</v>
      </c>
      <c r="G197" s="99">
        <v>286596.5</v>
      </c>
      <c r="H197" s="99">
        <v>286596.5</v>
      </c>
      <c r="I197" s="67"/>
      <c r="J197" s="67"/>
      <c r="K197" s="67"/>
    </row>
    <row r="198" spans="1:11" x14ac:dyDescent="0.25">
      <c r="A198" s="12" t="s">
        <v>186</v>
      </c>
      <c r="B198" s="13" t="s">
        <v>12</v>
      </c>
      <c r="C198" s="13" t="s">
        <v>12</v>
      </c>
      <c r="D198" s="13" t="s">
        <v>12</v>
      </c>
      <c r="E198" s="100" t="s">
        <v>654</v>
      </c>
      <c r="F198" s="101" t="s">
        <v>12</v>
      </c>
      <c r="G198" s="101" t="s">
        <v>12</v>
      </c>
      <c r="H198" s="101" t="s">
        <v>12</v>
      </c>
      <c r="I198" s="67"/>
      <c r="J198" s="67"/>
      <c r="K198" s="67"/>
    </row>
    <row r="199" spans="1:11" x14ac:dyDescent="0.25">
      <c r="A199" s="14" t="s">
        <v>187</v>
      </c>
      <c r="B199" s="15" t="s">
        <v>12</v>
      </c>
      <c r="C199" s="15" t="s">
        <v>12</v>
      </c>
      <c r="D199" s="15" t="s">
        <v>12</v>
      </c>
      <c r="E199" s="98" t="s">
        <v>655</v>
      </c>
      <c r="F199" s="54" t="s">
        <v>12</v>
      </c>
      <c r="G199" s="54" t="s">
        <v>12</v>
      </c>
      <c r="H199" s="54" t="s">
        <v>12</v>
      </c>
      <c r="I199" s="67"/>
      <c r="J199" s="67"/>
      <c r="K199" s="67"/>
    </row>
    <row r="200" spans="1:11" x14ac:dyDescent="0.25">
      <c r="A200" s="12" t="s">
        <v>188</v>
      </c>
      <c r="B200" s="13" t="s">
        <v>12</v>
      </c>
      <c r="C200" s="13" t="s">
        <v>12</v>
      </c>
      <c r="D200" s="13" t="s">
        <v>12</v>
      </c>
      <c r="E200" s="100" t="s">
        <v>656</v>
      </c>
      <c r="F200" s="101" t="s">
        <v>12</v>
      </c>
      <c r="G200" s="101" t="s">
        <v>12</v>
      </c>
      <c r="H200" s="101" t="s">
        <v>12</v>
      </c>
      <c r="I200" s="67"/>
      <c r="J200" s="67"/>
      <c r="K200" s="67"/>
    </row>
    <row r="201" spans="1:11" x14ac:dyDescent="0.25">
      <c r="A201" s="14" t="s">
        <v>189</v>
      </c>
      <c r="B201" s="18">
        <v>-98787.65</v>
      </c>
      <c r="C201" s="18">
        <v>-39231.49</v>
      </c>
      <c r="D201" s="18">
        <v>-147484.07999999999</v>
      </c>
      <c r="E201" s="98" t="s">
        <v>657</v>
      </c>
      <c r="F201" s="54" t="s">
        <v>12</v>
      </c>
      <c r="G201" s="54" t="s">
        <v>12</v>
      </c>
      <c r="H201" s="54" t="s">
        <v>12</v>
      </c>
      <c r="I201" s="67"/>
      <c r="J201" s="67"/>
      <c r="K201" s="67"/>
    </row>
    <row r="202" spans="1:11" x14ac:dyDescent="0.25">
      <c r="A202" s="12" t="s">
        <v>190</v>
      </c>
      <c r="B202" s="13" t="s">
        <v>12</v>
      </c>
      <c r="C202" s="13" t="s">
        <v>12</v>
      </c>
      <c r="D202" s="13" t="s">
        <v>12</v>
      </c>
      <c r="E202" s="100" t="s">
        <v>658</v>
      </c>
      <c r="F202" s="102">
        <v>142400.19</v>
      </c>
      <c r="G202" s="102">
        <v>138030.75</v>
      </c>
      <c r="H202" s="102">
        <v>136905.78</v>
      </c>
      <c r="I202" s="67"/>
      <c r="J202" s="67"/>
      <c r="K202" s="67"/>
    </row>
    <row r="203" spans="1:11" x14ac:dyDescent="0.25">
      <c r="A203" s="14" t="s">
        <v>191</v>
      </c>
      <c r="B203" s="15" t="s">
        <v>12</v>
      </c>
      <c r="C203" s="15" t="s">
        <v>12</v>
      </c>
      <c r="D203" s="15" t="s">
        <v>12</v>
      </c>
      <c r="E203" s="98" t="s">
        <v>659</v>
      </c>
      <c r="F203" s="103">
        <v>0</v>
      </c>
      <c r="G203" s="103">
        <v>0</v>
      </c>
      <c r="H203" s="103">
        <v>0</v>
      </c>
      <c r="I203" s="67"/>
      <c r="J203" s="67"/>
      <c r="K203" s="67"/>
    </row>
    <row r="204" spans="1:11" x14ac:dyDescent="0.25">
      <c r="A204" s="12" t="s">
        <v>192</v>
      </c>
      <c r="B204" s="17">
        <v>-46308.2</v>
      </c>
      <c r="C204" s="17">
        <v>4081.67</v>
      </c>
      <c r="D204" s="17">
        <v>-34862.35</v>
      </c>
      <c r="E204" s="100" t="s">
        <v>660</v>
      </c>
      <c r="F204" s="102">
        <v>37044.85</v>
      </c>
      <c r="G204" s="102">
        <v>37921.64</v>
      </c>
      <c r="H204" s="102">
        <v>38482.800000000003</v>
      </c>
      <c r="I204" s="67"/>
      <c r="J204" s="67"/>
      <c r="K204" s="67"/>
    </row>
    <row r="205" spans="1:11" x14ac:dyDescent="0.25">
      <c r="A205" s="14" t="s">
        <v>193</v>
      </c>
      <c r="B205" s="18">
        <v>35026.22</v>
      </c>
      <c r="C205" s="18">
        <v>3007.47</v>
      </c>
      <c r="D205" s="18">
        <v>7788.89</v>
      </c>
      <c r="E205" s="98" t="s">
        <v>661</v>
      </c>
      <c r="F205" s="103">
        <v>0</v>
      </c>
      <c r="G205" s="103">
        <v>0</v>
      </c>
      <c r="H205" s="103">
        <v>0</v>
      </c>
      <c r="I205" s="67"/>
      <c r="J205" s="67"/>
      <c r="K205" s="67"/>
    </row>
    <row r="206" spans="1:11" x14ac:dyDescent="0.25">
      <c r="A206" s="12" t="s">
        <v>194</v>
      </c>
      <c r="B206" s="17">
        <v>51967.42</v>
      </c>
      <c r="C206" s="17">
        <v>12510.39</v>
      </c>
      <c r="D206" s="17">
        <v>42948.71</v>
      </c>
      <c r="E206" s="100" t="s">
        <v>662</v>
      </c>
      <c r="F206" s="104">
        <v>0</v>
      </c>
      <c r="G206" s="104">
        <v>0</v>
      </c>
      <c r="H206" s="104">
        <v>0</v>
      </c>
      <c r="I206" s="67"/>
      <c r="J206" s="67"/>
      <c r="K206" s="67"/>
    </row>
    <row r="207" spans="1:11" x14ac:dyDescent="0.25">
      <c r="A207" s="14" t="s">
        <v>195</v>
      </c>
      <c r="B207" s="18">
        <v>5060.53</v>
      </c>
      <c r="C207" s="18">
        <v>3909.51</v>
      </c>
      <c r="D207" s="18">
        <v>15450.26</v>
      </c>
      <c r="E207" s="98" t="s">
        <v>663</v>
      </c>
      <c r="F207" s="103">
        <v>0</v>
      </c>
      <c r="G207" s="103">
        <v>0</v>
      </c>
      <c r="H207" s="103">
        <v>0</v>
      </c>
      <c r="I207" s="67"/>
      <c r="J207" s="67"/>
      <c r="K207" s="67"/>
    </row>
    <row r="208" spans="1:11" x14ac:dyDescent="0.25">
      <c r="A208" s="12" t="s">
        <v>196</v>
      </c>
      <c r="B208" s="13" t="s">
        <v>12</v>
      </c>
      <c r="C208" s="13" t="s">
        <v>12</v>
      </c>
      <c r="D208" s="13" t="s">
        <v>12</v>
      </c>
      <c r="E208" s="100" t="s">
        <v>664</v>
      </c>
      <c r="F208" s="104">
        <v>0</v>
      </c>
      <c r="G208" s="104">
        <v>0</v>
      </c>
      <c r="H208" s="104">
        <v>0</v>
      </c>
      <c r="I208" s="67"/>
      <c r="J208" s="67"/>
      <c r="K208" s="67"/>
    </row>
    <row r="209" spans="1:11" x14ac:dyDescent="0.25">
      <c r="A209" s="14" t="s">
        <v>197</v>
      </c>
      <c r="B209" s="15" t="s">
        <v>12</v>
      </c>
      <c r="C209" s="15" t="s">
        <v>12</v>
      </c>
      <c r="D209" s="15" t="s">
        <v>12</v>
      </c>
      <c r="E209" s="98" t="s">
        <v>665</v>
      </c>
      <c r="F209" s="54" t="s">
        <v>12</v>
      </c>
      <c r="G209" s="54" t="s">
        <v>12</v>
      </c>
      <c r="H209" s="54" t="s">
        <v>12</v>
      </c>
      <c r="I209" s="67"/>
      <c r="J209" s="67"/>
      <c r="K209" s="67"/>
    </row>
    <row r="210" spans="1:11" x14ac:dyDescent="0.25">
      <c r="A210" s="12" t="s">
        <v>198</v>
      </c>
      <c r="B210" s="17">
        <v>2385.59</v>
      </c>
      <c r="C210" s="17">
        <v>11534.13</v>
      </c>
      <c r="D210" s="19">
        <v>113.82</v>
      </c>
      <c r="E210" s="100" t="s">
        <v>666</v>
      </c>
      <c r="F210" s="104">
        <v>0</v>
      </c>
      <c r="G210" s="104">
        <v>0</v>
      </c>
      <c r="H210" s="104">
        <v>0</v>
      </c>
      <c r="I210" s="67"/>
      <c r="J210" s="67"/>
      <c r="K210" s="67"/>
    </row>
    <row r="211" spans="1:11" x14ac:dyDescent="0.25">
      <c r="A211" s="14" t="s">
        <v>199</v>
      </c>
      <c r="B211" s="18">
        <v>-36237.440000000002</v>
      </c>
      <c r="C211" s="18">
        <v>31821.54</v>
      </c>
      <c r="D211" s="18">
        <v>-243437.38</v>
      </c>
      <c r="E211" s="98" t="s">
        <v>667</v>
      </c>
      <c r="F211" s="99">
        <v>89071.43</v>
      </c>
      <c r="G211" s="99">
        <v>3492.65</v>
      </c>
      <c r="H211" s="103">
        <v>563.79999999999995</v>
      </c>
      <c r="I211" s="67"/>
      <c r="J211" s="67"/>
      <c r="K211" s="67"/>
    </row>
    <row r="212" spans="1:11" x14ac:dyDescent="0.25">
      <c r="A212" s="12" t="s">
        <v>200</v>
      </c>
      <c r="B212" s="17">
        <v>-333548.03999999998</v>
      </c>
      <c r="C212" s="17">
        <v>-241221.79</v>
      </c>
      <c r="D212" s="17">
        <v>-210092.02</v>
      </c>
      <c r="E212" s="100" t="s">
        <v>668</v>
      </c>
      <c r="F212" s="104">
        <v>0</v>
      </c>
      <c r="G212" s="104">
        <v>0</v>
      </c>
      <c r="H212" s="104">
        <v>0</v>
      </c>
      <c r="I212" s="67"/>
      <c r="J212" s="67"/>
      <c r="K212" s="67"/>
    </row>
    <row r="213" spans="1:11" x14ac:dyDescent="0.25">
      <c r="A213" s="14" t="s">
        <v>201</v>
      </c>
      <c r="B213" s="18">
        <v>2385.59</v>
      </c>
      <c r="C213" s="18">
        <v>11534.13</v>
      </c>
      <c r="D213" s="20">
        <v>113.82</v>
      </c>
      <c r="E213" s="98" t="s">
        <v>669</v>
      </c>
      <c r="F213" s="54" t="s">
        <v>12</v>
      </c>
      <c r="G213" s="54" t="s">
        <v>12</v>
      </c>
      <c r="H213" s="54" t="s">
        <v>12</v>
      </c>
      <c r="I213" s="67"/>
      <c r="J213" s="67"/>
      <c r="K213" s="67"/>
    </row>
    <row r="214" spans="1:11" x14ac:dyDescent="0.25">
      <c r="A214" s="12" t="s">
        <v>202</v>
      </c>
      <c r="B214" s="17">
        <v>-338036.58</v>
      </c>
      <c r="C214" s="17">
        <v>-254420</v>
      </c>
      <c r="D214" s="17">
        <v>-210133.43</v>
      </c>
      <c r="E214" s="100" t="s">
        <v>670</v>
      </c>
      <c r="F214" s="101" t="s">
        <v>12</v>
      </c>
      <c r="G214" s="101" t="s">
        <v>12</v>
      </c>
      <c r="H214" s="101" t="s">
        <v>12</v>
      </c>
      <c r="I214" s="67"/>
      <c r="J214" s="67"/>
      <c r="K214" s="67"/>
    </row>
    <row r="215" spans="1:11" x14ac:dyDescent="0.25">
      <c r="A215" s="14" t="s">
        <v>203</v>
      </c>
      <c r="B215" s="15" t="s">
        <v>12</v>
      </c>
      <c r="C215" s="15" t="s">
        <v>12</v>
      </c>
      <c r="D215" s="15" t="s">
        <v>12</v>
      </c>
      <c r="E215" s="98" t="s">
        <v>671</v>
      </c>
      <c r="F215" s="54" t="s">
        <v>12</v>
      </c>
      <c r="G215" s="54" t="s">
        <v>12</v>
      </c>
      <c r="H215" s="54" t="s">
        <v>12</v>
      </c>
      <c r="I215" s="67"/>
      <c r="J215" s="67"/>
      <c r="K215" s="67"/>
    </row>
    <row r="216" spans="1:11" x14ac:dyDescent="0.25">
      <c r="A216" s="12" t="s">
        <v>204</v>
      </c>
      <c r="B216" s="19">
        <v>0</v>
      </c>
      <c r="C216" s="19">
        <v>0</v>
      </c>
      <c r="D216" s="19">
        <v>0</v>
      </c>
      <c r="E216" s="100" t="s">
        <v>672</v>
      </c>
      <c r="F216" s="101" t="s">
        <v>12</v>
      </c>
      <c r="G216" s="101" t="s">
        <v>12</v>
      </c>
      <c r="H216" s="101" t="s">
        <v>12</v>
      </c>
      <c r="I216" s="67"/>
      <c r="J216" s="67"/>
      <c r="K216" s="67"/>
    </row>
    <row r="217" spans="1:11" x14ac:dyDescent="0.25">
      <c r="A217" s="14" t="s">
        <v>205</v>
      </c>
      <c r="B217" s="20">
        <v>-606.15</v>
      </c>
      <c r="C217" s="20">
        <v>-620.99</v>
      </c>
      <c r="D217" s="20">
        <v>0</v>
      </c>
      <c r="E217" s="98" t="s">
        <v>673</v>
      </c>
      <c r="F217" s="54" t="s">
        <v>12</v>
      </c>
      <c r="G217" s="54" t="s">
        <v>12</v>
      </c>
      <c r="H217" s="54" t="s">
        <v>12</v>
      </c>
      <c r="I217" s="67"/>
      <c r="J217" s="67"/>
      <c r="K217" s="67"/>
    </row>
    <row r="218" spans="1:11" x14ac:dyDescent="0.25">
      <c r="A218" s="12" t="s">
        <v>206</v>
      </c>
      <c r="B218" s="19">
        <v>0</v>
      </c>
      <c r="C218" s="19">
        <v>0</v>
      </c>
      <c r="D218" s="19">
        <v>0</v>
      </c>
      <c r="E218" s="100" t="s">
        <v>674</v>
      </c>
      <c r="F218" s="102">
        <v>1594158.42</v>
      </c>
      <c r="G218" s="102">
        <v>1015917.5</v>
      </c>
      <c r="H218" s="102">
        <v>1023679.64</v>
      </c>
      <c r="I218" s="67"/>
      <c r="J218" s="67"/>
      <c r="K218" s="67"/>
    </row>
    <row r="219" spans="1:11" x14ac:dyDescent="0.25">
      <c r="A219" s="14" t="s">
        <v>207</v>
      </c>
      <c r="B219" s="15" t="s">
        <v>12</v>
      </c>
      <c r="C219" s="15" t="s">
        <v>12</v>
      </c>
      <c r="D219" s="15" t="s">
        <v>12</v>
      </c>
      <c r="E219" s="98" t="s">
        <v>675</v>
      </c>
      <c r="F219" s="99">
        <v>145395.26</v>
      </c>
      <c r="G219" s="99">
        <v>135240.03</v>
      </c>
      <c r="H219" s="99">
        <v>117490.29</v>
      </c>
      <c r="I219" s="67"/>
      <c r="J219" s="67"/>
      <c r="K219" s="67"/>
    </row>
    <row r="220" spans="1:11" x14ac:dyDescent="0.25">
      <c r="A220" s="12" t="s">
        <v>208</v>
      </c>
      <c r="B220" s="13" t="s">
        <v>12</v>
      </c>
      <c r="C220" s="13" t="s">
        <v>12</v>
      </c>
      <c r="D220" s="13" t="s">
        <v>12</v>
      </c>
      <c r="E220" s="100" t="s">
        <v>676</v>
      </c>
      <c r="F220" s="104">
        <v>0</v>
      </c>
      <c r="G220" s="104">
        <v>0</v>
      </c>
      <c r="H220" s="104">
        <v>0</v>
      </c>
      <c r="I220" s="67"/>
      <c r="J220" s="67"/>
      <c r="K220" s="67"/>
    </row>
    <row r="221" spans="1:11" x14ac:dyDescent="0.25">
      <c r="A221" s="14" t="s">
        <v>209</v>
      </c>
      <c r="B221" s="18">
        <v>1015.23</v>
      </c>
      <c r="C221" s="20">
        <v>645.1</v>
      </c>
      <c r="D221" s="20">
        <v>0</v>
      </c>
      <c r="E221" s="98" t="s">
        <v>677</v>
      </c>
      <c r="F221" s="99">
        <v>122328.07</v>
      </c>
      <c r="G221" s="99">
        <v>106551.23</v>
      </c>
      <c r="H221" s="99">
        <v>91601.7</v>
      </c>
      <c r="I221" s="67"/>
      <c r="J221" s="67"/>
      <c r="K221" s="67"/>
    </row>
    <row r="222" spans="1:11" x14ac:dyDescent="0.25">
      <c r="A222" s="12" t="s">
        <v>210</v>
      </c>
      <c r="B222" s="19">
        <v>0</v>
      </c>
      <c r="C222" s="19">
        <v>0</v>
      </c>
      <c r="D222" s="19">
        <v>0</v>
      </c>
      <c r="E222" s="100" t="s">
        <v>678</v>
      </c>
      <c r="F222" s="102">
        <v>89149.59</v>
      </c>
      <c r="G222" s="102">
        <v>77552.600000000006</v>
      </c>
      <c r="H222" s="102">
        <v>66365.740000000005</v>
      </c>
      <c r="I222" s="67"/>
      <c r="J222" s="67"/>
      <c r="K222" s="67"/>
    </row>
    <row r="223" spans="1:11" x14ac:dyDescent="0.25">
      <c r="A223" s="14" t="s">
        <v>211</v>
      </c>
      <c r="B223" s="18">
        <v>1693.87</v>
      </c>
      <c r="C223" s="18">
        <v>1639.97</v>
      </c>
      <c r="D223" s="20">
        <v>-72.42</v>
      </c>
      <c r="E223" s="98" t="s">
        <v>679</v>
      </c>
      <c r="F223" s="99">
        <v>33178.480000000003</v>
      </c>
      <c r="G223" s="99">
        <v>28998.63</v>
      </c>
      <c r="H223" s="99">
        <v>25235.95</v>
      </c>
      <c r="I223" s="67"/>
      <c r="J223" s="67"/>
      <c r="K223" s="67"/>
    </row>
    <row r="224" spans="1:11" x14ac:dyDescent="0.25">
      <c r="A224" s="12" t="s">
        <v>212</v>
      </c>
      <c r="B224" s="17">
        <v>455646.26</v>
      </c>
      <c r="C224" s="17">
        <v>-123911.73</v>
      </c>
      <c r="D224" s="17">
        <v>292459.77</v>
      </c>
      <c r="E224" s="100" t="s">
        <v>680</v>
      </c>
      <c r="F224" s="102">
        <v>23067.18</v>
      </c>
      <c r="G224" s="102">
        <v>28688.799999999999</v>
      </c>
      <c r="H224" s="102">
        <v>25888.59</v>
      </c>
      <c r="I224" s="67"/>
      <c r="J224" s="67"/>
      <c r="K224" s="67"/>
    </row>
    <row r="225" spans="1:11" x14ac:dyDescent="0.25">
      <c r="A225" s="14" t="s">
        <v>213</v>
      </c>
      <c r="B225" s="20">
        <v>0</v>
      </c>
      <c r="C225" s="20">
        <v>0</v>
      </c>
      <c r="D225" s="20">
        <v>0</v>
      </c>
      <c r="E225" s="98" t="s">
        <v>681</v>
      </c>
      <c r="F225" s="103">
        <v>253.11</v>
      </c>
      <c r="G225" s="103">
        <v>275.91000000000003</v>
      </c>
      <c r="H225" s="103">
        <v>298.70999999999998</v>
      </c>
      <c r="I225" s="67"/>
      <c r="J225" s="67"/>
      <c r="K225" s="67"/>
    </row>
    <row r="226" spans="1:11" x14ac:dyDescent="0.25">
      <c r="A226" s="12" t="s">
        <v>214</v>
      </c>
      <c r="B226" s="13" t="s">
        <v>12</v>
      </c>
      <c r="C226" s="13" t="s">
        <v>12</v>
      </c>
      <c r="D226" s="13" t="s">
        <v>12</v>
      </c>
      <c r="E226" s="100" t="s">
        <v>682</v>
      </c>
      <c r="F226" s="102">
        <v>22814.07</v>
      </c>
      <c r="G226" s="102">
        <v>28412.89</v>
      </c>
      <c r="H226" s="102">
        <v>25589.88</v>
      </c>
      <c r="I226" s="67"/>
      <c r="J226" s="67"/>
      <c r="K226" s="67"/>
    </row>
    <row r="227" spans="1:11" x14ac:dyDescent="0.25">
      <c r="A227" s="14" t="s">
        <v>215</v>
      </c>
      <c r="B227" s="20">
        <v>0</v>
      </c>
      <c r="C227" s="20">
        <v>0</v>
      </c>
      <c r="D227" s="20">
        <v>0</v>
      </c>
      <c r="E227" s="98" t="s">
        <v>683</v>
      </c>
      <c r="F227" s="99">
        <v>414490.62</v>
      </c>
      <c r="G227" s="99">
        <v>252583.51</v>
      </c>
      <c r="H227" s="99">
        <v>357810.68</v>
      </c>
      <c r="I227" s="67"/>
      <c r="J227" s="67"/>
      <c r="K227" s="67"/>
    </row>
    <row r="228" spans="1:11" x14ac:dyDescent="0.25">
      <c r="A228" s="12" t="s">
        <v>216</v>
      </c>
      <c r="B228" s="13" t="s">
        <v>12</v>
      </c>
      <c r="C228" s="13" t="s">
        <v>12</v>
      </c>
      <c r="D228" s="13" t="s">
        <v>12</v>
      </c>
      <c r="E228" s="100" t="s">
        <v>684</v>
      </c>
      <c r="F228" s="104">
        <v>0</v>
      </c>
      <c r="G228" s="104">
        <v>0</v>
      </c>
      <c r="H228" s="104">
        <v>0</v>
      </c>
      <c r="I228" s="67"/>
      <c r="J228" s="67"/>
      <c r="K228" s="67"/>
    </row>
    <row r="229" spans="1:11" x14ac:dyDescent="0.25">
      <c r="A229" s="14" t="s">
        <v>217</v>
      </c>
      <c r="B229" s="18">
        <v>660000</v>
      </c>
      <c r="C229" s="18">
        <v>-87246.94</v>
      </c>
      <c r="D229" s="18">
        <v>330000</v>
      </c>
      <c r="E229" s="98" t="s">
        <v>685</v>
      </c>
      <c r="F229" s="103">
        <v>0</v>
      </c>
      <c r="G229" s="103">
        <v>0</v>
      </c>
      <c r="H229" s="103">
        <v>0</v>
      </c>
      <c r="I229" s="67"/>
      <c r="J229" s="67"/>
      <c r="K229" s="67"/>
    </row>
    <row r="230" spans="1:11" x14ac:dyDescent="0.25">
      <c r="A230" s="12" t="s">
        <v>218</v>
      </c>
      <c r="B230" s="17">
        <v>-169889.57</v>
      </c>
      <c r="C230" s="19">
        <v>0</v>
      </c>
      <c r="D230" s="19">
        <v>0</v>
      </c>
      <c r="E230" s="100" t="s">
        <v>686</v>
      </c>
      <c r="F230" s="102">
        <v>414490.62</v>
      </c>
      <c r="G230" s="102">
        <v>252583.51</v>
      </c>
      <c r="H230" s="102">
        <v>357810.68</v>
      </c>
      <c r="I230" s="67"/>
      <c r="J230" s="67"/>
      <c r="K230" s="67"/>
    </row>
    <row r="231" spans="1:11" x14ac:dyDescent="0.25">
      <c r="A231" s="14" t="s">
        <v>219</v>
      </c>
      <c r="B231" s="15" t="s">
        <v>12</v>
      </c>
      <c r="C231" s="15" t="s">
        <v>12</v>
      </c>
      <c r="D231" s="15" t="s">
        <v>12</v>
      </c>
      <c r="E231" s="98" t="s">
        <v>687</v>
      </c>
      <c r="F231" s="99">
        <v>409596.77</v>
      </c>
      <c r="G231" s="99">
        <v>235940.65</v>
      </c>
      <c r="H231" s="99">
        <v>337578.25</v>
      </c>
      <c r="I231" s="67"/>
      <c r="J231" s="67"/>
      <c r="K231" s="67"/>
    </row>
    <row r="232" spans="1:11" x14ac:dyDescent="0.25">
      <c r="A232" s="12" t="s">
        <v>220</v>
      </c>
      <c r="B232" s="17">
        <v>-13031.53</v>
      </c>
      <c r="C232" s="17">
        <v>-21740.09</v>
      </c>
      <c r="D232" s="17">
        <v>-28435.35</v>
      </c>
      <c r="E232" s="100" t="s">
        <v>688</v>
      </c>
      <c r="F232" s="104">
        <v>0</v>
      </c>
      <c r="G232" s="104">
        <v>0</v>
      </c>
      <c r="H232" s="104">
        <v>0</v>
      </c>
      <c r="I232" s="67"/>
      <c r="J232" s="67"/>
      <c r="K232" s="67"/>
    </row>
    <row r="233" spans="1:11" x14ac:dyDescent="0.25">
      <c r="A233" s="14" t="s">
        <v>221</v>
      </c>
      <c r="B233" s="18">
        <v>-23980.400000000001</v>
      </c>
      <c r="C233" s="18">
        <v>-16364.7</v>
      </c>
      <c r="D233" s="18">
        <v>-11404.92</v>
      </c>
      <c r="E233" s="98" t="s">
        <v>689</v>
      </c>
      <c r="F233" s="99">
        <v>1038.81</v>
      </c>
      <c r="G233" s="99">
        <v>5997.84</v>
      </c>
      <c r="H233" s="99">
        <v>9120.3700000000008</v>
      </c>
      <c r="I233" s="67"/>
      <c r="J233" s="67"/>
      <c r="K233" s="67"/>
    </row>
    <row r="234" spans="1:11" x14ac:dyDescent="0.25">
      <c r="A234" s="12" t="s">
        <v>222</v>
      </c>
      <c r="B234" s="19">
        <v>0</v>
      </c>
      <c r="C234" s="19">
        <v>0</v>
      </c>
      <c r="D234" s="19">
        <v>0</v>
      </c>
      <c r="E234" s="100" t="s">
        <v>690</v>
      </c>
      <c r="F234" s="104">
        <v>0</v>
      </c>
      <c r="G234" s="104">
        <v>0</v>
      </c>
      <c r="H234" s="104">
        <v>0</v>
      </c>
      <c r="I234" s="67"/>
      <c r="J234" s="67"/>
      <c r="K234" s="67"/>
    </row>
    <row r="235" spans="1:11" x14ac:dyDescent="0.25">
      <c r="A235" s="14" t="s">
        <v>223</v>
      </c>
      <c r="B235" s="18">
        <v>2547.77</v>
      </c>
      <c r="C235" s="18">
        <v>1440</v>
      </c>
      <c r="D235" s="18">
        <v>2300.0500000000002</v>
      </c>
      <c r="E235" s="98" t="s">
        <v>691</v>
      </c>
      <c r="F235" s="99">
        <v>3855.05</v>
      </c>
      <c r="G235" s="99">
        <v>10645.02</v>
      </c>
      <c r="H235" s="99">
        <v>11112.06</v>
      </c>
      <c r="I235" s="67"/>
      <c r="J235" s="67"/>
      <c r="K235" s="67"/>
    </row>
    <row r="236" spans="1:11" x14ac:dyDescent="0.25">
      <c r="A236" s="12" t="s">
        <v>224</v>
      </c>
      <c r="B236" s="17">
        <v>396774.34</v>
      </c>
      <c r="C236" s="17">
        <v>-161069.70000000001</v>
      </c>
      <c r="D236" s="17">
        <v>151233.43</v>
      </c>
      <c r="E236" s="100" t="s">
        <v>692</v>
      </c>
      <c r="F236" s="102">
        <v>918223.13</v>
      </c>
      <c r="G236" s="102">
        <v>572696.17000000004</v>
      </c>
      <c r="H236" s="102">
        <v>502911.89</v>
      </c>
      <c r="I236" s="67"/>
      <c r="J236" s="67"/>
      <c r="K236" s="67"/>
    </row>
    <row r="237" spans="1:11" x14ac:dyDescent="0.25">
      <c r="A237" s="14" t="s">
        <v>225</v>
      </c>
      <c r="B237" s="18">
        <v>22211.95</v>
      </c>
      <c r="C237" s="18">
        <v>183281.65</v>
      </c>
      <c r="D237" s="18">
        <v>32048.23</v>
      </c>
      <c r="E237" s="98" t="s">
        <v>684</v>
      </c>
      <c r="F237" s="103">
        <v>0</v>
      </c>
      <c r="G237" s="103">
        <v>0</v>
      </c>
      <c r="H237" s="103">
        <v>0</v>
      </c>
      <c r="I237" s="67"/>
      <c r="J237" s="67"/>
      <c r="K237" s="67"/>
    </row>
    <row r="238" spans="1:11" x14ac:dyDescent="0.25">
      <c r="A238" s="12" t="s">
        <v>226</v>
      </c>
      <c r="B238" s="13" t="s">
        <v>12</v>
      </c>
      <c r="C238" s="13" t="s">
        <v>12</v>
      </c>
      <c r="D238" s="13" t="s">
        <v>12</v>
      </c>
      <c r="E238" s="100" t="s">
        <v>693</v>
      </c>
      <c r="F238" s="104">
        <v>0</v>
      </c>
      <c r="G238" s="104">
        <v>0</v>
      </c>
      <c r="H238" s="104">
        <v>0</v>
      </c>
      <c r="I238" s="67"/>
      <c r="J238" s="67"/>
      <c r="K238" s="67"/>
    </row>
    <row r="239" spans="1:11" x14ac:dyDescent="0.25">
      <c r="A239" s="14" t="s">
        <v>227</v>
      </c>
      <c r="B239" s="18">
        <v>418986.3</v>
      </c>
      <c r="C239" s="18">
        <v>22211.95</v>
      </c>
      <c r="D239" s="18">
        <v>183281.65</v>
      </c>
      <c r="E239" s="98" t="s">
        <v>694</v>
      </c>
      <c r="F239" s="103">
        <v>0</v>
      </c>
      <c r="G239" s="103">
        <v>0</v>
      </c>
      <c r="H239" s="103">
        <v>0</v>
      </c>
      <c r="I239" s="67"/>
      <c r="J239" s="67"/>
      <c r="K239" s="67"/>
    </row>
    <row r="240" spans="1:11" x14ac:dyDescent="0.25">
      <c r="A240" s="12" t="s">
        <v>228</v>
      </c>
      <c r="B240" s="13" t="s">
        <v>12</v>
      </c>
      <c r="C240" s="13" t="s">
        <v>12</v>
      </c>
      <c r="D240" s="13" t="s">
        <v>12</v>
      </c>
      <c r="E240" s="100" t="s">
        <v>695</v>
      </c>
      <c r="F240" s="104">
        <v>0</v>
      </c>
      <c r="G240" s="104">
        <v>0</v>
      </c>
      <c r="H240" s="104">
        <v>0</v>
      </c>
      <c r="I240" s="67"/>
      <c r="J240" s="67"/>
      <c r="K240" s="67"/>
    </row>
    <row r="241" spans="1:11" x14ac:dyDescent="0.25">
      <c r="A241" s="14" t="s">
        <v>229</v>
      </c>
      <c r="B241" s="15" t="s">
        <v>12</v>
      </c>
      <c r="C241" s="15" t="s">
        <v>12</v>
      </c>
      <c r="D241" s="15" t="s">
        <v>12</v>
      </c>
      <c r="E241" s="98" t="s">
        <v>696</v>
      </c>
      <c r="F241" s="103">
        <v>0</v>
      </c>
      <c r="G241" s="103">
        <v>0</v>
      </c>
      <c r="H241" s="103">
        <v>0</v>
      </c>
      <c r="I241" s="67"/>
      <c r="J241" s="67"/>
      <c r="K241" s="67"/>
    </row>
    <row r="242" spans="1:11" x14ac:dyDescent="0.25">
      <c r="A242" s="11"/>
      <c r="B242" s="11"/>
      <c r="C242" s="11"/>
      <c r="D242" s="11"/>
      <c r="E242" s="100" t="s">
        <v>697</v>
      </c>
      <c r="F242" s="104">
        <v>0</v>
      </c>
      <c r="G242" s="104">
        <v>0</v>
      </c>
      <c r="H242" s="104">
        <v>0</v>
      </c>
      <c r="I242" s="67"/>
      <c r="J242" s="67"/>
      <c r="K242" s="67"/>
    </row>
    <row r="243" spans="1:11" x14ac:dyDescent="0.25">
      <c r="A243" s="11"/>
      <c r="B243" s="11"/>
      <c r="C243" s="11"/>
      <c r="D243" s="11"/>
      <c r="E243" s="98" t="s">
        <v>698</v>
      </c>
      <c r="F243" s="103">
        <v>0</v>
      </c>
      <c r="G243" s="103">
        <v>0</v>
      </c>
      <c r="H243" s="103">
        <v>0</v>
      </c>
      <c r="I243" s="67"/>
      <c r="J243" s="67"/>
      <c r="K243" s="67"/>
    </row>
    <row r="244" spans="1:11" x14ac:dyDescent="0.25">
      <c r="A244" s="12" t="s">
        <v>230</v>
      </c>
      <c r="B244" s="13" t="s">
        <v>12</v>
      </c>
      <c r="C244" s="13" t="s">
        <v>12</v>
      </c>
      <c r="D244" s="13" t="s">
        <v>12</v>
      </c>
      <c r="E244" s="100" t="s">
        <v>694</v>
      </c>
      <c r="F244" s="104">
        <v>0</v>
      </c>
      <c r="G244" s="104">
        <v>0</v>
      </c>
      <c r="H244" s="104">
        <v>0</v>
      </c>
      <c r="I244" s="67"/>
      <c r="J244" s="67"/>
      <c r="K244" s="67"/>
    </row>
    <row r="245" spans="1:11" x14ac:dyDescent="0.25">
      <c r="A245" s="14" t="s">
        <v>6</v>
      </c>
      <c r="B245" s="15" t="s">
        <v>249</v>
      </c>
      <c r="C245" s="15" t="s">
        <v>249</v>
      </c>
      <c r="D245" s="15" t="s">
        <v>249</v>
      </c>
      <c r="E245" s="98" t="s">
        <v>695</v>
      </c>
      <c r="F245" s="103">
        <v>0</v>
      </c>
      <c r="G245" s="103">
        <v>0</v>
      </c>
      <c r="H245" s="103">
        <v>0</v>
      </c>
      <c r="I245" s="67"/>
      <c r="J245" s="67"/>
      <c r="K245" s="67"/>
    </row>
    <row r="246" spans="1:11" x14ac:dyDescent="0.25">
      <c r="A246" s="12" t="s">
        <v>231</v>
      </c>
      <c r="B246" s="13" t="s">
        <v>232</v>
      </c>
      <c r="C246" s="13" t="s">
        <v>233</v>
      </c>
      <c r="D246" s="13" t="s">
        <v>234</v>
      </c>
      <c r="E246" s="100" t="s">
        <v>699</v>
      </c>
      <c r="F246" s="104">
        <v>0</v>
      </c>
      <c r="G246" s="104">
        <v>0</v>
      </c>
      <c r="H246" s="104">
        <v>0</v>
      </c>
      <c r="I246" s="67"/>
      <c r="J246" s="67"/>
      <c r="K246" s="67"/>
    </row>
    <row r="247" spans="1:11" x14ac:dyDescent="0.25">
      <c r="A247" s="14" t="s">
        <v>8</v>
      </c>
      <c r="B247" s="15" t="s">
        <v>9</v>
      </c>
      <c r="C247" s="15" t="s">
        <v>250</v>
      </c>
      <c r="D247" s="15" t="s">
        <v>11</v>
      </c>
      <c r="E247" s="98" t="s">
        <v>686</v>
      </c>
      <c r="F247" s="99">
        <v>908518</v>
      </c>
      <c r="G247" s="99">
        <v>562349.67000000004</v>
      </c>
      <c r="H247" s="99">
        <v>495916.16</v>
      </c>
      <c r="I247" s="67"/>
      <c r="J247" s="67"/>
      <c r="K247" s="67"/>
    </row>
    <row r="248" spans="1:11" x14ac:dyDescent="0.25">
      <c r="A248" s="12" t="s">
        <v>6</v>
      </c>
      <c r="B248" s="13" t="s">
        <v>12</v>
      </c>
      <c r="C248" s="13" t="s">
        <v>12</v>
      </c>
      <c r="D248" s="13" t="s">
        <v>12</v>
      </c>
      <c r="E248" s="100" t="s">
        <v>687</v>
      </c>
      <c r="F248" s="102">
        <v>227276.72</v>
      </c>
      <c r="G248" s="102">
        <v>121869.97</v>
      </c>
      <c r="H248" s="102">
        <v>13404.44</v>
      </c>
      <c r="I248" s="67"/>
      <c r="J248" s="67"/>
      <c r="K248" s="67"/>
    </row>
    <row r="249" spans="1:11" x14ac:dyDescent="0.25">
      <c r="A249" s="14" t="s">
        <v>235</v>
      </c>
      <c r="B249" s="15" t="s">
        <v>251</v>
      </c>
      <c r="C249" s="15" t="s">
        <v>251</v>
      </c>
      <c r="D249" s="15" t="s">
        <v>251</v>
      </c>
      <c r="E249" s="98" t="s">
        <v>688</v>
      </c>
      <c r="F249" s="99">
        <v>256246.39999999999</v>
      </c>
      <c r="G249" s="99">
        <v>45012.6</v>
      </c>
      <c r="H249" s="99">
        <v>142833.79999999999</v>
      </c>
      <c r="I249" s="67"/>
      <c r="J249" s="67"/>
      <c r="K249" s="67"/>
    </row>
    <row r="250" spans="1:11" x14ac:dyDescent="0.25">
      <c r="A250" s="12" t="s">
        <v>238</v>
      </c>
      <c r="B250" s="13" t="s">
        <v>238</v>
      </c>
      <c r="C250" s="13" t="s">
        <v>238</v>
      </c>
      <c r="D250" s="13" t="s">
        <v>238</v>
      </c>
      <c r="E250" s="100" t="s">
        <v>689</v>
      </c>
      <c r="F250" s="102">
        <v>5133.0200000000004</v>
      </c>
      <c r="G250" s="102">
        <v>13140.42</v>
      </c>
      <c r="H250" s="102">
        <v>21021.25</v>
      </c>
      <c r="I250" s="67"/>
      <c r="J250" s="67"/>
      <c r="K250" s="67"/>
    </row>
    <row r="251" spans="1:11" x14ac:dyDescent="0.25">
      <c r="A251" s="14" t="s">
        <v>239</v>
      </c>
      <c r="B251" s="15" t="s">
        <v>252</v>
      </c>
      <c r="C251" s="15" t="s">
        <v>252</v>
      </c>
      <c r="D251" s="15" t="s">
        <v>252</v>
      </c>
      <c r="E251" s="98" t="s">
        <v>700</v>
      </c>
      <c r="F251" s="99">
        <v>237418.82</v>
      </c>
      <c r="G251" s="99">
        <v>190290.27</v>
      </c>
      <c r="H251" s="99">
        <v>189000.4</v>
      </c>
      <c r="I251" s="67"/>
      <c r="J251" s="67"/>
      <c r="K251" s="67"/>
    </row>
    <row r="252" spans="1:11" x14ac:dyDescent="0.25">
      <c r="A252" s="12" t="s">
        <v>242</v>
      </c>
      <c r="B252" s="13" t="s">
        <v>12</v>
      </c>
      <c r="C252" s="13" t="s">
        <v>12</v>
      </c>
      <c r="D252" s="13" t="s">
        <v>12</v>
      </c>
      <c r="E252" s="100" t="s">
        <v>694</v>
      </c>
      <c r="F252" s="102">
        <v>237418.82</v>
      </c>
      <c r="G252" s="102">
        <v>190290.27</v>
      </c>
      <c r="H252" s="102">
        <v>189000.4</v>
      </c>
      <c r="I252" s="67"/>
      <c r="J252" s="67"/>
      <c r="K252" s="67"/>
    </row>
    <row r="253" spans="1:11" x14ac:dyDescent="0.25">
      <c r="A253" s="14" t="s">
        <v>243</v>
      </c>
      <c r="B253" s="15" t="s">
        <v>253</v>
      </c>
      <c r="C253" s="15" t="s">
        <v>253</v>
      </c>
      <c r="D253" s="15" t="s">
        <v>253</v>
      </c>
      <c r="E253" s="98" t="s">
        <v>695</v>
      </c>
      <c r="F253" s="103">
        <v>0</v>
      </c>
      <c r="G253" s="103">
        <v>0</v>
      </c>
      <c r="H253" s="103">
        <v>0</v>
      </c>
      <c r="I253" s="67"/>
      <c r="J253" s="67"/>
      <c r="K253" s="67"/>
    </row>
    <row r="254" spans="1:11" x14ac:dyDescent="0.25">
      <c r="A254" s="11"/>
      <c r="B254" s="11"/>
      <c r="C254" s="11"/>
      <c r="D254" s="11"/>
      <c r="E254" s="100" t="s">
        <v>701</v>
      </c>
      <c r="F254" s="102">
        <v>1289.25</v>
      </c>
      <c r="G254" s="102">
        <v>2057.67</v>
      </c>
      <c r="H254" s="102">
        <v>1487.19</v>
      </c>
      <c r="I254" s="67"/>
      <c r="J254" s="67"/>
      <c r="K254" s="67"/>
    </row>
    <row r="255" spans="1:11" x14ac:dyDescent="0.25">
      <c r="A255" s="11"/>
      <c r="B255" s="11"/>
      <c r="C255" s="11"/>
      <c r="D255" s="11"/>
      <c r="E255" s="98" t="s">
        <v>702</v>
      </c>
      <c r="F255" s="103">
        <v>0</v>
      </c>
      <c r="G255" s="103">
        <v>0</v>
      </c>
      <c r="H255" s="103">
        <v>0</v>
      </c>
      <c r="I255" s="67"/>
      <c r="J255" s="67"/>
      <c r="K255" s="67"/>
    </row>
    <row r="256" spans="1:11" x14ac:dyDescent="0.25">
      <c r="A256" s="11" t="s">
        <v>244</v>
      </c>
      <c r="B256" s="11"/>
      <c r="C256" s="11"/>
      <c r="D256" s="11"/>
      <c r="E256" s="100" t="s">
        <v>703</v>
      </c>
      <c r="F256" s="102">
        <v>76307.11</v>
      </c>
      <c r="G256" s="102">
        <v>56773.59</v>
      </c>
      <c r="H256" s="102">
        <v>55202.02</v>
      </c>
      <c r="I256" s="67"/>
      <c r="J256" s="67"/>
      <c r="K256" s="67"/>
    </row>
    <row r="257" spans="1:11" x14ac:dyDescent="0.25">
      <c r="A257" s="11" t="s">
        <v>245</v>
      </c>
      <c r="B257" s="11"/>
      <c r="C257" s="11"/>
      <c r="D257" s="11"/>
      <c r="E257" s="98" t="s">
        <v>704</v>
      </c>
      <c r="F257" s="54" t="s">
        <v>12</v>
      </c>
      <c r="G257" s="54" t="s">
        <v>12</v>
      </c>
      <c r="H257" s="54" t="s">
        <v>12</v>
      </c>
      <c r="I257" s="67"/>
      <c r="J257" s="67"/>
      <c r="K257" s="67"/>
    </row>
    <row r="258" spans="1:11" x14ac:dyDescent="0.25">
      <c r="E258" s="100" t="s">
        <v>705</v>
      </c>
      <c r="F258" s="102">
        <v>26655</v>
      </c>
      <c r="G258" s="102">
        <v>23897.1</v>
      </c>
      <c r="H258" s="102">
        <v>20646.59</v>
      </c>
      <c r="I258" s="67"/>
      <c r="J258" s="67"/>
      <c r="K258" s="67"/>
    </row>
    <row r="259" spans="1:11" x14ac:dyDescent="0.25">
      <c r="E259" s="98" t="s">
        <v>706</v>
      </c>
      <c r="F259" s="99">
        <v>78191.679999999993</v>
      </c>
      <c r="G259" s="99">
        <v>109308.05</v>
      </c>
      <c r="H259" s="99">
        <v>52320.47</v>
      </c>
      <c r="I259" s="67"/>
      <c r="J259" s="67"/>
      <c r="K259" s="67"/>
    </row>
    <row r="260" spans="1:11" x14ac:dyDescent="0.25">
      <c r="E260" s="100" t="s">
        <v>707</v>
      </c>
      <c r="F260" s="102">
        <v>9705.1299999999992</v>
      </c>
      <c r="G260" s="102">
        <v>10346.5</v>
      </c>
      <c r="H260" s="102">
        <v>6995.73</v>
      </c>
      <c r="I260" s="67"/>
      <c r="J260" s="67"/>
      <c r="K260" s="67"/>
    </row>
    <row r="261" spans="1:11" x14ac:dyDescent="0.25">
      <c r="E261" s="98" t="s">
        <v>708</v>
      </c>
      <c r="F261" s="99">
        <v>116049.41</v>
      </c>
      <c r="G261" s="99">
        <v>55397.79</v>
      </c>
      <c r="H261" s="99">
        <v>45466.78</v>
      </c>
      <c r="I261" s="67"/>
      <c r="J261" s="67"/>
      <c r="K261" s="67"/>
    </row>
    <row r="262" spans="1:11" x14ac:dyDescent="0.25">
      <c r="E262" s="100" t="s">
        <v>709</v>
      </c>
      <c r="F262" s="104">
        <v>0</v>
      </c>
      <c r="G262" s="104">
        <v>0</v>
      </c>
      <c r="H262" s="104">
        <v>0</v>
      </c>
      <c r="I262" s="67"/>
      <c r="J262" s="67"/>
      <c r="K262" s="67"/>
    </row>
    <row r="263" spans="1:11" x14ac:dyDescent="0.25">
      <c r="E263" s="98" t="s">
        <v>710</v>
      </c>
      <c r="F263" s="99">
        <v>116049.41</v>
      </c>
      <c r="G263" s="99">
        <v>55397.79</v>
      </c>
      <c r="H263" s="99">
        <v>45466.78</v>
      </c>
      <c r="I263" s="67"/>
      <c r="J263" s="67"/>
      <c r="K263" s="67"/>
    </row>
    <row r="264" spans="1:11" x14ac:dyDescent="0.25">
      <c r="E264" s="100" t="s">
        <v>711</v>
      </c>
      <c r="F264" s="102">
        <v>80123.37</v>
      </c>
      <c r="G264" s="102">
        <v>29767.79</v>
      </c>
      <c r="H264" s="102">
        <v>27674.16</v>
      </c>
      <c r="I264" s="67"/>
      <c r="J264" s="67"/>
      <c r="K264" s="67"/>
    </row>
    <row r="265" spans="1:11" x14ac:dyDescent="0.25">
      <c r="E265" s="98" t="s">
        <v>712</v>
      </c>
      <c r="F265" s="99">
        <v>35926.04</v>
      </c>
      <c r="G265" s="99">
        <v>25630</v>
      </c>
      <c r="H265" s="99">
        <v>17792.62</v>
      </c>
      <c r="I265" s="67"/>
      <c r="J265" s="67"/>
      <c r="K265" s="67"/>
    </row>
    <row r="266" spans="1:11" x14ac:dyDescent="0.25">
      <c r="E266" s="100" t="s">
        <v>713</v>
      </c>
      <c r="F266" s="102">
        <v>2149271.39</v>
      </c>
      <c r="G266" s="102">
        <v>1481959.03</v>
      </c>
      <c r="H266" s="102">
        <v>1486228.52</v>
      </c>
      <c r="I266" s="67"/>
      <c r="J266" s="67"/>
      <c r="K266" s="67"/>
    </row>
    <row r="267" spans="1:11" x14ac:dyDescent="0.25">
      <c r="E267" s="67"/>
      <c r="F267" s="67"/>
      <c r="G267" s="67"/>
      <c r="H267" s="67"/>
      <c r="I267" s="67"/>
      <c r="J267" s="67"/>
      <c r="K267" s="67"/>
    </row>
    <row r="268" spans="1:11" x14ac:dyDescent="0.25">
      <c r="E268" s="67"/>
      <c r="F268" s="67"/>
      <c r="G268" s="67"/>
      <c r="H268" s="67"/>
      <c r="I268" s="67"/>
      <c r="J268" s="67"/>
      <c r="K268" s="67"/>
    </row>
    <row r="269" spans="1:11" x14ac:dyDescent="0.25">
      <c r="E269" s="97" t="s">
        <v>176</v>
      </c>
      <c r="F269" s="97">
        <v>2019</v>
      </c>
      <c r="G269" s="97">
        <v>2018</v>
      </c>
      <c r="H269" s="97">
        <v>2017</v>
      </c>
      <c r="I269" s="67"/>
      <c r="J269" s="67"/>
      <c r="K269" s="67"/>
    </row>
    <row r="270" spans="1:11" x14ac:dyDescent="0.25">
      <c r="E270" s="100" t="s">
        <v>714</v>
      </c>
      <c r="F270" s="101" t="s">
        <v>12</v>
      </c>
      <c r="G270" s="101" t="s">
        <v>12</v>
      </c>
      <c r="H270" s="102">
        <v>68865.67</v>
      </c>
      <c r="I270" s="67"/>
      <c r="J270" s="67"/>
      <c r="K270" s="67"/>
    </row>
    <row r="271" spans="1:11" x14ac:dyDescent="0.25">
      <c r="E271" s="98" t="s">
        <v>715</v>
      </c>
      <c r="F271" s="99">
        <v>89071.43</v>
      </c>
      <c r="G271" s="99">
        <v>3492.65</v>
      </c>
      <c r="H271" s="103">
        <v>563.79999999999995</v>
      </c>
      <c r="I271" s="67"/>
      <c r="J271" s="67"/>
      <c r="K271" s="67"/>
    </row>
    <row r="272" spans="1:11" x14ac:dyDescent="0.25">
      <c r="E272" s="100" t="s">
        <v>716</v>
      </c>
      <c r="F272" s="102">
        <v>185604.69</v>
      </c>
      <c r="G272" s="102">
        <v>200571.16</v>
      </c>
      <c r="H272" s="102">
        <v>68301.87</v>
      </c>
      <c r="I272" s="67"/>
      <c r="J272" s="67"/>
      <c r="K272" s="67"/>
    </row>
    <row r="273" spans="5:11" x14ac:dyDescent="0.25">
      <c r="E273" s="98" t="s">
        <v>717</v>
      </c>
      <c r="F273" s="54" t="s">
        <v>12</v>
      </c>
      <c r="G273" s="54" t="s">
        <v>12</v>
      </c>
      <c r="H273" s="54" t="s">
        <v>12</v>
      </c>
      <c r="I273" s="67"/>
      <c r="J273" s="67"/>
      <c r="K273" s="67"/>
    </row>
    <row r="274" spans="5:11" x14ac:dyDescent="0.25">
      <c r="E274" s="100" t="s">
        <v>718</v>
      </c>
      <c r="F274" s="101" t="s">
        <v>12</v>
      </c>
      <c r="G274" s="101" t="s">
        <v>12</v>
      </c>
      <c r="H274" s="101" t="s">
        <v>12</v>
      </c>
      <c r="I274" s="67"/>
      <c r="J274" s="67"/>
      <c r="K274" s="67"/>
    </row>
    <row r="275" spans="5:11" x14ac:dyDescent="0.25">
      <c r="E275" s="98" t="s">
        <v>719</v>
      </c>
      <c r="F275" s="54" t="s">
        <v>12</v>
      </c>
      <c r="G275" s="54" t="s">
        <v>12</v>
      </c>
      <c r="H275" s="54" t="s">
        <v>12</v>
      </c>
      <c r="I275" s="67"/>
      <c r="J275" s="67"/>
      <c r="K275" s="67"/>
    </row>
    <row r="276" spans="5:11" x14ac:dyDescent="0.25">
      <c r="E276" s="100" t="s">
        <v>720</v>
      </c>
      <c r="F276" s="102">
        <v>209571.51</v>
      </c>
      <c r="G276" s="102">
        <v>189544.38</v>
      </c>
      <c r="H276" s="102">
        <v>170520.21</v>
      </c>
      <c r="I276" s="67"/>
      <c r="J276" s="67"/>
      <c r="K276" s="67"/>
    </row>
    <row r="277" spans="5:11" x14ac:dyDescent="0.25">
      <c r="E277" s="98" t="s">
        <v>721</v>
      </c>
      <c r="F277" s="54" t="s">
        <v>12</v>
      </c>
      <c r="G277" s="54" t="s">
        <v>12</v>
      </c>
      <c r="H277" s="54" t="s">
        <v>12</v>
      </c>
      <c r="I277" s="67"/>
      <c r="J277" s="67"/>
      <c r="K277" s="67"/>
    </row>
    <row r="278" spans="5:11" x14ac:dyDescent="0.25">
      <c r="E278" s="100" t="s">
        <v>722</v>
      </c>
      <c r="F278" s="101" t="s">
        <v>12</v>
      </c>
      <c r="G278" s="101" t="s">
        <v>12</v>
      </c>
      <c r="H278" s="101" t="s">
        <v>12</v>
      </c>
      <c r="I278" s="67"/>
      <c r="J278" s="67"/>
      <c r="K278" s="67"/>
    </row>
    <row r="279" spans="5:11" x14ac:dyDescent="0.25">
      <c r="E279" s="98" t="s">
        <v>723</v>
      </c>
      <c r="F279" s="103">
        <v>17.71</v>
      </c>
      <c r="G279" s="103">
        <v>7.0000000000000007E-2</v>
      </c>
      <c r="H279" s="103">
        <v>0.64</v>
      </c>
      <c r="I279" s="67"/>
      <c r="J279" s="67"/>
      <c r="K279" s="67"/>
    </row>
    <row r="280" spans="5:11" x14ac:dyDescent="0.25">
      <c r="E280" s="100" t="s">
        <v>724</v>
      </c>
      <c r="F280" s="102">
        <v>23980.16</v>
      </c>
      <c r="G280" s="102">
        <v>12909</v>
      </c>
      <c r="H280" s="102">
        <v>13826.4</v>
      </c>
      <c r="I280" s="67"/>
      <c r="J280" s="67"/>
      <c r="K280" s="67"/>
    </row>
    <row r="281" spans="5:11" x14ac:dyDescent="0.25">
      <c r="E281" s="98" t="s">
        <v>725</v>
      </c>
      <c r="F281" s="99">
        <v>-3349.14</v>
      </c>
      <c r="G281" s="99">
        <v>-11240.48</v>
      </c>
      <c r="H281" s="103">
        <v>58.63</v>
      </c>
      <c r="I281" s="67"/>
      <c r="J281" s="67"/>
      <c r="K281" s="67"/>
    </row>
    <row r="282" spans="5:11" x14ac:dyDescent="0.25">
      <c r="E282" s="100" t="s">
        <v>726</v>
      </c>
      <c r="F282" s="102">
        <v>10155.219999999999</v>
      </c>
      <c r="G282" s="102">
        <v>17749.740000000002</v>
      </c>
      <c r="H282" s="102">
        <v>15564.09</v>
      </c>
      <c r="I282" s="67"/>
      <c r="J282" s="67"/>
      <c r="K282" s="67"/>
    </row>
    <row r="283" spans="5:11" x14ac:dyDescent="0.25">
      <c r="E283" s="98" t="s">
        <v>727</v>
      </c>
      <c r="F283" s="99">
        <v>-92865.75</v>
      </c>
      <c r="G283" s="99">
        <v>-25625.56</v>
      </c>
      <c r="H283" s="99">
        <v>-146254.01999999999</v>
      </c>
      <c r="I283" s="67"/>
      <c r="J283" s="67"/>
      <c r="K283" s="67"/>
    </row>
    <row r="284" spans="5:11" x14ac:dyDescent="0.25">
      <c r="E284" s="100" t="s">
        <v>728</v>
      </c>
      <c r="F284" s="102">
        <v>-46308.2</v>
      </c>
      <c r="G284" s="102">
        <v>4081.67</v>
      </c>
      <c r="H284" s="102">
        <v>-34862.35</v>
      </c>
      <c r="I284" s="67"/>
      <c r="J284" s="67"/>
      <c r="K284" s="67"/>
    </row>
    <row r="285" spans="5:11" x14ac:dyDescent="0.25">
      <c r="E285" s="98" t="s">
        <v>729</v>
      </c>
      <c r="F285" s="99">
        <v>51967.42</v>
      </c>
      <c r="G285" s="99">
        <v>12510.39</v>
      </c>
      <c r="H285" s="99">
        <v>42948.71</v>
      </c>
      <c r="I285" s="67"/>
      <c r="J285" s="67"/>
      <c r="K285" s="67"/>
    </row>
    <row r="286" spans="5:11" x14ac:dyDescent="0.25">
      <c r="E286" s="100" t="s">
        <v>730</v>
      </c>
      <c r="F286" s="102">
        <v>35026.22</v>
      </c>
      <c r="G286" s="102">
        <v>3007.47</v>
      </c>
      <c r="H286" s="102">
        <v>7788.89</v>
      </c>
      <c r="I286" s="67"/>
      <c r="J286" s="67"/>
      <c r="K286" s="67"/>
    </row>
    <row r="287" spans="5:11" x14ac:dyDescent="0.25">
      <c r="E287" s="98" t="s">
        <v>731</v>
      </c>
      <c r="F287" s="99">
        <v>-2590.4699999999998</v>
      </c>
      <c r="G287" s="99">
        <v>-2365.5100000000002</v>
      </c>
      <c r="H287" s="99">
        <v>-1289.3399999999999</v>
      </c>
      <c r="I287" s="67"/>
      <c r="J287" s="67"/>
      <c r="K287" s="67"/>
    </row>
    <row r="288" spans="5:11" x14ac:dyDescent="0.25">
      <c r="E288" s="100" t="s">
        <v>732</v>
      </c>
      <c r="F288" s="102">
        <v>274676.12</v>
      </c>
      <c r="G288" s="102">
        <v>204063.81</v>
      </c>
      <c r="H288" s="102">
        <v>68865.67</v>
      </c>
      <c r="I288" s="67"/>
      <c r="J288" s="67"/>
      <c r="K288" s="67"/>
    </row>
    <row r="289" spans="5:11" x14ac:dyDescent="0.25">
      <c r="E289" s="98" t="s">
        <v>733</v>
      </c>
      <c r="F289" s="54" t="s">
        <v>12</v>
      </c>
      <c r="G289" s="54" t="s">
        <v>12</v>
      </c>
      <c r="H289" s="99">
        <v>-210092.02</v>
      </c>
      <c r="I289" s="67"/>
      <c r="J289" s="67"/>
      <c r="K289" s="67"/>
    </row>
    <row r="290" spans="5:11" x14ac:dyDescent="0.25">
      <c r="E290" s="100" t="s">
        <v>734</v>
      </c>
      <c r="F290" s="102">
        <v>5094.6899999999996</v>
      </c>
      <c r="G290" s="102">
        <v>13840.23</v>
      </c>
      <c r="H290" s="104">
        <v>113.82</v>
      </c>
      <c r="I290" s="67"/>
      <c r="J290" s="67"/>
      <c r="K290" s="67"/>
    </row>
    <row r="291" spans="5:11" x14ac:dyDescent="0.25">
      <c r="E291" s="98" t="s">
        <v>735</v>
      </c>
      <c r="F291" s="99">
        <v>2385.59</v>
      </c>
      <c r="G291" s="99">
        <v>11534.13</v>
      </c>
      <c r="H291" s="103">
        <v>113.82</v>
      </c>
      <c r="I291" s="67"/>
      <c r="J291" s="67"/>
      <c r="K291" s="67"/>
    </row>
    <row r="292" spans="5:11" x14ac:dyDescent="0.25">
      <c r="E292" s="100" t="s">
        <v>736</v>
      </c>
      <c r="F292" s="104">
        <v>0</v>
      </c>
      <c r="G292" s="104">
        <v>0</v>
      </c>
      <c r="H292" s="104">
        <v>0</v>
      </c>
      <c r="I292" s="67"/>
      <c r="J292" s="67"/>
      <c r="K292" s="67"/>
    </row>
    <row r="293" spans="5:11" x14ac:dyDescent="0.25">
      <c r="E293" s="98" t="s">
        <v>737</v>
      </c>
      <c r="F293" s="99">
        <v>2348.9899999999998</v>
      </c>
      <c r="G293" s="99">
        <v>2306.1</v>
      </c>
      <c r="H293" s="103">
        <v>0</v>
      </c>
      <c r="I293" s="67"/>
      <c r="J293" s="67"/>
      <c r="K293" s="67"/>
    </row>
    <row r="294" spans="5:11" x14ac:dyDescent="0.25">
      <c r="E294" s="100" t="s">
        <v>738</v>
      </c>
      <c r="F294" s="104">
        <v>0</v>
      </c>
      <c r="G294" s="104">
        <v>0</v>
      </c>
      <c r="H294" s="104">
        <v>0</v>
      </c>
      <c r="I294" s="67"/>
      <c r="J294" s="67"/>
      <c r="K294" s="67"/>
    </row>
    <row r="295" spans="5:11" x14ac:dyDescent="0.25">
      <c r="E295" s="98" t="s">
        <v>739</v>
      </c>
      <c r="F295" s="54" t="s">
        <v>12</v>
      </c>
      <c r="G295" s="54" t="s">
        <v>12</v>
      </c>
      <c r="H295" s="54" t="s">
        <v>12</v>
      </c>
      <c r="I295" s="67"/>
      <c r="J295" s="67"/>
      <c r="K295" s="67"/>
    </row>
    <row r="296" spans="5:11" x14ac:dyDescent="0.25">
      <c r="E296" s="100" t="s">
        <v>740</v>
      </c>
      <c r="F296" s="101" t="s">
        <v>12</v>
      </c>
      <c r="G296" s="101" t="s">
        <v>12</v>
      </c>
      <c r="H296" s="101" t="s">
        <v>12</v>
      </c>
      <c r="I296" s="67"/>
      <c r="J296" s="67"/>
      <c r="K296" s="67"/>
    </row>
    <row r="297" spans="5:11" x14ac:dyDescent="0.25">
      <c r="E297" s="98" t="s">
        <v>741</v>
      </c>
      <c r="F297" s="54" t="s">
        <v>12</v>
      </c>
      <c r="G297" s="54" t="s">
        <v>12</v>
      </c>
      <c r="H297" s="54" t="s">
        <v>12</v>
      </c>
      <c r="I297" s="67"/>
      <c r="J297" s="67"/>
      <c r="K297" s="67"/>
    </row>
    <row r="298" spans="5:11" x14ac:dyDescent="0.25">
      <c r="E298" s="100" t="s">
        <v>742</v>
      </c>
      <c r="F298" s="101" t="s">
        <v>12</v>
      </c>
      <c r="G298" s="101" t="s">
        <v>12</v>
      </c>
      <c r="H298" s="101" t="s">
        <v>12</v>
      </c>
      <c r="I298" s="67"/>
      <c r="J298" s="67"/>
      <c r="K298" s="67"/>
    </row>
    <row r="299" spans="5:11" x14ac:dyDescent="0.25">
      <c r="E299" s="98" t="s">
        <v>743</v>
      </c>
      <c r="F299" s="54" t="s">
        <v>12</v>
      </c>
      <c r="G299" s="54" t="s">
        <v>12</v>
      </c>
      <c r="H299" s="54" t="s">
        <v>12</v>
      </c>
      <c r="I299" s="67"/>
      <c r="J299" s="67"/>
      <c r="K299" s="67"/>
    </row>
    <row r="300" spans="5:11" x14ac:dyDescent="0.25">
      <c r="E300" s="100" t="s">
        <v>744</v>
      </c>
      <c r="F300" s="102">
        <v>2348.9899999999998</v>
      </c>
      <c r="G300" s="102">
        <v>2306.1</v>
      </c>
      <c r="H300" s="104">
        <v>0</v>
      </c>
      <c r="I300" s="67"/>
      <c r="J300" s="67"/>
      <c r="K300" s="67"/>
    </row>
    <row r="301" spans="5:11" x14ac:dyDescent="0.25">
      <c r="E301" s="98" t="s">
        <v>739</v>
      </c>
      <c r="F301" s="103">
        <v>0</v>
      </c>
      <c r="G301" s="103">
        <v>0</v>
      </c>
      <c r="H301" s="103">
        <v>0</v>
      </c>
      <c r="I301" s="67"/>
      <c r="J301" s="67"/>
      <c r="K301" s="67"/>
    </row>
    <row r="302" spans="5:11" x14ac:dyDescent="0.25">
      <c r="E302" s="100" t="s">
        <v>740</v>
      </c>
      <c r="F302" s="104">
        <v>0</v>
      </c>
      <c r="G302" s="104">
        <v>0</v>
      </c>
      <c r="H302" s="104">
        <v>0</v>
      </c>
      <c r="I302" s="67"/>
      <c r="J302" s="67"/>
      <c r="K302" s="67"/>
    </row>
    <row r="303" spans="5:11" x14ac:dyDescent="0.25">
      <c r="E303" s="98" t="s">
        <v>741</v>
      </c>
      <c r="F303" s="103">
        <v>0</v>
      </c>
      <c r="G303" s="103">
        <v>0</v>
      </c>
      <c r="H303" s="103">
        <v>0</v>
      </c>
      <c r="I303" s="67"/>
      <c r="J303" s="67"/>
      <c r="K303" s="67"/>
    </row>
    <row r="304" spans="5:11" x14ac:dyDescent="0.25">
      <c r="E304" s="100" t="s">
        <v>742</v>
      </c>
      <c r="F304" s="102">
        <v>1015.23</v>
      </c>
      <c r="G304" s="104">
        <v>645.1</v>
      </c>
      <c r="H304" s="104">
        <v>0</v>
      </c>
      <c r="I304" s="67"/>
      <c r="J304" s="67"/>
      <c r="K304" s="67"/>
    </row>
    <row r="305" spans="5:11" x14ac:dyDescent="0.25">
      <c r="E305" s="98" t="s">
        <v>745</v>
      </c>
      <c r="F305" s="99">
        <v>1333.76</v>
      </c>
      <c r="G305" s="99">
        <v>1661.01</v>
      </c>
      <c r="H305" s="103">
        <v>0</v>
      </c>
      <c r="I305" s="67"/>
      <c r="J305" s="67"/>
      <c r="K305" s="67"/>
    </row>
    <row r="306" spans="5:11" x14ac:dyDescent="0.25">
      <c r="E306" s="100" t="s">
        <v>746</v>
      </c>
      <c r="F306" s="104">
        <v>360.1</v>
      </c>
      <c r="G306" s="104">
        <v>0</v>
      </c>
      <c r="H306" s="104">
        <v>0</v>
      </c>
      <c r="I306" s="67"/>
      <c r="J306" s="67"/>
      <c r="K306" s="67"/>
    </row>
    <row r="307" spans="5:11" x14ac:dyDescent="0.25">
      <c r="E307" s="98" t="s">
        <v>747</v>
      </c>
      <c r="F307" s="99">
        <v>338642.73</v>
      </c>
      <c r="G307" s="99">
        <v>255062.02</v>
      </c>
      <c r="H307" s="99">
        <v>210205.84</v>
      </c>
      <c r="I307" s="67"/>
      <c r="J307" s="67"/>
      <c r="K307" s="67"/>
    </row>
    <row r="308" spans="5:11" x14ac:dyDescent="0.25">
      <c r="E308" s="100" t="s">
        <v>748</v>
      </c>
      <c r="F308" s="102">
        <v>338036.58</v>
      </c>
      <c r="G308" s="102">
        <v>254420</v>
      </c>
      <c r="H308" s="102">
        <v>210133.43</v>
      </c>
      <c r="I308" s="67"/>
      <c r="J308" s="67"/>
      <c r="K308" s="67"/>
    </row>
    <row r="309" spans="5:11" x14ac:dyDescent="0.25">
      <c r="E309" s="98" t="s">
        <v>749</v>
      </c>
      <c r="F309" s="103">
        <v>0</v>
      </c>
      <c r="G309" s="103">
        <v>0</v>
      </c>
      <c r="H309" s="103">
        <v>0</v>
      </c>
      <c r="I309" s="67"/>
      <c r="J309" s="67"/>
      <c r="K309" s="67"/>
    </row>
    <row r="310" spans="5:11" x14ac:dyDescent="0.25">
      <c r="E310" s="100" t="s">
        <v>750</v>
      </c>
      <c r="F310" s="104">
        <v>606.15</v>
      </c>
      <c r="G310" s="104">
        <v>620.99</v>
      </c>
      <c r="H310" s="104">
        <v>0</v>
      </c>
      <c r="I310" s="67"/>
      <c r="J310" s="67"/>
      <c r="K310" s="67"/>
    </row>
    <row r="311" spans="5:11" x14ac:dyDescent="0.25">
      <c r="E311" s="98" t="s">
        <v>738</v>
      </c>
      <c r="F311" s="103">
        <v>0</v>
      </c>
      <c r="G311" s="103">
        <v>0</v>
      </c>
      <c r="H311" s="103">
        <v>0</v>
      </c>
      <c r="I311" s="67"/>
      <c r="J311" s="67"/>
      <c r="K311" s="67"/>
    </row>
    <row r="312" spans="5:11" x14ac:dyDescent="0.25">
      <c r="E312" s="100" t="s">
        <v>751</v>
      </c>
      <c r="F312" s="101" t="s">
        <v>12</v>
      </c>
      <c r="G312" s="101" t="s">
        <v>12</v>
      </c>
      <c r="H312" s="101" t="s">
        <v>12</v>
      </c>
      <c r="I312" s="67"/>
      <c r="J312" s="67"/>
      <c r="K312" s="67"/>
    </row>
    <row r="313" spans="5:11" x14ac:dyDescent="0.25">
      <c r="E313" s="98" t="s">
        <v>752</v>
      </c>
      <c r="F313" s="54" t="s">
        <v>12</v>
      </c>
      <c r="G313" s="54" t="s">
        <v>12</v>
      </c>
      <c r="H313" s="54" t="s">
        <v>12</v>
      </c>
      <c r="I313" s="67"/>
      <c r="J313" s="67"/>
      <c r="K313" s="67"/>
    </row>
    <row r="314" spans="5:11" x14ac:dyDescent="0.25">
      <c r="E314" s="100" t="s">
        <v>744</v>
      </c>
      <c r="F314" s="104">
        <v>606.15</v>
      </c>
      <c r="G314" s="104">
        <v>620.99</v>
      </c>
      <c r="H314" s="104">
        <v>0</v>
      </c>
      <c r="I314" s="67"/>
      <c r="J314" s="67"/>
      <c r="K314" s="67"/>
    </row>
    <row r="315" spans="5:11" x14ac:dyDescent="0.25">
      <c r="E315" s="98" t="s">
        <v>751</v>
      </c>
      <c r="F315" s="103">
        <v>606.15</v>
      </c>
      <c r="G315" s="103">
        <v>620.99</v>
      </c>
      <c r="H315" s="103">
        <v>0</v>
      </c>
      <c r="I315" s="67"/>
      <c r="J315" s="67"/>
      <c r="K315" s="67"/>
    </row>
    <row r="316" spans="5:11" x14ac:dyDescent="0.25">
      <c r="E316" s="100" t="s">
        <v>752</v>
      </c>
      <c r="F316" s="104">
        <v>0</v>
      </c>
      <c r="G316" s="104">
        <v>0</v>
      </c>
      <c r="H316" s="104">
        <v>0</v>
      </c>
      <c r="I316" s="67"/>
      <c r="J316" s="67"/>
      <c r="K316" s="67"/>
    </row>
    <row r="317" spans="5:11" x14ac:dyDescent="0.25">
      <c r="E317" s="98" t="s">
        <v>753</v>
      </c>
      <c r="F317" s="54" t="s">
        <v>12</v>
      </c>
      <c r="G317" s="54" t="s">
        <v>12</v>
      </c>
      <c r="H317" s="54" t="s">
        <v>12</v>
      </c>
      <c r="I317" s="67"/>
      <c r="J317" s="67"/>
      <c r="K317" s="67"/>
    </row>
    <row r="318" spans="5:11" x14ac:dyDescent="0.25">
      <c r="E318" s="100" t="s">
        <v>754</v>
      </c>
      <c r="F318" s="104">
        <v>0</v>
      </c>
      <c r="G318" s="104">
        <v>21.03</v>
      </c>
      <c r="H318" s="104">
        <v>72.42</v>
      </c>
      <c r="I318" s="67"/>
      <c r="J318" s="67"/>
      <c r="K318" s="67"/>
    </row>
    <row r="319" spans="5:11" x14ac:dyDescent="0.25">
      <c r="E319" s="98" t="s">
        <v>755</v>
      </c>
      <c r="F319" s="99">
        <v>-333548.03999999998</v>
      </c>
      <c r="G319" s="99">
        <v>-241221.79</v>
      </c>
      <c r="H319" s="99">
        <v>-210092.02</v>
      </c>
      <c r="I319" s="67"/>
      <c r="J319" s="67"/>
      <c r="K319" s="67"/>
    </row>
    <row r="320" spans="5:11" x14ac:dyDescent="0.25">
      <c r="E320" s="100" t="s">
        <v>756</v>
      </c>
      <c r="F320" s="101" t="s">
        <v>12</v>
      </c>
      <c r="G320" s="101" t="s">
        <v>12</v>
      </c>
      <c r="H320" s="102">
        <v>292459.77</v>
      </c>
      <c r="I320" s="67"/>
      <c r="J320" s="67"/>
      <c r="K320" s="67"/>
    </row>
    <row r="321" spans="5:11" x14ac:dyDescent="0.25">
      <c r="E321" s="98" t="s">
        <v>734</v>
      </c>
      <c r="F321" s="99">
        <v>709481.92</v>
      </c>
      <c r="G321" s="99">
        <v>56658.85</v>
      </c>
      <c r="H321" s="99">
        <v>492686.67</v>
      </c>
      <c r="I321" s="67"/>
      <c r="J321" s="67"/>
      <c r="K321" s="67"/>
    </row>
    <row r="322" spans="5:11" x14ac:dyDescent="0.25">
      <c r="E322" s="100" t="s">
        <v>757</v>
      </c>
      <c r="F322" s="104">
        <v>0</v>
      </c>
      <c r="G322" s="104">
        <v>0</v>
      </c>
      <c r="H322" s="104">
        <v>0</v>
      </c>
      <c r="I322" s="67"/>
      <c r="J322" s="67"/>
      <c r="K322" s="67"/>
    </row>
    <row r="323" spans="5:11" x14ac:dyDescent="0.25">
      <c r="E323" s="98" t="s">
        <v>758</v>
      </c>
      <c r="F323" s="99">
        <v>450000</v>
      </c>
      <c r="G323" s="99">
        <v>7753.06</v>
      </c>
      <c r="H323" s="99">
        <v>350000</v>
      </c>
      <c r="I323" s="67"/>
      <c r="J323" s="67"/>
      <c r="K323" s="67"/>
    </row>
    <row r="324" spans="5:11" x14ac:dyDescent="0.25">
      <c r="E324" s="100" t="s">
        <v>759</v>
      </c>
      <c r="F324" s="102">
        <v>255000</v>
      </c>
      <c r="G324" s="102">
        <v>45000</v>
      </c>
      <c r="H324" s="102">
        <v>140000</v>
      </c>
      <c r="I324" s="67"/>
      <c r="J324" s="67"/>
      <c r="K324" s="67"/>
    </row>
    <row r="325" spans="5:11" x14ac:dyDescent="0.25">
      <c r="E325" s="98" t="s">
        <v>760</v>
      </c>
      <c r="F325" s="99">
        <v>4481.92</v>
      </c>
      <c r="G325" s="99">
        <v>3905.79</v>
      </c>
      <c r="H325" s="99">
        <v>2686.67</v>
      </c>
      <c r="I325" s="67"/>
      <c r="J325" s="67"/>
      <c r="K325" s="67"/>
    </row>
    <row r="326" spans="5:11" x14ac:dyDescent="0.25">
      <c r="E326" s="100" t="s">
        <v>747</v>
      </c>
      <c r="F326" s="102">
        <v>253835.65</v>
      </c>
      <c r="G326" s="102">
        <v>180570.58</v>
      </c>
      <c r="H326" s="102">
        <v>200226.9</v>
      </c>
      <c r="I326" s="67"/>
      <c r="J326" s="67"/>
      <c r="K326" s="67"/>
    </row>
    <row r="327" spans="5:11" x14ac:dyDescent="0.25">
      <c r="E327" s="98" t="s">
        <v>761</v>
      </c>
      <c r="F327" s="103">
        <v>0</v>
      </c>
      <c r="G327" s="103">
        <v>0</v>
      </c>
      <c r="H327" s="103">
        <v>0</v>
      </c>
      <c r="I327" s="67"/>
      <c r="J327" s="67"/>
      <c r="K327" s="67"/>
    </row>
    <row r="328" spans="5:11" x14ac:dyDescent="0.25">
      <c r="E328" s="100" t="s">
        <v>762</v>
      </c>
      <c r="F328" s="104">
        <v>0</v>
      </c>
      <c r="G328" s="104">
        <v>0</v>
      </c>
      <c r="H328" s="104">
        <v>0</v>
      </c>
      <c r="I328" s="67"/>
      <c r="J328" s="67"/>
      <c r="K328" s="67"/>
    </row>
    <row r="329" spans="5:11" x14ac:dyDescent="0.25">
      <c r="E329" s="98" t="s">
        <v>763</v>
      </c>
      <c r="F329" s="103">
        <v>0</v>
      </c>
      <c r="G329" s="103">
        <v>0</v>
      </c>
      <c r="H329" s="103">
        <v>0</v>
      </c>
      <c r="I329" s="67"/>
      <c r="J329" s="67"/>
      <c r="K329" s="67"/>
    </row>
    <row r="330" spans="5:11" x14ac:dyDescent="0.25">
      <c r="E330" s="100" t="s">
        <v>764</v>
      </c>
      <c r="F330" s="102">
        <v>169889.57</v>
      </c>
      <c r="G330" s="104">
        <v>0</v>
      </c>
      <c r="H330" s="104">
        <v>0</v>
      </c>
      <c r="I330" s="67"/>
      <c r="J330" s="67"/>
      <c r="K330" s="67"/>
    </row>
    <row r="331" spans="5:11" x14ac:dyDescent="0.25">
      <c r="E331" s="98" t="s">
        <v>765</v>
      </c>
      <c r="F331" s="99">
        <v>45000</v>
      </c>
      <c r="G331" s="99">
        <v>140000</v>
      </c>
      <c r="H331" s="99">
        <v>160000</v>
      </c>
      <c r="I331" s="67"/>
      <c r="J331" s="67"/>
      <c r="K331" s="67"/>
    </row>
    <row r="332" spans="5:11" x14ac:dyDescent="0.25">
      <c r="E332" s="100" t="s">
        <v>766</v>
      </c>
      <c r="F332" s="104">
        <v>0</v>
      </c>
      <c r="G332" s="104">
        <v>0</v>
      </c>
      <c r="H332" s="104">
        <v>0</v>
      </c>
      <c r="I332" s="67"/>
      <c r="J332" s="67"/>
      <c r="K332" s="67"/>
    </row>
    <row r="333" spans="5:11" x14ac:dyDescent="0.25">
      <c r="E333" s="98" t="s">
        <v>767</v>
      </c>
      <c r="F333" s="99">
        <v>13031.53</v>
      </c>
      <c r="G333" s="99">
        <v>21740.09</v>
      </c>
      <c r="H333" s="99">
        <v>28435.35</v>
      </c>
      <c r="I333" s="67"/>
      <c r="J333" s="67"/>
      <c r="K333" s="67"/>
    </row>
    <row r="334" spans="5:11" x14ac:dyDescent="0.25">
      <c r="E334" s="100" t="s">
        <v>768</v>
      </c>
      <c r="F334" s="102">
        <v>23980.400000000001</v>
      </c>
      <c r="G334" s="102">
        <v>16364.7</v>
      </c>
      <c r="H334" s="102">
        <v>11404.92</v>
      </c>
      <c r="I334" s="67"/>
      <c r="J334" s="67"/>
      <c r="K334" s="67"/>
    </row>
    <row r="335" spans="5:11" x14ac:dyDescent="0.25">
      <c r="E335" s="98" t="s">
        <v>769</v>
      </c>
      <c r="F335" s="99">
        <v>1934.15</v>
      </c>
      <c r="G335" s="99">
        <v>2465.79</v>
      </c>
      <c r="H335" s="103">
        <v>386.63</v>
      </c>
      <c r="I335" s="67"/>
      <c r="J335" s="67"/>
      <c r="K335" s="67"/>
    </row>
    <row r="336" spans="5:11" x14ac:dyDescent="0.25">
      <c r="E336" s="100" t="s">
        <v>770</v>
      </c>
      <c r="F336" s="102">
        <v>455646.26</v>
      </c>
      <c r="G336" s="102">
        <v>-123911.73</v>
      </c>
      <c r="H336" s="102">
        <v>292459.77</v>
      </c>
      <c r="I336" s="67"/>
      <c r="J336" s="67"/>
      <c r="K336" s="67"/>
    </row>
    <row r="337" spans="5:11" x14ac:dyDescent="0.25">
      <c r="E337" s="98" t="s">
        <v>771</v>
      </c>
      <c r="F337" s="99">
        <v>396774.34</v>
      </c>
      <c r="G337" s="99">
        <v>-161069.70000000001</v>
      </c>
      <c r="H337" s="99">
        <v>151233.43</v>
      </c>
      <c r="I337" s="67"/>
      <c r="J337" s="67"/>
      <c r="K337" s="67"/>
    </row>
    <row r="338" spans="5:11" x14ac:dyDescent="0.25">
      <c r="E338" s="100" t="s">
        <v>772</v>
      </c>
      <c r="F338" s="102">
        <v>396756.64</v>
      </c>
      <c r="G338" s="102">
        <v>-161069.76999999999</v>
      </c>
      <c r="H338" s="102">
        <v>151232.78</v>
      </c>
      <c r="I338" s="67"/>
      <c r="J338" s="67"/>
      <c r="K338" s="67"/>
    </row>
    <row r="339" spans="5:11" x14ac:dyDescent="0.25">
      <c r="E339" s="98" t="s">
        <v>773</v>
      </c>
      <c r="F339" s="103">
        <v>-17.71</v>
      </c>
      <c r="G339" s="103">
        <v>-7.0000000000000007E-2</v>
      </c>
      <c r="H339" s="103">
        <v>-0.64</v>
      </c>
      <c r="I339" s="67"/>
      <c r="J339" s="67"/>
      <c r="K339" s="67"/>
    </row>
    <row r="340" spans="5:11" x14ac:dyDescent="0.25">
      <c r="E340" s="100" t="s">
        <v>774</v>
      </c>
      <c r="F340" s="102">
        <v>22211.95</v>
      </c>
      <c r="G340" s="102">
        <v>183281.65</v>
      </c>
      <c r="H340" s="102">
        <v>32048.23</v>
      </c>
      <c r="I340" s="67"/>
      <c r="J340" s="67"/>
      <c r="K340" s="67"/>
    </row>
    <row r="341" spans="5:11" x14ac:dyDescent="0.25">
      <c r="E341" s="98" t="s">
        <v>775</v>
      </c>
      <c r="F341" s="99">
        <v>418986.3</v>
      </c>
      <c r="G341" s="99">
        <v>22211.95</v>
      </c>
      <c r="H341" s="99">
        <v>183281.65</v>
      </c>
      <c r="I341" s="67"/>
      <c r="J341" s="67"/>
      <c r="K341" s="67"/>
    </row>
    <row r="342" spans="5:11" x14ac:dyDescent="0.25">
      <c r="E342" s="100" t="s">
        <v>776</v>
      </c>
      <c r="F342" s="102">
        <v>11635.69</v>
      </c>
      <c r="G342" s="102">
        <v>16894.47</v>
      </c>
      <c r="H342" s="102">
        <v>8954.59</v>
      </c>
      <c r="I342" s="67"/>
      <c r="J342" s="67"/>
      <c r="K342" s="67"/>
    </row>
    <row r="343" spans="5:11" x14ac:dyDescent="0.25">
      <c r="E343" s="98" t="s">
        <v>714</v>
      </c>
      <c r="F343" s="54" t="s">
        <v>12</v>
      </c>
      <c r="G343" s="54" t="s">
        <v>12</v>
      </c>
      <c r="H343" s="54" t="s">
        <v>12</v>
      </c>
      <c r="I343" s="67"/>
      <c r="J343" s="67"/>
      <c r="K343" s="67"/>
    </row>
    <row r="344" spans="5:11" x14ac:dyDescent="0.25">
      <c r="E344" s="100" t="s">
        <v>734</v>
      </c>
      <c r="F344" s="101" t="s">
        <v>12</v>
      </c>
      <c r="G344" s="101" t="s">
        <v>12</v>
      </c>
      <c r="H344" s="101" t="s">
        <v>12</v>
      </c>
      <c r="I344" s="67"/>
      <c r="J344" s="67"/>
      <c r="K344" s="67"/>
    </row>
    <row r="345" spans="5:11" x14ac:dyDescent="0.25">
      <c r="E345" s="98" t="s">
        <v>777</v>
      </c>
      <c r="F345" s="54" t="s">
        <v>12</v>
      </c>
      <c r="G345" s="54" t="s">
        <v>12</v>
      </c>
      <c r="H345" s="54" t="s">
        <v>12</v>
      </c>
      <c r="I345" s="67"/>
      <c r="J345" s="67"/>
      <c r="K345" s="67"/>
    </row>
    <row r="346" spans="5:11" x14ac:dyDescent="0.25">
      <c r="E346" s="100" t="s">
        <v>778</v>
      </c>
      <c r="F346" s="101" t="s">
        <v>12</v>
      </c>
      <c r="G346" s="101" t="s">
        <v>12</v>
      </c>
      <c r="H346" s="101" t="s">
        <v>12</v>
      </c>
      <c r="I346" s="67"/>
      <c r="J346" s="67"/>
      <c r="K346" s="67"/>
    </row>
    <row r="347" spans="5:11" x14ac:dyDescent="0.25">
      <c r="E347" s="98" t="s">
        <v>747</v>
      </c>
      <c r="F347" s="54" t="s">
        <v>12</v>
      </c>
      <c r="G347" s="54" t="s">
        <v>12</v>
      </c>
      <c r="H347" s="54" t="s">
        <v>12</v>
      </c>
      <c r="I347" s="67"/>
      <c r="J347" s="67"/>
      <c r="K347" s="67"/>
    </row>
    <row r="348" spans="5:11" x14ac:dyDescent="0.25">
      <c r="E348" s="100" t="s">
        <v>779</v>
      </c>
      <c r="F348" s="101" t="s">
        <v>12</v>
      </c>
      <c r="G348" s="101" t="s">
        <v>12</v>
      </c>
      <c r="H348" s="101" t="s">
        <v>12</v>
      </c>
      <c r="I348" s="67"/>
      <c r="J348" s="67"/>
      <c r="K348" s="67"/>
    </row>
    <row r="349" spans="5:11" x14ac:dyDescent="0.25">
      <c r="E349" s="98" t="s">
        <v>780</v>
      </c>
      <c r="F349" s="54" t="s">
        <v>12</v>
      </c>
      <c r="G349" s="54" t="s">
        <v>12</v>
      </c>
      <c r="H349" s="54" t="s">
        <v>12</v>
      </c>
      <c r="I349" s="67"/>
      <c r="J349" s="67"/>
      <c r="K349" s="67"/>
    </row>
    <row r="350" spans="5:11" x14ac:dyDescent="0.25">
      <c r="E350" s="100" t="s">
        <v>781</v>
      </c>
      <c r="F350" s="101" t="s">
        <v>12</v>
      </c>
      <c r="G350" s="101" t="s">
        <v>12</v>
      </c>
      <c r="H350" s="101" t="s">
        <v>12</v>
      </c>
      <c r="I350" s="67"/>
      <c r="J350" s="67"/>
      <c r="K350" s="67"/>
    </row>
    <row r="351" spans="5:11" x14ac:dyDescent="0.25">
      <c r="E351" s="98" t="s">
        <v>782</v>
      </c>
      <c r="F351" s="54" t="s">
        <v>12</v>
      </c>
      <c r="G351" s="54" t="s">
        <v>12</v>
      </c>
      <c r="H351" s="54" t="s">
        <v>12</v>
      </c>
      <c r="I351" s="67"/>
      <c r="J351" s="67"/>
      <c r="K351" s="67"/>
    </row>
    <row r="352" spans="5:11" x14ac:dyDescent="0.25">
      <c r="E352" s="100" t="s">
        <v>783</v>
      </c>
      <c r="F352" s="101" t="s">
        <v>12</v>
      </c>
      <c r="G352" s="101" t="s">
        <v>12</v>
      </c>
      <c r="H352" s="101" t="s">
        <v>12</v>
      </c>
      <c r="I352" s="67"/>
      <c r="J352" s="67"/>
      <c r="K352" s="67"/>
    </row>
    <row r="353" spans="5:11" x14ac:dyDescent="0.25">
      <c r="E353" s="98" t="s">
        <v>784</v>
      </c>
      <c r="F353" s="54" t="s">
        <v>12</v>
      </c>
      <c r="G353" s="54" t="s">
        <v>12</v>
      </c>
      <c r="H353" s="54" t="s">
        <v>12</v>
      </c>
      <c r="I353" s="67"/>
      <c r="J353" s="67"/>
      <c r="K353" s="67"/>
    </row>
    <row r="354" spans="5:11" x14ac:dyDescent="0.25">
      <c r="E354" s="100" t="s">
        <v>733</v>
      </c>
      <c r="F354" s="101" t="s">
        <v>12</v>
      </c>
      <c r="G354" s="101" t="s">
        <v>12</v>
      </c>
      <c r="H354" s="101" t="s">
        <v>12</v>
      </c>
      <c r="I354" s="67"/>
      <c r="J354" s="67"/>
      <c r="K354" s="67"/>
    </row>
    <row r="355" spans="5:11" x14ac:dyDescent="0.25">
      <c r="E355" s="98" t="s">
        <v>734</v>
      </c>
      <c r="F355" s="54" t="s">
        <v>12</v>
      </c>
      <c r="G355" s="54" t="s">
        <v>12</v>
      </c>
      <c r="H355" s="54" t="s">
        <v>12</v>
      </c>
      <c r="I355" s="67"/>
      <c r="J355" s="67"/>
      <c r="K355" s="67"/>
    </row>
    <row r="356" spans="5:11" x14ac:dyDescent="0.25">
      <c r="E356" s="100" t="s">
        <v>735</v>
      </c>
      <c r="F356" s="101" t="s">
        <v>12</v>
      </c>
      <c r="G356" s="101" t="s">
        <v>12</v>
      </c>
      <c r="H356" s="101" t="s">
        <v>12</v>
      </c>
      <c r="I356" s="67"/>
      <c r="J356" s="67"/>
      <c r="K356" s="67"/>
    </row>
    <row r="357" spans="5:11" x14ac:dyDescent="0.25">
      <c r="E357" s="98" t="s">
        <v>736</v>
      </c>
      <c r="F357" s="54" t="s">
        <v>12</v>
      </c>
      <c r="G357" s="54" t="s">
        <v>12</v>
      </c>
      <c r="H357" s="54" t="s">
        <v>12</v>
      </c>
      <c r="I357" s="67"/>
      <c r="J357" s="67"/>
      <c r="K357" s="67"/>
    </row>
    <row r="358" spans="5:11" x14ac:dyDescent="0.25">
      <c r="E358" s="100" t="s">
        <v>737</v>
      </c>
      <c r="F358" s="101" t="s">
        <v>12</v>
      </c>
      <c r="G358" s="101" t="s">
        <v>12</v>
      </c>
      <c r="H358" s="101" t="s">
        <v>12</v>
      </c>
      <c r="I358" s="67"/>
      <c r="J358" s="67"/>
      <c r="K358" s="67"/>
    </row>
    <row r="359" spans="5:11" x14ac:dyDescent="0.25">
      <c r="E359" s="98" t="s">
        <v>738</v>
      </c>
      <c r="F359" s="54" t="s">
        <v>12</v>
      </c>
      <c r="G359" s="54" t="s">
        <v>12</v>
      </c>
      <c r="H359" s="54" t="s">
        <v>12</v>
      </c>
      <c r="I359" s="67"/>
      <c r="J359" s="67"/>
      <c r="K359" s="67"/>
    </row>
    <row r="360" spans="5:11" x14ac:dyDescent="0.25">
      <c r="E360" s="100" t="s">
        <v>744</v>
      </c>
      <c r="F360" s="101" t="s">
        <v>12</v>
      </c>
      <c r="G360" s="101" t="s">
        <v>12</v>
      </c>
      <c r="H360" s="101" t="s">
        <v>12</v>
      </c>
      <c r="I360" s="67"/>
      <c r="J360" s="67"/>
      <c r="K360" s="67"/>
    </row>
    <row r="361" spans="5:11" x14ac:dyDescent="0.25">
      <c r="E361" s="98" t="s">
        <v>739</v>
      </c>
      <c r="F361" s="54" t="s">
        <v>12</v>
      </c>
      <c r="G361" s="54" t="s">
        <v>12</v>
      </c>
      <c r="H361" s="54" t="s">
        <v>12</v>
      </c>
      <c r="I361" s="67"/>
      <c r="J361" s="67"/>
      <c r="K361" s="67"/>
    </row>
    <row r="362" spans="5:11" x14ac:dyDescent="0.25">
      <c r="E362" s="100" t="s">
        <v>740</v>
      </c>
      <c r="F362" s="101" t="s">
        <v>12</v>
      </c>
      <c r="G362" s="101" t="s">
        <v>12</v>
      </c>
      <c r="H362" s="101" t="s">
        <v>12</v>
      </c>
      <c r="I362" s="67"/>
      <c r="J362" s="67"/>
      <c r="K362" s="67"/>
    </row>
    <row r="363" spans="5:11" x14ac:dyDescent="0.25">
      <c r="E363" s="98" t="s">
        <v>741</v>
      </c>
      <c r="F363" s="54" t="s">
        <v>12</v>
      </c>
      <c r="G363" s="54" t="s">
        <v>12</v>
      </c>
      <c r="H363" s="54" t="s">
        <v>12</v>
      </c>
      <c r="I363" s="67"/>
      <c r="J363" s="67"/>
      <c r="K363" s="67"/>
    </row>
    <row r="364" spans="5:11" x14ac:dyDescent="0.25">
      <c r="E364" s="100" t="s">
        <v>742</v>
      </c>
      <c r="F364" s="101" t="s">
        <v>12</v>
      </c>
      <c r="G364" s="101" t="s">
        <v>12</v>
      </c>
      <c r="H364" s="101" t="s">
        <v>12</v>
      </c>
      <c r="I364" s="67"/>
      <c r="J364" s="67"/>
      <c r="K364" s="67"/>
    </row>
    <row r="365" spans="5:11" x14ac:dyDescent="0.25">
      <c r="E365" s="98" t="s">
        <v>745</v>
      </c>
      <c r="F365" s="54" t="s">
        <v>12</v>
      </c>
      <c r="G365" s="54" t="s">
        <v>12</v>
      </c>
      <c r="H365" s="54" t="s">
        <v>12</v>
      </c>
      <c r="I365" s="67"/>
      <c r="J365" s="67"/>
      <c r="K365" s="67"/>
    </row>
    <row r="366" spans="5:11" x14ac:dyDescent="0.25">
      <c r="E366" s="100" t="s">
        <v>746</v>
      </c>
      <c r="F366" s="101" t="s">
        <v>12</v>
      </c>
      <c r="G366" s="101" t="s">
        <v>12</v>
      </c>
      <c r="H366" s="101" t="s">
        <v>12</v>
      </c>
      <c r="I366" s="67"/>
      <c r="J366" s="67"/>
      <c r="K366" s="67"/>
    </row>
    <row r="367" spans="5:11" x14ac:dyDescent="0.25">
      <c r="E367" s="98" t="s">
        <v>747</v>
      </c>
      <c r="F367" s="54" t="s">
        <v>12</v>
      </c>
      <c r="G367" s="54" t="s">
        <v>12</v>
      </c>
      <c r="H367" s="54" t="s">
        <v>12</v>
      </c>
      <c r="I367" s="67"/>
      <c r="J367" s="67"/>
      <c r="K367" s="67"/>
    </row>
    <row r="368" spans="5:11" x14ac:dyDescent="0.25">
      <c r="E368" s="100" t="s">
        <v>748</v>
      </c>
      <c r="F368" s="101" t="s">
        <v>12</v>
      </c>
      <c r="G368" s="101" t="s">
        <v>12</v>
      </c>
      <c r="H368" s="101" t="s">
        <v>12</v>
      </c>
      <c r="I368" s="67"/>
      <c r="J368" s="67"/>
      <c r="K368" s="67"/>
    </row>
    <row r="369" spans="5:11" x14ac:dyDescent="0.25">
      <c r="E369" s="98" t="s">
        <v>749</v>
      </c>
      <c r="F369" s="54" t="s">
        <v>12</v>
      </c>
      <c r="G369" s="54" t="s">
        <v>12</v>
      </c>
      <c r="H369" s="54" t="s">
        <v>12</v>
      </c>
      <c r="I369" s="67"/>
      <c r="J369" s="67"/>
      <c r="K369" s="67"/>
    </row>
    <row r="370" spans="5:11" x14ac:dyDescent="0.25">
      <c r="E370" s="100" t="s">
        <v>750</v>
      </c>
      <c r="F370" s="101" t="s">
        <v>12</v>
      </c>
      <c r="G370" s="101" t="s">
        <v>12</v>
      </c>
      <c r="H370" s="101" t="s">
        <v>12</v>
      </c>
      <c r="I370" s="67"/>
      <c r="J370" s="67"/>
      <c r="K370" s="67"/>
    </row>
    <row r="371" spans="5:11" x14ac:dyDescent="0.25">
      <c r="E371" s="98" t="s">
        <v>738</v>
      </c>
      <c r="F371" s="54" t="s">
        <v>12</v>
      </c>
      <c r="G371" s="54" t="s">
        <v>12</v>
      </c>
      <c r="H371" s="54" t="s">
        <v>12</v>
      </c>
      <c r="I371" s="67"/>
      <c r="J371" s="67"/>
      <c r="K371" s="67"/>
    </row>
    <row r="372" spans="5:11" x14ac:dyDescent="0.25">
      <c r="E372" s="100" t="s">
        <v>744</v>
      </c>
      <c r="F372" s="101" t="s">
        <v>12</v>
      </c>
      <c r="G372" s="101" t="s">
        <v>12</v>
      </c>
      <c r="H372" s="101" t="s">
        <v>12</v>
      </c>
      <c r="I372" s="67"/>
      <c r="J372" s="67"/>
      <c r="K372" s="67"/>
    </row>
    <row r="373" spans="5:11" x14ac:dyDescent="0.25">
      <c r="E373" s="98" t="s">
        <v>751</v>
      </c>
      <c r="F373" s="54" t="s">
        <v>12</v>
      </c>
      <c r="G373" s="54" t="s">
        <v>12</v>
      </c>
      <c r="H373" s="54" t="s">
        <v>12</v>
      </c>
      <c r="I373" s="67"/>
      <c r="J373" s="67"/>
      <c r="K373" s="67"/>
    </row>
    <row r="374" spans="5:11" x14ac:dyDescent="0.25">
      <c r="E374" s="100" t="s">
        <v>752</v>
      </c>
      <c r="F374" s="101" t="s">
        <v>12</v>
      </c>
      <c r="G374" s="101" t="s">
        <v>12</v>
      </c>
      <c r="H374" s="101" t="s">
        <v>12</v>
      </c>
      <c r="I374" s="67"/>
      <c r="J374" s="67"/>
      <c r="K374" s="67"/>
    </row>
    <row r="375" spans="5:11" x14ac:dyDescent="0.25">
      <c r="E375" s="98" t="s">
        <v>785</v>
      </c>
      <c r="F375" s="54" t="s">
        <v>12</v>
      </c>
      <c r="G375" s="54" t="s">
        <v>12</v>
      </c>
      <c r="H375" s="54" t="s">
        <v>12</v>
      </c>
      <c r="I375" s="67"/>
      <c r="J375" s="67"/>
      <c r="K375" s="67"/>
    </row>
    <row r="376" spans="5:11" x14ac:dyDescent="0.25">
      <c r="E376" s="100" t="s">
        <v>786</v>
      </c>
      <c r="F376" s="101" t="s">
        <v>12</v>
      </c>
      <c r="G376" s="101" t="s">
        <v>12</v>
      </c>
      <c r="H376" s="101" t="s">
        <v>12</v>
      </c>
      <c r="I376" s="67"/>
      <c r="J376" s="67"/>
      <c r="K376" s="67"/>
    </row>
    <row r="377" spans="5:11" x14ac:dyDescent="0.25">
      <c r="E377" s="98" t="s">
        <v>755</v>
      </c>
      <c r="F377" s="54" t="s">
        <v>12</v>
      </c>
      <c r="G377" s="54" t="s">
        <v>12</v>
      </c>
      <c r="H377" s="54" t="s">
        <v>12</v>
      </c>
      <c r="I377" s="67"/>
      <c r="J377" s="67"/>
      <c r="K377" s="67"/>
    </row>
    <row r="378" spans="5:11" x14ac:dyDescent="0.25">
      <c r="E378" s="100" t="s">
        <v>756</v>
      </c>
      <c r="F378" s="101" t="s">
        <v>12</v>
      </c>
      <c r="G378" s="101" t="s">
        <v>12</v>
      </c>
      <c r="H378" s="101" t="s">
        <v>12</v>
      </c>
      <c r="I378" s="67"/>
      <c r="J378" s="67"/>
      <c r="K378" s="67"/>
    </row>
    <row r="379" spans="5:11" x14ac:dyDescent="0.25">
      <c r="E379" s="98" t="s">
        <v>734</v>
      </c>
      <c r="F379" s="54" t="s">
        <v>12</v>
      </c>
      <c r="G379" s="54" t="s">
        <v>12</v>
      </c>
      <c r="H379" s="54" t="s">
        <v>12</v>
      </c>
      <c r="I379" s="67"/>
      <c r="J379" s="67"/>
      <c r="K379" s="67"/>
    </row>
    <row r="380" spans="5:11" x14ac:dyDescent="0.25">
      <c r="E380" s="100" t="s">
        <v>757</v>
      </c>
      <c r="F380" s="101" t="s">
        <v>12</v>
      </c>
      <c r="G380" s="101" t="s">
        <v>12</v>
      </c>
      <c r="H380" s="101" t="s">
        <v>12</v>
      </c>
      <c r="I380" s="67"/>
      <c r="J380" s="67"/>
      <c r="K380" s="67"/>
    </row>
    <row r="381" spans="5:11" x14ac:dyDescent="0.25">
      <c r="E381" s="98" t="s">
        <v>758</v>
      </c>
      <c r="F381" s="54" t="s">
        <v>12</v>
      </c>
      <c r="G381" s="54" t="s">
        <v>12</v>
      </c>
      <c r="H381" s="54" t="s">
        <v>12</v>
      </c>
      <c r="I381" s="67"/>
      <c r="J381" s="67"/>
      <c r="K381" s="67"/>
    </row>
    <row r="382" spans="5:11" x14ac:dyDescent="0.25">
      <c r="E382" s="100" t="s">
        <v>759</v>
      </c>
      <c r="F382" s="101" t="s">
        <v>12</v>
      </c>
      <c r="G382" s="101" t="s">
        <v>12</v>
      </c>
      <c r="H382" s="101" t="s">
        <v>12</v>
      </c>
      <c r="I382" s="67"/>
      <c r="J382" s="67"/>
      <c r="K382" s="67"/>
    </row>
    <row r="383" spans="5:11" x14ac:dyDescent="0.25">
      <c r="E383" s="98" t="s">
        <v>760</v>
      </c>
      <c r="F383" s="54" t="s">
        <v>12</v>
      </c>
      <c r="G383" s="54" t="s">
        <v>12</v>
      </c>
      <c r="H383" s="54" t="s">
        <v>12</v>
      </c>
      <c r="I383" s="67"/>
      <c r="J383" s="67"/>
      <c r="K383" s="67"/>
    </row>
    <row r="384" spans="5:11" x14ac:dyDescent="0.25">
      <c r="E384" s="100" t="s">
        <v>747</v>
      </c>
      <c r="F384" s="101" t="s">
        <v>12</v>
      </c>
      <c r="G384" s="101" t="s">
        <v>12</v>
      </c>
      <c r="H384" s="101" t="s">
        <v>12</v>
      </c>
      <c r="I384" s="67"/>
      <c r="J384" s="67"/>
      <c r="K384" s="67"/>
    </row>
    <row r="385" spans="5:11" x14ac:dyDescent="0.25">
      <c r="E385" s="98" t="s">
        <v>761</v>
      </c>
      <c r="F385" s="54" t="s">
        <v>12</v>
      </c>
      <c r="G385" s="54" t="s">
        <v>12</v>
      </c>
      <c r="H385" s="54" t="s">
        <v>12</v>
      </c>
      <c r="I385" s="67"/>
      <c r="J385" s="67"/>
      <c r="K385" s="67"/>
    </row>
    <row r="386" spans="5:11" x14ac:dyDescent="0.25">
      <c r="E386" s="100" t="s">
        <v>762</v>
      </c>
      <c r="F386" s="101" t="s">
        <v>12</v>
      </c>
      <c r="G386" s="101" t="s">
        <v>12</v>
      </c>
      <c r="H386" s="101" t="s">
        <v>12</v>
      </c>
      <c r="I386" s="67"/>
      <c r="J386" s="67"/>
      <c r="K386" s="67"/>
    </row>
    <row r="387" spans="5:11" x14ac:dyDescent="0.25">
      <c r="E387" s="98" t="s">
        <v>763</v>
      </c>
      <c r="F387" s="54" t="s">
        <v>12</v>
      </c>
      <c r="G387" s="54" t="s">
        <v>12</v>
      </c>
      <c r="H387" s="54" t="s">
        <v>12</v>
      </c>
      <c r="I387" s="67"/>
      <c r="J387" s="67"/>
      <c r="K387" s="67"/>
    </row>
    <row r="388" spans="5:11" x14ac:dyDescent="0.25">
      <c r="E388" s="100" t="s">
        <v>764</v>
      </c>
      <c r="F388" s="101" t="s">
        <v>12</v>
      </c>
      <c r="G388" s="101" t="s">
        <v>12</v>
      </c>
      <c r="H388" s="101" t="s">
        <v>12</v>
      </c>
      <c r="I388" s="67"/>
      <c r="J388" s="67"/>
      <c r="K388" s="67"/>
    </row>
    <row r="389" spans="5:11" x14ac:dyDescent="0.25">
      <c r="E389" s="98" t="s">
        <v>765</v>
      </c>
      <c r="F389" s="54" t="s">
        <v>12</v>
      </c>
      <c r="G389" s="54" t="s">
        <v>12</v>
      </c>
      <c r="H389" s="54" t="s">
        <v>12</v>
      </c>
      <c r="I389" s="67"/>
      <c r="J389" s="67"/>
      <c r="K389" s="67"/>
    </row>
    <row r="390" spans="5:11" x14ac:dyDescent="0.25">
      <c r="E390" s="100" t="s">
        <v>766</v>
      </c>
      <c r="F390" s="101" t="s">
        <v>12</v>
      </c>
      <c r="G390" s="101" t="s">
        <v>12</v>
      </c>
      <c r="H390" s="101" t="s">
        <v>12</v>
      </c>
      <c r="I390" s="67"/>
      <c r="J390" s="67"/>
      <c r="K390" s="67"/>
    </row>
    <row r="391" spans="5:11" x14ac:dyDescent="0.25">
      <c r="E391" s="98" t="s">
        <v>767</v>
      </c>
      <c r="F391" s="54" t="s">
        <v>12</v>
      </c>
      <c r="G391" s="54" t="s">
        <v>12</v>
      </c>
      <c r="H391" s="54" t="s">
        <v>12</v>
      </c>
      <c r="I391" s="67"/>
      <c r="J391" s="67"/>
      <c r="K391" s="67"/>
    </row>
    <row r="392" spans="5:11" x14ac:dyDescent="0.25">
      <c r="E392" s="100" t="s">
        <v>768</v>
      </c>
      <c r="F392" s="101" t="s">
        <v>12</v>
      </c>
      <c r="G392" s="101" t="s">
        <v>12</v>
      </c>
      <c r="H392" s="101" t="s">
        <v>12</v>
      </c>
      <c r="I392" s="67"/>
      <c r="J392" s="67"/>
      <c r="K392" s="67"/>
    </row>
    <row r="393" spans="5:11" x14ac:dyDescent="0.25">
      <c r="E393" s="98" t="s">
        <v>769</v>
      </c>
      <c r="F393" s="54" t="s">
        <v>12</v>
      </c>
      <c r="G393" s="54" t="s">
        <v>12</v>
      </c>
      <c r="H393" s="54" t="s">
        <v>12</v>
      </c>
      <c r="I393" s="67"/>
      <c r="J393" s="67"/>
      <c r="K393" s="67"/>
    </row>
    <row r="394" spans="5:11" x14ac:dyDescent="0.25">
      <c r="E394" s="100" t="s">
        <v>770</v>
      </c>
      <c r="F394" s="101" t="s">
        <v>12</v>
      </c>
      <c r="G394" s="101" t="s">
        <v>12</v>
      </c>
      <c r="H394" s="101" t="s">
        <v>12</v>
      </c>
      <c r="I394" s="67"/>
      <c r="J394" s="67"/>
      <c r="K394" s="67"/>
    </row>
    <row r="395" spans="5:11" x14ac:dyDescent="0.25">
      <c r="E395" s="98" t="s">
        <v>771</v>
      </c>
      <c r="F395" s="54" t="s">
        <v>12</v>
      </c>
      <c r="G395" s="54" t="s">
        <v>12</v>
      </c>
      <c r="H395" s="54" t="s">
        <v>12</v>
      </c>
      <c r="I395" s="67"/>
      <c r="J395" s="67"/>
      <c r="K395" s="67"/>
    </row>
    <row r="396" spans="5:11" x14ac:dyDescent="0.25">
      <c r="E396" s="100" t="s">
        <v>772</v>
      </c>
      <c r="F396" s="101" t="s">
        <v>12</v>
      </c>
      <c r="G396" s="101" t="s">
        <v>12</v>
      </c>
      <c r="H396" s="101" t="s">
        <v>12</v>
      </c>
      <c r="I396" s="67"/>
      <c r="J396" s="67"/>
      <c r="K396" s="67"/>
    </row>
    <row r="397" spans="5:11" x14ac:dyDescent="0.25">
      <c r="E397" s="98" t="s">
        <v>773</v>
      </c>
      <c r="F397" s="54" t="s">
        <v>12</v>
      </c>
      <c r="G397" s="54" t="s">
        <v>12</v>
      </c>
      <c r="H397" s="54" t="s">
        <v>12</v>
      </c>
      <c r="I397" s="67"/>
      <c r="J397" s="67"/>
      <c r="K397" s="67"/>
    </row>
    <row r="398" spans="5:11" x14ac:dyDescent="0.25">
      <c r="E398" s="100" t="s">
        <v>774</v>
      </c>
      <c r="F398" s="101" t="s">
        <v>12</v>
      </c>
      <c r="G398" s="101" t="s">
        <v>12</v>
      </c>
      <c r="H398" s="101" t="s">
        <v>12</v>
      </c>
      <c r="I398" s="67"/>
      <c r="J398" s="67"/>
      <c r="K398" s="67"/>
    </row>
    <row r="399" spans="5:11" x14ac:dyDescent="0.25">
      <c r="E399" s="98" t="s">
        <v>775</v>
      </c>
      <c r="F399" s="54" t="s">
        <v>12</v>
      </c>
      <c r="G399" s="54" t="s">
        <v>12</v>
      </c>
      <c r="H399" s="54" t="s">
        <v>12</v>
      </c>
      <c r="I399" s="67"/>
      <c r="J399" s="67"/>
      <c r="K399" s="67"/>
    </row>
    <row r="400" spans="5:11" x14ac:dyDescent="0.25">
      <c r="E400" s="100" t="s">
        <v>776</v>
      </c>
      <c r="F400" s="101" t="s">
        <v>12</v>
      </c>
      <c r="G400" s="101" t="s">
        <v>12</v>
      </c>
      <c r="H400" s="101" t="s">
        <v>12</v>
      </c>
      <c r="I400" s="67"/>
      <c r="J400" s="67"/>
      <c r="K400" s="67"/>
    </row>
    <row r="401" spans="5:11" x14ac:dyDescent="0.25">
      <c r="E401" s="67"/>
      <c r="F401" s="67"/>
      <c r="G401" s="67"/>
      <c r="H401" s="67"/>
      <c r="I401" s="67"/>
      <c r="J401" s="67"/>
      <c r="K401" s="67"/>
    </row>
    <row r="402" spans="5:11" x14ac:dyDescent="0.25">
      <c r="E402" s="67"/>
      <c r="F402" s="67"/>
      <c r="G402" s="67"/>
      <c r="H402" s="67"/>
      <c r="I402" s="67"/>
      <c r="J402" s="67"/>
      <c r="K402" s="67"/>
    </row>
    <row r="403" spans="5:11" x14ac:dyDescent="0.25">
      <c r="E403" s="97" t="s">
        <v>787</v>
      </c>
      <c r="F403" s="97">
        <v>2019</v>
      </c>
      <c r="G403" s="97">
        <v>2018</v>
      </c>
      <c r="H403" s="97">
        <v>2017</v>
      </c>
      <c r="I403" s="67"/>
      <c r="J403" s="67"/>
      <c r="K403" s="67"/>
    </row>
    <row r="404" spans="5:11" x14ac:dyDescent="0.25">
      <c r="E404" s="100" t="s">
        <v>788</v>
      </c>
      <c r="F404" s="102">
        <v>466041.54</v>
      </c>
      <c r="G404" s="102">
        <v>462548.88</v>
      </c>
      <c r="H404" s="102">
        <v>461985.08</v>
      </c>
      <c r="I404" s="67"/>
      <c r="J404" s="67"/>
      <c r="K404" s="67"/>
    </row>
    <row r="405" spans="5:11" x14ac:dyDescent="0.25">
      <c r="E405" s="98" t="s">
        <v>789</v>
      </c>
      <c r="F405" s="103">
        <v>0</v>
      </c>
      <c r="G405" s="103">
        <v>0</v>
      </c>
      <c r="H405" s="103">
        <v>0</v>
      </c>
      <c r="I405" s="67"/>
      <c r="J405" s="67"/>
      <c r="K405" s="67"/>
    </row>
    <row r="406" spans="5:11" x14ac:dyDescent="0.25">
      <c r="E406" s="100" t="s">
        <v>790</v>
      </c>
      <c r="F406" s="104">
        <v>0</v>
      </c>
      <c r="G406" s="104">
        <v>0</v>
      </c>
      <c r="H406" s="104">
        <v>0</v>
      </c>
      <c r="I406" s="67"/>
      <c r="J406" s="67"/>
      <c r="K406" s="67"/>
    </row>
    <row r="407" spans="5:11" x14ac:dyDescent="0.25">
      <c r="E407" s="98" t="s">
        <v>791</v>
      </c>
      <c r="F407" s="99">
        <v>466041.54</v>
      </c>
      <c r="G407" s="99">
        <v>462548.88</v>
      </c>
      <c r="H407" s="99">
        <v>461985.08</v>
      </c>
      <c r="I407" s="67"/>
      <c r="J407" s="67"/>
      <c r="K407" s="67"/>
    </row>
    <row r="408" spans="5:11" x14ac:dyDescent="0.25">
      <c r="E408" s="100" t="s">
        <v>792</v>
      </c>
      <c r="F408" s="102">
        <v>286596.5</v>
      </c>
      <c r="G408" s="102">
        <v>286596.5</v>
      </c>
      <c r="H408" s="102">
        <v>266596.5</v>
      </c>
      <c r="I408" s="67"/>
      <c r="J408" s="67"/>
      <c r="K408" s="67"/>
    </row>
    <row r="409" spans="5:11" x14ac:dyDescent="0.25">
      <c r="E409" s="98" t="s">
        <v>793</v>
      </c>
      <c r="F409" s="103">
        <v>0</v>
      </c>
      <c r="G409" s="103">
        <v>0</v>
      </c>
      <c r="H409" s="99">
        <v>20000</v>
      </c>
      <c r="I409" s="67"/>
      <c r="J409" s="67"/>
      <c r="K409" s="67"/>
    </row>
    <row r="410" spans="5:11" x14ac:dyDescent="0.25">
      <c r="E410" s="100" t="s">
        <v>794</v>
      </c>
      <c r="F410" s="104">
        <v>0</v>
      </c>
      <c r="G410" s="104">
        <v>0</v>
      </c>
      <c r="H410" s="102">
        <v>20000</v>
      </c>
      <c r="I410" s="67"/>
      <c r="J410" s="67"/>
      <c r="K410" s="67"/>
    </row>
    <row r="411" spans="5:11" x14ac:dyDescent="0.25">
      <c r="E411" s="98" t="s">
        <v>795</v>
      </c>
      <c r="F411" s="103">
        <v>0</v>
      </c>
      <c r="G411" s="103">
        <v>0</v>
      </c>
      <c r="H411" s="103">
        <v>0</v>
      </c>
      <c r="I411" s="67"/>
      <c r="J411" s="67"/>
      <c r="K411" s="67"/>
    </row>
    <row r="412" spans="5:11" x14ac:dyDescent="0.25">
      <c r="E412" s="100" t="s">
        <v>796</v>
      </c>
      <c r="F412" s="104">
        <v>0</v>
      </c>
      <c r="G412" s="104">
        <v>0</v>
      </c>
      <c r="H412" s="104">
        <v>0</v>
      </c>
      <c r="I412" s="67"/>
      <c r="J412" s="67"/>
      <c r="K412" s="67"/>
    </row>
    <row r="413" spans="5:11" x14ac:dyDescent="0.25">
      <c r="E413" s="98" t="s">
        <v>797</v>
      </c>
      <c r="F413" s="103">
        <v>0</v>
      </c>
      <c r="G413" s="103">
        <v>0</v>
      </c>
      <c r="H413" s="103">
        <v>0</v>
      </c>
      <c r="I413" s="67"/>
      <c r="J413" s="67"/>
      <c r="K413" s="67"/>
    </row>
    <row r="414" spans="5:11" x14ac:dyDescent="0.25">
      <c r="E414" s="100" t="s">
        <v>798</v>
      </c>
      <c r="F414" s="102">
        <v>286596.5</v>
      </c>
      <c r="G414" s="102">
        <v>286596.5</v>
      </c>
      <c r="H414" s="102">
        <v>286596.5</v>
      </c>
      <c r="I414" s="67"/>
      <c r="J414" s="67"/>
      <c r="K414" s="67"/>
    </row>
    <row r="415" spans="5:11" x14ac:dyDescent="0.25">
      <c r="E415" s="98" t="s">
        <v>799</v>
      </c>
      <c r="F415" s="99">
        <v>138030.75</v>
      </c>
      <c r="G415" s="99">
        <v>136905.78</v>
      </c>
      <c r="H415" s="99">
        <v>312809.11</v>
      </c>
      <c r="I415" s="67"/>
      <c r="J415" s="67"/>
      <c r="K415" s="67"/>
    </row>
    <row r="416" spans="5:11" x14ac:dyDescent="0.25">
      <c r="E416" s="100" t="s">
        <v>800</v>
      </c>
      <c r="F416" s="102">
        <v>4369.4399999999996</v>
      </c>
      <c r="G416" s="102">
        <v>1124.97</v>
      </c>
      <c r="H416" s="102">
        <v>-175903.34</v>
      </c>
      <c r="I416" s="67"/>
      <c r="J416" s="67"/>
      <c r="K416" s="67"/>
    </row>
    <row r="417" spans="5:11" x14ac:dyDescent="0.25">
      <c r="E417" s="98" t="s">
        <v>794</v>
      </c>
      <c r="F417" s="99">
        <v>4369.4399999999996</v>
      </c>
      <c r="G417" s="99">
        <v>1124.97</v>
      </c>
      <c r="H417" s="103">
        <v>843.4</v>
      </c>
      <c r="I417" s="67"/>
      <c r="J417" s="67"/>
      <c r="K417" s="67"/>
    </row>
    <row r="418" spans="5:11" x14ac:dyDescent="0.25">
      <c r="E418" s="100" t="s">
        <v>801</v>
      </c>
      <c r="F418" s="104">
        <v>0</v>
      </c>
      <c r="G418" s="104">
        <v>0</v>
      </c>
      <c r="H418" s="104">
        <v>0</v>
      </c>
      <c r="I418" s="67"/>
      <c r="J418" s="67"/>
      <c r="K418" s="67"/>
    </row>
    <row r="419" spans="5:11" x14ac:dyDescent="0.25">
      <c r="E419" s="98" t="s">
        <v>802</v>
      </c>
      <c r="F419" s="99">
        <v>3492.65</v>
      </c>
      <c r="G419" s="103">
        <v>563.79999999999995</v>
      </c>
      <c r="H419" s="103">
        <v>0</v>
      </c>
      <c r="I419" s="67"/>
      <c r="J419" s="67"/>
      <c r="K419" s="67"/>
    </row>
    <row r="420" spans="5:11" x14ac:dyDescent="0.25">
      <c r="E420" s="100" t="s">
        <v>803</v>
      </c>
      <c r="F420" s="104">
        <v>0</v>
      </c>
      <c r="G420" s="104">
        <v>0</v>
      </c>
      <c r="H420" s="104">
        <v>0</v>
      </c>
      <c r="I420" s="67"/>
      <c r="J420" s="67"/>
      <c r="K420" s="67"/>
    </row>
    <row r="421" spans="5:11" x14ac:dyDescent="0.25">
      <c r="E421" s="98" t="s">
        <v>796</v>
      </c>
      <c r="F421" s="103">
        <v>0</v>
      </c>
      <c r="G421" s="103">
        <v>0</v>
      </c>
      <c r="H421" s="99">
        <v>176746.74</v>
      </c>
      <c r="I421" s="67"/>
      <c r="J421" s="67"/>
      <c r="K421" s="67"/>
    </row>
    <row r="422" spans="5:11" x14ac:dyDescent="0.25">
      <c r="E422" s="100" t="s">
        <v>804</v>
      </c>
      <c r="F422" s="104">
        <v>0</v>
      </c>
      <c r="G422" s="104">
        <v>0</v>
      </c>
      <c r="H422" s="102">
        <v>176746.74</v>
      </c>
      <c r="I422" s="67"/>
      <c r="J422" s="67"/>
      <c r="K422" s="67"/>
    </row>
    <row r="423" spans="5:11" x14ac:dyDescent="0.25">
      <c r="E423" s="98" t="s">
        <v>805</v>
      </c>
      <c r="F423" s="99">
        <v>142400.19</v>
      </c>
      <c r="G423" s="99">
        <v>138030.75</v>
      </c>
      <c r="H423" s="99">
        <v>136905.78</v>
      </c>
      <c r="I423" s="67"/>
      <c r="J423" s="67"/>
      <c r="K423" s="67"/>
    </row>
    <row r="424" spans="5:11" x14ac:dyDescent="0.25">
      <c r="E424" s="100" t="s">
        <v>806</v>
      </c>
      <c r="F424" s="102">
        <v>37921.64</v>
      </c>
      <c r="G424" s="102">
        <v>38482.800000000003</v>
      </c>
      <c r="H424" s="102">
        <v>39326.21</v>
      </c>
      <c r="I424" s="67"/>
      <c r="J424" s="67"/>
      <c r="K424" s="67"/>
    </row>
    <row r="425" spans="5:11" x14ac:dyDescent="0.25">
      <c r="E425" s="98" t="s">
        <v>807</v>
      </c>
      <c r="F425" s="103">
        <v>-876.79</v>
      </c>
      <c r="G425" s="103">
        <v>-561.16999999999996</v>
      </c>
      <c r="H425" s="103">
        <v>-843.4</v>
      </c>
      <c r="I425" s="67"/>
      <c r="J425" s="67"/>
      <c r="K425" s="67"/>
    </row>
    <row r="426" spans="5:11" x14ac:dyDescent="0.25">
      <c r="E426" s="100" t="s">
        <v>794</v>
      </c>
      <c r="F426" s="104">
        <v>0</v>
      </c>
      <c r="G426" s="104">
        <v>0</v>
      </c>
      <c r="H426" s="104">
        <v>0</v>
      </c>
      <c r="I426" s="67"/>
      <c r="J426" s="67"/>
      <c r="K426" s="67"/>
    </row>
    <row r="427" spans="5:11" x14ac:dyDescent="0.25">
      <c r="E427" s="98" t="s">
        <v>796</v>
      </c>
      <c r="F427" s="103">
        <v>876.79</v>
      </c>
      <c r="G427" s="103">
        <v>561.16999999999996</v>
      </c>
      <c r="H427" s="103">
        <v>843.4</v>
      </c>
      <c r="I427" s="67"/>
      <c r="J427" s="67"/>
      <c r="K427" s="67"/>
    </row>
    <row r="428" spans="5:11" x14ac:dyDescent="0.25">
      <c r="E428" s="100" t="s">
        <v>808</v>
      </c>
      <c r="F428" s="104">
        <v>0</v>
      </c>
      <c r="G428" s="104">
        <v>0</v>
      </c>
      <c r="H428" s="104">
        <v>0</v>
      </c>
      <c r="I428" s="67"/>
      <c r="J428" s="67"/>
      <c r="K428" s="67"/>
    </row>
    <row r="429" spans="5:11" x14ac:dyDescent="0.25">
      <c r="E429" s="98" t="s">
        <v>809</v>
      </c>
      <c r="F429" s="99">
        <v>37044.85</v>
      </c>
      <c r="G429" s="99">
        <v>37921.64</v>
      </c>
      <c r="H429" s="99">
        <v>38482.800000000003</v>
      </c>
      <c r="I429" s="67"/>
      <c r="J429" s="67"/>
      <c r="K429" s="67"/>
    </row>
    <row r="430" spans="5:11" x14ac:dyDescent="0.25">
      <c r="E430" s="100" t="s">
        <v>810</v>
      </c>
      <c r="F430" s="104">
        <v>0</v>
      </c>
      <c r="G430" s="104">
        <v>0</v>
      </c>
      <c r="H430" s="102">
        <v>20000</v>
      </c>
      <c r="I430" s="67"/>
      <c r="J430" s="67"/>
      <c r="K430" s="67"/>
    </row>
    <row r="431" spans="5:11" x14ac:dyDescent="0.25">
      <c r="E431" s="98" t="s">
        <v>811</v>
      </c>
      <c r="F431" s="103">
        <v>0</v>
      </c>
      <c r="G431" s="103">
        <v>0</v>
      </c>
      <c r="H431" s="99">
        <v>-20000</v>
      </c>
      <c r="I431" s="67"/>
      <c r="J431" s="67"/>
      <c r="K431" s="67"/>
    </row>
    <row r="432" spans="5:11" x14ac:dyDescent="0.25">
      <c r="E432" s="100" t="s">
        <v>794</v>
      </c>
      <c r="F432" s="104">
        <v>0</v>
      </c>
      <c r="G432" s="104">
        <v>0</v>
      </c>
      <c r="H432" s="104">
        <v>0</v>
      </c>
      <c r="I432" s="67"/>
      <c r="J432" s="67"/>
      <c r="K432" s="67"/>
    </row>
    <row r="433" spans="5:11" x14ac:dyDescent="0.25">
      <c r="E433" s="98" t="s">
        <v>796</v>
      </c>
      <c r="F433" s="103">
        <v>0</v>
      </c>
      <c r="G433" s="103">
        <v>0</v>
      </c>
      <c r="H433" s="99">
        <v>20000</v>
      </c>
      <c r="I433" s="67"/>
      <c r="J433" s="67"/>
      <c r="K433" s="67"/>
    </row>
    <row r="434" spans="5:11" x14ac:dyDescent="0.25">
      <c r="E434" s="100" t="s">
        <v>812</v>
      </c>
      <c r="F434" s="104">
        <v>0</v>
      </c>
      <c r="G434" s="104">
        <v>0</v>
      </c>
      <c r="H434" s="104">
        <v>0</v>
      </c>
      <c r="I434" s="67"/>
      <c r="J434" s="67"/>
      <c r="K434" s="67"/>
    </row>
    <row r="435" spans="5:11" x14ac:dyDescent="0.25">
      <c r="E435" s="98" t="s">
        <v>813</v>
      </c>
      <c r="F435" s="54" t="s">
        <v>12</v>
      </c>
      <c r="G435" s="54" t="s">
        <v>12</v>
      </c>
      <c r="H435" s="54" t="s">
        <v>12</v>
      </c>
      <c r="I435" s="67"/>
      <c r="J435" s="67"/>
      <c r="K435" s="67"/>
    </row>
    <row r="436" spans="5:11" x14ac:dyDescent="0.25">
      <c r="E436" s="100" t="s">
        <v>814</v>
      </c>
      <c r="F436" s="102">
        <v>3492.65</v>
      </c>
      <c r="G436" s="104">
        <v>563.79999999999995</v>
      </c>
      <c r="H436" s="102">
        <v>-176746.74</v>
      </c>
      <c r="I436" s="67"/>
      <c r="J436" s="67"/>
      <c r="K436" s="67"/>
    </row>
    <row r="437" spans="5:11" x14ac:dyDescent="0.25">
      <c r="E437" s="98" t="s">
        <v>815</v>
      </c>
      <c r="F437" s="99">
        <v>3492.65</v>
      </c>
      <c r="G437" s="103">
        <v>563.79999999999995</v>
      </c>
      <c r="H437" s="103">
        <v>0</v>
      </c>
      <c r="I437" s="67"/>
      <c r="J437" s="67"/>
      <c r="K437" s="67"/>
    </row>
    <row r="438" spans="5:11" x14ac:dyDescent="0.25">
      <c r="E438" s="100" t="s">
        <v>816</v>
      </c>
      <c r="F438" s="104">
        <v>0</v>
      </c>
      <c r="G438" s="104">
        <v>0</v>
      </c>
      <c r="H438" s="104">
        <v>0</v>
      </c>
      <c r="I438" s="67"/>
      <c r="J438" s="67"/>
      <c r="K438" s="67"/>
    </row>
    <row r="439" spans="5:11" x14ac:dyDescent="0.25">
      <c r="E439" s="98" t="s">
        <v>817</v>
      </c>
      <c r="F439" s="103">
        <v>0</v>
      </c>
      <c r="G439" s="103">
        <v>0</v>
      </c>
      <c r="H439" s="103">
        <v>0</v>
      </c>
      <c r="I439" s="67"/>
      <c r="J439" s="67"/>
      <c r="K439" s="67"/>
    </row>
    <row r="440" spans="5:11" x14ac:dyDescent="0.25">
      <c r="E440" s="100" t="s">
        <v>818</v>
      </c>
      <c r="F440" s="102">
        <v>3492.65</v>
      </c>
      <c r="G440" s="104">
        <v>563.79999999999995</v>
      </c>
      <c r="H440" s="104">
        <v>0</v>
      </c>
      <c r="I440" s="67"/>
      <c r="J440" s="67"/>
      <c r="K440" s="67"/>
    </row>
    <row r="441" spans="5:11" x14ac:dyDescent="0.25">
      <c r="E441" s="98" t="s">
        <v>794</v>
      </c>
      <c r="F441" s="103">
        <v>0</v>
      </c>
      <c r="G441" s="103">
        <v>0</v>
      </c>
      <c r="H441" s="103">
        <v>0</v>
      </c>
      <c r="I441" s="67"/>
      <c r="J441" s="67"/>
      <c r="K441" s="67"/>
    </row>
    <row r="442" spans="5:11" x14ac:dyDescent="0.25">
      <c r="E442" s="100" t="s">
        <v>819</v>
      </c>
      <c r="F442" s="104">
        <v>0</v>
      </c>
      <c r="G442" s="104">
        <v>0</v>
      </c>
      <c r="H442" s="104">
        <v>0</v>
      </c>
      <c r="I442" s="67"/>
      <c r="J442" s="67"/>
      <c r="K442" s="67"/>
    </row>
    <row r="443" spans="5:11" x14ac:dyDescent="0.25">
      <c r="E443" s="98" t="s">
        <v>796</v>
      </c>
      <c r="F443" s="99">
        <v>3492.65</v>
      </c>
      <c r="G443" s="103">
        <v>563.79999999999995</v>
      </c>
      <c r="H443" s="103">
        <v>0</v>
      </c>
      <c r="I443" s="67"/>
      <c r="J443" s="67"/>
      <c r="K443" s="67"/>
    </row>
    <row r="444" spans="5:11" x14ac:dyDescent="0.25">
      <c r="E444" s="100" t="s">
        <v>820</v>
      </c>
      <c r="F444" s="104">
        <v>0</v>
      </c>
      <c r="G444" s="104">
        <v>0</v>
      </c>
      <c r="H444" s="104">
        <v>0</v>
      </c>
      <c r="I444" s="67"/>
      <c r="J444" s="67"/>
      <c r="K444" s="67"/>
    </row>
    <row r="445" spans="5:11" x14ac:dyDescent="0.25">
      <c r="E445" s="98" t="s">
        <v>821</v>
      </c>
      <c r="F445" s="103">
        <v>0</v>
      </c>
      <c r="G445" s="103">
        <v>0</v>
      </c>
      <c r="H445" s="99">
        <v>176746.74</v>
      </c>
      <c r="I445" s="67"/>
      <c r="J445" s="67"/>
      <c r="K445" s="67"/>
    </row>
    <row r="446" spans="5:11" x14ac:dyDescent="0.25">
      <c r="E446" s="100" t="s">
        <v>816</v>
      </c>
      <c r="F446" s="104">
        <v>0</v>
      </c>
      <c r="G446" s="104">
        <v>0</v>
      </c>
      <c r="H446" s="104">
        <v>0</v>
      </c>
      <c r="I446" s="67"/>
      <c r="J446" s="67"/>
      <c r="K446" s="67"/>
    </row>
    <row r="447" spans="5:11" x14ac:dyDescent="0.25">
      <c r="E447" s="98" t="s">
        <v>817</v>
      </c>
      <c r="F447" s="103">
        <v>0</v>
      </c>
      <c r="G447" s="103">
        <v>0</v>
      </c>
      <c r="H447" s="103">
        <v>0</v>
      </c>
      <c r="I447" s="67"/>
      <c r="J447" s="67"/>
      <c r="K447" s="67"/>
    </row>
    <row r="448" spans="5:11" x14ac:dyDescent="0.25">
      <c r="E448" s="100" t="s">
        <v>822</v>
      </c>
      <c r="F448" s="104">
        <v>0</v>
      </c>
      <c r="G448" s="104">
        <v>0</v>
      </c>
      <c r="H448" s="102">
        <v>176746.74</v>
      </c>
      <c r="I448" s="67"/>
      <c r="J448" s="67"/>
      <c r="K448" s="67"/>
    </row>
    <row r="449" spans="5:11" x14ac:dyDescent="0.25">
      <c r="E449" s="98" t="s">
        <v>794</v>
      </c>
      <c r="F449" s="103">
        <v>0</v>
      </c>
      <c r="G449" s="103">
        <v>0</v>
      </c>
      <c r="H449" s="103">
        <v>0</v>
      </c>
      <c r="I449" s="67"/>
      <c r="J449" s="67"/>
      <c r="K449" s="67"/>
    </row>
    <row r="450" spans="5:11" x14ac:dyDescent="0.25">
      <c r="E450" s="100" t="s">
        <v>823</v>
      </c>
      <c r="F450" s="104">
        <v>0</v>
      </c>
      <c r="G450" s="104">
        <v>0</v>
      </c>
      <c r="H450" s="104">
        <v>0</v>
      </c>
      <c r="I450" s="67"/>
      <c r="J450" s="67"/>
      <c r="K450" s="67"/>
    </row>
    <row r="451" spans="5:11" x14ac:dyDescent="0.25">
      <c r="E451" s="98" t="s">
        <v>796</v>
      </c>
      <c r="F451" s="103">
        <v>0</v>
      </c>
      <c r="G451" s="103">
        <v>0</v>
      </c>
      <c r="H451" s="99">
        <v>176746.74</v>
      </c>
      <c r="I451" s="67"/>
      <c r="J451" s="67"/>
      <c r="K451" s="67"/>
    </row>
    <row r="452" spans="5:11" x14ac:dyDescent="0.25">
      <c r="E452" s="100" t="s">
        <v>824</v>
      </c>
      <c r="F452" s="104">
        <v>0</v>
      </c>
      <c r="G452" s="104">
        <v>0</v>
      </c>
      <c r="H452" s="104">
        <v>0</v>
      </c>
      <c r="I452" s="67"/>
      <c r="J452" s="67"/>
      <c r="K452" s="67"/>
    </row>
    <row r="453" spans="5:11" x14ac:dyDescent="0.25">
      <c r="E453" s="98" t="s">
        <v>825</v>
      </c>
      <c r="F453" s="103">
        <v>0</v>
      </c>
      <c r="G453" s="103">
        <v>0</v>
      </c>
      <c r="H453" s="103">
        <v>0</v>
      </c>
      <c r="I453" s="67"/>
      <c r="J453" s="67"/>
      <c r="K453" s="67"/>
    </row>
    <row r="454" spans="5:11" x14ac:dyDescent="0.25">
      <c r="E454" s="100" t="s">
        <v>826</v>
      </c>
      <c r="F454" s="102">
        <v>89071.43</v>
      </c>
      <c r="G454" s="102">
        <v>3492.65</v>
      </c>
      <c r="H454" s="104">
        <v>563.79999999999995</v>
      </c>
      <c r="I454" s="67"/>
      <c r="J454" s="67"/>
      <c r="K454" s="67"/>
    </row>
    <row r="455" spans="5:11" x14ac:dyDescent="0.25">
      <c r="E455" s="98" t="s">
        <v>827</v>
      </c>
      <c r="F455" s="99">
        <v>89071.43</v>
      </c>
      <c r="G455" s="99">
        <v>3492.65</v>
      </c>
      <c r="H455" s="103">
        <v>563.79999999999995</v>
      </c>
      <c r="I455" s="67"/>
      <c r="J455" s="67"/>
      <c r="K455" s="67"/>
    </row>
    <row r="456" spans="5:11" x14ac:dyDescent="0.25">
      <c r="E456" s="100" t="s">
        <v>828</v>
      </c>
      <c r="F456" s="104">
        <v>0</v>
      </c>
      <c r="G456" s="104">
        <v>0</v>
      </c>
      <c r="H456" s="104">
        <v>0</v>
      </c>
      <c r="I456" s="67"/>
      <c r="J456" s="67"/>
      <c r="K456" s="67"/>
    </row>
    <row r="457" spans="5:11" x14ac:dyDescent="0.25">
      <c r="E457" s="98" t="s">
        <v>829</v>
      </c>
      <c r="F457" s="103">
        <v>0</v>
      </c>
      <c r="G457" s="103">
        <v>0</v>
      </c>
      <c r="H457" s="103">
        <v>0</v>
      </c>
      <c r="I457" s="67"/>
      <c r="J457" s="67"/>
      <c r="K457" s="67"/>
    </row>
    <row r="458" spans="5:11" x14ac:dyDescent="0.25">
      <c r="E458" s="100" t="s">
        <v>830</v>
      </c>
      <c r="F458" s="102">
        <v>555112.97</v>
      </c>
      <c r="G458" s="102">
        <v>466041.54</v>
      </c>
      <c r="H458" s="102">
        <v>462548.88</v>
      </c>
      <c r="I458" s="67"/>
      <c r="J458" s="67"/>
      <c r="K458" s="67"/>
    </row>
    <row r="459" spans="5:11" x14ac:dyDescent="0.25">
      <c r="E459" s="98" t="s">
        <v>831</v>
      </c>
      <c r="F459" s="99">
        <v>555112.97</v>
      </c>
      <c r="G459" s="99">
        <v>466041.54</v>
      </c>
      <c r="H459" s="99">
        <v>462548.88</v>
      </c>
      <c r="I459" s="67"/>
      <c r="J459" s="67"/>
      <c r="K459" s="67"/>
    </row>
    <row r="460" spans="5:11" x14ac:dyDescent="0.25">
      <c r="E460" s="67"/>
      <c r="F460" s="67"/>
      <c r="G460" s="67"/>
      <c r="H460" s="67"/>
      <c r="I460" s="67"/>
      <c r="J460" s="67"/>
      <c r="K460" s="67"/>
    </row>
    <row r="461" spans="5:11" x14ac:dyDescent="0.25">
      <c r="E461" s="67"/>
      <c r="F461" s="67"/>
      <c r="G461" s="67"/>
      <c r="H461" s="67"/>
      <c r="I461" s="67"/>
      <c r="J461" s="67"/>
      <c r="K461" s="67"/>
    </row>
    <row r="462" spans="5:11" x14ac:dyDescent="0.25">
      <c r="E462" s="100" t="s">
        <v>230</v>
      </c>
      <c r="F462" s="101" t="s">
        <v>12</v>
      </c>
      <c r="G462" s="101" t="s">
        <v>12</v>
      </c>
      <c r="H462" s="101" t="s">
        <v>12</v>
      </c>
      <c r="I462" s="67"/>
      <c r="J462" s="67"/>
      <c r="K462" s="67"/>
    </row>
    <row r="463" spans="5:11" x14ac:dyDescent="0.25">
      <c r="E463" s="98" t="s">
        <v>6</v>
      </c>
      <c r="F463" s="54" t="s">
        <v>249</v>
      </c>
      <c r="G463" s="54" t="s">
        <v>249</v>
      </c>
      <c r="H463" s="54" t="s">
        <v>249</v>
      </c>
      <c r="I463" s="67"/>
      <c r="J463" s="67"/>
      <c r="K463" s="67"/>
    </row>
    <row r="464" spans="5:11" x14ac:dyDescent="0.25">
      <c r="E464" s="100" t="s">
        <v>231</v>
      </c>
      <c r="F464" s="101" t="s">
        <v>232</v>
      </c>
      <c r="G464" s="101" t="s">
        <v>233</v>
      </c>
      <c r="H464" s="101" t="s">
        <v>234</v>
      </c>
      <c r="I464" s="67"/>
      <c r="J464" s="67"/>
      <c r="K464" s="67"/>
    </row>
    <row r="465" spans="5:11" x14ac:dyDescent="0.25">
      <c r="E465" s="98" t="s">
        <v>8</v>
      </c>
      <c r="F465" s="54" t="s">
        <v>9</v>
      </c>
      <c r="G465" s="54" t="s">
        <v>250</v>
      </c>
      <c r="H465" s="54" t="s">
        <v>11</v>
      </c>
      <c r="I465" s="67"/>
      <c r="J465" s="67"/>
      <c r="K465" s="67"/>
    </row>
    <row r="466" spans="5:11" x14ac:dyDescent="0.25">
      <c r="E466" s="100" t="s">
        <v>6</v>
      </c>
      <c r="F466" s="101" t="s">
        <v>12</v>
      </c>
      <c r="G466" s="101" t="s">
        <v>12</v>
      </c>
      <c r="H466" s="101" t="s">
        <v>12</v>
      </c>
      <c r="I466" s="67"/>
      <c r="J466" s="67"/>
      <c r="K466" s="67"/>
    </row>
    <row r="467" spans="5:11" x14ac:dyDescent="0.25">
      <c r="E467" s="98" t="s">
        <v>235</v>
      </c>
      <c r="F467" s="54" t="s">
        <v>251</v>
      </c>
      <c r="G467" s="54" t="s">
        <v>251</v>
      </c>
      <c r="H467" s="54" t="s">
        <v>251</v>
      </c>
      <c r="I467" s="67"/>
      <c r="J467" s="67"/>
      <c r="K467" s="67"/>
    </row>
    <row r="468" spans="5:11" x14ac:dyDescent="0.25">
      <c r="E468" s="100" t="s">
        <v>238</v>
      </c>
      <c r="F468" s="101" t="s">
        <v>238</v>
      </c>
      <c r="G468" s="101" t="s">
        <v>238</v>
      </c>
      <c r="H468" s="101" t="s">
        <v>238</v>
      </c>
      <c r="I468" s="67"/>
      <c r="J468" s="67"/>
      <c r="K468" s="67"/>
    </row>
    <row r="469" spans="5:11" x14ac:dyDescent="0.25">
      <c r="E469" s="98" t="s">
        <v>239</v>
      </c>
      <c r="F469" s="54" t="s">
        <v>252</v>
      </c>
      <c r="G469" s="54" t="s">
        <v>252</v>
      </c>
      <c r="H469" s="54" t="s">
        <v>252</v>
      </c>
      <c r="I469" s="67"/>
      <c r="J469" s="67"/>
      <c r="K469" s="67"/>
    </row>
    <row r="470" spans="5:11" x14ac:dyDescent="0.25">
      <c r="E470" s="100" t="s">
        <v>242</v>
      </c>
      <c r="F470" s="101" t="s">
        <v>12</v>
      </c>
      <c r="G470" s="101" t="s">
        <v>12</v>
      </c>
      <c r="H470" s="101" t="s">
        <v>12</v>
      </c>
      <c r="I470" s="67"/>
      <c r="J470" s="67"/>
      <c r="K470" s="67"/>
    </row>
    <row r="471" spans="5:11" x14ac:dyDescent="0.25">
      <c r="E471" s="98" t="s">
        <v>243</v>
      </c>
      <c r="F471" s="54" t="s">
        <v>253</v>
      </c>
      <c r="G471" s="54" t="s">
        <v>253</v>
      </c>
      <c r="H471" s="54" t="s">
        <v>253</v>
      </c>
      <c r="I471" s="67"/>
      <c r="J471" s="67"/>
      <c r="K471" s="67"/>
    </row>
    <row r="472" spans="5:11" x14ac:dyDescent="0.25">
      <c r="E472" s="67"/>
      <c r="F472" s="67"/>
      <c r="G472" s="67"/>
      <c r="H472" s="67"/>
      <c r="I472" s="67"/>
      <c r="J472" s="67"/>
      <c r="K472" s="67"/>
    </row>
    <row r="473" spans="5:11" x14ac:dyDescent="0.25">
      <c r="E473" s="67"/>
      <c r="F473" s="67"/>
      <c r="G473" s="67"/>
      <c r="H473" s="67"/>
      <c r="I473" s="67"/>
      <c r="J473" s="67"/>
      <c r="K473" s="67"/>
    </row>
    <row r="474" spans="5:11" x14ac:dyDescent="0.25">
      <c r="E474" s="67" t="s">
        <v>244</v>
      </c>
      <c r="F474" s="67"/>
      <c r="G474" s="67"/>
      <c r="H474" s="67"/>
      <c r="I474" s="67"/>
      <c r="J474" s="67"/>
      <c r="K474" s="67"/>
    </row>
    <row r="475" spans="5:11" x14ac:dyDescent="0.25">
      <c r="E475" s="67" t="s">
        <v>245</v>
      </c>
      <c r="F475" s="67"/>
      <c r="G475" s="67"/>
      <c r="H475" s="67"/>
      <c r="I475" s="67"/>
      <c r="J475" s="67"/>
      <c r="K475" s="67"/>
    </row>
    <row r="476" spans="5:11" x14ac:dyDescent="0.25">
      <c r="E476" s="67"/>
      <c r="F476" s="67"/>
      <c r="G476" s="67"/>
      <c r="H476" s="67"/>
      <c r="I476" s="67"/>
      <c r="J476" s="67"/>
      <c r="K476" s="67"/>
    </row>
    <row r="477" spans="5:11" x14ac:dyDescent="0.25">
      <c r="E477" s="67"/>
      <c r="F477" s="67"/>
      <c r="G477" s="67"/>
      <c r="H477" s="67"/>
      <c r="I477" s="67"/>
      <c r="J477" s="67"/>
      <c r="K477" s="67"/>
    </row>
    <row r="478" spans="5:11" x14ac:dyDescent="0.25">
      <c r="E478" s="67"/>
      <c r="F478" s="67"/>
      <c r="G478" s="67"/>
      <c r="H478" s="67"/>
      <c r="I478" s="67"/>
      <c r="J478" s="67"/>
      <c r="K478" s="67"/>
    </row>
    <row r="479" spans="5:11" x14ac:dyDescent="0.25">
      <c r="E479" s="67"/>
      <c r="F479" s="67"/>
      <c r="G479" s="67"/>
      <c r="H479" s="67"/>
      <c r="I479" s="67"/>
      <c r="J479" s="67"/>
      <c r="K479" s="67"/>
    </row>
    <row r="480" spans="5:11" x14ac:dyDescent="0.25">
      <c r="E480" s="67"/>
      <c r="F480" s="67"/>
      <c r="G480" s="67"/>
      <c r="H480" s="67"/>
      <c r="I480" s="67"/>
      <c r="J480" s="67"/>
      <c r="K480" s="67"/>
    </row>
    <row r="481" spans="5:11" x14ac:dyDescent="0.25">
      <c r="E481" s="67"/>
      <c r="F481" s="67"/>
      <c r="G481" s="67"/>
      <c r="H481" s="67"/>
      <c r="I481" s="67"/>
      <c r="J481" s="67"/>
      <c r="K481" s="67"/>
    </row>
    <row r="482" spans="5:11" x14ac:dyDescent="0.25">
      <c r="E482" s="67"/>
      <c r="F482" s="67"/>
      <c r="G482" s="67"/>
      <c r="H482" s="67"/>
      <c r="I482" s="67"/>
      <c r="J482" s="67"/>
      <c r="K482" s="67"/>
    </row>
    <row r="483" spans="5:11" x14ac:dyDescent="0.25">
      <c r="E483" s="67"/>
      <c r="F483" s="67"/>
      <c r="G483" s="67"/>
      <c r="H483" s="67"/>
      <c r="I483" s="67"/>
      <c r="J483" s="67"/>
      <c r="K483" s="67"/>
    </row>
    <row r="484" spans="5:11" x14ac:dyDescent="0.25">
      <c r="E484" s="67"/>
      <c r="F484" s="67"/>
      <c r="G484" s="67"/>
      <c r="H484" s="67"/>
      <c r="I484" s="67"/>
      <c r="J484" s="67"/>
      <c r="K484" s="67"/>
    </row>
    <row r="485" spans="5:11" x14ac:dyDescent="0.25">
      <c r="E485" s="67"/>
      <c r="F485" s="67"/>
      <c r="G485" s="67"/>
      <c r="H485" s="67"/>
      <c r="I485" s="67"/>
      <c r="J485" s="67"/>
      <c r="K485" s="67"/>
    </row>
    <row r="486" spans="5:11" x14ac:dyDescent="0.25">
      <c r="E486" s="67"/>
      <c r="F486" s="67"/>
      <c r="G486" s="67"/>
      <c r="H486" s="67"/>
      <c r="I486" s="67"/>
      <c r="J486" s="67"/>
      <c r="K486" s="67"/>
    </row>
    <row r="487" spans="5:11" x14ac:dyDescent="0.25">
      <c r="E487" s="67"/>
      <c r="F487" s="67"/>
      <c r="G487" s="67"/>
      <c r="H487" s="67"/>
      <c r="I487" s="67"/>
      <c r="J487" s="67"/>
      <c r="K487" s="67"/>
    </row>
    <row r="488" spans="5:11" x14ac:dyDescent="0.25">
      <c r="E488" s="67"/>
      <c r="F488" s="67"/>
      <c r="G488" s="67"/>
      <c r="H488" s="67"/>
      <c r="I488" s="67"/>
      <c r="J488" s="67"/>
      <c r="K488" s="67"/>
    </row>
    <row r="489" spans="5:11" x14ac:dyDescent="0.25">
      <c r="E489" s="67"/>
      <c r="F489" s="67"/>
      <c r="G489" s="67"/>
      <c r="H489" s="67"/>
      <c r="I489" s="67"/>
      <c r="J489" s="67"/>
      <c r="K489" s="67"/>
    </row>
    <row r="490" spans="5:11" x14ac:dyDescent="0.25">
      <c r="E490" s="67"/>
      <c r="F490" s="67"/>
      <c r="G490" s="67"/>
      <c r="H490" s="67"/>
      <c r="I490" s="67"/>
      <c r="J490" s="67"/>
      <c r="K490" s="67"/>
    </row>
    <row r="491" spans="5:11" x14ac:dyDescent="0.25">
      <c r="E491" s="67"/>
      <c r="F491" s="67"/>
      <c r="G491" s="67"/>
      <c r="H491" s="67"/>
      <c r="I491" s="67"/>
      <c r="J491" s="67"/>
      <c r="K491" s="67"/>
    </row>
    <row r="492" spans="5:11" x14ac:dyDescent="0.25">
      <c r="I492" s="67"/>
      <c r="J492" s="67"/>
      <c r="K492" s="67"/>
    </row>
    <row r="493" spans="5:11" x14ac:dyDescent="0.25">
      <c r="I493" s="67"/>
      <c r="J493" s="67"/>
      <c r="K493" s="67"/>
    </row>
  </sheetData>
  <mergeCells count="7">
    <mergeCell ref="F5:H5"/>
    <mergeCell ref="B5:D5"/>
    <mergeCell ref="A1:A4"/>
    <mergeCell ref="B1:C1"/>
    <mergeCell ref="B2:C2"/>
    <mergeCell ref="B3:C3"/>
    <mergeCell ref="B4:C4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8D9B-60C7-45FD-A196-511BB3F482A6}">
  <dimension ref="A1:R258"/>
  <sheetViews>
    <sheetView topLeftCell="A21" workbookViewId="0">
      <selection activeCell="E33" sqref="E33"/>
    </sheetView>
  </sheetViews>
  <sheetFormatPr defaultRowHeight="15" x14ac:dyDescent="0.25"/>
  <cols>
    <col min="1" max="1" width="50" customWidth="1"/>
    <col min="2" max="4" width="20" customWidth="1"/>
    <col min="5" max="5" width="20" style="22" customWidth="1"/>
    <col min="6" max="7" width="20" customWidth="1"/>
    <col min="8" max="8" width="68.5703125" style="22" bestFit="1" customWidth="1"/>
    <col min="9" max="10" width="20.42578125" bestFit="1" customWidth="1"/>
    <col min="11" max="11" width="20" customWidth="1"/>
    <col min="12" max="14" width="20.42578125" bestFit="1" customWidth="1"/>
  </cols>
  <sheetData>
    <row r="1" spans="1:18" x14ac:dyDescent="0.25">
      <c r="A1" s="179"/>
      <c r="B1" s="179" t="s">
        <v>0</v>
      </c>
      <c r="C1" s="179"/>
      <c r="D1" s="11"/>
      <c r="E1" s="179"/>
      <c r="F1" s="179"/>
      <c r="G1" s="11"/>
      <c r="H1" s="113"/>
      <c r="I1" s="76"/>
      <c r="J1" s="76"/>
      <c r="K1" s="112" t="s">
        <v>0</v>
      </c>
      <c r="L1" s="76"/>
      <c r="M1" s="76"/>
      <c r="N1" s="76"/>
      <c r="O1" s="76"/>
      <c r="P1" s="76"/>
      <c r="Q1" s="76"/>
    </row>
    <row r="2" spans="1:18" x14ac:dyDescent="0.25">
      <c r="A2" s="179"/>
      <c r="B2" s="179" t="s">
        <v>1</v>
      </c>
      <c r="C2" s="179"/>
      <c r="E2" s="179"/>
      <c r="F2" s="179"/>
      <c r="H2" s="113"/>
      <c r="I2" s="76"/>
      <c r="J2" s="76"/>
      <c r="K2" s="112" t="s">
        <v>1</v>
      </c>
      <c r="L2" s="76"/>
      <c r="M2" s="76"/>
      <c r="N2" s="76"/>
      <c r="O2" s="76"/>
      <c r="P2" s="76"/>
      <c r="Q2" s="76"/>
    </row>
    <row r="3" spans="1:18" x14ac:dyDescent="0.25">
      <c r="A3" s="179"/>
      <c r="B3" s="179" t="s">
        <v>2</v>
      </c>
      <c r="C3" s="179"/>
      <c r="E3" s="179"/>
      <c r="F3" s="179"/>
      <c r="H3" s="113"/>
      <c r="I3" s="76"/>
      <c r="J3" s="76"/>
      <c r="K3" s="112" t="s">
        <v>2</v>
      </c>
      <c r="L3" s="76"/>
      <c r="M3" s="76"/>
      <c r="N3" s="76"/>
      <c r="O3" s="76"/>
      <c r="P3" s="76"/>
      <c r="Q3" s="76"/>
    </row>
    <row r="4" spans="1:18" x14ac:dyDescent="0.25">
      <c r="A4" s="179"/>
      <c r="B4" s="179" t="s">
        <v>3</v>
      </c>
      <c r="C4" s="179"/>
      <c r="E4" s="179"/>
      <c r="F4" s="179"/>
      <c r="H4" s="113"/>
      <c r="I4" s="76" t="s">
        <v>3</v>
      </c>
      <c r="J4" s="76"/>
      <c r="L4" s="76"/>
      <c r="M4" s="76"/>
      <c r="N4" s="76"/>
      <c r="O4" s="76"/>
      <c r="P4" s="76"/>
      <c r="Q4" s="76"/>
    </row>
    <row r="5" spans="1:18" ht="15" customHeight="1" x14ac:dyDescent="0.25">
      <c r="A5" s="53" t="s">
        <v>446</v>
      </c>
      <c r="B5" s="182" t="s">
        <v>246</v>
      </c>
      <c r="C5" s="182"/>
      <c r="D5" s="182"/>
      <c r="E5" s="183" t="s">
        <v>247</v>
      </c>
      <c r="F5" s="183"/>
      <c r="G5" s="183"/>
      <c r="H5" s="114" t="s">
        <v>832</v>
      </c>
      <c r="I5" s="181" t="s">
        <v>246</v>
      </c>
      <c r="J5" s="181"/>
      <c r="K5" s="181"/>
      <c r="L5" s="180" t="s">
        <v>247</v>
      </c>
      <c r="M5" s="180"/>
      <c r="N5" s="180"/>
      <c r="O5" s="76"/>
      <c r="P5" s="76"/>
      <c r="Q5" s="76"/>
      <c r="R5" s="76"/>
    </row>
    <row r="6" spans="1:18" x14ac:dyDescent="0.25">
      <c r="A6" s="11" t="s">
        <v>5</v>
      </c>
      <c r="B6" s="11"/>
      <c r="C6" s="11"/>
      <c r="D6" s="11"/>
      <c r="F6" s="11"/>
      <c r="G6" s="11"/>
      <c r="H6" s="115" t="s">
        <v>5</v>
      </c>
      <c r="I6" s="105"/>
      <c r="J6" s="105"/>
      <c r="K6" s="105"/>
      <c r="L6" s="119"/>
      <c r="M6" s="119"/>
      <c r="N6" s="119"/>
      <c r="O6" s="119"/>
      <c r="P6" s="119"/>
      <c r="Q6" s="119"/>
    </row>
    <row r="7" spans="1:18" ht="15" customHeight="1" x14ac:dyDescent="0.25">
      <c r="A7" s="11"/>
      <c r="B7" s="11"/>
      <c r="C7" s="11"/>
      <c r="D7" s="11"/>
      <c r="F7" s="11"/>
      <c r="G7" s="11"/>
      <c r="I7" s="67"/>
      <c r="J7" s="67"/>
      <c r="K7" s="67"/>
      <c r="L7" s="105"/>
      <c r="M7" s="105"/>
      <c r="N7" s="67"/>
      <c r="O7" s="67"/>
      <c r="P7" s="67"/>
      <c r="Q7" s="67"/>
    </row>
    <row r="8" spans="1:18" x14ac:dyDescent="0.25">
      <c r="A8" s="12" t="s">
        <v>6</v>
      </c>
      <c r="B8" s="13" t="s">
        <v>7</v>
      </c>
      <c r="C8" s="13" t="s">
        <v>7</v>
      </c>
      <c r="D8" s="13" t="s">
        <v>7</v>
      </c>
      <c r="E8" s="23" t="s">
        <v>7</v>
      </c>
      <c r="F8" s="13" t="s">
        <v>7</v>
      </c>
      <c r="G8" s="13" t="s">
        <v>7</v>
      </c>
      <c r="H8" s="116" t="s">
        <v>6</v>
      </c>
      <c r="I8" s="106" t="s">
        <v>7</v>
      </c>
      <c r="J8" s="106" t="s">
        <v>7</v>
      </c>
      <c r="K8" s="106" t="s">
        <v>7</v>
      </c>
      <c r="L8" s="120" t="s">
        <v>7</v>
      </c>
      <c r="M8" s="120" t="s">
        <v>7</v>
      </c>
      <c r="N8" s="120" t="s">
        <v>7</v>
      </c>
      <c r="O8" s="119"/>
      <c r="P8" s="119"/>
      <c r="Q8" s="119"/>
    </row>
    <row r="9" spans="1:18" x14ac:dyDescent="0.25">
      <c r="A9" s="14" t="s">
        <v>8</v>
      </c>
      <c r="B9" s="15" t="s">
        <v>9</v>
      </c>
      <c r="C9" s="15" t="s">
        <v>10</v>
      </c>
      <c r="D9" s="15" t="s">
        <v>11</v>
      </c>
      <c r="E9" s="24" t="s">
        <v>9</v>
      </c>
      <c r="F9" s="15" t="s">
        <v>10</v>
      </c>
      <c r="G9" s="15" t="s">
        <v>11</v>
      </c>
      <c r="H9" s="117" t="s">
        <v>8</v>
      </c>
      <c r="I9" s="107" t="s">
        <v>9</v>
      </c>
      <c r="J9" s="107" t="s">
        <v>10</v>
      </c>
      <c r="K9" s="107" t="s">
        <v>11</v>
      </c>
      <c r="L9" s="121" t="s">
        <v>9</v>
      </c>
      <c r="M9" s="121" t="s">
        <v>10</v>
      </c>
      <c r="N9" s="121" t="s">
        <v>11</v>
      </c>
      <c r="O9" s="119"/>
      <c r="P9" s="119"/>
      <c r="Q9" s="119"/>
    </row>
    <row r="10" spans="1:18" x14ac:dyDescent="0.25">
      <c r="A10" s="12" t="s">
        <v>6</v>
      </c>
      <c r="B10" s="13" t="s">
        <v>12</v>
      </c>
      <c r="C10" s="13" t="s">
        <v>12</v>
      </c>
      <c r="D10" s="13" t="s">
        <v>12</v>
      </c>
      <c r="E10" s="23" t="s">
        <v>12</v>
      </c>
      <c r="F10" s="13" t="s">
        <v>12</v>
      </c>
      <c r="G10" s="13" t="s">
        <v>12</v>
      </c>
      <c r="H10" s="116" t="s">
        <v>6</v>
      </c>
      <c r="I10" s="106" t="s">
        <v>12</v>
      </c>
      <c r="J10" s="106" t="s">
        <v>12</v>
      </c>
      <c r="K10" s="106" t="s">
        <v>12</v>
      </c>
      <c r="L10" s="120" t="s">
        <v>12</v>
      </c>
      <c r="M10" s="120" t="s">
        <v>12</v>
      </c>
      <c r="N10" s="120" t="s">
        <v>12</v>
      </c>
      <c r="O10" s="119"/>
      <c r="P10" s="119"/>
      <c r="Q10" s="119"/>
    </row>
    <row r="11" spans="1:18" x14ac:dyDescent="0.25">
      <c r="A11" s="14" t="s">
        <v>13</v>
      </c>
      <c r="B11" s="15" t="s">
        <v>14</v>
      </c>
      <c r="C11" s="15" t="s">
        <v>14</v>
      </c>
      <c r="D11" s="15" t="s">
        <v>14</v>
      </c>
      <c r="E11" s="24" t="s">
        <v>14</v>
      </c>
      <c r="F11" s="15" t="s">
        <v>14</v>
      </c>
      <c r="G11" s="15" t="s">
        <v>14</v>
      </c>
      <c r="H11" s="117" t="s">
        <v>13</v>
      </c>
      <c r="I11" s="107" t="s">
        <v>14</v>
      </c>
      <c r="J11" s="107" t="s">
        <v>14</v>
      </c>
      <c r="K11" s="107" t="s">
        <v>14</v>
      </c>
      <c r="L11" s="121" t="s">
        <v>14</v>
      </c>
      <c r="M11" s="121" t="s">
        <v>14</v>
      </c>
      <c r="N11" s="121" t="s">
        <v>14</v>
      </c>
      <c r="O11" s="119"/>
      <c r="P11" s="119"/>
      <c r="Q11" s="119"/>
    </row>
    <row r="12" spans="1:18" x14ac:dyDescent="0.25">
      <c r="A12" s="16" t="s">
        <v>15</v>
      </c>
      <c r="B12" s="16">
        <v>2019</v>
      </c>
      <c r="C12" s="16">
        <v>2018</v>
      </c>
      <c r="D12" s="16">
        <v>2017</v>
      </c>
      <c r="E12" s="25">
        <v>2019</v>
      </c>
      <c r="F12" s="16">
        <v>2018</v>
      </c>
      <c r="G12" s="16">
        <v>2017</v>
      </c>
      <c r="H12" s="118" t="s">
        <v>15</v>
      </c>
      <c r="I12" s="108">
        <v>2019</v>
      </c>
      <c r="J12" s="108">
        <v>2018</v>
      </c>
      <c r="K12" s="108">
        <v>2017</v>
      </c>
      <c r="L12" s="122">
        <v>2019</v>
      </c>
      <c r="M12" s="122">
        <v>2018</v>
      </c>
      <c r="N12" s="122">
        <v>2017</v>
      </c>
      <c r="O12" s="119"/>
      <c r="P12" s="119"/>
      <c r="Q12" s="119"/>
    </row>
    <row r="13" spans="1:18" x14ac:dyDescent="0.25">
      <c r="A13" s="14" t="s">
        <v>16</v>
      </c>
      <c r="B13" s="18">
        <v>11644000</v>
      </c>
      <c r="C13" s="18">
        <v>11354000</v>
      </c>
      <c r="D13" s="18">
        <v>11680000</v>
      </c>
      <c r="E13" s="26">
        <v>7117638</v>
      </c>
      <c r="F13" s="18">
        <v>6917387</v>
      </c>
      <c r="G13" s="18">
        <v>6779637</v>
      </c>
      <c r="H13" s="117" t="s">
        <v>344</v>
      </c>
      <c r="I13" s="109">
        <v>11406000</v>
      </c>
      <c r="J13" s="109">
        <v>11101000</v>
      </c>
      <c r="K13" s="109">
        <v>11381000</v>
      </c>
      <c r="L13" s="123">
        <v>7040753</v>
      </c>
      <c r="M13" s="123">
        <v>6839148</v>
      </c>
      <c r="N13" s="123">
        <v>6669859</v>
      </c>
      <c r="O13" s="67"/>
      <c r="P13" s="67"/>
      <c r="Q13" s="67"/>
    </row>
    <row r="14" spans="1:18" x14ac:dyDescent="0.25">
      <c r="A14" s="12" t="s">
        <v>17</v>
      </c>
      <c r="B14" s="17">
        <v>11406000</v>
      </c>
      <c r="C14" s="17">
        <v>11101000</v>
      </c>
      <c r="D14" s="17">
        <v>11381000</v>
      </c>
      <c r="E14" s="27">
        <v>7040753</v>
      </c>
      <c r="F14" s="17">
        <v>6839148</v>
      </c>
      <c r="G14" s="17">
        <v>6669859</v>
      </c>
      <c r="H14" s="116" t="s">
        <v>447</v>
      </c>
      <c r="I14" s="106" t="s">
        <v>12</v>
      </c>
      <c r="J14" s="106" t="s">
        <v>12</v>
      </c>
      <c r="K14" s="106" t="s">
        <v>12</v>
      </c>
      <c r="L14" s="124">
        <v>5296028</v>
      </c>
      <c r="M14" s="124">
        <v>5082978</v>
      </c>
      <c r="N14" s="124">
        <v>4878228</v>
      </c>
      <c r="O14" s="67"/>
      <c r="P14" s="67"/>
      <c r="Q14" s="67"/>
    </row>
    <row r="15" spans="1:18" x14ac:dyDescent="0.25">
      <c r="A15" s="14" t="s">
        <v>18</v>
      </c>
      <c r="B15" s="15" t="s">
        <v>12</v>
      </c>
      <c r="C15" s="15" t="s">
        <v>12</v>
      </c>
      <c r="D15" s="15" t="s">
        <v>12</v>
      </c>
      <c r="E15" s="24" t="s">
        <v>12</v>
      </c>
      <c r="F15" s="15" t="s">
        <v>12</v>
      </c>
      <c r="G15" s="15" t="s">
        <v>12</v>
      </c>
      <c r="H15" s="117" t="s">
        <v>448</v>
      </c>
      <c r="I15" s="107" t="s">
        <v>12</v>
      </c>
      <c r="J15" s="107" t="s">
        <v>12</v>
      </c>
      <c r="K15" s="107" t="s">
        <v>12</v>
      </c>
      <c r="L15" s="123">
        <v>1744725</v>
      </c>
      <c r="M15" s="123">
        <v>1756170</v>
      </c>
      <c r="N15" s="123">
        <v>1791631</v>
      </c>
      <c r="O15" s="67"/>
      <c r="P15" s="67"/>
      <c r="Q15" s="67"/>
    </row>
    <row r="16" spans="1:18" x14ac:dyDescent="0.25">
      <c r="A16" s="12" t="s">
        <v>19</v>
      </c>
      <c r="B16" s="13" t="s">
        <v>12</v>
      </c>
      <c r="C16" s="13" t="s">
        <v>12</v>
      </c>
      <c r="D16" s="13" t="s">
        <v>12</v>
      </c>
      <c r="E16" s="23" t="s">
        <v>12</v>
      </c>
      <c r="F16" s="13" t="s">
        <v>12</v>
      </c>
      <c r="G16" s="13" t="s">
        <v>12</v>
      </c>
      <c r="H16" s="116" t="s">
        <v>449</v>
      </c>
      <c r="I16" s="106" t="s">
        <v>12</v>
      </c>
      <c r="J16" s="106" t="s">
        <v>12</v>
      </c>
      <c r="K16" s="106" t="s">
        <v>12</v>
      </c>
      <c r="L16" s="120" t="s">
        <v>12</v>
      </c>
      <c r="M16" s="120" t="s">
        <v>12</v>
      </c>
      <c r="N16" s="120" t="s">
        <v>12</v>
      </c>
      <c r="O16" s="67"/>
      <c r="P16" s="67"/>
      <c r="Q16" s="67"/>
    </row>
    <row r="17" spans="1:17" x14ac:dyDescent="0.25">
      <c r="A17" s="14" t="s">
        <v>20</v>
      </c>
      <c r="B17" s="20">
        <v>0</v>
      </c>
      <c r="C17" s="20">
        <v>0</v>
      </c>
      <c r="D17" s="20">
        <v>0</v>
      </c>
      <c r="E17" s="28">
        <v>0</v>
      </c>
      <c r="F17" s="20">
        <v>0</v>
      </c>
      <c r="G17" s="20">
        <v>0</v>
      </c>
      <c r="H17" s="117" t="s">
        <v>450</v>
      </c>
      <c r="I17" s="107" t="s">
        <v>12</v>
      </c>
      <c r="J17" s="107" t="s">
        <v>12</v>
      </c>
      <c r="K17" s="107" t="s">
        <v>12</v>
      </c>
      <c r="L17" s="121" t="s">
        <v>12</v>
      </c>
      <c r="M17" s="121" t="s">
        <v>12</v>
      </c>
      <c r="N17" s="121" t="s">
        <v>12</v>
      </c>
      <c r="O17" s="67"/>
      <c r="P17" s="67"/>
      <c r="Q17" s="67"/>
    </row>
    <row r="18" spans="1:17" x14ac:dyDescent="0.25">
      <c r="A18" s="12" t="s">
        <v>21</v>
      </c>
      <c r="B18" s="19">
        <v>0</v>
      </c>
      <c r="C18" s="19">
        <v>0</v>
      </c>
      <c r="D18" s="19">
        <v>0</v>
      </c>
      <c r="E18" s="29">
        <v>0</v>
      </c>
      <c r="F18" s="19">
        <v>0</v>
      </c>
      <c r="G18" s="19">
        <v>0</v>
      </c>
      <c r="H18" s="116" t="s">
        <v>451</v>
      </c>
      <c r="I18" s="106" t="s">
        <v>12</v>
      </c>
      <c r="J18" s="106" t="s">
        <v>12</v>
      </c>
      <c r="K18" s="106" t="s">
        <v>12</v>
      </c>
      <c r="L18" s="120" t="s">
        <v>12</v>
      </c>
      <c r="M18" s="120" t="s">
        <v>12</v>
      </c>
      <c r="N18" s="120" t="s">
        <v>12</v>
      </c>
      <c r="O18" s="67"/>
      <c r="P18" s="67"/>
      <c r="Q18" s="67"/>
    </row>
    <row r="19" spans="1:17" x14ac:dyDescent="0.25">
      <c r="A19" s="14" t="s">
        <v>22</v>
      </c>
      <c r="B19" s="20">
        <v>0</v>
      </c>
      <c r="C19" s="20">
        <v>0</v>
      </c>
      <c r="D19" s="20">
        <v>0</v>
      </c>
      <c r="E19" s="28">
        <v>0</v>
      </c>
      <c r="F19" s="20">
        <v>0</v>
      </c>
      <c r="G19" s="20">
        <v>0</v>
      </c>
      <c r="H19" s="117" t="s">
        <v>345</v>
      </c>
      <c r="I19" s="107" t="s">
        <v>12</v>
      </c>
      <c r="J19" s="107" t="s">
        <v>12</v>
      </c>
      <c r="K19" s="107" t="s">
        <v>12</v>
      </c>
      <c r="L19" s="121" t="s">
        <v>12</v>
      </c>
      <c r="M19" s="121" t="s">
        <v>12</v>
      </c>
      <c r="N19" s="121" t="s">
        <v>12</v>
      </c>
      <c r="O19" s="67"/>
      <c r="P19" s="67"/>
      <c r="Q19" s="67"/>
    </row>
    <row r="20" spans="1:17" x14ac:dyDescent="0.25">
      <c r="A20" s="12" t="s">
        <v>23</v>
      </c>
      <c r="B20" s="17">
        <v>2748000</v>
      </c>
      <c r="C20" s="19">
        <v>0</v>
      </c>
      <c r="D20" s="17">
        <v>2572000</v>
      </c>
      <c r="E20" s="27">
        <v>906264</v>
      </c>
      <c r="F20" s="17">
        <v>789290</v>
      </c>
      <c r="G20" s="17">
        <v>797256</v>
      </c>
      <c r="H20" s="116" t="s">
        <v>452</v>
      </c>
      <c r="I20" s="106" t="s">
        <v>12</v>
      </c>
      <c r="J20" s="106" t="s">
        <v>12</v>
      </c>
      <c r="K20" s="106" t="s">
        <v>12</v>
      </c>
      <c r="L20" s="120" t="s">
        <v>12</v>
      </c>
      <c r="M20" s="120" t="s">
        <v>12</v>
      </c>
      <c r="N20" s="120" t="s">
        <v>12</v>
      </c>
      <c r="O20" s="67"/>
      <c r="P20" s="67"/>
      <c r="Q20" s="67"/>
    </row>
    <row r="21" spans="1:17" x14ac:dyDescent="0.25">
      <c r="A21" s="14" t="s">
        <v>24</v>
      </c>
      <c r="B21" s="15" t="s">
        <v>12</v>
      </c>
      <c r="C21" s="15" t="s">
        <v>12</v>
      </c>
      <c r="D21" s="15" t="s">
        <v>12</v>
      </c>
      <c r="E21" s="24" t="s">
        <v>12</v>
      </c>
      <c r="F21" s="15" t="s">
        <v>12</v>
      </c>
      <c r="G21" s="15" t="s">
        <v>12</v>
      </c>
      <c r="H21" s="117" t="s">
        <v>453</v>
      </c>
      <c r="I21" s="107" t="s">
        <v>12</v>
      </c>
      <c r="J21" s="107" t="s">
        <v>12</v>
      </c>
      <c r="K21" s="107" t="s">
        <v>12</v>
      </c>
      <c r="L21" s="121" t="s">
        <v>12</v>
      </c>
      <c r="M21" s="121" t="s">
        <v>12</v>
      </c>
      <c r="N21" s="121" t="s">
        <v>12</v>
      </c>
      <c r="O21" s="67"/>
      <c r="P21" s="67"/>
      <c r="Q21" s="67"/>
    </row>
    <row r="22" spans="1:17" x14ac:dyDescent="0.25">
      <c r="A22" s="12" t="s">
        <v>25</v>
      </c>
      <c r="B22" s="13" t="s">
        <v>12</v>
      </c>
      <c r="C22" s="13" t="s">
        <v>12</v>
      </c>
      <c r="D22" s="13" t="s">
        <v>12</v>
      </c>
      <c r="E22" s="23" t="s">
        <v>12</v>
      </c>
      <c r="F22" s="13" t="s">
        <v>12</v>
      </c>
      <c r="G22" s="13" t="s">
        <v>12</v>
      </c>
      <c r="H22" s="116" t="s">
        <v>454</v>
      </c>
      <c r="I22" s="106" t="s">
        <v>12</v>
      </c>
      <c r="J22" s="106" t="s">
        <v>12</v>
      </c>
      <c r="K22" s="106" t="s">
        <v>12</v>
      </c>
      <c r="L22" s="120" t="s">
        <v>12</v>
      </c>
      <c r="M22" s="120" t="s">
        <v>12</v>
      </c>
      <c r="N22" s="120" t="s">
        <v>12</v>
      </c>
      <c r="O22" s="67"/>
      <c r="P22" s="67"/>
      <c r="Q22" s="67"/>
    </row>
    <row r="23" spans="1:17" x14ac:dyDescent="0.25">
      <c r="A23" s="14" t="s">
        <v>26</v>
      </c>
      <c r="B23" s="15" t="s">
        <v>12</v>
      </c>
      <c r="C23" s="15" t="s">
        <v>12</v>
      </c>
      <c r="D23" s="15" t="s">
        <v>12</v>
      </c>
      <c r="E23" s="24" t="s">
        <v>12</v>
      </c>
      <c r="F23" s="15" t="s">
        <v>12</v>
      </c>
      <c r="G23" s="15" t="s">
        <v>12</v>
      </c>
      <c r="H23" s="117" t="s">
        <v>455</v>
      </c>
      <c r="I23" s="107" t="s">
        <v>12</v>
      </c>
      <c r="J23" s="107" t="s">
        <v>12</v>
      </c>
      <c r="K23" s="107" t="s">
        <v>12</v>
      </c>
      <c r="L23" s="121" t="s">
        <v>12</v>
      </c>
      <c r="M23" s="121" t="s">
        <v>12</v>
      </c>
      <c r="N23" s="121" t="s">
        <v>12</v>
      </c>
      <c r="O23" s="67"/>
      <c r="P23" s="67"/>
      <c r="Q23" s="67"/>
    </row>
    <row r="24" spans="1:17" x14ac:dyDescent="0.25">
      <c r="A24" s="12" t="s">
        <v>27</v>
      </c>
      <c r="B24" s="13" t="s">
        <v>12</v>
      </c>
      <c r="C24" s="13" t="s">
        <v>12</v>
      </c>
      <c r="D24" s="13" t="s">
        <v>12</v>
      </c>
      <c r="E24" s="23" t="s">
        <v>12</v>
      </c>
      <c r="F24" s="13" t="s">
        <v>12</v>
      </c>
      <c r="G24" s="13" t="s">
        <v>12</v>
      </c>
      <c r="H24" s="116" t="s">
        <v>456</v>
      </c>
      <c r="I24" s="106" t="s">
        <v>12</v>
      </c>
      <c r="J24" s="106" t="s">
        <v>12</v>
      </c>
      <c r="K24" s="106" t="s">
        <v>12</v>
      </c>
      <c r="L24" s="120" t="s">
        <v>12</v>
      </c>
      <c r="M24" s="120" t="s">
        <v>12</v>
      </c>
      <c r="N24" s="120" t="s">
        <v>12</v>
      </c>
      <c r="O24" s="67"/>
      <c r="P24" s="67"/>
      <c r="Q24" s="67"/>
    </row>
    <row r="25" spans="1:17" x14ac:dyDescent="0.25">
      <c r="A25" s="14" t="s">
        <v>28</v>
      </c>
      <c r="B25" s="15" t="s">
        <v>12</v>
      </c>
      <c r="C25" s="15" t="s">
        <v>12</v>
      </c>
      <c r="D25" s="15" t="s">
        <v>12</v>
      </c>
      <c r="E25" s="24" t="s">
        <v>12</v>
      </c>
      <c r="F25" s="15" t="s">
        <v>12</v>
      </c>
      <c r="G25" s="15" t="s">
        <v>12</v>
      </c>
      <c r="H25" s="117" t="s">
        <v>346</v>
      </c>
      <c r="I25" s="107" t="s">
        <v>12</v>
      </c>
      <c r="J25" s="107" t="s">
        <v>12</v>
      </c>
      <c r="K25" s="109">
        <v>-10892000</v>
      </c>
      <c r="L25" s="121" t="s">
        <v>12</v>
      </c>
      <c r="M25" s="121" t="s">
        <v>12</v>
      </c>
      <c r="N25" s="123">
        <v>-5578059</v>
      </c>
      <c r="O25" s="67"/>
      <c r="P25" s="67"/>
      <c r="Q25" s="67"/>
    </row>
    <row r="26" spans="1:17" x14ac:dyDescent="0.25">
      <c r="A26" s="12" t="s">
        <v>29</v>
      </c>
      <c r="B26" s="13" t="s">
        <v>12</v>
      </c>
      <c r="C26" s="13" t="s">
        <v>12</v>
      </c>
      <c r="D26" s="13" t="s">
        <v>12</v>
      </c>
      <c r="E26" s="23" t="s">
        <v>12</v>
      </c>
      <c r="F26" s="13" t="s">
        <v>12</v>
      </c>
      <c r="G26" s="13" t="s">
        <v>12</v>
      </c>
      <c r="H26" s="116" t="s">
        <v>347</v>
      </c>
      <c r="I26" s="106" t="s">
        <v>12</v>
      </c>
      <c r="J26" s="106" t="s">
        <v>12</v>
      </c>
      <c r="K26" s="110">
        <v>489000</v>
      </c>
      <c r="L26" s="124">
        <v>1565758</v>
      </c>
      <c r="M26" s="124">
        <v>1413056</v>
      </c>
      <c r="N26" s="124">
        <v>1091800</v>
      </c>
      <c r="O26" s="67"/>
      <c r="P26" s="67"/>
      <c r="Q26" s="67"/>
    </row>
    <row r="27" spans="1:17" x14ac:dyDescent="0.25">
      <c r="A27" s="14" t="s">
        <v>30</v>
      </c>
      <c r="B27" s="15" t="s">
        <v>12</v>
      </c>
      <c r="C27" s="15" t="s">
        <v>12</v>
      </c>
      <c r="D27" s="15" t="s">
        <v>12</v>
      </c>
      <c r="E27" s="24" t="s">
        <v>12</v>
      </c>
      <c r="F27" s="15" t="s">
        <v>12</v>
      </c>
      <c r="G27" s="15" t="s">
        <v>12</v>
      </c>
      <c r="H27" s="117" t="s">
        <v>348</v>
      </c>
      <c r="I27" s="109">
        <v>238000</v>
      </c>
      <c r="J27" s="109">
        <v>253000</v>
      </c>
      <c r="K27" s="109">
        <v>218000</v>
      </c>
      <c r="L27" s="123">
        <v>76885</v>
      </c>
      <c r="M27" s="123">
        <v>78239</v>
      </c>
      <c r="N27" s="123">
        <v>109778</v>
      </c>
      <c r="O27" s="67"/>
      <c r="P27" s="67"/>
      <c r="Q27" s="67"/>
    </row>
    <row r="28" spans="1:17" x14ac:dyDescent="0.25">
      <c r="A28" s="12" t="s">
        <v>31</v>
      </c>
      <c r="B28" s="13" t="s">
        <v>12</v>
      </c>
      <c r="C28" s="13" t="s">
        <v>12</v>
      </c>
      <c r="D28" s="13" t="s">
        <v>12</v>
      </c>
      <c r="E28" s="23" t="s">
        <v>12</v>
      </c>
      <c r="F28" s="13" t="s">
        <v>12</v>
      </c>
      <c r="G28" s="13" t="s">
        <v>12</v>
      </c>
      <c r="H28" s="116" t="s">
        <v>349</v>
      </c>
      <c r="I28" s="110">
        <v>-420000</v>
      </c>
      <c r="J28" s="110">
        <v>-472000</v>
      </c>
      <c r="K28" s="110">
        <v>-559000</v>
      </c>
      <c r="L28" s="124">
        <v>-142997</v>
      </c>
      <c r="M28" s="124">
        <v>-120635</v>
      </c>
      <c r="N28" s="124">
        <v>-94695</v>
      </c>
      <c r="O28" s="67"/>
      <c r="P28" s="67"/>
      <c r="Q28" s="67"/>
    </row>
    <row r="29" spans="1:17" x14ac:dyDescent="0.25">
      <c r="A29" s="14" t="s">
        <v>32</v>
      </c>
      <c r="B29" s="15" t="s">
        <v>12</v>
      </c>
      <c r="C29" s="15" t="s">
        <v>12</v>
      </c>
      <c r="D29" s="15" t="s">
        <v>12</v>
      </c>
      <c r="E29" s="24" t="s">
        <v>12</v>
      </c>
      <c r="F29" s="15" t="s">
        <v>12</v>
      </c>
      <c r="G29" s="15" t="s">
        <v>12</v>
      </c>
      <c r="H29" s="117" t="s">
        <v>457</v>
      </c>
      <c r="I29" s="107" t="s">
        <v>12</v>
      </c>
      <c r="J29" s="107" t="s">
        <v>12</v>
      </c>
      <c r="K29" s="109">
        <v>81000</v>
      </c>
      <c r="L29" s="121" t="s">
        <v>12</v>
      </c>
      <c r="M29" s="121" t="s">
        <v>12</v>
      </c>
      <c r="N29" s="121" t="s">
        <v>12</v>
      </c>
      <c r="O29" s="67"/>
      <c r="P29" s="67"/>
      <c r="Q29" s="67"/>
    </row>
    <row r="30" spans="1:17" x14ac:dyDescent="0.25">
      <c r="A30" s="12" t="s">
        <v>33</v>
      </c>
      <c r="B30" s="13" t="s">
        <v>12</v>
      </c>
      <c r="C30" s="13" t="s">
        <v>12</v>
      </c>
      <c r="D30" s="13" t="s">
        <v>12</v>
      </c>
      <c r="E30" s="23" t="s">
        <v>12</v>
      </c>
      <c r="F30" s="13" t="s">
        <v>12</v>
      </c>
      <c r="G30" s="13" t="s">
        <v>12</v>
      </c>
      <c r="H30" s="116" t="s">
        <v>350</v>
      </c>
      <c r="I30" s="106" t="s">
        <v>12</v>
      </c>
      <c r="J30" s="106" t="s">
        <v>12</v>
      </c>
      <c r="K30" s="110">
        <v>229000</v>
      </c>
      <c r="L30" s="124">
        <v>1499646</v>
      </c>
      <c r="M30" s="124">
        <v>1370660</v>
      </c>
      <c r="N30" s="124">
        <v>1106883</v>
      </c>
      <c r="O30" s="67"/>
      <c r="P30" s="67"/>
      <c r="Q30" s="67"/>
    </row>
    <row r="31" spans="1:17" x14ac:dyDescent="0.25">
      <c r="A31" s="14" t="s">
        <v>34</v>
      </c>
      <c r="B31" s="15" t="s">
        <v>12</v>
      </c>
      <c r="C31" s="15" t="s">
        <v>12</v>
      </c>
      <c r="D31" s="15" t="s">
        <v>12</v>
      </c>
      <c r="E31" s="24" t="s">
        <v>12</v>
      </c>
      <c r="F31" s="15" t="s">
        <v>12</v>
      </c>
      <c r="G31" s="15" t="s">
        <v>12</v>
      </c>
      <c r="H31" s="117" t="s">
        <v>458</v>
      </c>
      <c r="I31" s="109">
        <v>40000</v>
      </c>
      <c r="J31" s="109">
        <v>39000</v>
      </c>
      <c r="K31" s="109">
        <v>32000</v>
      </c>
      <c r="L31" s="123">
        <v>1218</v>
      </c>
      <c r="M31" s="123">
        <v>1675</v>
      </c>
      <c r="N31" s="123">
        <v>178850</v>
      </c>
      <c r="O31" s="67"/>
      <c r="P31" s="67"/>
      <c r="Q31" s="67"/>
    </row>
    <row r="32" spans="1:17" x14ac:dyDescent="0.25">
      <c r="A32" s="12" t="s">
        <v>35</v>
      </c>
      <c r="B32" s="13" t="s">
        <v>12</v>
      </c>
      <c r="C32" s="13" t="s">
        <v>12</v>
      </c>
      <c r="D32" s="13" t="s">
        <v>12</v>
      </c>
      <c r="E32" s="23" t="s">
        <v>12</v>
      </c>
      <c r="F32" s="13" t="s">
        <v>12</v>
      </c>
      <c r="G32" s="13" t="s">
        <v>12</v>
      </c>
      <c r="H32" s="116" t="s">
        <v>351</v>
      </c>
      <c r="I32" s="110">
        <v>-338000</v>
      </c>
      <c r="J32" s="110">
        <v>-344000</v>
      </c>
      <c r="K32" s="110">
        <v>-336000</v>
      </c>
      <c r="L32" s="124">
        <v>-346118</v>
      </c>
      <c r="M32" s="124">
        <v>-374679</v>
      </c>
      <c r="N32" s="124">
        <v>-656423</v>
      </c>
      <c r="O32" s="67"/>
      <c r="P32" s="67"/>
      <c r="Q32" s="67"/>
    </row>
    <row r="33" spans="1:17" x14ac:dyDescent="0.25">
      <c r="A33" s="14" t="s">
        <v>36</v>
      </c>
      <c r="B33" s="18">
        <v>-10233000</v>
      </c>
      <c r="C33" s="18">
        <v>-10520000</v>
      </c>
      <c r="D33" s="18">
        <v>-10892000</v>
      </c>
      <c r="E33" s="18">
        <v>-6532022</v>
      </c>
      <c r="F33" s="18">
        <v>-5978000</v>
      </c>
      <c r="G33" s="18">
        <v>-5578059</v>
      </c>
      <c r="H33" s="117" t="s">
        <v>352</v>
      </c>
      <c r="I33" s="107" t="s">
        <v>12</v>
      </c>
      <c r="J33" s="107" t="s">
        <v>12</v>
      </c>
      <c r="K33" s="107" t="s">
        <v>12</v>
      </c>
      <c r="L33" s="121" t="s">
        <v>12</v>
      </c>
      <c r="M33" s="121" t="s">
        <v>12</v>
      </c>
      <c r="N33" s="121" t="s">
        <v>12</v>
      </c>
      <c r="O33" s="67"/>
      <c r="P33" s="67"/>
      <c r="Q33" s="67"/>
    </row>
    <row r="34" spans="1:17" x14ac:dyDescent="0.25">
      <c r="A34" s="12" t="s">
        <v>37</v>
      </c>
      <c r="B34" s="17">
        <v>2748000</v>
      </c>
      <c r="C34" s="19">
        <v>0</v>
      </c>
      <c r="D34" s="17">
        <v>2572000</v>
      </c>
      <c r="E34" s="27">
        <v>906264</v>
      </c>
      <c r="F34" s="17">
        <v>789290</v>
      </c>
      <c r="G34" s="17">
        <v>797256</v>
      </c>
      <c r="H34" s="116" t="s">
        <v>459</v>
      </c>
      <c r="I34" s="106" t="s">
        <v>12</v>
      </c>
      <c r="J34" s="106" t="s">
        <v>12</v>
      </c>
      <c r="K34" s="106" t="s">
        <v>12</v>
      </c>
      <c r="L34" s="120" t="s">
        <v>12</v>
      </c>
      <c r="M34" s="120" t="s">
        <v>12</v>
      </c>
      <c r="N34" s="120" t="s">
        <v>12</v>
      </c>
      <c r="O34" s="67"/>
      <c r="P34" s="67"/>
      <c r="Q34" s="67"/>
    </row>
    <row r="35" spans="1:17" x14ac:dyDescent="0.25">
      <c r="A35" s="14" t="s">
        <v>38</v>
      </c>
      <c r="B35" s="18">
        <v>-182000</v>
      </c>
      <c r="C35" s="18">
        <v>-219000</v>
      </c>
      <c r="D35" s="18">
        <v>-260000</v>
      </c>
      <c r="E35" s="26">
        <v>-66112</v>
      </c>
      <c r="F35" s="18">
        <v>-42396</v>
      </c>
      <c r="G35" s="18">
        <v>15083</v>
      </c>
      <c r="H35" s="117" t="s">
        <v>353</v>
      </c>
      <c r="I35" s="107" t="s">
        <v>12</v>
      </c>
      <c r="J35" s="111">
        <v>0</v>
      </c>
      <c r="K35" s="107" t="s">
        <v>12</v>
      </c>
      <c r="L35" s="121" t="s">
        <v>12</v>
      </c>
      <c r="M35" s="121" t="s">
        <v>12</v>
      </c>
      <c r="N35" s="121" t="s">
        <v>12</v>
      </c>
      <c r="O35" s="67"/>
      <c r="P35" s="67"/>
      <c r="Q35" s="67"/>
    </row>
    <row r="36" spans="1:17" x14ac:dyDescent="0.25">
      <c r="A36" s="12" t="s">
        <v>39</v>
      </c>
      <c r="B36" s="17">
        <v>238000</v>
      </c>
      <c r="C36" s="17">
        <v>253000</v>
      </c>
      <c r="D36" s="17">
        <v>299000</v>
      </c>
      <c r="E36" s="27">
        <v>76885</v>
      </c>
      <c r="F36" s="17">
        <v>78239</v>
      </c>
      <c r="G36" s="17">
        <v>109778</v>
      </c>
      <c r="H36" s="116" t="s">
        <v>460</v>
      </c>
      <c r="I36" s="106" t="s">
        <v>12</v>
      </c>
      <c r="J36" s="106" t="s">
        <v>12</v>
      </c>
      <c r="K36" s="106" t="s">
        <v>12</v>
      </c>
      <c r="L36" s="120" t="s">
        <v>12</v>
      </c>
      <c r="M36" s="120" t="s">
        <v>12</v>
      </c>
      <c r="N36" s="120" t="s">
        <v>12</v>
      </c>
      <c r="O36" s="67"/>
      <c r="P36" s="67"/>
      <c r="Q36" s="67"/>
    </row>
    <row r="37" spans="1:17" x14ac:dyDescent="0.25">
      <c r="A37" s="14" t="s">
        <v>40</v>
      </c>
      <c r="B37" s="18">
        <v>-420000</v>
      </c>
      <c r="C37" s="18">
        <v>-472000</v>
      </c>
      <c r="D37" s="18">
        <v>-559000</v>
      </c>
      <c r="E37" s="26">
        <v>-142997</v>
      </c>
      <c r="F37" s="18">
        <v>-120635</v>
      </c>
      <c r="G37" s="18">
        <v>-94695</v>
      </c>
      <c r="H37" s="117" t="s">
        <v>354</v>
      </c>
      <c r="I37" s="107" t="s">
        <v>12</v>
      </c>
      <c r="J37" s="107" t="s">
        <v>12</v>
      </c>
      <c r="K37" s="109">
        <v>-75000</v>
      </c>
      <c r="L37" s="123">
        <v>1154746</v>
      </c>
      <c r="M37" s="123">
        <v>997656</v>
      </c>
      <c r="N37" s="123">
        <v>629310</v>
      </c>
      <c r="O37" s="67"/>
      <c r="P37" s="67"/>
      <c r="Q37" s="67"/>
    </row>
    <row r="38" spans="1:17" x14ac:dyDescent="0.25">
      <c r="A38" s="12" t="s">
        <v>41</v>
      </c>
      <c r="B38" s="13" t="s">
        <v>12</v>
      </c>
      <c r="C38" s="13" t="s">
        <v>12</v>
      </c>
      <c r="D38" s="13" t="s">
        <v>12</v>
      </c>
      <c r="E38" s="23" t="s">
        <v>12</v>
      </c>
      <c r="F38" s="13" t="s">
        <v>12</v>
      </c>
      <c r="G38" s="13" t="s">
        <v>12</v>
      </c>
      <c r="H38" s="116" t="s">
        <v>355</v>
      </c>
      <c r="I38" s="110">
        <v>-27000</v>
      </c>
      <c r="J38" s="110">
        <v>-30000</v>
      </c>
      <c r="K38" s="110">
        <v>15000</v>
      </c>
      <c r="L38" s="124">
        <v>-287809</v>
      </c>
      <c r="M38" s="124">
        <v>-253052</v>
      </c>
      <c r="N38" s="124">
        <v>-241964</v>
      </c>
      <c r="O38" s="67"/>
      <c r="P38" s="67"/>
      <c r="Q38" s="67"/>
    </row>
    <row r="39" spans="1:17" x14ac:dyDescent="0.25">
      <c r="A39" s="14" t="s">
        <v>42</v>
      </c>
      <c r="B39" s="20">
        <v>0</v>
      </c>
      <c r="C39" s="20">
        <v>0</v>
      </c>
      <c r="D39" s="18">
        <v>229000</v>
      </c>
      <c r="E39" s="26">
        <v>1499646</v>
      </c>
      <c r="F39" s="18">
        <v>1370660</v>
      </c>
      <c r="G39" s="18">
        <v>1106883</v>
      </c>
      <c r="H39" s="117" t="s">
        <v>461</v>
      </c>
      <c r="I39" s="107" t="s">
        <v>12</v>
      </c>
      <c r="J39" s="107" t="s">
        <v>12</v>
      </c>
      <c r="K39" s="107" t="s">
        <v>12</v>
      </c>
      <c r="L39" s="121" t="s">
        <v>12</v>
      </c>
      <c r="M39" s="121" t="s">
        <v>12</v>
      </c>
      <c r="N39" s="121" t="s">
        <v>12</v>
      </c>
      <c r="O39" s="67"/>
      <c r="P39" s="67"/>
      <c r="Q39" s="67"/>
    </row>
    <row r="40" spans="1:17" x14ac:dyDescent="0.25">
      <c r="A40" s="12" t="s">
        <v>43</v>
      </c>
      <c r="B40" s="17">
        <v>2748000</v>
      </c>
      <c r="C40" s="19">
        <v>0</v>
      </c>
      <c r="D40" s="17">
        <v>2801000</v>
      </c>
      <c r="E40" s="27">
        <v>2405910</v>
      </c>
      <c r="F40" s="17">
        <v>2159950</v>
      </c>
      <c r="G40" s="17">
        <v>1904139</v>
      </c>
      <c r="H40" s="116" t="s">
        <v>356</v>
      </c>
      <c r="I40" s="106" t="s">
        <v>12</v>
      </c>
      <c r="J40" s="106" t="s">
        <v>12</v>
      </c>
      <c r="K40" s="106" t="s">
        <v>12</v>
      </c>
      <c r="L40" s="120" t="s">
        <v>12</v>
      </c>
      <c r="M40" s="120" t="s">
        <v>12</v>
      </c>
      <c r="N40" s="120" t="s">
        <v>12</v>
      </c>
      <c r="O40" s="67"/>
      <c r="P40" s="67"/>
      <c r="Q40" s="67"/>
    </row>
    <row r="41" spans="1:17" x14ac:dyDescent="0.25">
      <c r="A41" s="14" t="s">
        <v>44</v>
      </c>
      <c r="B41" s="18">
        <v>-298000</v>
      </c>
      <c r="C41" s="18">
        <v>-305000</v>
      </c>
      <c r="D41" s="18">
        <v>-304000</v>
      </c>
      <c r="E41" s="26">
        <v>-344900</v>
      </c>
      <c r="F41" s="18">
        <v>-373004</v>
      </c>
      <c r="G41" s="18">
        <v>-477573</v>
      </c>
      <c r="H41" s="117" t="s">
        <v>462</v>
      </c>
      <c r="I41" s="107" t="s">
        <v>12</v>
      </c>
      <c r="J41" s="107" t="s">
        <v>12</v>
      </c>
      <c r="K41" s="107" t="s">
        <v>12</v>
      </c>
      <c r="L41" s="121" t="s">
        <v>12</v>
      </c>
      <c r="M41" s="121" t="s">
        <v>12</v>
      </c>
      <c r="N41" s="121" t="s">
        <v>12</v>
      </c>
      <c r="O41" s="67"/>
      <c r="P41" s="67"/>
      <c r="Q41" s="67"/>
    </row>
    <row r="42" spans="1:17" x14ac:dyDescent="0.25">
      <c r="A42" s="12" t="s">
        <v>45</v>
      </c>
      <c r="B42" s="17">
        <v>40000</v>
      </c>
      <c r="C42" s="17">
        <v>39000</v>
      </c>
      <c r="D42" s="17">
        <v>32000</v>
      </c>
      <c r="E42" s="27">
        <v>1218</v>
      </c>
      <c r="F42" s="17">
        <v>1675</v>
      </c>
      <c r="G42" s="17">
        <v>178850</v>
      </c>
      <c r="H42" s="116" t="s">
        <v>463</v>
      </c>
      <c r="I42" s="106" t="s">
        <v>12</v>
      </c>
      <c r="J42" s="106" t="s">
        <v>12</v>
      </c>
      <c r="K42" s="106" t="s">
        <v>12</v>
      </c>
      <c r="L42" s="120" t="s">
        <v>12</v>
      </c>
      <c r="M42" s="120" t="s">
        <v>12</v>
      </c>
      <c r="N42" s="120" t="s">
        <v>12</v>
      </c>
      <c r="O42" s="67"/>
      <c r="P42" s="67"/>
      <c r="Q42" s="67"/>
    </row>
    <row r="43" spans="1:17" x14ac:dyDescent="0.25">
      <c r="A43" s="14" t="s">
        <v>46</v>
      </c>
      <c r="B43" s="15" t="s">
        <v>12</v>
      </c>
      <c r="C43" s="15" t="s">
        <v>12</v>
      </c>
      <c r="D43" s="15" t="s">
        <v>12</v>
      </c>
      <c r="E43" s="24" t="s">
        <v>12</v>
      </c>
      <c r="F43" s="15" t="s">
        <v>12</v>
      </c>
      <c r="G43" s="15" t="s">
        <v>12</v>
      </c>
      <c r="H43" s="117" t="s">
        <v>357</v>
      </c>
      <c r="I43" s="109">
        <v>91000</v>
      </c>
      <c r="J43" s="109">
        <v>10000</v>
      </c>
      <c r="K43" s="109">
        <v>-60000</v>
      </c>
      <c r="L43" s="123">
        <v>866937</v>
      </c>
      <c r="M43" s="123">
        <v>744604</v>
      </c>
      <c r="N43" s="123">
        <v>387346</v>
      </c>
      <c r="O43" s="67"/>
      <c r="P43" s="67"/>
      <c r="Q43" s="67"/>
    </row>
    <row r="44" spans="1:17" x14ac:dyDescent="0.25">
      <c r="A44" s="12" t="s">
        <v>47</v>
      </c>
      <c r="B44" s="13" t="s">
        <v>12</v>
      </c>
      <c r="C44" s="13" t="s">
        <v>12</v>
      </c>
      <c r="D44" s="13" t="s">
        <v>12</v>
      </c>
      <c r="E44" s="23" t="s">
        <v>12</v>
      </c>
      <c r="F44" s="13" t="s">
        <v>12</v>
      </c>
      <c r="G44" s="13" t="s">
        <v>12</v>
      </c>
      <c r="H44" s="116" t="s">
        <v>358</v>
      </c>
      <c r="I44" s="110">
        <v>91000</v>
      </c>
      <c r="J44" s="110">
        <v>10000</v>
      </c>
      <c r="K44" s="110">
        <v>-60000</v>
      </c>
      <c r="L44" s="124">
        <v>866937</v>
      </c>
      <c r="M44" s="124">
        <v>744604</v>
      </c>
      <c r="N44" s="124">
        <v>387346</v>
      </c>
      <c r="O44" s="67"/>
      <c r="P44" s="67"/>
      <c r="Q44" s="67"/>
    </row>
    <row r="45" spans="1:17" x14ac:dyDescent="0.25">
      <c r="A45" s="14" t="s">
        <v>48</v>
      </c>
      <c r="B45" s="15" t="s">
        <v>12</v>
      </c>
      <c r="C45" s="15" t="s">
        <v>12</v>
      </c>
      <c r="D45" s="15" t="s">
        <v>12</v>
      </c>
      <c r="E45" s="24" t="s">
        <v>12</v>
      </c>
      <c r="F45" s="15" t="s">
        <v>12</v>
      </c>
      <c r="G45" s="15" t="s">
        <v>12</v>
      </c>
      <c r="H45" s="117" t="s">
        <v>359</v>
      </c>
      <c r="I45" s="107" t="s">
        <v>12</v>
      </c>
      <c r="J45" s="107" t="s">
        <v>12</v>
      </c>
      <c r="K45" s="107" t="s">
        <v>12</v>
      </c>
      <c r="L45" s="121" t="s">
        <v>12</v>
      </c>
      <c r="M45" s="121" t="s">
        <v>12</v>
      </c>
      <c r="N45" s="121" t="s">
        <v>12</v>
      </c>
      <c r="O45" s="67"/>
      <c r="P45" s="67"/>
      <c r="Q45" s="67"/>
    </row>
    <row r="46" spans="1:17" x14ac:dyDescent="0.25">
      <c r="A46" s="12" t="s">
        <v>49</v>
      </c>
      <c r="B46" s="13" t="s">
        <v>12</v>
      </c>
      <c r="C46" s="13" t="s">
        <v>12</v>
      </c>
      <c r="D46" s="13" t="s">
        <v>12</v>
      </c>
      <c r="E46" s="23" t="s">
        <v>12</v>
      </c>
      <c r="F46" s="13" t="s">
        <v>12</v>
      </c>
      <c r="G46" s="13" t="s">
        <v>12</v>
      </c>
      <c r="H46" s="116" t="s">
        <v>464</v>
      </c>
      <c r="I46" s="106" t="s">
        <v>12</v>
      </c>
      <c r="J46" s="106" t="s">
        <v>12</v>
      </c>
      <c r="K46" s="106" t="s">
        <v>12</v>
      </c>
      <c r="L46" s="120" t="s">
        <v>12</v>
      </c>
      <c r="M46" s="120" t="s">
        <v>12</v>
      </c>
      <c r="N46" s="120" t="s">
        <v>12</v>
      </c>
      <c r="O46" s="67"/>
      <c r="P46" s="67"/>
      <c r="Q46" s="67"/>
    </row>
    <row r="47" spans="1:17" x14ac:dyDescent="0.25">
      <c r="A47" s="14" t="s">
        <v>50</v>
      </c>
      <c r="B47" s="18">
        <v>-338000</v>
      </c>
      <c r="C47" s="18">
        <v>-344000</v>
      </c>
      <c r="D47" s="18">
        <v>-336000</v>
      </c>
      <c r="E47" s="26">
        <v>-346118</v>
      </c>
      <c r="F47" s="18">
        <v>-374679</v>
      </c>
      <c r="G47" s="18">
        <v>-656423</v>
      </c>
      <c r="H47" s="117" t="s">
        <v>465</v>
      </c>
      <c r="I47" s="107" t="s">
        <v>12</v>
      </c>
      <c r="J47" s="107" t="s">
        <v>12</v>
      </c>
      <c r="K47" s="107" t="s">
        <v>12</v>
      </c>
      <c r="L47" s="121" t="s">
        <v>12</v>
      </c>
      <c r="M47" s="121" t="s">
        <v>12</v>
      </c>
      <c r="N47" s="121" t="s">
        <v>12</v>
      </c>
      <c r="O47" s="67"/>
      <c r="P47" s="67"/>
      <c r="Q47" s="67"/>
    </row>
    <row r="48" spans="1:17" x14ac:dyDescent="0.25">
      <c r="A48" s="12" t="s">
        <v>51</v>
      </c>
      <c r="B48" s="13" t="s">
        <v>12</v>
      </c>
      <c r="C48" s="13" t="s">
        <v>12</v>
      </c>
      <c r="D48" s="13" t="s">
        <v>12</v>
      </c>
      <c r="E48" s="23" t="s">
        <v>12</v>
      </c>
      <c r="F48" s="13" t="s">
        <v>12</v>
      </c>
      <c r="G48" s="13" t="s">
        <v>12</v>
      </c>
      <c r="H48" s="116" t="s">
        <v>466</v>
      </c>
      <c r="I48" s="106" t="s">
        <v>12</v>
      </c>
      <c r="J48" s="106" t="s">
        <v>12</v>
      </c>
      <c r="K48" s="106" t="s">
        <v>12</v>
      </c>
      <c r="L48" s="120" t="s">
        <v>12</v>
      </c>
      <c r="M48" s="120" t="s">
        <v>12</v>
      </c>
      <c r="N48" s="120" t="s">
        <v>12</v>
      </c>
      <c r="O48" s="67"/>
      <c r="P48" s="67"/>
      <c r="Q48" s="67"/>
    </row>
    <row r="49" spans="1:17" x14ac:dyDescent="0.25">
      <c r="A49" s="14" t="s">
        <v>52</v>
      </c>
      <c r="B49" s="15" t="s">
        <v>12</v>
      </c>
      <c r="C49" s="15" t="s">
        <v>12</v>
      </c>
      <c r="D49" s="15" t="s">
        <v>12</v>
      </c>
      <c r="E49" s="24" t="s">
        <v>12</v>
      </c>
      <c r="F49" s="15" t="s">
        <v>12</v>
      </c>
      <c r="G49" s="15" t="s">
        <v>12</v>
      </c>
      <c r="H49" s="117" t="s">
        <v>467</v>
      </c>
      <c r="I49" s="107" t="s">
        <v>12</v>
      </c>
      <c r="J49" s="107" t="s">
        <v>12</v>
      </c>
      <c r="K49" s="107" t="s">
        <v>12</v>
      </c>
      <c r="L49" s="121" t="s">
        <v>12</v>
      </c>
      <c r="M49" s="121" t="s">
        <v>12</v>
      </c>
      <c r="N49" s="121" t="s">
        <v>12</v>
      </c>
      <c r="O49" s="67"/>
      <c r="P49" s="67"/>
      <c r="Q49" s="67"/>
    </row>
    <row r="50" spans="1:17" x14ac:dyDescent="0.25">
      <c r="A50" s="12" t="s">
        <v>53</v>
      </c>
      <c r="B50" s="13" t="s">
        <v>12</v>
      </c>
      <c r="C50" s="13" t="s">
        <v>12</v>
      </c>
      <c r="D50" s="13" t="s">
        <v>12</v>
      </c>
      <c r="E50" s="23" t="s">
        <v>12</v>
      </c>
      <c r="F50" s="13" t="s">
        <v>12</v>
      </c>
      <c r="G50" s="13" t="s">
        <v>12</v>
      </c>
      <c r="H50" s="116" t="s">
        <v>468</v>
      </c>
      <c r="I50" s="106" t="s">
        <v>12</v>
      </c>
      <c r="J50" s="106" t="s">
        <v>12</v>
      </c>
      <c r="K50" s="106" t="s">
        <v>12</v>
      </c>
      <c r="L50" s="120" t="s">
        <v>12</v>
      </c>
      <c r="M50" s="120" t="s">
        <v>12</v>
      </c>
      <c r="N50" s="120" t="s">
        <v>12</v>
      </c>
      <c r="O50" s="67"/>
      <c r="P50" s="67"/>
      <c r="Q50" s="67"/>
    </row>
    <row r="51" spans="1:17" x14ac:dyDescent="0.25">
      <c r="A51" s="14" t="s">
        <v>54</v>
      </c>
      <c r="B51" s="20">
        <v>0</v>
      </c>
      <c r="C51" s="20">
        <v>0</v>
      </c>
      <c r="D51" s="20">
        <v>0</v>
      </c>
      <c r="E51" s="28">
        <v>0</v>
      </c>
      <c r="F51" s="20">
        <v>0</v>
      </c>
      <c r="G51" s="20">
        <v>0</v>
      </c>
      <c r="H51" s="117" t="s">
        <v>469</v>
      </c>
      <c r="I51" s="107" t="s">
        <v>12</v>
      </c>
      <c r="J51" s="107" t="s">
        <v>12</v>
      </c>
      <c r="K51" s="107" t="s">
        <v>12</v>
      </c>
      <c r="L51" s="121" t="s">
        <v>12</v>
      </c>
      <c r="M51" s="121" t="s">
        <v>12</v>
      </c>
      <c r="N51" s="121" t="s">
        <v>12</v>
      </c>
      <c r="O51" s="67"/>
      <c r="P51" s="67"/>
      <c r="Q51" s="67"/>
    </row>
    <row r="52" spans="1:17" x14ac:dyDescent="0.25">
      <c r="A52" s="12" t="s">
        <v>55</v>
      </c>
      <c r="B52" s="13" t="s">
        <v>12</v>
      </c>
      <c r="C52" s="13" t="s">
        <v>12</v>
      </c>
      <c r="D52" s="13" t="s">
        <v>12</v>
      </c>
      <c r="E52" s="23" t="s">
        <v>12</v>
      </c>
      <c r="F52" s="13" t="s">
        <v>12</v>
      </c>
      <c r="G52" s="13" t="s">
        <v>12</v>
      </c>
      <c r="H52" s="116" t="s">
        <v>470</v>
      </c>
      <c r="I52" s="106" t="s">
        <v>12</v>
      </c>
      <c r="J52" s="106" t="s">
        <v>12</v>
      </c>
      <c r="K52" s="106" t="s">
        <v>12</v>
      </c>
      <c r="L52" s="120" t="s">
        <v>12</v>
      </c>
      <c r="M52" s="120" t="s">
        <v>12</v>
      </c>
      <c r="N52" s="120" t="s">
        <v>12</v>
      </c>
      <c r="O52" s="67"/>
      <c r="P52" s="67"/>
      <c r="Q52" s="67"/>
    </row>
    <row r="53" spans="1:17" x14ac:dyDescent="0.25">
      <c r="A53" s="14" t="s">
        <v>56</v>
      </c>
      <c r="B53" s="15" t="s">
        <v>12</v>
      </c>
      <c r="C53" s="15" t="s">
        <v>12</v>
      </c>
      <c r="D53" s="15" t="s">
        <v>12</v>
      </c>
      <c r="E53" s="24" t="s">
        <v>12</v>
      </c>
      <c r="F53" s="15" t="s">
        <v>12</v>
      </c>
      <c r="G53" s="15" t="s">
        <v>12</v>
      </c>
      <c r="H53" s="117" t="s">
        <v>471</v>
      </c>
      <c r="I53" s="107" t="s">
        <v>12</v>
      </c>
      <c r="J53" s="107" t="s">
        <v>12</v>
      </c>
      <c r="K53" s="107" t="s">
        <v>12</v>
      </c>
      <c r="L53" s="121" t="s">
        <v>12</v>
      </c>
      <c r="M53" s="121" t="s">
        <v>12</v>
      </c>
      <c r="N53" s="121" t="s">
        <v>12</v>
      </c>
      <c r="O53" s="67"/>
      <c r="P53" s="67"/>
      <c r="Q53" s="67"/>
    </row>
    <row r="54" spans="1:17" x14ac:dyDescent="0.25">
      <c r="A54" s="12" t="s">
        <v>57</v>
      </c>
      <c r="B54" s="13" t="s">
        <v>12</v>
      </c>
      <c r="C54" s="13" t="s">
        <v>12</v>
      </c>
      <c r="D54" s="13" t="s">
        <v>12</v>
      </c>
      <c r="E54" s="23" t="s">
        <v>12</v>
      </c>
      <c r="F54" s="13" t="s">
        <v>12</v>
      </c>
      <c r="G54" s="13" t="s">
        <v>12</v>
      </c>
      <c r="H54" s="116" t="s">
        <v>472</v>
      </c>
      <c r="I54" s="106" t="s">
        <v>12</v>
      </c>
      <c r="J54" s="106" t="s">
        <v>12</v>
      </c>
      <c r="K54" s="106" t="s">
        <v>12</v>
      </c>
      <c r="L54" s="120" t="s">
        <v>12</v>
      </c>
      <c r="M54" s="120" t="s">
        <v>12</v>
      </c>
      <c r="N54" s="120" t="s">
        <v>12</v>
      </c>
      <c r="O54" s="67"/>
      <c r="P54" s="67"/>
      <c r="Q54" s="67"/>
    </row>
    <row r="55" spans="1:17" x14ac:dyDescent="0.25">
      <c r="A55" s="14" t="s">
        <v>58</v>
      </c>
      <c r="B55" s="20">
        <v>0</v>
      </c>
      <c r="C55" s="20">
        <v>0</v>
      </c>
      <c r="D55" s="20">
        <v>0</v>
      </c>
      <c r="E55" s="28">
        <v>0</v>
      </c>
      <c r="F55" s="20">
        <v>0</v>
      </c>
      <c r="G55" s="20">
        <v>0</v>
      </c>
      <c r="H55" s="117" t="s">
        <v>360</v>
      </c>
      <c r="I55" s="109">
        <v>2748000</v>
      </c>
      <c r="J55" s="107" t="s">
        <v>12</v>
      </c>
      <c r="K55" s="109">
        <v>2572000</v>
      </c>
      <c r="L55" s="123">
        <v>906264</v>
      </c>
      <c r="M55" s="123">
        <v>789290</v>
      </c>
      <c r="N55" s="123">
        <v>797256</v>
      </c>
      <c r="O55" s="67"/>
      <c r="P55" s="67"/>
      <c r="Q55" s="67"/>
    </row>
    <row r="56" spans="1:17" x14ac:dyDescent="0.25">
      <c r="A56" s="12" t="s">
        <v>21</v>
      </c>
      <c r="B56" s="17">
        <v>-298000</v>
      </c>
      <c r="C56" s="17">
        <v>-305000</v>
      </c>
      <c r="D56" s="17">
        <v>-75000</v>
      </c>
      <c r="E56" s="27">
        <v>1154746</v>
      </c>
      <c r="F56" s="17">
        <v>997656</v>
      </c>
      <c r="G56" s="17">
        <v>629310</v>
      </c>
      <c r="H56" s="116" t="s">
        <v>361</v>
      </c>
      <c r="I56" s="106" t="s">
        <v>12</v>
      </c>
      <c r="J56" s="106" t="s">
        <v>12</v>
      </c>
      <c r="K56" s="106" t="s">
        <v>12</v>
      </c>
      <c r="L56" s="120" t="s">
        <v>12</v>
      </c>
      <c r="M56" s="120" t="s">
        <v>12</v>
      </c>
      <c r="N56" s="124">
        <v>-486810</v>
      </c>
      <c r="O56" s="67"/>
      <c r="P56" s="67"/>
      <c r="Q56" s="67"/>
    </row>
    <row r="57" spans="1:17" x14ac:dyDescent="0.25">
      <c r="A57" s="14" t="s">
        <v>59</v>
      </c>
      <c r="B57" s="18">
        <v>-27000</v>
      </c>
      <c r="C57" s="18">
        <v>-30000</v>
      </c>
      <c r="D57" s="18">
        <v>15000</v>
      </c>
      <c r="E57" s="26">
        <v>-287809</v>
      </c>
      <c r="F57" s="18">
        <v>-253052</v>
      </c>
      <c r="G57" s="18">
        <v>-241964</v>
      </c>
      <c r="H57" s="117" t="s">
        <v>362</v>
      </c>
      <c r="I57" s="107" t="s">
        <v>12</v>
      </c>
      <c r="J57" s="107" t="s">
        <v>12</v>
      </c>
      <c r="K57" s="107" t="s">
        <v>12</v>
      </c>
      <c r="L57" s="121" t="s">
        <v>12</v>
      </c>
      <c r="M57" s="121" t="s">
        <v>12</v>
      </c>
      <c r="N57" s="121" t="s">
        <v>12</v>
      </c>
      <c r="O57" s="67"/>
      <c r="P57" s="67"/>
      <c r="Q57" s="67"/>
    </row>
    <row r="58" spans="1:17" x14ac:dyDescent="0.25">
      <c r="A58" s="12" t="s">
        <v>60</v>
      </c>
      <c r="B58" s="19">
        <v>0</v>
      </c>
      <c r="C58" s="19">
        <v>0</v>
      </c>
      <c r="D58" s="19">
        <v>0</v>
      </c>
      <c r="E58" s="29">
        <v>0</v>
      </c>
      <c r="F58" s="19">
        <v>0</v>
      </c>
      <c r="G58" s="19">
        <v>0</v>
      </c>
      <c r="H58" s="116" t="s">
        <v>363</v>
      </c>
      <c r="I58" s="106" t="s">
        <v>12</v>
      </c>
      <c r="J58" s="106" t="s">
        <v>12</v>
      </c>
      <c r="K58" s="110">
        <v>-2572000</v>
      </c>
      <c r="L58" s="120" t="s">
        <v>12</v>
      </c>
      <c r="M58" s="120" t="s">
        <v>12</v>
      </c>
      <c r="N58" s="124">
        <v>-797256</v>
      </c>
      <c r="O58" s="67"/>
      <c r="P58" s="67"/>
      <c r="Q58" s="67"/>
    </row>
    <row r="59" spans="1:17" x14ac:dyDescent="0.25">
      <c r="A59" s="14" t="s">
        <v>61</v>
      </c>
      <c r="B59" s="20">
        <v>0</v>
      </c>
      <c r="C59" s="20">
        <v>0</v>
      </c>
      <c r="D59" s="20">
        <v>0</v>
      </c>
      <c r="E59" s="28">
        <v>0</v>
      </c>
      <c r="F59" s="20">
        <v>0</v>
      </c>
      <c r="G59" s="20">
        <v>0</v>
      </c>
      <c r="H59" s="117" t="s">
        <v>473</v>
      </c>
      <c r="I59" s="107" t="s">
        <v>12</v>
      </c>
      <c r="J59" s="107" t="s">
        <v>12</v>
      </c>
      <c r="K59" s="107" t="s">
        <v>12</v>
      </c>
      <c r="L59" s="121" t="s">
        <v>12</v>
      </c>
      <c r="M59" s="121" t="s">
        <v>12</v>
      </c>
      <c r="N59" s="121" t="s">
        <v>12</v>
      </c>
      <c r="O59" s="67"/>
      <c r="P59" s="67"/>
      <c r="Q59" s="67"/>
    </row>
    <row r="60" spans="1:17" x14ac:dyDescent="0.25">
      <c r="A60" s="12" t="s">
        <v>62</v>
      </c>
      <c r="B60" s="19">
        <v>0</v>
      </c>
      <c r="C60" s="19">
        <v>0</v>
      </c>
      <c r="D60" s="19">
        <v>0</v>
      </c>
      <c r="E60" s="29">
        <v>0</v>
      </c>
      <c r="F60" s="19">
        <v>0</v>
      </c>
      <c r="G60" s="19">
        <v>0</v>
      </c>
      <c r="H60" s="116" t="s">
        <v>474</v>
      </c>
      <c r="I60" s="106" t="s">
        <v>12</v>
      </c>
      <c r="J60" s="106" t="s">
        <v>12</v>
      </c>
      <c r="K60" s="110">
        <v>-6416000</v>
      </c>
      <c r="L60" s="120" t="s">
        <v>12</v>
      </c>
      <c r="M60" s="120" t="s">
        <v>12</v>
      </c>
      <c r="N60" s="120" t="s">
        <v>12</v>
      </c>
      <c r="O60" s="67"/>
      <c r="P60" s="67"/>
      <c r="Q60" s="67"/>
    </row>
    <row r="61" spans="1:17" x14ac:dyDescent="0.25">
      <c r="A61" s="14" t="s">
        <v>63</v>
      </c>
      <c r="B61" s="15" t="s">
        <v>12</v>
      </c>
      <c r="C61" s="15" t="s">
        <v>12</v>
      </c>
      <c r="D61" s="15" t="s">
        <v>12</v>
      </c>
      <c r="E61" s="24" t="s">
        <v>12</v>
      </c>
      <c r="F61" s="15" t="s">
        <v>12</v>
      </c>
      <c r="G61" s="15" t="s">
        <v>12</v>
      </c>
      <c r="H61" s="117" t="s">
        <v>475</v>
      </c>
      <c r="I61" s="107" t="s">
        <v>12</v>
      </c>
      <c r="J61" s="107" t="s">
        <v>12</v>
      </c>
      <c r="K61" s="107" t="s">
        <v>12</v>
      </c>
      <c r="L61" s="123">
        <v>-1769917</v>
      </c>
      <c r="M61" s="123">
        <v>-1922225</v>
      </c>
      <c r="N61" s="123">
        <v>-1729506</v>
      </c>
      <c r="O61" s="67"/>
      <c r="P61" s="67"/>
      <c r="Q61" s="67"/>
    </row>
    <row r="62" spans="1:17" x14ac:dyDescent="0.25">
      <c r="A62" s="12" t="s">
        <v>64</v>
      </c>
      <c r="B62" s="17">
        <v>91000</v>
      </c>
      <c r="C62" s="17">
        <v>10000</v>
      </c>
      <c r="D62" s="17">
        <v>-60000</v>
      </c>
      <c r="E62" s="27">
        <v>866937</v>
      </c>
      <c r="F62" s="17">
        <v>744604</v>
      </c>
      <c r="G62" s="17">
        <v>387346</v>
      </c>
      <c r="H62" s="116" t="s">
        <v>364</v>
      </c>
      <c r="I62" s="110">
        <v>-1488000</v>
      </c>
      <c r="J62" s="110">
        <v>-1582000</v>
      </c>
      <c r="K62" s="110">
        <v>-1898000</v>
      </c>
      <c r="L62" s="120" t="s">
        <v>12</v>
      </c>
      <c r="M62" s="120" t="s">
        <v>12</v>
      </c>
      <c r="N62" s="120" t="s">
        <v>12</v>
      </c>
      <c r="O62" s="67"/>
      <c r="P62" s="67"/>
      <c r="Q62" s="67"/>
    </row>
    <row r="63" spans="1:17" x14ac:dyDescent="0.25">
      <c r="A63" s="14" t="s">
        <v>65</v>
      </c>
      <c r="B63" s="15" t="s">
        <v>12</v>
      </c>
      <c r="C63" s="15" t="s">
        <v>12</v>
      </c>
      <c r="D63" s="15" t="s">
        <v>12</v>
      </c>
      <c r="E63" s="24" t="s">
        <v>12</v>
      </c>
      <c r="F63" s="15" t="s">
        <v>12</v>
      </c>
      <c r="G63" s="15" t="s">
        <v>12</v>
      </c>
      <c r="H63" s="117" t="s">
        <v>476</v>
      </c>
      <c r="I63" s="107" t="s">
        <v>12</v>
      </c>
      <c r="J63" s="107" t="s">
        <v>12</v>
      </c>
      <c r="K63" s="107" t="s">
        <v>12</v>
      </c>
      <c r="L63" s="121" t="s">
        <v>12</v>
      </c>
      <c r="M63" s="121" t="s">
        <v>12</v>
      </c>
      <c r="N63" s="121" t="s">
        <v>12</v>
      </c>
      <c r="O63" s="67"/>
      <c r="P63" s="67"/>
      <c r="Q63" s="67"/>
    </row>
    <row r="64" spans="1:17" x14ac:dyDescent="0.25">
      <c r="A64" s="12" t="s">
        <v>66</v>
      </c>
      <c r="B64" s="13" t="s">
        <v>12</v>
      </c>
      <c r="C64" s="13" t="s">
        <v>12</v>
      </c>
      <c r="D64" s="13" t="s">
        <v>12</v>
      </c>
      <c r="E64" s="23" t="s">
        <v>12</v>
      </c>
      <c r="F64" s="13" t="s">
        <v>12</v>
      </c>
      <c r="G64" s="13" t="s">
        <v>12</v>
      </c>
      <c r="H64" s="116" t="s">
        <v>365</v>
      </c>
      <c r="I64" s="110">
        <v>-6514000</v>
      </c>
      <c r="J64" s="110">
        <v>-6449000</v>
      </c>
      <c r="K64" s="110">
        <v>-6000</v>
      </c>
      <c r="L64" s="124">
        <v>-1361523</v>
      </c>
      <c r="M64" s="124">
        <v>-1272450</v>
      </c>
      <c r="N64" s="124">
        <v>-1641479</v>
      </c>
      <c r="O64" s="67"/>
      <c r="P64" s="67"/>
      <c r="Q64" s="67"/>
    </row>
    <row r="65" spans="1:17" x14ac:dyDescent="0.25">
      <c r="A65" s="14" t="s">
        <v>67</v>
      </c>
      <c r="B65" s="15" t="s">
        <v>12</v>
      </c>
      <c r="C65" s="15" t="s">
        <v>12</v>
      </c>
      <c r="D65" s="15" t="s">
        <v>12</v>
      </c>
      <c r="E65" s="24" t="s">
        <v>12</v>
      </c>
      <c r="F65" s="15" t="s">
        <v>12</v>
      </c>
      <c r="G65" s="15" t="s">
        <v>12</v>
      </c>
      <c r="H65" s="117" t="s">
        <v>477</v>
      </c>
      <c r="I65" s="107" t="s">
        <v>12</v>
      </c>
      <c r="J65" s="107" t="s">
        <v>12</v>
      </c>
      <c r="K65" s="107" t="s">
        <v>12</v>
      </c>
      <c r="L65" s="123">
        <v>-1437291</v>
      </c>
      <c r="M65" s="123">
        <v>-1442127</v>
      </c>
      <c r="N65" s="123">
        <v>-1409818</v>
      </c>
      <c r="O65" s="67"/>
      <c r="P65" s="67"/>
      <c r="Q65" s="67"/>
    </row>
    <row r="66" spans="1:17" x14ac:dyDescent="0.25">
      <c r="A66" s="12" t="s">
        <v>68</v>
      </c>
      <c r="B66" s="13" t="s">
        <v>12</v>
      </c>
      <c r="C66" s="13" t="s">
        <v>12</v>
      </c>
      <c r="D66" s="13" t="s">
        <v>12</v>
      </c>
      <c r="E66" s="23" t="s">
        <v>12</v>
      </c>
      <c r="F66" s="13" t="s">
        <v>12</v>
      </c>
      <c r="G66" s="13" t="s">
        <v>12</v>
      </c>
      <c r="I66" s="67"/>
      <c r="J66" s="67"/>
      <c r="K66" s="67"/>
      <c r="L66" s="67"/>
      <c r="M66" s="67"/>
      <c r="N66" s="67"/>
      <c r="O66" s="67"/>
      <c r="P66" s="67"/>
      <c r="Q66" s="67"/>
    </row>
    <row r="67" spans="1:17" x14ac:dyDescent="0.25">
      <c r="A67" s="14" t="s">
        <v>69</v>
      </c>
      <c r="B67" s="15" t="s">
        <v>12</v>
      </c>
      <c r="C67" s="15" t="s">
        <v>12</v>
      </c>
      <c r="D67" s="15" t="s">
        <v>12</v>
      </c>
      <c r="E67" s="24" t="s">
        <v>12</v>
      </c>
      <c r="F67" s="15" t="s">
        <v>12</v>
      </c>
      <c r="G67" s="15" t="s">
        <v>12</v>
      </c>
      <c r="I67" s="67"/>
      <c r="J67" s="67"/>
      <c r="K67" s="67"/>
      <c r="L67" s="67"/>
      <c r="M67" s="67"/>
      <c r="N67" s="67"/>
      <c r="O67" s="67"/>
      <c r="P67" s="67"/>
      <c r="Q67" s="67"/>
    </row>
    <row r="68" spans="1:17" x14ac:dyDescent="0.25">
      <c r="A68" s="12" t="s">
        <v>70</v>
      </c>
      <c r="B68" s="13" t="s">
        <v>12</v>
      </c>
      <c r="C68" s="13" t="s">
        <v>12</v>
      </c>
      <c r="D68" s="13" t="s">
        <v>12</v>
      </c>
      <c r="E68" s="23" t="s">
        <v>12</v>
      </c>
      <c r="F68" s="13" t="s">
        <v>12</v>
      </c>
      <c r="G68" s="13" t="s">
        <v>12</v>
      </c>
      <c r="H68" s="118" t="s">
        <v>83</v>
      </c>
      <c r="I68" s="108">
        <v>2019</v>
      </c>
      <c r="J68" s="108">
        <v>2018</v>
      </c>
      <c r="K68" s="108">
        <v>2017</v>
      </c>
      <c r="L68" s="122">
        <v>2019</v>
      </c>
      <c r="M68" s="122">
        <v>2018</v>
      </c>
      <c r="N68" s="122">
        <v>2017</v>
      </c>
      <c r="O68" s="67"/>
      <c r="P68" s="67"/>
      <c r="Q68" s="67"/>
    </row>
    <row r="69" spans="1:17" x14ac:dyDescent="0.25">
      <c r="A69" s="14" t="s">
        <v>71</v>
      </c>
      <c r="B69" s="15" t="s">
        <v>12</v>
      </c>
      <c r="C69" s="15" t="s">
        <v>12</v>
      </c>
      <c r="D69" s="15" t="s">
        <v>12</v>
      </c>
      <c r="E69" s="24" t="s">
        <v>12</v>
      </c>
      <c r="F69" s="15" t="s">
        <v>12</v>
      </c>
      <c r="G69" s="15" t="s">
        <v>12</v>
      </c>
      <c r="H69" s="117" t="s">
        <v>341</v>
      </c>
      <c r="I69" s="109">
        <v>24340000</v>
      </c>
      <c r="J69" s="109">
        <v>23295000</v>
      </c>
      <c r="K69" s="109">
        <v>22933000</v>
      </c>
      <c r="L69" s="123">
        <v>8885641</v>
      </c>
      <c r="M69" s="123">
        <v>8520538</v>
      </c>
      <c r="N69" s="123">
        <v>8830969</v>
      </c>
      <c r="O69" s="67"/>
      <c r="P69" s="67"/>
      <c r="Q69" s="67"/>
    </row>
    <row r="70" spans="1:17" x14ac:dyDescent="0.25">
      <c r="A70" s="12" t="s">
        <v>72</v>
      </c>
      <c r="B70" s="13" t="s">
        <v>12</v>
      </c>
      <c r="C70" s="13" t="s">
        <v>12</v>
      </c>
      <c r="D70" s="13" t="s">
        <v>12</v>
      </c>
      <c r="E70" s="23" t="s">
        <v>12</v>
      </c>
      <c r="F70" s="13" t="s">
        <v>12</v>
      </c>
      <c r="G70" s="13" t="s">
        <v>12</v>
      </c>
      <c r="H70" s="116" t="s">
        <v>366</v>
      </c>
      <c r="I70" s="110">
        <v>20847000</v>
      </c>
      <c r="J70" s="110">
        <v>19326000</v>
      </c>
      <c r="K70" s="110">
        <v>19660000</v>
      </c>
      <c r="L70" s="124">
        <v>6199209</v>
      </c>
      <c r="M70" s="124">
        <v>5718002</v>
      </c>
      <c r="N70" s="124">
        <v>5504527</v>
      </c>
      <c r="O70" s="67"/>
      <c r="P70" s="67"/>
      <c r="Q70" s="67"/>
    </row>
    <row r="71" spans="1:17" x14ac:dyDescent="0.25">
      <c r="A71" s="14" t="s">
        <v>73</v>
      </c>
      <c r="B71" s="15" t="s">
        <v>12</v>
      </c>
      <c r="C71" s="15" t="s">
        <v>12</v>
      </c>
      <c r="D71" s="15" t="s">
        <v>12</v>
      </c>
      <c r="E71" s="24" t="s">
        <v>12</v>
      </c>
      <c r="F71" s="15" t="s">
        <v>12</v>
      </c>
      <c r="G71" s="15" t="s">
        <v>12</v>
      </c>
      <c r="H71" s="117" t="s">
        <v>367</v>
      </c>
      <c r="I71" s="109">
        <v>10402000</v>
      </c>
      <c r="J71" s="109">
        <v>10738000</v>
      </c>
      <c r="K71" s="109">
        <v>10666000</v>
      </c>
      <c r="L71" s="123">
        <v>2314734</v>
      </c>
      <c r="M71" s="123">
        <v>1949433</v>
      </c>
      <c r="N71" s="123">
        <v>1585698</v>
      </c>
      <c r="O71" s="67"/>
      <c r="P71" s="67"/>
      <c r="Q71" s="67"/>
    </row>
    <row r="72" spans="1:17" x14ac:dyDescent="0.25">
      <c r="A72" s="12" t="s">
        <v>74</v>
      </c>
      <c r="B72" s="13" t="s">
        <v>12</v>
      </c>
      <c r="C72" s="13" t="s">
        <v>12</v>
      </c>
      <c r="D72" s="13" t="s">
        <v>12</v>
      </c>
      <c r="E72" s="23" t="s">
        <v>12</v>
      </c>
      <c r="F72" s="13" t="s">
        <v>12</v>
      </c>
      <c r="G72" s="13" t="s">
        <v>12</v>
      </c>
      <c r="H72" s="116" t="s">
        <v>478</v>
      </c>
      <c r="I72" s="106" t="s">
        <v>12</v>
      </c>
      <c r="J72" s="106" t="s">
        <v>12</v>
      </c>
      <c r="K72" s="106" t="s">
        <v>12</v>
      </c>
      <c r="L72" s="120" t="s">
        <v>12</v>
      </c>
      <c r="M72" s="120" t="s">
        <v>12</v>
      </c>
      <c r="N72" s="120" t="s">
        <v>12</v>
      </c>
      <c r="O72" s="67"/>
      <c r="P72" s="67"/>
      <c r="Q72" s="67"/>
    </row>
    <row r="73" spans="1:17" x14ac:dyDescent="0.25">
      <c r="A73" s="14" t="s">
        <v>75</v>
      </c>
      <c r="B73" s="15" t="s">
        <v>12</v>
      </c>
      <c r="C73" s="15" t="s">
        <v>12</v>
      </c>
      <c r="D73" s="15" t="s">
        <v>12</v>
      </c>
      <c r="E73" s="24" t="s">
        <v>12</v>
      </c>
      <c r="F73" s="15" t="s">
        <v>12</v>
      </c>
      <c r="G73" s="15" t="s">
        <v>12</v>
      </c>
      <c r="H73" s="117" t="s">
        <v>368</v>
      </c>
      <c r="I73" s="109">
        <v>6646000</v>
      </c>
      <c r="J73" s="109">
        <v>4871000</v>
      </c>
      <c r="K73" s="109">
        <v>5256000</v>
      </c>
      <c r="L73" s="123">
        <v>2598138</v>
      </c>
      <c r="M73" s="123">
        <v>2513429</v>
      </c>
      <c r="N73" s="123">
        <v>2683857</v>
      </c>
      <c r="O73" s="67"/>
      <c r="P73" s="67"/>
      <c r="Q73" s="67"/>
    </row>
    <row r="74" spans="1:17" x14ac:dyDescent="0.25">
      <c r="A74" s="12" t="s">
        <v>76</v>
      </c>
      <c r="B74" s="13" t="s">
        <v>12</v>
      </c>
      <c r="C74" s="13" t="s">
        <v>12</v>
      </c>
      <c r="D74" s="13" t="s">
        <v>12</v>
      </c>
      <c r="E74" s="23" t="s">
        <v>12</v>
      </c>
      <c r="F74" s="13" t="s">
        <v>12</v>
      </c>
      <c r="G74" s="13" t="s">
        <v>12</v>
      </c>
      <c r="H74" s="116" t="s">
        <v>369</v>
      </c>
      <c r="I74" s="110">
        <v>2263000</v>
      </c>
      <c r="J74" s="110">
        <v>2147000</v>
      </c>
      <c r="K74" s="110">
        <v>2147000</v>
      </c>
      <c r="L74" s="120" t="s">
        <v>12</v>
      </c>
      <c r="M74" s="120" t="s">
        <v>12</v>
      </c>
      <c r="N74" s="120" t="s">
        <v>12</v>
      </c>
      <c r="O74" s="67"/>
      <c r="P74" s="67"/>
      <c r="Q74" s="67"/>
    </row>
    <row r="75" spans="1:17" x14ac:dyDescent="0.25">
      <c r="A75" s="14" t="s">
        <v>77</v>
      </c>
      <c r="B75" s="15" t="s">
        <v>12</v>
      </c>
      <c r="C75" s="15" t="s">
        <v>12</v>
      </c>
      <c r="D75" s="15" t="s">
        <v>12</v>
      </c>
      <c r="E75" s="24" t="s">
        <v>12</v>
      </c>
      <c r="F75" s="15" t="s">
        <v>12</v>
      </c>
      <c r="G75" s="15" t="s">
        <v>12</v>
      </c>
      <c r="H75" s="117" t="s">
        <v>370</v>
      </c>
      <c r="I75" s="107" t="s">
        <v>12</v>
      </c>
      <c r="J75" s="107" t="s">
        <v>12</v>
      </c>
      <c r="K75" s="107" t="s">
        <v>12</v>
      </c>
      <c r="L75" s="121" t="s">
        <v>12</v>
      </c>
      <c r="M75" s="121" t="s">
        <v>12</v>
      </c>
      <c r="N75" s="123">
        <v>855867</v>
      </c>
      <c r="O75" s="67"/>
      <c r="P75" s="67"/>
      <c r="Q75" s="67"/>
    </row>
    <row r="76" spans="1:17" x14ac:dyDescent="0.25">
      <c r="A76" s="12" t="s">
        <v>78</v>
      </c>
      <c r="B76" s="13" t="s">
        <v>12</v>
      </c>
      <c r="C76" s="13" t="s">
        <v>12</v>
      </c>
      <c r="D76" s="13" t="s">
        <v>12</v>
      </c>
      <c r="E76" s="23" t="s">
        <v>12</v>
      </c>
      <c r="F76" s="13" t="s">
        <v>12</v>
      </c>
      <c r="G76" s="13" t="s">
        <v>12</v>
      </c>
      <c r="H76" s="116" t="s">
        <v>371</v>
      </c>
      <c r="I76" s="106" t="s">
        <v>12</v>
      </c>
      <c r="J76" s="106" t="s">
        <v>12</v>
      </c>
      <c r="K76" s="106" t="s">
        <v>12</v>
      </c>
      <c r="L76" s="120" t="s">
        <v>12</v>
      </c>
      <c r="M76" s="120" t="s">
        <v>12</v>
      </c>
      <c r="N76" s="120" t="s">
        <v>12</v>
      </c>
      <c r="O76" s="67"/>
      <c r="P76" s="67"/>
      <c r="Q76" s="67"/>
    </row>
    <row r="77" spans="1:17" x14ac:dyDescent="0.25">
      <c r="A77" s="14" t="s">
        <v>79</v>
      </c>
      <c r="B77" s="15" t="s">
        <v>12</v>
      </c>
      <c r="C77" s="15" t="s">
        <v>12</v>
      </c>
      <c r="D77" s="15" t="s">
        <v>12</v>
      </c>
      <c r="E77" s="24" t="s">
        <v>12</v>
      </c>
      <c r="F77" s="15" t="s">
        <v>12</v>
      </c>
      <c r="G77" s="15" t="s">
        <v>12</v>
      </c>
      <c r="H77" s="117" t="s">
        <v>479</v>
      </c>
      <c r="I77" s="107" t="s">
        <v>12</v>
      </c>
      <c r="J77" s="107" t="s">
        <v>12</v>
      </c>
      <c r="K77" s="107" t="s">
        <v>12</v>
      </c>
      <c r="L77" s="123">
        <v>11587</v>
      </c>
      <c r="M77" s="121" t="s">
        <v>12</v>
      </c>
      <c r="N77" s="123">
        <v>4268</v>
      </c>
      <c r="O77" s="67"/>
      <c r="P77" s="67"/>
      <c r="Q77" s="67"/>
    </row>
    <row r="78" spans="1:17" x14ac:dyDescent="0.25">
      <c r="A78" s="12" t="s">
        <v>80</v>
      </c>
      <c r="B78" s="13" t="s">
        <v>12</v>
      </c>
      <c r="C78" s="13" t="s">
        <v>12</v>
      </c>
      <c r="D78" s="13" t="s">
        <v>12</v>
      </c>
      <c r="E78" s="23" t="s">
        <v>12</v>
      </c>
      <c r="F78" s="13" t="s">
        <v>12</v>
      </c>
      <c r="G78" s="13" t="s">
        <v>12</v>
      </c>
      <c r="H78" s="116" t="s">
        <v>372</v>
      </c>
      <c r="I78" s="110">
        <v>455000</v>
      </c>
      <c r="J78" s="110">
        <v>552000</v>
      </c>
      <c r="K78" s="110">
        <v>532000</v>
      </c>
      <c r="L78" s="124">
        <v>15391</v>
      </c>
      <c r="M78" s="124">
        <v>14362</v>
      </c>
      <c r="N78" s="124">
        <v>13835</v>
      </c>
      <c r="O78" s="67"/>
      <c r="P78" s="67"/>
      <c r="Q78" s="67"/>
    </row>
    <row r="79" spans="1:17" x14ac:dyDescent="0.25">
      <c r="A79" s="14" t="s">
        <v>81</v>
      </c>
      <c r="B79" s="15" t="s">
        <v>12</v>
      </c>
      <c r="C79" s="15" t="s">
        <v>12</v>
      </c>
      <c r="D79" s="15" t="s">
        <v>12</v>
      </c>
      <c r="E79" s="24" t="s">
        <v>12</v>
      </c>
      <c r="F79" s="15" t="s">
        <v>12</v>
      </c>
      <c r="G79" s="15" t="s">
        <v>12</v>
      </c>
      <c r="H79" s="117" t="s">
        <v>373</v>
      </c>
      <c r="I79" s="109">
        <v>808000</v>
      </c>
      <c r="J79" s="109">
        <v>834000</v>
      </c>
      <c r="K79" s="109">
        <v>950000</v>
      </c>
      <c r="L79" s="121" t="s">
        <v>12</v>
      </c>
      <c r="M79" s="121" t="s">
        <v>12</v>
      </c>
      <c r="N79" s="121" t="s">
        <v>12</v>
      </c>
      <c r="O79" s="67"/>
      <c r="P79" s="67"/>
      <c r="Q79" s="67"/>
    </row>
    <row r="80" spans="1:17" x14ac:dyDescent="0.25">
      <c r="A80" s="12" t="s">
        <v>82</v>
      </c>
      <c r="B80" s="13" t="s">
        <v>12</v>
      </c>
      <c r="C80" s="13" t="s">
        <v>12</v>
      </c>
      <c r="D80" s="13" t="s">
        <v>12</v>
      </c>
      <c r="E80" s="23" t="s">
        <v>12</v>
      </c>
      <c r="F80" s="13" t="s">
        <v>12</v>
      </c>
      <c r="G80" s="13" t="s">
        <v>12</v>
      </c>
      <c r="H80" s="116" t="s">
        <v>374</v>
      </c>
      <c r="I80" s="106" t="s">
        <v>12</v>
      </c>
      <c r="J80" s="106" t="s">
        <v>12</v>
      </c>
      <c r="K80" s="106" t="s">
        <v>12</v>
      </c>
      <c r="L80" s="120" t="s">
        <v>12</v>
      </c>
      <c r="M80" s="120" t="s">
        <v>12</v>
      </c>
      <c r="N80" s="120" t="s">
        <v>12</v>
      </c>
      <c r="O80" s="67"/>
      <c r="P80" s="67"/>
      <c r="Q80" s="67"/>
    </row>
    <row r="81" spans="1:17" x14ac:dyDescent="0.25">
      <c r="A81" s="11"/>
      <c r="B81" s="11"/>
      <c r="C81" s="11"/>
      <c r="D81" s="11"/>
      <c r="F81" s="11"/>
      <c r="G81" s="11"/>
      <c r="H81" s="117" t="s">
        <v>375</v>
      </c>
      <c r="I81" s="109">
        <v>44000</v>
      </c>
      <c r="J81" s="109">
        <v>48000</v>
      </c>
      <c r="K81" s="109">
        <v>37000</v>
      </c>
      <c r="L81" s="121" t="s">
        <v>12</v>
      </c>
      <c r="M81" s="121" t="s">
        <v>12</v>
      </c>
      <c r="N81" s="121" t="s">
        <v>12</v>
      </c>
      <c r="O81" s="67"/>
      <c r="P81" s="67"/>
      <c r="Q81" s="67"/>
    </row>
    <row r="82" spans="1:17" x14ac:dyDescent="0.25">
      <c r="A82" s="11"/>
      <c r="B82" s="11"/>
      <c r="C82" s="11"/>
      <c r="D82" s="11"/>
      <c r="F82" s="11"/>
      <c r="G82" s="11"/>
      <c r="H82" s="116" t="s">
        <v>376</v>
      </c>
      <c r="I82" s="110">
        <v>229000</v>
      </c>
      <c r="J82" s="110">
        <v>136000</v>
      </c>
      <c r="K82" s="110">
        <v>72000</v>
      </c>
      <c r="L82" s="124">
        <v>1259359</v>
      </c>
      <c r="M82" s="124">
        <v>1240778</v>
      </c>
      <c r="N82" s="124">
        <v>361002</v>
      </c>
      <c r="O82" s="67"/>
      <c r="P82" s="67"/>
      <c r="Q82" s="67"/>
    </row>
    <row r="83" spans="1:17" x14ac:dyDescent="0.25">
      <c r="A83" s="16" t="s">
        <v>83</v>
      </c>
      <c r="B83" s="16">
        <v>2019</v>
      </c>
      <c r="C83" s="16">
        <v>2018</v>
      </c>
      <c r="D83" s="16">
        <v>2017</v>
      </c>
      <c r="E83" s="25">
        <v>2019</v>
      </c>
      <c r="F83" s="16">
        <v>2018</v>
      </c>
      <c r="G83" s="16">
        <v>2017</v>
      </c>
      <c r="H83" s="117" t="s">
        <v>377</v>
      </c>
      <c r="I83" s="109">
        <v>3493000</v>
      </c>
      <c r="J83" s="109">
        <v>3969000</v>
      </c>
      <c r="K83" s="109">
        <v>3273000</v>
      </c>
      <c r="L83" s="123">
        <v>2686432</v>
      </c>
      <c r="M83" s="123">
        <v>2802536</v>
      </c>
      <c r="N83" s="123">
        <v>3326442</v>
      </c>
      <c r="O83" s="67"/>
      <c r="P83" s="67"/>
      <c r="Q83" s="67"/>
    </row>
    <row r="84" spans="1:17" x14ac:dyDescent="0.25">
      <c r="A84" s="12" t="s">
        <v>84</v>
      </c>
      <c r="B84" s="17">
        <v>24340000</v>
      </c>
      <c r="C84" s="17">
        <v>23295000</v>
      </c>
      <c r="D84" s="17">
        <v>22933000</v>
      </c>
      <c r="E84" s="27">
        <v>8885641</v>
      </c>
      <c r="F84" s="17">
        <v>8520538</v>
      </c>
      <c r="G84" s="17">
        <v>8830969</v>
      </c>
      <c r="H84" s="116" t="s">
        <v>378</v>
      </c>
      <c r="I84" s="110">
        <v>218000</v>
      </c>
      <c r="J84" s="110">
        <v>240000</v>
      </c>
      <c r="K84" s="110">
        <v>217000</v>
      </c>
      <c r="L84" s="124">
        <v>169147</v>
      </c>
      <c r="M84" s="124">
        <v>169494</v>
      </c>
      <c r="N84" s="124">
        <v>159279</v>
      </c>
      <c r="O84" s="67"/>
      <c r="P84" s="67"/>
      <c r="Q84" s="67"/>
    </row>
    <row r="85" spans="1:17" x14ac:dyDescent="0.25">
      <c r="A85" s="14" t="s">
        <v>85</v>
      </c>
      <c r="B85" s="18">
        <v>20847000</v>
      </c>
      <c r="C85" s="18">
        <v>19326000</v>
      </c>
      <c r="D85" s="18">
        <v>19660000</v>
      </c>
      <c r="E85" s="26">
        <v>6199209</v>
      </c>
      <c r="F85" s="18">
        <v>5718002</v>
      </c>
      <c r="G85" s="18">
        <v>5504527</v>
      </c>
      <c r="H85" s="117" t="s">
        <v>480</v>
      </c>
      <c r="I85" s="107" t="s">
        <v>12</v>
      </c>
      <c r="J85" s="107" t="s">
        <v>12</v>
      </c>
      <c r="K85" s="107" t="s">
        <v>12</v>
      </c>
      <c r="L85" s="121" t="s">
        <v>12</v>
      </c>
      <c r="M85" s="121" t="s">
        <v>12</v>
      </c>
      <c r="N85" s="121" t="s">
        <v>12</v>
      </c>
      <c r="O85" s="67"/>
      <c r="P85" s="67"/>
      <c r="Q85" s="67"/>
    </row>
    <row r="86" spans="1:17" x14ac:dyDescent="0.25">
      <c r="A86" s="12" t="s">
        <v>86</v>
      </c>
      <c r="B86" s="17">
        <v>10402000</v>
      </c>
      <c r="C86" s="17">
        <v>10738000</v>
      </c>
      <c r="D86" s="17">
        <v>10666000</v>
      </c>
      <c r="E86" s="27">
        <v>2314734</v>
      </c>
      <c r="F86" s="17">
        <v>1949433</v>
      </c>
      <c r="G86" s="17">
        <v>1585698</v>
      </c>
      <c r="H86" s="116" t="s">
        <v>379</v>
      </c>
      <c r="I86" s="110">
        <v>2132000</v>
      </c>
      <c r="J86" s="110">
        <v>2371000</v>
      </c>
      <c r="K86" s="110">
        <v>2266000</v>
      </c>
      <c r="L86" s="124">
        <v>731556</v>
      </c>
      <c r="M86" s="124">
        <v>863913</v>
      </c>
      <c r="N86" s="124">
        <v>1100466</v>
      </c>
      <c r="O86" s="67"/>
      <c r="P86" s="67"/>
      <c r="Q86" s="67"/>
    </row>
    <row r="87" spans="1:17" x14ac:dyDescent="0.25">
      <c r="A87" s="14" t="s">
        <v>87</v>
      </c>
      <c r="B87" s="15" t="s">
        <v>12</v>
      </c>
      <c r="C87" s="15" t="s">
        <v>12</v>
      </c>
      <c r="D87" s="15" t="s">
        <v>12</v>
      </c>
      <c r="E87" s="24" t="s">
        <v>12</v>
      </c>
      <c r="F87" s="15" t="s">
        <v>12</v>
      </c>
      <c r="G87" s="15" t="s">
        <v>12</v>
      </c>
      <c r="H87" s="117" t="s">
        <v>380</v>
      </c>
      <c r="I87" s="107" t="s">
        <v>12</v>
      </c>
      <c r="J87" s="107" t="s">
        <v>12</v>
      </c>
      <c r="K87" s="107" t="s">
        <v>12</v>
      </c>
      <c r="L87" s="121" t="s">
        <v>12</v>
      </c>
      <c r="M87" s="121" t="s">
        <v>12</v>
      </c>
      <c r="N87" s="121" t="s">
        <v>12</v>
      </c>
      <c r="O87" s="67"/>
      <c r="P87" s="67"/>
      <c r="Q87" s="67"/>
    </row>
    <row r="88" spans="1:17" x14ac:dyDescent="0.25">
      <c r="A88" s="12" t="s">
        <v>88</v>
      </c>
      <c r="B88" s="13" t="s">
        <v>12</v>
      </c>
      <c r="C88" s="13" t="s">
        <v>12</v>
      </c>
      <c r="D88" s="13" t="s">
        <v>12</v>
      </c>
      <c r="E88" s="23" t="s">
        <v>12</v>
      </c>
      <c r="F88" s="13" t="s">
        <v>12</v>
      </c>
      <c r="G88" s="13" t="s">
        <v>12</v>
      </c>
      <c r="H88" s="116" t="s">
        <v>481</v>
      </c>
      <c r="I88" s="106" t="s">
        <v>12</v>
      </c>
      <c r="J88" s="106" t="s">
        <v>12</v>
      </c>
      <c r="K88" s="106" t="s">
        <v>12</v>
      </c>
      <c r="L88" s="124">
        <v>6260</v>
      </c>
      <c r="M88" s="120" t="s">
        <v>12</v>
      </c>
      <c r="N88" s="120" t="s">
        <v>12</v>
      </c>
      <c r="O88" s="67"/>
      <c r="P88" s="67"/>
      <c r="Q88" s="67"/>
    </row>
    <row r="89" spans="1:17" x14ac:dyDescent="0.25">
      <c r="A89" s="14" t="s">
        <v>89</v>
      </c>
      <c r="B89" s="15" t="s">
        <v>12</v>
      </c>
      <c r="C89" s="15" t="s">
        <v>12</v>
      </c>
      <c r="D89" s="15" t="s">
        <v>12</v>
      </c>
      <c r="E89" s="24" t="s">
        <v>12</v>
      </c>
      <c r="F89" s="15" t="s">
        <v>12</v>
      </c>
      <c r="G89" s="15" t="s">
        <v>12</v>
      </c>
      <c r="H89" s="117" t="s">
        <v>381</v>
      </c>
      <c r="I89" s="109">
        <v>404000</v>
      </c>
      <c r="J89" s="109">
        <v>611000</v>
      </c>
      <c r="K89" s="109">
        <v>646000</v>
      </c>
      <c r="L89" s="123">
        <v>294317</v>
      </c>
      <c r="M89" s="123">
        <v>353690</v>
      </c>
      <c r="N89" s="123">
        <v>628725</v>
      </c>
      <c r="O89" s="67"/>
      <c r="P89" s="67"/>
      <c r="Q89" s="67"/>
    </row>
    <row r="90" spans="1:17" x14ac:dyDescent="0.25">
      <c r="A90" s="12" t="s">
        <v>90</v>
      </c>
      <c r="B90" s="13" t="s">
        <v>12</v>
      </c>
      <c r="C90" s="13" t="s">
        <v>12</v>
      </c>
      <c r="D90" s="13" t="s">
        <v>12</v>
      </c>
      <c r="E90" s="23" t="s">
        <v>12</v>
      </c>
      <c r="F90" s="13" t="s">
        <v>12</v>
      </c>
      <c r="G90" s="13" t="s">
        <v>12</v>
      </c>
      <c r="H90" s="116" t="s">
        <v>382</v>
      </c>
      <c r="I90" s="110">
        <v>65000</v>
      </c>
      <c r="J90" s="110">
        <v>46000</v>
      </c>
      <c r="K90" s="110">
        <v>66000</v>
      </c>
      <c r="L90" s="124">
        <v>28848</v>
      </c>
      <c r="M90" s="124">
        <v>22155</v>
      </c>
      <c r="N90" s="124">
        <v>23530</v>
      </c>
      <c r="O90" s="67"/>
      <c r="P90" s="67"/>
      <c r="Q90" s="67"/>
    </row>
    <row r="91" spans="1:17" x14ac:dyDescent="0.25">
      <c r="A91" s="14" t="s">
        <v>91</v>
      </c>
      <c r="B91" s="15" t="s">
        <v>12</v>
      </c>
      <c r="C91" s="15" t="s">
        <v>12</v>
      </c>
      <c r="D91" s="15" t="s">
        <v>12</v>
      </c>
      <c r="E91" s="24" t="s">
        <v>12</v>
      </c>
      <c r="F91" s="15" t="s">
        <v>12</v>
      </c>
      <c r="G91" s="15" t="s">
        <v>12</v>
      </c>
      <c r="H91" s="117" t="s">
        <v>383</v>
      </c>
      <c r="I91" s="107" t="s">
        <v>12</v>
      </c>
      <c r="J91" s="107" t="s">
        <v>12</v>
      </c>
      <c r="K91" s="107" t="s">
        <v>12</v>
      </c>
      <c r="L91" s="121" t="s">
        <v>12</v>
      </c>
      <c r="M91" s="121" t="s">
        <v>12</v>
      </c>
      <c r="N91" s="123">
        <v>47529</v>
      </c>
      <c r="O91" s="67"/>
      <c r="P91" s="67"/>
      <c r="Q91" s="67"/>
    </row>
    <row r="92" spans="1:17" x14ac:dyDescent="0.25">
      <c r="A92" s="12" t="s">
        <v>92</v>
      </c>
      <c r="B92" s="17">
        <v>8909000</v>
      </c>
      <c r="C92" s="17">
        <v>7018000</v>
      </c>
      <c r="D92" s="17">
        <v>7403000</v>
      </c>
      <c r="E92" s="27">
        <v>2598138</v>
      </c>
      <c r="F92" s="17">
        <v>2513429</v>
      </c>
      <c r="G92" s="17">
        <v>2683857</v>
      </c>
      <c r="H92" s="116" t="s">
        <v>384</v>
      </c>
      <c r="I92" s="110">
        <v>1000</v>
      </c>
      <c r="J92" s="110">
        <v>52000</v>
      </c>
      <c r="K92" s="106" t="s">
        <v>12</v>
      </c>
      <c r="L92" s="120" t="s">
        <v>12</v>
      </c>
      <c r="M92" s="120" t="s">
        <v>12</v>
      </c>
      <c r="N92" s="120" t="s">
        <v>12</v>
      </c>
      <c r="O92" s="67"/>
      <c r="P92" s="67"/>
      <c r="Q92" s="67"/>
    </row>
    <row r="93" spans="1:17" x14ac:dyDescent="0.25">
      <c r="A93" s="14" t="s">
        <v>93</v>
      </c>
      <c r="B93" s="18">
        <v>2263000</v>
      </c>
      <c r="C93" s="18">
        <v>2147000</v>
      </c>
      <c r="D93" s="18">
        <v>2147000</v>
      </c>
      <c r="E93" s="28">
        <v>0</v>
      </c>
      <c r="F93" s="20">
        <v>0</v>
      </c>
      <c r="G93" s="20">
        <v>0</v>
      </c>
      <c r="H93" s="117" t="s">
        <v>385</v>
      </c>
      <c r="I93" s="109">
        <v>673000</v>
      </c>
      <c r="J93" s="109">
        <v>649000</v>
      </c>
      <c r="K93" s="109">
        <v>78000</v>
      </c>
      <c r="L93" s="123">
        <v>1455922</v>
      </c>
      <c r="M93" s="123">
        <v>1392630</v>
      </c>
      <c r="N93" s="123">
        <v>1366913</v>
      </c>
      <c r="O93" s="67"/>
      <c r="P93" s="67"/>
      <c r="Q93" s="67"/>
    </row>
    <row r="94" spans="1:17" x14ac:dyDescent="0.25">
      <c r="A94" s="12" t="s">
        <v>94</v>
      </c>
      <c r="B94" s="13" t="s">
        <v>12</v>
      </c>
      <c r="C94" s="13" t="s">
        <v>12</v>
      </c>
      <c r="D94" s="13" t="s">
        <v>12</v>
      </c>
      <c r="E94" s="23" t="s">
        <v>12</v>
      </c>
      <c r="F94" s="13" t="s">
        <v>12</v>
      </c>
      <c r="G94" s="13" t="s">
        <v>12</v>
      </c>
      <c r="H94" s="116" t="s">
        <v>482</v>
      </c>
      <c r="I94" s="106" t="s">
        <v>12</v>
      </c>
      <c r="J94" s="106" t="s">
        <v>12</v>
      </c>
      <c r="K94" s="106" t="s">
        <v>12</v>
      </c>
      <c r="L94" s="120" t="s">
        <v>12</v>
      </c>
      <c r="M94" s="120" t="s">
        <v>12</v>
      </c>
      <c r="N94" s="120" t="s">
        <v>12</v>
      </c>
      <c r="O94" s="67"/>
      <c r="P94" s="67"/>
      <c r="Q94" s="67"/>
    </row>
    <row r="95" spans="1:17" x14ac:dyDescent="0.25">
      <c r="A95" s="14" t="s">
        <v>95</v>
      </c>
      <c r="B95" s="15" t="s">
        <v>12</v>
      </c>
      <c r="C95" s="15" t="s">
        <v>12</v>
      </c>
      <c r="D95" s="15" t="s">
        <v>12</v>
      </c>
      <c r="E95" s="24" t="s">
        <v>12</v>
      </c>
      <c r="F95" s="15" t="s">
        <v>12</v>
      </c>
      <c r="G95" s="15" t="s">
        <v>12</v>
      </c>
      <c r="H95" s="117" t="s">
        <v>483</v>
      </c>
      <c r="I95" s="107" t="s">
        <v>12</v>
      </c>
      <c r="J95" s="107" t="s">
        <v>12</v>
      </c>
      <c r="K95" s="107" t="s">
        <v>12</v>
      </c>
      <c r="L95" s="121" t="s">
        <v>12</v>
      </c>
      <c r="M95" s="121" t="s">
        <v>12</v>
      </c>
      <c r="N95" s="121" t="s">
        <v>12</v>
      </c>
      <c r="O95" s="67"/>
      <c r="P95" s="67"/>
      <c r="Q95" s="67"/>
    </row>
    <row r="96" spans="1:17" x14ac:dyDescent="0.25">
      <c r="A96" s="12" t="s">
        <v>96</v>
      </c>
      <c r="B96" s="13" t="s">
        <v>12</v>
      </c>
      <c r="C96" s="13" t="s">
        <v>12</v>
      </c>
      <c r="D96" s="13" t="s">
        <v>12</v>
      </c>
      <c r="E96" s="23" t="s">
        <v>12</v>
      </c>
      <c r="F96" s="13" t="s">
        <v>12</v>
      </c>
      <c r="G96" s="13" t="s">
        <v>12</v>
      </c>
      <c r="H96" s="116" t="s">
        <v>342</v>
      </c>
      <c r="I96" s="110">
        <v>24340000</v>
      </c>
      <c r="J96" s="110">
        <v>23295000</v>
      </c>
      <c r="K96" s="110">
        <v>22933000</v>
      </c>
      <c r="L96" s="124">
        <v>8885641</v>
      </c>
      <c r="M96" s="124">
        <v>8520538</v>
      </c>
      <c r="N96" s="124">
        <v>8830969</v>
      </c>
      <c r="O96" s="67"/>
      <c r="P96" s="67"/>
      <c r="Q96" s="67"/>
    </row>
    <row r="97" spans="1:17" x14ac:dyDescent="0.25">
      <c r="A97" s="14" t="s">
        <v>97</v>
      </c>
      <c r="B97" s="18">
        <v>6646000</v>
      </c>
      <c r="C97" s="18">
        <v>4871000</v>
      </c>
      <c r="D97" s="18">
        <v>5256000</v>
      </c>
      <c r="E97" s="26">
        <v>2598138</v>
      </c>
      <c r="F97" s="18">
        <v>2513429</v>
      </c>
      <c r="G97" s="18">
        <v>2683857</v>
      </c>
      <c r="H97" s="117" t="s">
        <v>386</v>
      </c>
      <c r="I97" s="109">
        <v>10566000</v>
      </c>
      <c r="J97" s="109">
        <v>10503000</v>
      </c>
      <c r="K97" s="109">
        <v>9936000</v>
      </c>
      <c r="L97" s="123">
        <v>321653</v>
      </c>
      <c r="M97" s="123">
        <v>-200538</v>
      </c>
      <c r="N97" s="123">
        <v>-212579</v>
      </c>
      <c r="O97" s="67"/>
      <c r="P97" s="67"/>
      <c r="Q97" s="67"/>
    </row>
    <row r="98" spans="1:17" x14ac:dyDescent="0.25">
      <c r="A98" s="12" t="s">
        <v>98</v>
      </c>
      <c r="B98" s="13" t="s">
        <v>12</v>
      </c>
      <c r="C98" s="13" t="s">
        <v>12</v>
      </c>
      <c r="D98" s="13" t="s">
        <v>12</v>
      </c>
      <c r="E98" s="23" t="s">
        <v>12</v>
      </c>
      <c r="F98" s="13" t="s">
        <v>12</v>
      </c>
      <c r="G98" s="13" t="s">
        <v>12</v>
      </c>
      <c r="H98" s="116" t="s">
        <v>387</v>
      </c>
      <c r="I98" s="110">
        <v>3937000</v>
      </c>
      <c r="J98" s="110">
        <v>3937000</v>
      </c>
      <c r="K98" s="110">
        <v>3937000</v>
      </c>
      <c r="L98" s="125">
        <v>128</v>
      </c>
      <c r="M98" s="125">
        <v>128</v>
      </c>
      <c r="N98" s="125">
        <v>128</v>
      </c>
      <c r="O98" s="67"/>
      <c r="P98" s="67"/>
      <c r="Q98" s="67"/>
    </row>
    <row r="99" spans="1:17" x14ac:dyDescent="0.25">
      <c r="A99" s="14" t="s">
        <v>99</v>
      </c>
      <c r="B99" s="18">
        <v>455000</v>
      </c>
      <c r="C99" s="18">
        <v>552000</v>
      </c>
      <c r="D99" s="18">
        <v>532000</v>
      </c>
      <c r="E99" s="26">
        <v>15391</v>
      </c>
      <c r="F99" s="18">
        <v>14362</v>
      </c>
      <c r="G99" s="18">
        <v>13835</v>
      </c>
      <c r="H99" s="117" t="s">
        <v>484</v>
      </c>
      <c r="I99" s="107" t="s">
        <v>12</v>
      </c>
      <c r="J99" s="107" t="s">
        <v>12</v>
      </c>
      <c r="K99" s="107" t="s">
        <v>12</v>
      </c>
      <c r="L99" s="121" t="s">
        <v>12</v>
      </c>
      <c r="M99" s="121" t="s">
        <v>12</v>
      </c>
      <c r="N99" s="121" t="s">
        <v>12</v>
      </c>
      <c r="O99" s="67"/>
      <c r="P99" s="67"/>
      <c r="Q99" s="67"/>
    </row>
    <row r="100" spans="1:17" x14ac:dyDescent="0.25">
      <c r="A100" s="12" t="s">
        <v>100</v>
      </c>
      <c r="B100" s="13" t="s">
        <v>12</v>
      </c>
      <c r="C100" s="13" t="s">
        <v>12</v>
      </c>
      <c r="D100" s="13" t="s">
        <v>12</v>
      </c>
      <c r="E100" s="23" t="s">
        <v>12</v>
      </c>
      <c r="F100" s="13" t="s">
        <v>12</v>
      </c>
      <c r="G100" s="13" t="s">
        <v>12</v>
      </c>
      <c r="H100" s="116" t="s">
        <v>485</v>
      </c>
      <c r="I100" s="106" t="s">
        <v>12</v>
      </c>
      <c r="J100" s="106" t="s">
        <v>12</v>
      </c>
      <c r="K100" s="106" t="s">
        <v>12</v>
      </c>
      <c r="L100" s="120" t="s">
        <v>12</v>
      </c>
      <c r="M100" s="120" t="s">
        <v>12</v>
      </c>
      <c r="N100" s="120" t="s">
        <v>12</v>
      </c>
      <c r="O100" s="67"/>
      <c r="P100" s="67"/>
      <c r="Q100" s="67"/>
    </row>
    <row r="101" spans="1:17" x14ac:dyDescent="0.25">
      <c r="A101" s="14" t="s">
        <v>101</v>
      </c>
      <c r="B101" s="15" t="s">
        <v>12</v>
      </c>
      <c r="C101" s="15" t="s">
        <v>12</v>
      </c>
      <c r="D101" s="15" t="s">
        <v>12</v>
      </c>
      <c r="E101" s="24" t="s">
        <v>12</v>
      </c>
      <c r="F101" s="15" t="s">
        <v>12</v>
      </c>
      <c r="G101" s="15" t="s">
        <v>12</v>
      </c>
      <c r="H101" s="117" t="s">
        <v>388</v>
      </c>
      <c r="I101" s="109">
        <v>832000</v>
      </c>
      <c r="J101" s="109">
        <v>832000</v>
      </c>
      <c r="K101" s="109">
        <v>832000</v>
      </c>
      <c r="L101" s="123">
        <v>3673350</v>
      </c>
      <c r="M101" s="123">
        <v>3673350</v>
      </c>
      <c r="N101" s="123">
        <v>3673350</v>
      </c>
      <c r="O101" s="67"/>
      <c r="P101" s="67"/>
      <c r="Q101" s="67"/>
    </row>
    <row r="102" spans="1:17" x14ac:dyDescent="0.25">
      <c r="A102" s="12" t="s">
        <v>102</v>
      </c>
      <c r="B102" s="13" t="s">
        <v>12</v>
      </c>
      <c r="C102" s="13" t="s">
        <v>12</v>
      </c>
      <c r="D102" s="13" t="s">
        <v>12</v>
      </c>
      <c r="E102" s="23" t="s">
        <v>12</v>
      </c>
      <c r="F102" s="13" t="s">
        <v>12</v>
      </c>
      <c r="G102" s="13" t="s">
        <v>12</v>
      </c>
      <c r="H102" s="116" t="s">
        <v>486</v>
      </c>
      <c r="I102" s="106" t="s">
        <v>12</v>
      </c>
      <c r="J102" s="106" t="s">
        <v>12</v>
      </c>
      <c r="K102" s="106" t="s">
        <v>12</v>
      </c>
      <c r="L102" s="120" t="s">
        <v>12</v>
      </c>
      <c r="M102" s="120" t="s">
        <v>12</v>
      </c>
      <c r="N102" s="120" t="s">
        <v>12</v>
      </c>
      <c r="O102" s="67"/>
      <c r="P102" s="67"/>
      <c r="Q102" s="67"/>
    </row>
    <row r="103" spans="1:17" x14ac:dyDescent="0.25">
      <c r="A103" s="14" t="s">
        <v>103</v>
      </c>
      <c r="B103" s="15" t="s">
        <v>12</v>
      </c>
      <c r="C103" s="15" t="s">
        <v>12</v>
      </c>
      <c r="D103" s="15" t="s">
        <v>12</v>
      </c>
      <c r="E103" s="24" t="s">
        <v>12</v>
      </c>
      <c r="F103" s="15" t="s">
        <v>12</v>
      </c>
      <c r="G103" s="15" t="s">
        <v>12</v>
      </c>
      <c r="H103" s="117" t="s">
        <v>389</v>
      </c>
      <c r="I103" s="109">
        <v>-89000</v>
      </c>
      <c r="J103" s="109">
        <v>-58000</v>
      </c>
      <c r="K103" s="109">
        <v>-40000</v>
      </c>
      <c r="L103" s="123">
        <v>52950</v>
      </c>
      <c r="M103" s="123">
        <v>29509</v>
      </c>
      <c r="N103" s="123">
        <v>28228</v>
      </c>
      <c r="O103" s="67"/>
      <c r="P103" s="67"/>
      <c r="Q103" s="67"/>
    </row>
    <row r="104" spans="1:17" x14ac:dyDescent="0.25">
      <c r="A104" s="12" t="s">
        <v>104</v>
      </c>
      <c r="B104" s="17">
        <v>44000</v>
      </c>
      <c r="C104" s="17">
        <v>48000</v>
      </c>
      <c r="D104" s="17">
        <v>37000</v>
      </c>
      <c r="E104" s="27">
        <v>11587</v>
      </c>
      <c r="F104" s="19">
        <v>0</v>
      </c>
      <c r="G104" s="17">
        <v>860135</v>
      </c>
      <c r="H104" s="116" t="s">
        <v>390</v>
      </c>
      <c r="I104" s="110">
        <v>5884000</v>
      </c>
      <c r="J104" s="110">
        <v>5790000</v>
      </c>
      <c r="K104" s="110">
        <v>5207000</v>
      </c>
      <c r="L104" s="124">
        <v>-3404775</v>
      </c>
      <c r="M104" s="124">
        <v>-3903525</v>
      </c>
      <c r="N104" s="124">
        <v>-3914285</v>
      </c>
      <c r="O104" s="67"/>
      <c r="P104" s="67"/>
      <c r="Q104" s="67"/>
    </row>
    <row r="105" spans="1:17" x14ac:dyDescent="0.25">
      <c r="A105" s="14" t="s">
        <v>105</v>
      </c>
      <c r="B105" s="20">
        <v>0</v>
      </c>
      <c r="C105" s="20">
        <v>0</v>
      </c>
      <c r="D105" s="20">
        <v>0</v>
      </c>
      <c r="E105" s="28">
        <v>0</v>
      </c>
      <c r="F105" s="20">
        <v>0</v>
      </c>
      <c r="G105" s="18">
        <v>855867</v>
      </c>
      <c r="H105" s="117" t="s">
        <v>391</v>
      </c>
      <c r="I105" s="109">
        <v>2000</v>
      </c>
      <c r="J105" s="109">
        <v>2000</v>
      </c>
      <c r="K105" s="109">
        <v>2000</v>
      </c>
      <c r="L105" s="121" t="s">
        <v>12</v>
      </c>
      <c r="M105" s="121" t="s">
        <v>12</v>
      </c>
      <c r="N105" s="121" t="s">
        <v>12</v>
      </c>
      <c r="O105" s="67"/>
      <c r="P105" s="67"/>
      <c r="Q105" s="67"/>
    </row>
    <row r="106" spans="1:17" x14ac:dyDescent="0.25">
      <c r="A106" s="12" t="s">
        <v>106</v>
      </c>
      <c r="B106" s="19">
        <v>0</v>
      </c>
      <c r="C106" s="19">
        <v>0</v>
      </c>
      <c r="D106" s="19">
        <v>0</v>
      </c>
      <c r="E106" s="29">
        <v>0</v>
      </c>
      <c r="F106" s="19">
        <v>0</v>
      </c>
      <c r="G106" s="19">
        <v>0</v>
      </c>
      <c r="H106" s="116" t="s">
        <v>392</v>
      </c>
      <c r="I106" s="110">
        <v>9682000</v>
      </c>
      <c r="J106" s="110">
        <v>6846000</v>
      </c>
      <c r="K106" s="110">
        <v>6952000</v>
      </c>
      <c r="L106" s="124">
        <v>6754179</v>
      </c>
      <c r="M106" s="124">
        <v>6443720</v>
      </c>
      <c r="N106" s="124">
        <v>6938428</v>
      </c>
      <c r="O106" s="67"/>
      <c r="P106" s="67"/>
      <c r="Q106" s="67"/>
    </row>
    <row r="107" spans="1:17" x14ac:dyDescent="0.25">
      <c r="A107" s="14" t="s">
        <v>107</v>
      </c>
      <c r="B107" s="15" t="s">
        <v>12</v>
      </c>
      <c r="C107" s="15" t="s">
        <v>12</v>
      </c>
      <c r="D107" s="15" t="s">
        <v>12</v>
      </c>
      <c r="E107" s="24" t="s">
        <v>12</v>
      </c>
      <c r="F107" s="15" t="s">
        <v>12</v>
      </c>
      <c r="G107" s="15" t="s">
        <v>12</v>
      </c>
      <c r="H107" s="117" t="s">
        <v>393</v>
      </c>
      <c r="I107" s="109">
        <v>55000</v>
      </c>
      <c r="J107" s="109">
        <v>31000</v>
      </c>
      <c r="K107" s="109">
        <v>58000</v>
      </c>
      <c r="L107" s="121" t="s">
        <v>12</v>
      </c>
      <c r="M107" s="121" t="s">
        <v>12</v>
      </c>
      <c r="N107" s="121" t="s">
        <v>12</v>
      </c>
      <c r="O107" s="67"/>
      <c r="P107" s="67"/>
      <c r="Q107" s="67"/>
    </row>
    <row r="108" spans="1:17" x14ac:dyDescent="0.25">
      <c r="A108" s="12" t="s">
        <v>108</v>
      </c>
      <c r="B108" s="13" t="s">
        <v>12</v>
      </c>
      <c r="C108" s="13" t="s">
        <v>12</v>
      </c>
      <c r="D108" s="13" t="s">
        <v>12</v>
      </c>
      <c r="E108" s="23" t="s">
        <v>12</v>
      </c>
      <c r="F108" s="13" t="s">
        <v>12</v>
      </c>
      <c r="G108" s="13" t="s">
        <v>12</v>
      </c>
      <c r="H108" s="116" t="s">
        <v>394</v>
      </c>
      <c r="I108" s="110">
        <v>8000</v>
      </c>
      <c r="J108" s="110">
        <v>11000</v>
      </c>
      <c r="K108" s="110">
        <v>5553000</v>
      </c>
      <c r="L108" s="120" t="s">
        <v>12</v>
      </c>
      <c r="M108" s="120" t="s">
        <v>12</v>
      </c>
      <c r="N108" s="124">
        <v>6752867</v>
      </c>
      <c r="O108" s="67"/>
      <c r="P108" s="67"/>
      <c r="Q108" s="67"/>
    </row>
    <row r="109" spans="1:17" x14ac:dyDescent="0.25">
      <c r="A109" s="14" t="s">
        <v>109</v>
      </c>
      <c r="B109" s="18">
        <v>44000</v>
      </c>
      <c r="C109" s="18">
        <v>48000</v>
      </c>
      <c r="D109" s="18">
        <v>37000</v>
      </c>
      <c r="E109" s="28">
        <v>0</v>
      </c>
      <c r="F109" s="20">
        <v>0</v>
      </c>
      <c r="G109" s="20">
        <v>0</v>
      </c>
      <c r="H109" s="117" t="s">
        <v>395</v>
      </c>
      <c r="I109" s="109">
        <v>6431000</v>
      </c>
      <c r="J109" s="109">
        <v>5258000</v>
      </c>
      <c r="K109" s="107" t="s">
        <v>12</v>
      </c>
      <c r="L109" s="123">
        <v>6505021</v>
      </c>
      <c r="M109" s="123">
        <v>6254412</v>
      </c>
      <c r="N109" s="121" t="s">
        <v>12</v>
      </c>
      <c r="O109" s="67"/>
      <c r="P109" s="67"/>
      <c r="Q109" s="67"/>
    </row>
    <row r="110" spans="1:17" x14ac:dyDescent="0.25">
      <c r="A110" s="12" t="s">
        <v>110</v>
      </c>
      <c r="B110" s="13" t="s">
        <v>12</v>
      </c>
      <c r="C110" s="13" t="s">
        <v>12</v>
      </c>
      <c r="D110" s="13" t="s">
        <v>12</v>
      </c>
      <c r="E110" s="23" t="s">
        <v>12</v>
      </c>
      <c r="F110" s="13" t="s">
        <v>12</v>
      </c>
      <c r="G110" s="13" t="s">
        <v>12</v>
      </c>
      <c r="H110" s="116" t="s">
        <v>487</v>
      </c>
      <c r="I110" s="110">
        <v>348000</v>
      </c>
      <c r="J110" s="110">
        <v>473000</v>
      </c>
      <c r="K110" s="110">
        <v>550000</v>
      </c>
      <c r="L110" s="120" t="s">
        <v>12</v>
      </c>
      <c r="M110" s="120" t="s">
        <v>12</v>
      </c>
      <c r="N110" s="120" t="s">
        <v>12</v>
      </c>
      <c r="O110" s="67"/>
      <c r="P110" s="67"/>
      <c r="Q110" s="67"/>
    </row>
    <row r="111" spans="1:17" x14ac:dyDescent="0.25">
      <c r="A111" s="14" t="s">
        <v>111</v>
      </c>
      <c r="B111" s="15" t="s">
        <v>12</v>
      </c>
      <c r="C111" s="15" t="s">
        <v>12</v>
      </c>
      <c r="D111" s="15" t="s">
        <v>12</v>
      </c>
      <c r="E111" s="24" t="s">
        <v>12</v>
      </c>
      <c r="F111" s="15" t="s">
        <v>12</v>
      </c>
      <c r="G111" s="15" t="s">
        <v>12</v>
      </c>
      <c r="H111" s="117" t="s">
        <v>488</v>
      </c>
      <c r="I111" s="109">
        <v>164000</v>
      </c>
      <c r="J111" s="109">
        <v>136000</v>
      </c>
      <c r="K111" s="109">
        <v>139000</v>
      </c>
      <c r="L111" s="121" t="s">
        <v>12</v>
      </c>
      <c r="M111" s="121" t="s">
        <v>12</v>
      </c>
      <c r="N111" s="121" t="s">
        <v>12</v>
      </c>
      <c r="O111" s="67"/>
      <c r="P111" s="67"/>
      <c r="Q111" s="67"/>
    </row>
    <row r="112" spans="1:17" x14ac:dyDescent="0.25">
      <c r="A112" s="12" t="s">
        <v>112</v>
      </c>
      <c r="B112" s="19">
        <v>0</v>
      </c>
      <c r="C112" s="19">
        <v>0</v>
      </c>
      <c r="D112" s="19">
        <v>0</v>
      </c>
      <c r="E112" s="27">
        <v>11587</v>
      </c>
      <c r="F112" s="19">
        <v>0</v>
      </c>
      <c r="G112" s="17">
        <v>4268</v>
      </c>
      <c r="H112" s="116" t="s">
        <v>396</v>
      </c>
      <c r="I112" s="106" t="s">
        <v>12</v>
      </c>
      <c r="J112" s="106" t="s">
        <v>12</v>
      </c>
      <c r="K112" s="106" t="s">
        <v>12</v>
      </c>
      <c r="L112" s="124">
        <v>168406</v>
      </c>
      <c r="M112" s="124">
        <v>130455</v>
      </c>
      <c r="N112" s="124">
        <v>117101</v>
      </c>
      <c r="O112" s="67"/>
      <c r="P112" s="67"/>
      <c r="Q112" s="67"/>
    </row>
    <row r="113" spans="1:17" x14ac:dyDescent="0.25">
      <c r="A113" s="14" t="s">
        <v>113</v>
      </c>
      <c r="B113" s="18">
        <v>808000</v>
      </c>
      <c r="C113" s="18">
        <v>834000</v>
      </c>
      <c r="D113" s="18">
        <v>950000</v>
      </c>
      <c r="E113" s="28">
        <v>0</v>
      </c>
      <c r="F113" s="20">
        <v>0</v>
      </c>
      <c r="G113" s="20">
        <v>0</v>
      </c>
      <c r="H113" s="117" t="s">
        <v>397</v>
      </c>
      <c r="I113" s="109">
        <v>649000</v>
      </c>
      <c r="J113" s="109">
        <v>468000</v>
      </c>
      <c r="K113" s="109">
        <v>553000</v>
      </c>
      <c r="L113" s="123">
        <v>70364</v>
      </c>
      <c r="M113" s="123">
        <v>49079</v>
      </c>
      <c r="N113" s="123">
        <v>58335</v>
      </c>
      <c r="O113" s="67"/>
      <c r="P113" s="67"/>
      <c r="Q113" s="67"/>
    </row>
    <row r="114" spans="1:17" x14ac:dyDescent="0.25">
      <c r="A114" s="12" t="s">
        <v>114</v>
      </c>
      <c r="B114" s="17">
        <v>808000</v>
      </c>
      <c r="C114" s="17">
        <v>834000</v>
      </c>
      <c r="D114" s="17">
        <v>950000</v>
      </c>
      <c r="E114" s="29">
        <v>0</v>
      </c>
      <c r="F114" s="19">
        <v>0</v>
      </c>
      <c r="G114" s="19">
        <v>0</v>
      </c>
      <c r="H114" s="116" t="s">
        <v>398</v>
      </c>
      <c r="I114" s="110">
        <v>394000</v>
      </c>
      <c r="J114" s="110">
        <v>357000</v>
      </c>
      <c r="K114" s="110">
        <v>16000</v>
      </c>
      <c r="L114" s="124">
        <v>10388</v>
      </c>
      <c r="M114" s="124">
        <v>9774</v>
      </c>
      <c r="N114" s="124">
        <v>10125</v>
      </c>
      <c r="O114" s="67"/>
      <c r="P114" s="67"/>
      <c r="Q114" s="67"/>
    </row>
    <row r="115" spans="1:17" x14ac:dyDescent="0.25">
      <c r="A115" s="14" t="s">
        <v>115</v>
      </c>
      <c r="B115" s="20">
        <v>0</v>
      </c>
      <c r="C115" s="20">
        <v>0</v>
      </c>
      <c r="D115" s="20">
        <v>0</v>
      </c>
      <c r="E115" s="28">
        <v>0</v>
      </c>
      <c r="F115" s="20">
        <v>0</v>
      </c>
      <c r="G115" s="20">
        <v>0</v>
      </c>
      <c r="H115" s="117" t="s">
        <v>399</v>
      </c>
      <c r="I115" s="107" t="s">
        <v>12</v>
      </c>
      <c r="J115" s="107" t="s">
        <v>12</v>
      </c>
      <c r="K115" s="109">
        <v>83000</v>
      </c>
      <c r="L115" s="121" t="s">
        <v>12</v>
      </c>
      <c r="M115" s="121" t="s">
        <v>12</v>
      </c>
      <c r="N115" s="121" t="s">
        <v>12</v>
      </c>
      <c r="O115" s="67"/>
      <c r="P115" s="67"/>
      <c r="Q115" s="67"/>
    </row>
    <row r="116" spans="1:17" x14ac:dyDescent="0.25">
      <c r="A116" s="12" t="s">
        <v>116</v>
      </c>
      <c r="B116" s="17">
        <v>229000</v>
      </c>
      <c r="C116" s="17">
        <v>136000</v>
      </c>
      <c r="D116" s="17">
        <v>72000</v>
      </c>
      <c r="E116" s="27">
        <v>1259359</v>
      </c>
      <c r="F116" s="17">
        <v>1240778</v>
      </c>
      <c r="G116" s="17">
        <v>361002</v>
      </c>
      <c r="H116" s="116" t="s">
        <v>489</v>
      </c>
      <c r="I116" s="106" t="s">
        <v>12</v>
      </c>
      <c r="J116" s="106" t="s">
        <v>12</v>
      </c>
      <c r="K116" s="106" t="s">
        <v>12</v>
      </c>
      <c r="L116" s="120" t="s">
        <v>12</v>
      </c>
      <c r="M116" s="120" t="s">
        <v>12</v>
      </c>
      <c r="N116" s="120" t="s">
        <v>12</v>
      </c>
      <c r="O116" s="67"/>
      <c r="P116" s="67"/>
      <c r="Q116" s="67"/>
    </row>
    <row r="117" spans="1:17" x14ac:dyDescent="0.25">
      <c r="A117" s="14" t="s">
        <v>117</v>
      </c>
      <c r="B117" s="18">
        <v>3493000</v>
      </c>
      <c r="C117" s="18">
        <v>3969000</v>
      </c>
      <c r="D117" s="18">
        <v>3273000</v>
      </c>
      <c r="E117" s="26">
        <v>2686432</v>
      </c>
      <c r="F117" s="18">
        <v>2802536</v>
      </c>
      <c r="G117" s="18">
        <v>3326442</v>
      </c>
      <c r="H117" s="117" t="s">
        <v>400</v>
      </c>
      <c r="I117" s="109">
        <v>1633000</v>
      </c>
      <c r="J117" s="109">
        <v>112000</v>
      </c>
      <c r="K117" s="107" t="s">
        <v>12</v>
      </c>
      <c r="L117" s="121" t="s">
        <v>12</v>
      </c>
      <c r="M117" s="121" t="s">
        <v>12</v>
      </c>
      <c r="N117" s="121" t="s">
        <v>12</v>
      </c>
      <c r="O117" s="67"/>
      <c r="P117" s="67"/>
      <c r="Q117" s="67"/>
    </row>
    <row r="118" spans="1:17" x14ac:dyDescent="0.25">
      <c r="A118" s="12" t="s">
        <v>118</v>
      </c>
      <c r="B118" s="17">
        <v>218000</v>
      </c>
      <c r="C118" s="17">
        <v>240000</v>
      </c>
      <c r="D118" s="17">
        <v>217000</v>
      </c>
      <c r="E118" s="27">
        <v>169147</v>
      </c>
      <c r="F118" s="17">
        <v>169494</v>
      </c>
      <c r="G118" s="17">
        <v>159279</v>
      </c>
      <c r="H118" s="116" t="s">
        <v>401</v>
      </c>
      <c r="I118" s="110">
        <v>4092000</v>
      </c>
      <c r="J118" s="110">
        <v>5946000</v>
      </c>
      <c r="K118" s="110">
        <v>6043000</v>
      </c>
      <c r="L118" s="124">
        <v>1809809</v>
      </c>
      <c r="M118" s="124">
        <v>2277356</v>
      </c>
      <c r="N118" s="124">
        <v>2105120</v>
      </c>
      <c r="O118" s="67"/>
      <c r="P118" s="67"/>
      <c r="Q118" s="67"/>
    </row>
    <row r="119" spans="1:17" x14ac:dyDescent="0.25">
      <c r="A119" s="14" t="s">
        <v>119</v>
      </c>
      <c r="B119" s="15" t="s">
        <v>12</v>
      </c>
      <c r="C119" s="15" t="s">
        <v>12</v>
      </c>
      <c r="D119" s="15" t="s">
        <v>12</v>
      </c>
      <c r="E119" s="24" t="s">
        <v>12</v>
      </c>
      <c r="F119" s="15" t="s">
        <v>12</v>
      </c>
      <c r="G119" s="15" t="s">
        <v>12</v>
      </c>
      <c r="H119" s="117" t="s">
        <v>402</v>
      </c>
      <c r="I119" s="109">
        <v>20000</v>
      </c>
      <c r="J119" s="109">
        <v>19000</v>
      </c>
      <c r="K119" s="109">
        <v>42000</v>
      </c>
      <c r="L119" s="121" t="s">
        <v>12</v>
      </c>
      <c r="M119" s="121" t="s">
        <v>12</v>
      </c>
      <c r="N119" s="121" t="s">
        <v>12</v>
      </c>
      <c r="O119" s="67"/>
      <c r="P119" s="67"/>
      <c r="Q119" s="67"/>
    </row>
    <row r="120" spans="1:17" x14ac:dyDescent="0.25">
      <c r="A120" s="12" t="s">
        <v>120</v>
      </c>
      <c r="B120" s="13" t="s">
        <v>12</v>
      </c>
      <c r="C120" s="13" t="s">
        <v>12</v>
      </c>
      <c r="D120" s="13" t="s">
        <v>12</v>
      </c>
      <c r="E120" s="23" t="s">
        <v>12</v>
      </c>
      <c r="F120" s="13" t="s">
        <v>12</v>
      </c>
      <c r="G120" s="13" t="s">
        <v>12</v>
      </c>
      <c r="H120" s="116" t="s">
        <v>403</v>
      </c>
      <c r="I120" s="110">
        <v>61000</v>
      </c>
      <c r="J120" s="110">
        <v>10000</v>
      </c>
      <c r="K120" s="110">
        <v>1529000</v>
      </c>
      <c r="L120" s="120" t="s">
        <v>12</v>
      </c>
      <c r="M120" s="120" t="s">
        <v>12</v>
      </c>
      <c r="N120" s="124">
        <v>592826</v>
      </c>
      <c r="O120" s="67"/>
      <c r="P120" s="67"/>
      <c r="Q120" s="67"/>
    </row>
    <row r="121" spans="1:17" x14ac:dyDescent="0.25">
      <c r="A121" s="14" t="s">
        <v>121</v>
      </c>
      <c r="B121" s="15" t="s">
        <v>12</v>
      </c>
      <c r="C121" s="15" t="s">
        <v>12</v>
      </c>
      <c r="D121" s="15" t="s">
        <v>12</v>
      </c>
      <c r="E121" s="24" t="s">
        <v>12</v>
      </c>
      <c r="F121" s="15" t="s">
        <v>12</v>
      </c>
      <c r="G121" s="15" t="s">
        <v>12</v>
      </c>
      <c r="H121" s="117" t="s">
        <v>404</v>
      </c>
      <c r="I121" s="109">
        <v>11000</v>
      </c>
      <c r="J121" s="109">
        <v>2074000</v>
      </c>
      <c r="K121" s="107" t="s">
        <v>12</v>
      </c>
      <c r="L121" s="123">
        <v>366405</v>
      </c>
      <c r="M121" s="123">
        <v>764430</v>
      </c>
      <c r="N121" s="121" t="s">
        <v>12</v>
      </c>
      <c r="O121" s="67"/>
      <c r="P121" s="67"/>
      <c r="Q121" s="67"/>
    </row>
    <row r="122" spans="1:17" x14ac:dyDescent="0.25">
      <c r="A122" s="12" t="s">
        <v>122</v>
      </c>
      <c r="B122" s="13" t="s">
        <v>12</v>
      </c>
      <c r="C122" s="13" t="s">
        <v>12</v>
      </c>
      <c r="D122" s="13" t="s">
        <v>12</v>
      </c>
      <c r="E122" s="23" t="s">
        <v>12</v>
      </c>
      <c r="F122" s="13" t="s">
        <v>12</v>
      </c>
      <c r="G122" s="13" t="s">
        <v>12</v>
      </c>
      <c r="H122" s="116" t="s">
        <v>405</v>
      </c>
      <c r="I122" s="110">
        <v>348000</v>
      </c>
      <c r="J122" s="110">
        <v>66000</v>
      </c>
      <c r="K122" s="106" t="s">
        <v>12</v>
      </c>
      <c r="L122" s="120" t="s">
        <v>12</v>
      </c>
      <c r="M122" s="120" t="s">
        <v>12</v>
      </c>
      <c r="N122" s="120" t="s">
        <v>12</v>
      </c>
      <c r="O122" s="67"/>
      <c r="P122" s="67"/>
      <c r="Q122" s="67"/>
    </row>
    <row r="123" spans="1:17" x14ac:dyDescent="0.25">
      <c r="A123" s="14" t="s">
        <v>123</v>
      </c>
      <c r="B123" s="20">
        <v>0</v>
      </c>
      <c r="C123" s="20">
        <v>0</v>
      </c>
      <c r="D123" s="20">
        <v>0</v>
      </c>
      <c r="E123" s="28">
        <v>0</v>
      </c>
      <c r="F123" s="20">
        <v>0</v>
      </c>
      <c r="G123" s="20">
        <v>0</v>
      </c>
      <c r="H123" s="117" t="s">
        <v>406</v>
      </c>
      <c r="I123" s="109">
        <v>2367000</v>
      </c>
      <c r="J123" s="109">
        <v>2469000</v>
      </c>
      <c r="K123" s="109">
        <v>2421000</v>
      </c>
      <c r="L123" s="123">
        <v>865405</v>
      </c>
      <c r="M123" s="123">
        <v>1027813</v>
      </c>
      <c r="N123" s="123">
        <v>1106528</v>
      </c>
      <c r="O123" s="67"/>
      <c r="P123" s="67"/>
      <c r="Q123" s="67"/>
    </row>
    <row r="124" spans="1:17" x14ac:dyDescent="0.25">
      <c r="A124" s="12" t="s">
        <v>124</v>
      </c>
      <c r="B124" s="17">
        <v>2132000</v>
      </c>
      <c r="C124" s="17">
        <v>2371000</v>
      </c>
      <c r="D124" s="17">
        <v>2266000</v>
      </c>
      <c r="E124" s="27">
        <v>731556</v>
      </c>
      <c r="F124" s="17">
        <v>863913</v>
      </c>
      <c r="G124" s="17">
        <v>1100466</v>
      </c>
      <c r="H124" s="116" t="s">
        <v>490</v>
      </c>
      <c r="I124" s="110">
        <v>185000</v>
      </c>
      <c r="J124" s="110">
        <v>201000</v>
      </c>
      <c r="K124" s="110">
        <v>221000</v>
      </c>
      <c r="L124" s="120" t="s">
        <v>12</v>
      </c>
      <c r="M124" s="120" t="s">
        <v>12</v>
      </c>
      <c r="N124" s="120" t="s">
        <v>12</v>
      </c>
      <c r="O124" s="67"/>
      <c r="P124" s="67"/>
      <c r="Q124" s="67"/>
    </row>
    <row r="125" spans="1:17" x14ac:dyDescent="0.25">
      <c r="A125" s="14" t="s">
        <v>125</v>
      </c>
      <c r="B125" s="18">
        <v>2132000</v>
      </c>
      <c r="C125" s="18">
        <v>2371000</v>
      </c>
      <c r="D125" s="18">
        <v>2266000</v>
      </c>
      <c r="E125" s="26">
        <v>731556</v>
      </c>
      <c r="F125" s="18">
        <v>863913</v>
      </c>
      <c r="G125" s="18">
        <v>1100466</v>
      </c>
      <c r="H125" s="117" t="s">
        <v>407</v>
      </c>
      <c r="I125" s="109">
        <v>28000</v>
      </c>
      <c r="J125" s="109">
        <v>54000</v>
      </c>
      <c r="K125" s="109">
        <v>19000</v>
      </c>
      <c r="L125" s="123">
        <v>141466</v>
      </c>
      <c r="M125" s="123">
        <v>93145</v>
      </c>
      <c r="N125" s="123">
        <v>10258</v>
      </c>
      <c r="O125" s="67"/>
      <c r="P125" s="67"/>
      <c r="Q125" s="67"/>
    </row>
    <row r="126" spans="1:17" x14ac:dyDescent="0.25">
      <c r="A126" s="12" t="s">
        <v>101</v>
      </c>
      <c r="B126" s="13" t="s">
        <v>12</v>
      </c>
      <c r="C126" s="13" t="s">
        <v>12</v>
      </c>
      <c r="D126" s="13" t="s">
        <v>12</v>
      </c>
      <c r="E126" s="23" t="s">
        <v>12</v>
      </c>
      <c r="F126" s="13" t="s">
        <v>12</v>
      </c>
      <c r="G126" s="13" t="s">
        <v>12</v>
      </c>
      <c r="H126" s="116" t="s">
        <v>491</v>
      </c>
      <c r="I126" s="110">
        <v>242000</v>
      </c>
      <c r="J126" s="110">
        <v>217000</v>
      </c>
      <c r="K126" s="110">
        <v>854000</v>
      </c>
      <c r="L126" s="120" t="s">
        <v>12</v>
      </c>
      <c r="M126" s="120" t="s">
        <v>12</v>
      </c>
      <c r="N126" s="120" t="s">
        <v>12</v>
      </c>
      <c r="O126" s="67"/>
      <c r="P126" s="67"/>
      <c r="Q126" s="67"/>
    </row>
    <row r="127" spans="1:17" x14ac:dyDescent="0.25">
      <c r="A127" s="14" t="s">
        <v>126</v>
      </c>
      <c r="B127" s="20">
        <v>0</v>
      </c>
      <c r="C127" s="20">
        <v>0</v>
      </c>
      <c r="D127" s="20">
        <v>0</v>
      </c>
      <c r="E127" s="28">
        <v>0</v>
      </c>
      <c r="F127" s="20">
        <v>0</v>
      </c>
      <c r="G127" s="20">
        <v>0</v>
      </c>
      <c r="H127" s="117" t="s">
        <v>408</v>
      </c>
      <c r="I127" s="109">
        <v>830000</v>
      </c>
      <c r="J127" s="109">
        <v>836000</v>
      </c>
      <c r="K127" s="109">
        <v>479000</v>
      </c>
      <c r="L127" s="123">
        <v>108243</v>
      </c>
      <c r="M127" s="123">
        <v>96553</v>
      </c>
      <c r="N127" s="123">
        <v>104778</v>
      </c>
      <c r="O127" s="67"/>
      <c r="P127" s="67"/>
      <c r="Q127" s="67"/>
    </row>
    <row r="128" spans="1:17" x14ac:dyDescent="0.25">
      <c r="A128" s="12" t="s">
        <v>103</v>
      </c>
      <c r="B128" s="13" t="s">
        <v>12</v>
      </c>
      <c r="C128" s="13" t="s">
        <v>12</v>
      </c>
      <c r="D128" s="13" t="s">
        <v>12</v>
      </c>
      <c r="E128" s="23" t="s">
        <v>12</v>
      </c>
      <c r="F128" s="13" t="s">
        <v>12</v>
      </c>
      <c r="G128" s="13" t="s">
        <v>12</v>
      </c>
      <c r="H128" s="116" t="s">
        <v>409</v>
      </c>
      <c r="I128" s="106" t="s">
        <v>12</v>
      </c>
      <c r="J128" s="106" t="s">
        <v>12</v>
      </c>
      <c r="K128" s="110">
        <v>478000</v>
      </c>
      <c r="L128" s="124">
        <v>328290</v>
      </c>
      <c r="M128" s="124">
        <v>295415</v>
      </c>
      <c r="N128" s="124">
        <v>290730</v>
      </c>
      <c r="O128" s="67"/>
      <c r="P128" s="67"/>
      <c r="Q128" s="67"/>
    </row>
    <row r="129" spans="1:17" x14ac:dyDescent="0.25">
      <c r="A129" s="14" t="s">
        <v>127</v>
      </c>
      <c r="B129" s="15" t="s">
        <v>12</v>
      </c>
      <c r="C129" s="15" t="s">
        <v>12</v>
      </c>
      <c r="D129" s="15" t="s">
        <v>12</v>
      </c>
      <c r="E129" s="24" t="s">
        <v>12</v>
      </c>
      <c r="F129" s="15" t="s">
        <v>12</v>
      </c>
      <c r="G129" s="15" t="s">
        <v>12</v>
      </c>
      <c r="H129" s="117" t="s">
        <v>492</v>
      </c>
      <c r="I129" s="107" t="s">
        <v>12</v>
      </c>
      <c r="J129" s="107" t="s">
        <v>12</v>
      </c>
      <c r="K129" s="107" t="s">
        <v>12</v>
      </c>
      <c r="L129" s="121" t="s">
        <v>12</v>
      </c>
      <c r="M129" s="121" t="s">
        <v>12</v>
      </c>
      <c r="N129" s="121" t="s">
        <v>12</v>
      </c>
      <c r="O129" s="67"/>
      <c r="P129" s="67"/>
      <c r="Q129" s="67"/>
    </row>
    <row r="130" spans="1:17" x14ac:dyDescent="0.25">
      <c r="A130" s="12" t="s">
        <v>128</v>
      </c>
      <c r="B130" s="17">
        <v>65000</v>
      </c>
      <c r="C130" s="17">
        <v>46000</v>
      </c>
      <c r="D130" s="17">
        <v>66000</v>
      </c>
      <c r="E130" s="27">
        <v>28848</v>
      </c>
      <c r="F130" s="17">
        <v>22155</v>
      </c>
      <c r="G130" s="17">
        <v>71059</v>
      </c>
      <c r="H130" s="116" t="s">
        <v>493</v>
      </c>
      <c r="I130" s="106" t="s">
        <v>12</v>
      </c>
      <c r="J130" s="106" t="s">
        <v>12</v>
      </c>
      <c r="K130" s="106" t="s">
        <v>12</v>
      </c>
      <c r="L130" s="120" t="s">
        <v>12</v>
      </c>
      <c r="M130" s="120" t="s">
        <v>12</v>
      </c>
      <c r="N130" s="120" t="s">
        <v>12</v>
      </c>
      <c r="O130" s="67"/>
      <c r="P130" s="67"/>
      <c r="Q130" s="67"/>
    </row>
    <row r="131" spans="1:17" x14ac:dyDescent="0.25">
      <c r="A131" s="14" t="s">
        <v>129</v>
      </c>
      <c r="B131" s="18">
        <v>1000</v>
      </c>
      <c r="C131" s="18">
        <v>52000</v>
      </c>
      <c r="D131" s="20">
        <v>0</v>
      </c>
      <c r="E131" s="26">
        <v>6260</v>
      </c>
      <c r="F131" s="20">
        <v>0</v>
      </c>
      <c r="G131" s="20">
        <v>0</v>
      </c>
      <c r="H131" s="117" t="s">
        <v>494</v>
      </c>
      <c r="I131" s="107" t="s">
        <v>12</v>
      </c>
      <c r="J131" s="107" t="s">
        <v>12</v>
      </c>
      <c r="K131" s="107" t="s">
        <v>12</v>
      </c>
      <c r="L131" s="121" t="s">
        <v>12</v>
      </c>
      <c r="M131" s="121" t="s">
        <v>12</v>
      </c>
      <c r="N131" s="121" t="s">
        <v>12</v>
      </c>
      <c r="O131" s="67"/>
      <c r="P131" s="67"/>
      <c r="Q131" s="67"/>
    </row>
    <row r="132" spans="1:17" x14ac:dyDescent="0.25">
      <c r="A132" s="12" t="s">
        <v>108</v>
      </c>
      <c r="B132" s="13" t="s">
        <v>12</v>
      </c>
      <c r="C132" s="13" t="s">
        <v>12</v>
      </c>
      <c r="D132" s="13" t="s">
        <v>12</v>
      </c>
      <c r="E132" s="23" t="s">
        <v>12</v>
      </c>
      <c r="F132" s="13" t="s">
        <v>12</v>
      </c>
      <c r="G132" s="13" t="s">
        <v>12</v>
      </c>
      <c r="I132" s="67"/>
      <c r="J132" s="67"/>
      <c r="K132" s="67"/>
      <c r="L132" s="67"/>
      <c r="M132" s="67"/>
      <c r="N132" s="67"/>
      <c r="O132" s="67"/>
      <c r="P132" s="67"/>
      <c r="Q132" s="67"/>
    </row>
    <row r="133" spans="1:17" x14ac:dyDescent="0.25">
      <c r="A133" s="14" t="s">
        <v>109</v>
      </c>
      <c r="B133" s="18">
        <v>1000</v>
      </c>
      <c r="C133" s="18">
        <v>52000</v>
      </c>
      <c r="D133" s="20">
        <v>0</v>
      </c>
      <c r="E133" s="28">
        <v>0</v>
      </c>
      <c r="F133" s="20">
        <v>0</v>
      </c>
      <c r="G133" s="20">
        <v>0</v>
      </c>
      <c r="I133" s="67"/>
      <c r="J133" s="67"/>
      <c r="K133" s="67"/>
      <c r="L133" s="67"/>
      <c r="M133" s="67"/>
      <c r="N133" s="67"/>
      <c r="O133" s="67"/>
      <c r="P133" s="67"/>
      <c r="Q133" s="67"/>
    </row>
    <row r="134" spans="1:17" x14ac:dyDescent="0.25">
      <c r="A134" s="12" t="s">
        <v>110</v>
      </c>
      <c r="B134" s="13" t="s">
        <v>12</v>
      </c>
      <c r="C134" s="13" t="s">
        <v>12</v>
      </c>
      <c r="D134" s="13" t="s">
        <v>12</v>
      </c>
      <c r="E134" s="23" t="s">
        <v>12</v>
      </c>
      <c r="F134" s="13" t="s">
        <v>12</v>
      </c>
      <c r="G134" s="13" t="s">
        <v>12</v>
      </c>
      <c r="H134" s="118" t="s">
        <v>176</v>
      </c>
      <c r="I134" s="108">
        <v>2019</v>
      </c>
      <c r="J134" s="108">
        <v>2018</v>
      </c>
      <c r="K134" s="108">
        <v>2017</v>
      </c>
      <c r="L134" s="122">
        <v>2019</v>
      </c>
      <c r="M134" s="122">
        <v>2018</v>
      </c>
      <c r="N134" s="122">
        <v>2017</v>
      </c>
      <c r="O134" s="67"/>
      <c r="P134" s="67"/>
      <c r="Q134" s="67"/>
    </row>
    <row r="135" spans="1:17" x14ac:dyDescent="0.25">
      <c r="A135" s="14" t="s">
        <v>111</v>
      </c>
      <c r="B135" s="15" t="s">
        <v>12</v>
      </c>
      <c r="C135" s="15" t="s">
        <v>12</v>
      </c>
      <c r="D135" s="15" t="s">
        <v>12</v>
      </c>
      <c r="E135" s="24" t="s">
        <v>12</v>
      </c>
      <c r="F135" s="15" t="s">
        <v>12</v>
      </c>
      <c r="G135" s="15" t="s">
        <v>12</v>
      </c>
      <c r="H135" s="117" t="s">
        <v>410</v>
      </c>
      <c r="I135" s="109">
        <v>2776000</v>
      </c>
      <c r="J135" s="109">
        <v>1812000</v>
      </c>
      <c r="K135" s="109">
        <v>2064000</v>
      </c>
      <c r="L135" s="123">
        <v>2229725</v>
      </c>
      <c r="M135" s="123">
        <v>2037397</v>
      </c>
      <c r="N135" s="123">
        <v>1389338</v>
      </c>
      <c r="O135" s="67"/>
      <c r="P135" s="67"/>
      <c r="Q135" s="67"/>
    </row>
    <row r="136" spans="1:17" x14ac:dyDescent="0.25">
      <c r="A136" s="12" t="s">
        <v>130</v>
      </c>
      <c r="B136" s="19">
        <v>0</v>
      </c>
      <c r="C136" s="19">
        <v>0</v>
      </c>
      <c r="D136" s="19">
        <v>0</v>
      </c>
      <c r="E136" s="27">
        <v>6260</v>
      </c>
      <c r="F136" s="19">
        <v>0</v>
      </c>
      <c r="G136" s="19">
        <v>0</v>
      </c>
      <c r="H136" s="116" t="s">
        <v>411</v>
      </c>
      <c r="I136" s="110">
        <v>91000</v>
      </c>
      <c r="J136" s="110">
        <v>10000</v>
      </c>
      <c r="K136" s="110">
        <v>-60000</v>
      </c>
      <c r="L136" s="124">
        <v>1154746</v>
      </c>
      <c r="M136" s="124">
        <v>997656</v>
      </c>
      <c r="N136" s="124">
        <v>629310</v>
      </c>
      <c r="O136" s="67"/>
      <c r="P136" s="67"/>
      <c r="Q136" s="67"/>
    </row>
    <row r="137" spans="1:17" x14ac:dyDescent="0.25">
      <c r="A137" s="14" t="s">
        <v>131</v>
      </c>
      <c r="B137" s="18">
        <v>404000</v>
      </c>
      <c r="C137" s="18">
        <v>611000</v>
      </c>
      <c r="D137" s="18">
        <v>646000</v>
      </c>
      <c r="E137" s="26">
        <v>294317</v>
      </c>
      <c r="F137" s="18">
        <v>353690</v>
      </c>
      <c r="G137" s="18">
        <v>628725</v>
      </c>
      <c r="H137" s="117" t="s">
        <v>412</v>
      </c>
      <c r="I137" s="107" t="s">
        <v>12</v>
      </c>
      <c r="J137" s="107" t="s">
        <v>12</v>
      </c>
      <c r="K137" s="107" t="s">
        <v>12</v>
      </c>
      <c r="L137" s="121" t="s">
        <v>12</v>
      </c>
      <c r="M137" s="121" t="s">
        <v>12</v>
      </c>
      <c r="N137" s="121" t="s">
        <v>12</v>
      </c>
      <c r="O137" s="67"/>
      <c r="P137" s="67"/>
      <c r="Q137" s="67"/>
    </row>
    <row r="138" spans="1:17" x14ac:dyDescent="0.25">
      <c r="A138" s="12" t="s">
        <v>132</v>
      </c>
      <c r="B138" s="13" t="s">
        <v>12</v>
      </c>
      <c r="C138" s="13" t="s">
        <v>12</v>
      </c>
      <c r="D138" s="13" t="s">
        <v>12</v>
      </c>
      <c r="E138" s="23" t="s">
        <v>12</v>
      </c>
      <c r="F138" s="13" t="s">
        <v>12</v>
      </c>
      <c r="G138" s="13" t="s">
        <v>12</v>
      </c>
      <c r="H138" s="116" t="s">
        <v>413</v>
      </c>
      <c r="I138" s="110">
        <v>2748000</v>
      </c>
      <c r="J138" s="110">
        <v>2541000</v>
      </c>
      <c r="K138" s="110">
        <v>2572000</v>
      </c>
      <c r="L138" s="124">
        <v>906264</v>
      </c>
      <c r="M138" s="124">
        <v>789290</v>
      </c>
      <c r="N138" s="124">
        <v>797256</v>
      </c>
      <c r="O138" s="67"/>
      <c r="P138" s="67"/>
      <c r="Q138" s="67"/>
    </row>
    <row r="139" spans="1:17" x14ac:dyDescent="0.25">
      <c r="A139" s="14" t="s">
        <v>133</v>
      </c>
      <c r="B139" s="15" t="s">
        <v>12</v>
      </c>
      <c r="C139" s="15" t="s">
        <v>12</v>
      </c>
      <c r="D139" s="15" t="s">
        <v>12</v>
      </c>
      <c r="E139" s="24" t="s">
        <v>12</v>
      </c>
      <c r="F139" s="15" t="s">
        <v>12</v>
      </c>
      <c r="G139" s="15" t="s">
        <v>12</v>
      </c>
      <c r="H139" s="117" t="s">
        <v>414</v>
      </c>
      <c r="I139" s="109">
        <v>-7000</v>
      </c>
      <c r="J139" s="109">
        <v>-3000</v>
      </c>
      <c r="K139" s="109">
        <v>2000</v>
      </c>
      <c r="L139" s="123">
        <v>-4699</v>
      </c>
      <c r="M139" s="123">
        <v>5743</v>
      </c>
      <c r="N139" s="123">
        <v>-64083</v>
      </c>
      <c r="O139" s="67"/>
      <c r="P139" s="67"/>
      <c r="Q139" s="67"/>
    </row>
    <row r="140" spans="1:17" x14ac:dyDescent="0.25">
      <c r="A140" s="12" t="s">
        <v>134</v>
      </c>
      <c r="B140" s="17">
        <v>673000</v>
      </c>
      <c r="C140" s="17">
        <v>649000</v>
      </c>
      <c r="D140" s="17">
        <v>78000</v>
      </c>
      <c r="E140" s="27">
        <v>1455922</v>
      </c>
      <c r="F140" s="17">
        <v>1392630</v>
      </c>
      <c r="G140" s="17">
        <v>1366913</v>
      </c>
      <c r="H140" s="116" t="s">
        <v>415</v>
      </c>
      <c r="I140" s="110">
        <v>298000</v>
      </c>
      <c r="J140" s="110">
        <v>305000</v>
      </c>
      <c r="K140" s="110">
        <v>-331000</v>
      </c>
      <c r="L140" s="124">
        <v>346212</v>
      </c>
      <c r="M140" s="124">
        <v>368479</v>
      </c>
      <c r="N140" s="124">
        <v>372928</v>
      </c>
      <c r="O140" s="67"/>
      <c r="P140" s="67"/>
      <c r="Q140" s="67"/>
    </row>
    <row r="141" spans="1:17" x14ac:dyDescent="0.25">
      <c r="A141" s="14" t="s">
        <v>135</v>
      </c>
      <c r="B141" s="20">
        <v>0</v>
      </c>
      <c r="C141" s="20">
        <v>0</v>
      </c>
      <c r="D141" s="20">
        <v>0</v>
      </c>
      <c r="E141" s="28">
        <v>0</v>
      </c>
      <c r="F141" s="20">
        <v>0</v>
      </c>
      <c r="G141" s="20">
        <v>0</v>
      </c>
      <c r="H141" s="117" t="s">
        <v>495</v>
      </c>
      <c r="I141" s="109">
        <v>-270000</v>
      </c>
      <c r="J141" s="109">
        <v>-192000</v>
      </c>
      <c r="K141" s="109">
        <v>223000</v>
      </c>
      <c r="L141" s="123">
        <v>-9310</v>
      </c>
      <c r="M141" s="123">
        <v>-10422</v>
      </c>
      <c r="N141" s="123">
        <v>-5780</v>
      </c>
      <c r="O141" s="67"/>
      <c r="P141" s="67"/>
      <c r="Q141" s="67"/>
    </row>
    <row r="142" spans="1:17" x14ac:dyDescent="0.25">
      <c r="A142" s="12" t="s">
        <v>136</v>
      </c>
      <c r="B142" s="13" t="s">
        <v>12</v>
      </c>
      <c r="C142" s="13" t="s">
        <v>12</v>
      </c>
      <c r="D142" s="13" t="s">
        <v>12</v>
      </c>
      <c r="E142" s="23" t="s">
        <v>12</v>
      </c>
      <c r="F142" s="13" t="s">
        <v>12</v>
      </c>
      <c r="G142" s="13" t="s">
        <v>12</v>
      </c>
      <c r="H142" s="116" t="s">
        <v>496</v>
      </c>
      <c r="I142" s="106" t="s">
        <v>12</v>
      </c>
      <c r="J142" s="106" t="s">
        <v>12</v>
      </c>
      <c r="K142" s="106" t="s">
        <v>12</v>
      </c>
      <c r="L142" s="120" t="s">
        <v>12</v>
      </c>
      <c r="M142" s="120" t="s">
        <v>12</v>
      </c>
      <c r="N142" s="120" t="s">
        <v>12</v>
      </c>
      <c r="O142" s="67"/>
      <c r="P142" s="67"/>
      <c r="Q142" s="67"/>
    </row>
    <row r="143" spans="1:17" x14ac:dyDescent="0.25">
      <c r="A143" s="14" t="s">
        <v>137</v>
      </c>
      <c r="B143" s="18">
        <v>24340000</v>
      </c>
      <c r="C143" s="18">
        <v>23295000</v>
      </c>
      <c r="D143" s="18">
        <v>22933000</v>
      </c>
      <c r="E143" s="26">
        <v>8885641</v>
      </c>
      <c r="F143" s="18">
        <v>8520538</v>
      </c>
      <c r="G143" s="18">
        <v>8830969</v>
      </c>
      <c r="H143" s="117" t="s">
        <v>497</v>
      </c>
      <c r="I143" s="107" t="s">
        <v>12</v>
      </c>
      <c r="J143" s="107" t="s">
        <v>12</v>
      </c>
      <c r="K143" s="109">
        <v>6000</v>
      </c>
      <c r="L143" s="121" t="s">
        <v>12</v>
      </c>
      <c r="M143" s="121" t="s">
        <v>12</v>
      </c>
      <c r="N143" s="123">
        <v>174927</v>
      </c>
      <c r="O143" s="67"/>
      <c r="P143" s="67"/>
      <c r="Q143" s="67"/>
    </row>
    <row r="144" spans="1:17" x14ac:dyDescent="0.25">
      <c r="A144" s="12" t="s">
        <v>138</v>
      </c>
      <c r="B144" s="17">
        <v>10568000</v>
      </c>
      <c r="C144" s="17">
        <v>10505000</v>
      </c>
      <c r="D144" s="17">
        <v>9938000</v>
      </c>
      <c r="E144" s="27">
        <v>321653</v>
      </c>
      <c r="F144" s="17">
        <v>-200538</v>
      </c>
      <c r="G144" s="17">
        <v>-212579</v>
      </c>
      <c r="H144" s="116" t="s">
        <v>416</v>
      </c>
      <c r="I144" s="110">
        <v>27000</v>
      </c>
      <c r="J144" s="110">
        <v>30000</v>
      </c>
      <c r="K144" s="106" t="s">
        <v>12</v>
      </c>
      <c r="L144" s="120" t="s">
        <v>12</v>
      </c>
      <c r="M144" s="120" t="s">
        <v>12</v>
      </c>
      <c r="N144" s="120" t="s">
        <v>12</v>
      </c>
      <c r="O144" s="67"/>
      <c r="P144" s="67"/>
      <c r="Q144" s="67"/>
    </row>
    <row r="145" spans="1:17" x14ac:dyDescent="0.25">
      <c r="A145" s="14" t="s">
        <v>139</v>
      </c>
      <c r="B145" s="18">
        <v>10566000</v>
      </c>
      <c r="C145" s="18">
        <v>10503000</v>
      </c>
      <c r="D145" s="18">
        <v>9936000</v>
      </c>
      <c r="E145" s="26">
        <v>321653</v>
      </c>
      <c r="F145" s="18">
        <v>-200538</v>
      </c>
      <c r="G145" s="18">
        <v>-212579</v>
      </c>
      <c r="H145" s="117" t="s">
        <v>417</v>
      </c>
      <c r="I145" s="109">
        <v>-27000</v>
      </c>
      <c r="J145" s="109">
        <v>-7000</v>
      </c>
      <c r="K145" s="109">
        <v>-23000</v>
      </c>
      <c r="L145" s="123">
        <v>-228643</v>
      </c>
      <c r="M145" s="123">
        <v>-152981</v>
      </c>
      <c r="N145" s="123">
        <v>-201069</v>
      </c>
      <c r="O145" s="67"/>
      <c r="P145" s="67"/>
      <c r="Q145" s="67"/>
    </row>
    <row r="146" spans="1:17" x14ac:dyDescent="0.25">
      <c r="A146" s="12" t="s">
        <v>140</v>
      </c>
      <c r="B146" s="17">
        <v>3937000</v>
      </c>
      <c r="C146" s="17">
        <v>3937000</v>
      </c>
      <c r="D146" s="17">
        <v>3937000</v>
      </c>
      <c r="E146" s="29">
        <v>128</v>
      </c>
      <c r="F146" s="19">
        <v>128</v>
      </c>
      <c r="G146" s="19">
        <v>128</v>
      </c>
      <c r="H146" s="116" t="s">
        <v>498</v>
      </c>
      <c r="I146" s="106" t="s">
        <v>12</v>
      </c>
      <c r="J146" s="106" t="s">
        <v>12</v>
      </c>
      <c r="K146" s="106" t="s">
        <v>12</v>
      </c>
      <c r="L146" s="120" t="s">
        <v>12</v>
      </c>
      <c r="M146" s="120" t="s">
        <v>12</v>
      </c>
      <c r="N146" s="120" t="s">
        <v>12</v>
      </c>
      <c r="O146" s="67"/>
      <c r="P146" s="67"/>
      <c r="Q146" s="67"/>
    </row>
    <row r="147" spans="1:17" x14ac:dyDescent="0.25">
      <c r="A147" s="14" t="s">
        <v>141</v>
      </c>
      <c r="B147" s="18">
        <v>1312357479</v>
      </c>
      <c r="C147" s="18">
        <f>1312357479-C148</f>
        <v>874904986</v>
      </c>
      <c r="D147" s="18">
        <f>1312357479-D148</f>
        <v>874904986</v>
      </c>
      <c r="E147" s="135"/>
      <c r="F147" s="15" t="s">
        <v>12</v>
      </c>
      <c r="G147" s="15" t="s">
        <v>12</v>
      </c>
      <c r="H147" s="117" t="s">
        <v>499</v>
      </c>
      <c r="I147" s="109">
        <v>74000</v>
      </c>
      <c r="J147" s="109">
        <v>-685000</v>
      </c>
      <c r="K147" s="109">
        <v>111000</v>
      </c>
      <c r="L147" s="123">
        <v>17070</v>
      </c>
      <c r="M147" s="123">
        <v>-6105</v>
      </c>
      <c r="N147" s="123">
        <v>-123149</v>
      </c>
      <c r="O147" s="67"/>
      <c r="P147" s="67"/>
      <c r="Q147" s="67"/>
    </row>
    <row r="148" spans="1:17" x14ac:dyDescent="0.25">
      <c r="A148" s="12" t="s">
        <v>142</v>
      </c>
      <c r="B148" s="17">
        <v>0</v>
      </c>
      <c r="C148" s="17">
        <f>B147/3</f>
        <v>437452493</v>
      </c>
      <c r="D148" s="17">
        <f>B147/3</f>
        <v>437452493</v>
      </c>
      <c r="E148" s="136"/>
      <c r="F148" s="13" t="s">
        <v>12</v>
      </c>
      <c r="G148" s="13" t="s">
        <v>12</v>
      </c>
      <c r="H148" s="116" t="s">
        <v>418</v>
      </c>
      <c r="I148" s="110">
        <v>29000</v>
      </c>
      <c r="J148" s="110">
        <v>-25000</v>
      </c>
      <c r="K148" s="110">
        <v>-53000</v>
      </c>
      <c r="L148" s="120" t="s">
        <v>12</v>
      </c>
      <c r="M148" s="120" t="s">
        <v>12</v>
      </c>
      <c r="N148" s="120" t="s">
        <v>12</v>
      </c>
      <c r="O148" s="67"/>
      <c r="P148" s="67"/>
      <c r="Q148" s="67"/>
    </row>
    <row r="149" spans="1:17" x14ac:dyDescent="0.25">
      <c r="A149" s="14" t="s">
        <v>143</v>
      </c>
      <c r="B149" s="15" t="s">
        <v>12</v>
      </c>
      <c r="C149" s="15" t="s">
        <v>12</v>
      </c>
      <c r="D149" s="15" t="s">
        <v>12</v>
      </c>
      <c r="E149" s="24" t="s">
        <v>12</v>
      </c>
      <c r="F149" s="15" t="s">
        <v>12</v>
      </c>
      <c r="G149" s="15" t="s">
        <v>12</v>
      </c>
      <c r="H149" s="117" t="s">
        <v>419</v>
      </c>
      <c r="I149" s="109">
        <v>367000</v>
      </c>
      <c r="J149" s="109">
        <v>-225000</v>
      </c>
      <c r="K149" s="109">
        <v>-334000</v>
      </c>
      <c r="L149" s="121" t="s">
        <v>12</v>
      </c>
      <c r="M149" s="121" t="s">
        <v>12</v>
      </c>
      <c r="N149" s="121" t="s">
        <v>12</v>
      </c>
      <c r="O149" s="67"/>
      <c r="P149" s="67"/>
      <c r="Q149" s="67"/>
    </row>
    <row r="150" spans="1:17" x14ac:dyDescent="0.25">
      <c r="A150" s="12" t="s">
        <v>144</v>
      </c>
      <c r="B150" s="19">
        <v>0</v>
      </c>
      <c r="C150" s="19">
        <v>0</v>
      </c>
      <c r="D150" s="19">
        <v>0</v>
      </c>
      <c r="E150" s="29">
        <v>0</v>
      </c>
      <c r="F150" s="19">
        <v>0</v>
      </c>
      <c r="G150" s="19">
        <v>0</v>
      </c>
      <c r="H150" s="116" t="s">
        <v>420</v>
      </c>
      <c r="I150" s="110">
        <v>-34000</v>
      </c>
      <c r="J150" s="110">
        <v>209000</v>
      </c>
      <c r="K150" s="110">
        <v>-106000</v>
      </c>
      <c r="L150" s="124">
        <v>8708</v>
      </c>
      <c r="M150" s="124">
        <v>6161</v>
      </c>
      <c r="N150" s="124">
        <v>-12770</v>
      </c>
      <c r="O150" s="67"/>
      <c r="P150" s="67"/>
      <c r="Q150" s="67"/>
    </row>
    <row r="151" spans="1:17" x14ac:dyDescent="0.25">
      <c r="A151" s="14" t="s">
        <v>145</v>
      </c>
      <c r="B151" s="15" t="s">
        <v>12</v>
      </c>
      <c r="C151" s="15" t="s">
        <v>12</v>
      </c>
      <c r="D151" s="15" t="s">
        <v>12</v>
      </c>
      <c r="E151" s="24" t="s">
        <v>12</v>
      </c>
      <c r="F151" s="15" t="s">
        <v>12</v>
      </c>
      <c r="G151" s="15" t="s">
        <v>12</v>
      </c>
      <c r="H151" s="117" t="s">
        <v>500</v>
      </c>
      <c r="I151" s="109">
        <v>-96000</v>
      </c>
      <c r="J151" s="109">
        <v>-34000</v>
      </c>
      <c r="K151" s="109">
        <v>57000</v>
      </c>
      <c r="L151" s="121" t="s">
        <v>12</v>
      </c>
      <c r="M151" s="121" t="s">
        <v>12</v>
      </c>
      <c r="N151" s="121" t="s">
        <v>12</v>
      </c>
      <c r="O151" s="67"/>
      <c r="P151" s="67"/>
      <c r="Q151" s="67"/>
    </row>
    <row r="152" spans="1:17" x14ac:dyDescent="0.25">
      <c r="A152" s="12" t="s">
        <v>146</v>
      </c>
      <c r="B152" s="19">
        <v>0</v>
      </c>
      <c r="C152" s="19">
        <v>0</v>
      </c>
      <c r="D152" s="19">
        <v>0</v>
      </c>
      <c r="E152" s="29">
        <v>0</v>
      </c>
      <c r="F152" s="19">
        <v>0</v>
      </c>
      <c r="G152" s="19">
        <v>0</v>
      </c>
      <c r="H152" s="116" t="s">
        <v>421</v>
      </c>
      <c r="I152" s="106" t="s">
        <v>12</v>
      </c>
      <c r="J152" s="106" t="s">
        <v>12</v>
      </c>
      <c r="K152" s="106" t="s">
        <v>12</v>
      </c>
      <c r="L152" s="124">
        <v>37736</v>
      </c>
      <c r="M152" s="124">
        <v>37328</v>
      </c>
      <c r="N152" s="124">
        <v>-178232</v>
      </c>
      <c r="O152" s="67"/>
      <c r="P152" s="67"/>
      <c r="Q152" s="67"/>
    </row>
    <row r="153" spans="1:17" x14ac:dyDescent="0.25">
      <c r="A153" s="14" t="s">
        <v>147</v>
      </c>
      <c r="B153" s="15" t="s">
        <v>12</v>
      </c>
      <c r="C153" s="15" t="s">
        <v>12</v>
      </c>
      <c r="D153" s="15" t="s">
        <v>12</v>
      </c>
      <c r="E153" s="24" t="s">
        <v>12</v>
      </c>
      <c r="F153" s="15" t="s">
        <v>12</v>
      </c>
      <c r="G153" s="15" t="s">
        <v>12</v>
      </c>
      <c r="H153" s="117" t="s">
        <v>422</v>
      </c>
      <c r="I153" s="107" t="s">
        <v>12</v>
      </c>
      <c r="J153" s="107" t="s">
        <v>12</v>
      </c>
      <c r="K153" s="107" t="s">
        <v>12</v>
      </c>
      <c r="L153" s="121" t="s">
        <v>12</v>
      </c>
      <c r="M153" s="121" t="s">
        <v>12</v>
      </c>
      <c r="N153" s="121" t="s">
        <v>12</v>
      </c>
      <c r="O153" s="67"/>
      <c r="P153" s="67"/>
      <c r="Q153" s="67"/>
    </row>
    <row r="154" spans="1:17" x14ac:dyDescent="0.25">
      <c r="A154" s="12" t="s">
        <v>148</v>
      </c>
      <c r="B154" s="13" t="s">
        <v>12</v>
      </c>
      <c r="C154" s="13" t="s">
        <v>12</v>
      </c>
      <c r="D154" s="13" t="s">
        <v>12</v>
      </c>
      <c r="E154" s="23" t="s">
        <v>12</v>
      </c>
      <c r="F154" s="13" t="s">
        <v>12</v>
      </c>
      <c r="G154" s="13" t="s">
        <v>12</v>
      </c>
      <c r="H154" s="116" t="s">
        <v>501</v>
      </c>
      <c r="I154" s="106" t="s">
        <v>12</v>
      </c>
      <c r="J154" s="106" t="s">
        <v>12</v>
      </c>
      <c r="K154" s="106" t="s">
        <v>12</v>
      </c>
      <c r="L154" s="120" t="s">
        <v>12</v>
      </c>
      <c r="M154" s="120" t="s">
        <v>12</v>
      </c>
      <c r="N154" s="120" t="s">
        <v>12</v>
      </c>
      <c r="O154" s="67"/>
      <c r="P154" s="67"/>
      <c r="Q154" s="67"/>
    </row>
    <row r="155" spans="1:17" x14ac:dyDescent="0.25">
      <c r="A155" s="14" t="s">
        <v>149</v>
      </c>
      <c r="B155" s="18">
        <v>743000</v>
      </c>
      <c r="C155" s="18">
        <v>774000</v>
      </c>
      <c r="D155" s="18">
        <v>792000</v>
      </c>
      <c r="E155" s="26">
        <v>3726300</v>
      </c>
      <c r="F155" s="18">
        <v>3702859</v>
      </c>
      <c r="G155" s="18">
        <v>3701578</v>
      </c>
      <c r="H155" s="117" t="s">
        <v>502</v>
      </c>
      <c r="I155" s="107" t="s">
        <v>12</v>
      </c>
      <c r="J155" s="107" t="s">
        <v>12</v>
      </c>
      <c r="K155" s="107" t="s">
        <v>12</v>
      </c>
      <c r="L155" s="121" t="s">
        <v>12</v>
      </c>
      <c r="M155" s="121" t="s">
        <v>12</v>
      </c>
      <c r="N155" s="121" t="s">
        <v>12</v>
      </c>
      <c r="O155" s="67"/>
      <c r="P155" s="67"/>
      <c r="Q155" s="67"/>
    </row>
    <row r="156" spans="1:17" x14ac:dyDescent="0.25">
      <c r="A156" s="12" t="s">
        <v>150</v>
      </c>
      <c r="B156" s="17">
        <v>5884000</v>
      </c>
      <c r="C156" s="17">
        <v>5790000</v>
      </c>
      <c r="D156" s="17">
        <v>5207000</v>
      </c>
      <c r="E156" s="27">
        <v>-3404775</v>
      </c>
      <c r="F156" s="17">
        <v>-3903525</v>
      </c>
      <c r="G156" s="17">
        <v>-3914285</v>
      </c>
      <c r="H156" s="116" t="s">
        <v>423</v>
      </c>
      <c r="I156" s="110">
        <v>-1919000</v>
      </c>
      <c r="J156" s="110">
        <v>-2066000</v>
      </c>
      <c r="K156" s="110">
        <v>-1687000</v>
      </c>
      <c r="L156" s="124">
        <v>-1183000</v>
      </c>
      <c r="M156" s="124">
        <v>-759564</v>
      </c>
      <c r="N156" s="124">
        <v>-393614</v>
      </c>
      <c r="O156" s="67"/>
      <c r="P156" s="67"/>
      <c r="Q156" s="67"/>
    </row>
    <row r="157" spans="1:17" x14ac:dyDescent="0.25">
      <c r="A157" s="14" t="s">
        <v>151</v>
      </c>
      <c r="B157" s="15" t="s">
        <v>12</v>
      </c>
      <c r="C157" s="15" t="s">
        <v>12</v>
      </c>
      <c r="D157" s="15" t="s">
        <v>12</v>
      </c>
      <c r="E157" s="24" t="s">
        <v>12</v>
      </c>
      <c r="F157" s="15" t="s">
        <v>12</v>
      </c>
      <c r="G157" s="15" t="s">
        <v>12</v>
      </c>
      <c r="H157" s="117" t="s">
        <v>424</v>
      </c>
      <c r="I157" s="109">
        <v>500000</v>
      </c>
      <c r="J157" s="109">
        <v>156000</v>
      </c>
      <c r="K157" s="109">
        <v>113000</v>
      </c>
      <c r="L157" s="123">
        <v>4493</v>
      </c>
      <c r="M157" s="123">
        <v>7079</v>
      </c>
      <c r="N157" s="123">
        <v>3539</v>
      </c>
      <c r="O157" s="67"/>
      <c r="P157" s="67"/>
      <c r="Q157" s="67"/>
    </row>
    <row r="158" spans="1:17" x14ac:dyDescent="0.25">
      <c r="A158" s="12" t="s">
        <v>152</v>
      </c>
      <c r="B158" s="13" t="s">
        <v>12</v>
      </c>
      <c r="C158" s="13" t="s">
        <v>12</v>
      </c>
      <c r="D158" s="13" t="s">
        <v>12</v>
      </c>
      <c r="E158" s="23" t="s">
        <v>12</v>
      </c>
      <c r="F158" s="13" t="s">
        <v>12</v>
      </c>
      <c r="G158" s="13" t="s">
        <v>12</v>
      </c>
      <c r="H158" s="116" t="s">
        <v>425</v>
      </c>
      <c r="I158" s="110">
        <v>-2272000</v>
      </c>
      <c r="J158" s="110">
        <v>-2166000</v>
      </c>
      <c r="K158" s="110">
        <v>-2059000</v>
      </c>
      <c r="L158" s="124">
        <v>-852596</v>
      </c>
      <c r="M158" s="124">
        <v>-766643</v>
      </c>
      <c r="N158" s="124">
        <v>-734816</v>
      </c>
      <c r="O158" s="67"/>
      <c r="P158" s="67"/>
      <c r="Q158" s="67"/>
    </row>
    <row r="159" spans="1:17" x14ac:dyDescent="0.25">
      <c r="A159" s="14" t="s">
        <v>153</v>
      </c>
      <c r="B159" s="15" t="s">
        <v>12</v>
      </c>
      <c r="C159" s="15" t="s">
        <v>12</v>
      </c>
      <c r="D159" s="15" t="s">
        <v>12</v>
      </c>
      <c r="E159" s="24" t="s">
        <v>12</v>
      </c>
      <c r="F159" s="15" t="s">
        <v>12</v>
      </c>
      <c r="G159" s="15" t="s">
        <v>12</v>
      </c>
      <c r="H159" s="117" t="s">
        <v>503</v>
      </c>
      <c r="I159" s="107" t="s">
        <v>12</v>
      </c>
      <c r="J159" s="107" t="s">
        <v>12</v>
      </c>
      <c r="K159" s="107" t="s">
        <v>12</v>
      </c>
      <c r="L159" s="121" t="s">
        <v>12</v>
      </c>
      <c r="M159" s="121" t="s">
        <v>12</v>
      </c>
      <c r="N159" s="121" t="s">
        <v>12</v>
      </c>
      <c r="O159" s="67"/>
      <c r="P159" s="67"/>
      <c r="Q159" s="67"/>
    </row>
    <row r="160" spans="1:17" x14ac:dyDescent="0.25">
      <c r="A160" s="12" t="s">
        <v>154</v>
      </c>
      <c r="B160" s="17">
        <v>2000</v>
      </c>
      <c r="C160" s="17">
        <v>2000</v>
      </c>
      <c r="D160" s="17">
        <v>2000</v>
      </c>
      <c r="E160" s="29">
        <v>0</v>
      </c>
      <c r="F160" s="19">
        <v>0</v>
      </c>
      <c r="G160" s="19">
        <v>0</v>
      </c>
      <c r="H160" s="116" t="s">
        <v>426</v>
      </c>
      <c r="I160" s="110">
        <v>-132000</v>
      </c>
      <c r="J160" s="110">
        <v>-2000</v>
      </c>
      <c r="K160" s="110">
        <v>-31000</v>
      </c>
      <c r="L160" s="124">
        <v>-334897</v>
      </c>
      <c r="M160" s="120" t="s">
        <v>12</v>
      </c>
      <c r="N160" s="120" t="s">
        <v>12</v>
      </c>
      <c r="O160" s="67"/>
      <c r="P160" s="67"/>
      <c r="Q160" s="67"/>
    </row>
    <row r="161" spans="1:17" x14ac:dyDescent="0.25">
      <c r="A161" s="14" t="s">
        <v>155</v>
      </c>
      <c r="B161" s="18">
        <v>13774000</v>
      </c>
      <c r="C161" s="18">
        <v>12792000</v>
      </c>
      <c r="D161" s="18">
        <v>12995000</v>
      </c>
      <c r="E161" s="26">
        <v>8563988</v>
      </c>
      <c r="F161" s="18">
        <v>8721076</v>
      </c>
      <c r="G161" s="18">
        <v>9043548</v>
      </c>
      <c r="H161" s="117" t="s">
        <v>504</v>
      </c>
      <c r="I161" s="107" t="s">
        <v>12</v>
      </c>
      <c r="J161" s="107" t="s">
        <v>12</v>
      </c>
      <c r="K161" s="107" t="s">
        <v>12</v>
      </c>
      <c r="L161" s="121" t="s">
        <v>12</v>
      </c>
      <c r="M161" s="121" t="s">
        <v>12</v>
      </c>
      <c r="N161" s="121" t="s">
        <v>12</v>
      </c>
      <c r="O161" s="67"/>
      <c r="P161" s="67"/>
      <c r="Q161" s="67"/>
    </row>
    <row r="162" spans="1:17" x14ac:dyDescent="0.25">
      <c r="A162" s="12" t="s">
        <v>156</v>
      </c>
      <c r="B162" s="17">
        <v>9682000</v>
      </c>
      <c r="C162" s="17">
        <v>6846000</v>
      </c>
      <c r="D162" s="17">
        <v>6952000</v>
      </c>
      <c r="E162" s="27">
        <v>6754179</v>
      </c>
      <c r="F162" s="17">
        <v>6443720</v>
      </c>
      <c r="G162" s="17">
        <v>6938428</v>
      </c>
      <c r="H162" s="116" t="s">
        <v>505</v>
      </c>
      <c r="I162" s="106" t="s">
        <v>12</v>
      </c>
      <c r="J162" s="106" t="s">
        <v>12</v>
      </c>
      <c r="K162" s="106" t="s">
        <v>12</v>
      </c>
      <c r="L162" s="120" t="s">
        <v>12</v>
      </c>
      <c r="M162" s="120" t="s">
        <v>12</v>
      </c>
      <c r="N162" s="120" t="s">
        <v>12</v>
      </c>
      <c r="O162" s="67"/>
      <c r="P162" s="67"/>
      <c r="Q162" s="67"/>
    </row>
    <row r="163" spans="1:17" x14ac:dyDescent="0.25">
      <c r="A163" s="14" t="s">
        <v>157</v>
      </c>
      <c r="B163" s="18">
        <v>6439000</v>
      </c>
      <c r="C163" s="18">
        <v>5269000</v>
      </c>
      <c r="D163" s="18">
        <v>5553000</v>
      </c>
      <c r="E163" s="26">
        <v>6505021</v>
      </c>
      <c r="F163" s="18">
        <v>6254412</v>
      </c>
      <c r="G163" s="18">
        <v>6752867</v>
      </c>
      <c r="H163" s="117" t="s">
        <v>427</v>
      </c>
      <c r="I163" s="107" t="s">
        <v>12</v>
      </c>
      <c r="J163" s="107" t="s">
        <v>12</v>
      </c>
      <c r="K163" s="109">
        <v>1000</v>
      </c>
      <c r="L163" s="121" t="s">
        <v>12</v>
      </c>
      <c r="M163" s="121" t="s">
        <v>12</v>
      </c>
      <c r="N163" s="123">
        <v>388250</v>
      </c>
      <c r="O163" s="67"/>
      <c r="P163" s="67"/>
      <c r="Q163" s="67"/>
    </row>
    <row r="164" spans="1:17" x14ac:dyDescent="0.25">
      <c r="A164" s="12" t="s">
        <v>109</v>
      </c>
      <c r="B164" s="17">
        <v>55000</v>
      </c>
      <c r="C164" s="17">
        <v>31000</v>
      </c>
      <c r="D164" s="17">
        <v>58000</v>
      </c>
      <c r="E164" s="29">
        <v>0</v>
      </c>
      <c r="F164" s="19">
        <v>0</v>
      </c>
      <c r="G164" s="19">
        <v>0</v>
      </c>
      <c r="H164" s="116" t="s">
        <v>428</v>
      </c>
      <c r="I164" s="106" t="s">
        <v>12</v>
      </c>
      <c r="J164" s="106" t="s">
        <v>12</v>
      </c>
      <c r="K164" s="106" t="s">
        <v>12</v>
      </c>
      <c r="L164" s="120" t="s">
        <v>12</v>
      </c>
      <c r="M164" s="120" t="s">
        <v>12</v>
      </c>
      <c r="N164" s="124">
        <v>-68922</v>
      </c>
      <c r="O164" s="67"/>
      <c r="P164" s="67"/>
      <c r="Q164" s="67"/>
    </row>
    <row r="165" spans="1:17" x14ac:dyDescent="0.25">
      <c r="A165" s="14" t="s">
        <v>158</v>
      </c>
      <c r="B165" s="15" t="s">
        <v>12</v>
      </c>
      <c r="C165" s="15" t="s">
        <v>12</v>
      </c>
      <c r="D165" s="15" t="s">
        <v>12</v>
      </c>
      <c r="E165" s="24" t="s">
        <v>12</v>
      </c>
      <c r="F165" s="15" t="s">
        <v>12</v>
      </c>
      <c r="G165" s="15" t="s">
        <v>12</v>
      </c>
      <c r="H165" s="117" t="s">
        <v>429</v>
      </c>
      <c r="I165" s="107" t="s">
        <v>12</v>
      </c>
      <c r="J165" s="107" t="s">
        <v>12</v>
      </c>
      <c r="K165" s="107" t="s">
        <v>12</v>
      </c>
      <c r="L165" s="121" t="s">
        <v>12</v>
      </c>
      <c r="M165" s="121" t="s">
        <v>12</v>
      </c>
      <c r="N165" s="123">
        <v>18335</v>
      </c>
      <c r="O165" s="67"/>
      <c r="P165" s="67"/>
      <c r="Q165" s="67"/>
    </row>
    <row r="166" spans="1:17" x14ac:dyDescent="0.25">
      <c r="A166" s="12" t="s">
        <v>159</v>
      </c>
      <c r="B166" s="13" t="s">
        <v>12</v>
      </c>
      <c r="C166" s="13" t="s">
        <v>12</v>
      </c>
      <c r="D166" s="13" t="s">
        <v>12</v>
      </c>
      <c r="E166" s="23" t="s">
        <v>12</v>
      </c>
      <c r="F166" s="13" t="s">
        <v>12</v>
      </c>
      <c r="G166" s="13" t="s">
        <v>12</v>
      </c>
      <c r="H166" s="116" t="s">
        <v>430</v>
      </c>
      <c r="I166" s="106" t="s">
        <v>12</v>
      </c>
      <c r="J166" s="106" t="s">
        <v>12</v>
      </c>
      <c r="K166" s="106" t="s">
        <v>12</v>
      </c>
      <c r="L166" s="120" t="s">
        <v>12</v>
      </c>
      <c r="M166" s="120" t="s">
        <v>12</v>
      </c>
      <c r="N166" s="120" t="s">
        <v>12</v>
      </c>
      <c r="O166" s="67"/>
      <c r="P166" s="67"/>
      <c r="Q166" s="67"/>
    </row>
    <row r="167" spans="1:17" x14ac:dyDescent="0.25">
      <c r="A167" s="14" t="s">
        <v>160</v>
      </c>
      <c r="B167" s="15" t="s">
        <v>12</v>
      </c>
      <c r="C167" s="15" t="s">
        <v>12</v>
      </c>
      <c r="D167" s="15" t="s">
        <v>12</v>
      </c>
      <c r="E167" s="24" t="s">
        <v>12</v>
      </c>
      <c r="F167" s="15" t="s">
        <v>12</v>
      </c>
      <c r="G167" s="15" t="s">
        <v>12</v>
      </c>
      <c r="H167" s="117" t="s">
        <v>506</v>
      </c>
      <c r="I167" s="107" t="s">
        <v>12</v>
      </c>
      <c r="J167" s="107" t="s">
        <v>12</v>
      </c>
      <c r="K167" s="107" t="s">
        <v>12</v>
      </c>
      <c r="L167" s="121" t="s">
        <v>12</v>
      </c>
      <c r="M167" s="121" t="s">
        <v>12</v>
      </c>
      <c r="N167" s="121" t="s">
        <v>12</v>
      </c>
      <c r="O167" s="67"/>
      <c r="P167" s="67"/>
      <c r="Q167" s="67"/>
    </row>
    <row r="168" spans="1:17" x14ac:dyDescent="0.25">
      <c r="A168" s="12" t="s">
        <v>161</v>
      </c>
      <c r="B168" s="17">
        <v>348000</v>
      </c>
      <c r="C168" s="17">
        <v>473000</v>
      </c>
      <c r="D168" s="17">
        <v>550000</v>
      </c>
      <c r="E168" s="29">
        <v>0</v>
      </c>
      <c r="F168" s="19">
        <v>0</v>
      </c>
      <c r="G168" s="19">
        <v>0</v>
      </c>
      <c r="H168" s="116" t="s">
        <v>431</v>
      </c>
      <c r="I168" s="110">
        <v>-15000</v>
      </c>
      <c r="J168" s="110">
        <v>-54000</v>
      </c>
      <c r="K168" s="110">
        <v>289000</v>
      </c>
      <c r="L168" s="120" t="s">
        <v>12</v>
      </c>
      <c r="M168" s="120" t="s">
        <v>12</v>
      </c>
      <c r="N168" s="120" t="s">
        <v>12</v>
      </c>
      <c r="O168" s="67"/>
      <c r="P168" s="67"/>
      <c r="Q168" s="67"/>
    </row>
    <row r="169" spans="1:17" x14ac:dyDescent="0.25">
      <c r="A169" s="14" t="s">
        <v>162</v>
      </c>
      <c r="B169" s="20">
        <v>0</v>
      </c>
      <c r="C169" s="20">
        <v>0</v>
      </c>
      <c r="D169" s="18">
        <v>83000</v>
      </c>
      <c r="E169" s="26">
        <v>168406</v>
      </c>
      <c r="F169" s="18">
        <v>130455</v>
      </c>
      <c r="G169" s="18">
        <v>117101</v>
      </c>
      <c r="H169" s="117" t="s">
        <v>507</v>
      </c>
      <c r="I169" s="107" t="s">
        <v>12</v>
      </c>
      <c r="J169" s="107" t="s">
        <v>12</v>
      </c>
      <c r="K169" s="107" t="s">
        <v>12</v>
      </c>
      <c r="L169" s="121" t="s">
        <v>12</v>
      </c>
      <c r="M169" s="121" t="s">
        <v>12</v>
      </c>
      <c r="N169" s="121" t="s">
        <v>12</v>
      </c>
      <c r="O169" s="67"/>
      <c r="P169" s="67"/>
      <c r="Q169" s="67"/>
    </row>
    <row r="170" spans="1:17" x14ac:dyDescent="0.25">
      <c r="A170" s="12" t="s">
        <v>163</v>
      </c>
      <c r="B170" s="17">
        <v>813000</v>
      </c>
      <c r="C170" s="17">
        <v>604000</v>
      </c>
      <c r="D170" s="17">
        <v>692000</v>
      </c>
      <c r="E170" s="27">
        <v>70364</v>
      </c>
      <c r="F170" s="17">
        <v>49079</v>
      </c>
      <c r="G170" s="17">
        <v>58335</v>
      </c>
      <c r="H170" s="116" t="s">
        <v>508</v>
      </c>
      <c r="I170" s="106" t="s">
        <v>12</v>
      </c>
      <c r="J170" s="106" t="s">
        <v>12</v>
      </c>
      <c r="K170" s="106" t="s">
        <v>12</v>
      </c>
      <c r="L170" s="120" t="s">
        <v>12</v>
      </c>
      <c r="M170" s="120" t="s">
        <v>12</v>
      </c>
      <c r="N170" s="120" t="s">
        <v>12</v>
      </c>
      <c r="O170" s="67"/>
      <c r="P170" s="67"/>
      <c r="Q170" s="67"/>
    </row>
    <row r="171" spans="1:17" x14ac:dyDescent="0.25">
      <c r="A171" s="14" t="s">
        <v>161</v>
      </c>
      <c r="B171" s="18">
        <v>394000</v>
      </c>
      <c r="C171" s="18">
        <v>357000</v>
      </c>
      <c r="D171" s="18">
        <v>16000</v>
      </c>
      <c r="E171" s="26">
        <v>10388</v>
      </c>
      <c r="F171" s="18">
        <v>9774</v>
      </c>
      <c r="G171" s="18">
        <v>10125</v>
      </c>
      <c r="H171" s="117" t="s">
        <v>432</v>
      </c>
      <c r="I171" s="109">
        <v>-1064000</v>
      </c>
      <c r="J171" s="109">
        <v>219000</v>
      </c>
      <c r="K171" s="109">
        <v>7000</v>
      </c>
      <c r="L171" s="123">
        <v>-1107269</v>
      </c>
      <c r="M171" s="123">
        <v>-1553147</v>
      </c>
      <c r="N171" s="123">
        <v>-707802</v>
      </c>
      <c r="O171" s="67"/>
      <c r="P171" s="67"/>
      <c r="Q171" s="67"/>
    </row>
    <row r="172" spans="1:17" x14ac:dyDescent="0.25">
      <c r="A172" s="12" t="s">
        <v>164</v>
      </c>
      <c r="B172" s="17">
        <v>4092000</v>
      </c>
      <c r="C172" s="17">
        <v>5946000</v>
      </c>
      <c r="D172" s="17">
        <v>6043000</v>
      </c>
      <c r="E172" s="27">
        <v>1809809</v>
      </c>
      <c r="F172" s="17">
        <v>2277356</v>
      </c>
      <c r="G172" s="17">
        <v>2105120</v>
      </c>
      <c r="H172" s="116" t="s">
        <v>509</v>
      </c>
      <c r="I172" s="106" t="s">
        <v>12</v>
      </c>
      <c r="J172" s="106" t="s">
        <v>12</v>
      </c>
      <c r="K172" s="106" t="s">
        <v>12</v>
      </c>
      <c r="L172" s="120" t="s">
        <v>12</v>
      </c>
      <c r="M172" s="120" t="s">
        <v>12</v>
      </c>
      <c r="N172" s="124">
        <v>285382</v>
      </c>
      <c r="O172" s="67"/>
      <c r="P172" s="67"/>
      <c r="Q172" s="67"/>
    </row>
    <row r="173" spans="1:17" x14ac:dyDescent="0.25">
      <c r="A173" s="14" t="s">
        <v>165</v>
      </c>
      <c r="B173" s="15" t="s">
        <v>12</v>
      </c>
      <c r="C173" s="15" t="s">
        <v>12</v>
      </c>
      <c r="D173" s="15" t="s">
        <v>12</v>
      </c>
      <c r="E173" s="24" t="s">
        <v>12</v>
      </c>
      <c r="F173" s="15" t="s">
        <v>12</v>
      </c>
      <c r="G173" s="15" t="s">
        <v>12</v>
      </c>
      <c r="H173" s="117" t="s">
        <v>510</v>
      </c>
      <c r="I173" s="107" t="s">
        <v>12</v>
      </c>
      <c r="J173" s="107" t="s">
        <v>12</v>
      </c>
      <c r="K173" s="107" t="s">
        <v>12</v>
      </c>
      <c r="L173" s="121" t="s">
        <v>12</v>
      </c>
      <c r="M173" s="121" t="s">
        <v>12</v>
      </c>
      <c r="N173" s="121" t="s">
        <v>12</v>
      </c>
      <c r="O173" s="67"/>
      <c r="P173" s="67"/>
      <c r="Q173" s="67"/>
    </row>
    <row r="174" spans="1:17" x14ac:dyDescent="0.25">
      <c r="A174" s="12" t="s">
        <v>166</v>
      </c>
      <c r="B174" s="17">
        <v>420000</v>
      </c>
      <c r="C174" s="17">
        <v>2150000</v>
      </c>
      <c r="D174" s="17">
        <v>1529000</v>
      </c>
      <c r="E174" s="27">
        <v>366405</v>
      </c>
      <c r="F174" s="17">
        <v>764430</v>
      </c>
      <c r="G174" s="17">
        <v>592826</v>
      </c>
      <c r="H174" s="116" t="s">
        <v>433</v>
      </c>
      <c r="I174" s="106" t="s">
        <v>12</v>
      </c>
      <c r="J174" s="106" t="s">
        <v>12</v>
      </c>
      <c r="K174" s="106" t="s">
        <v>12</v>
      </c>
      <c r="L174" s="120" t="s">
        <v>12</v>
      </c>
      <c r="M174" s="120" t="s">
        <v>12</v>
      </c>
      <c r="N174" s="120" t="s">
        <v>12</v>
      </c>
      <c r="O174" s="67"/>
      <c r="P174" s="67"/>
      <c r="Q174" s="67"/>
    </row>
    <row r="175" spans="1:17" x14ac:dyDescent="0.25">
      <c r="A175" s="14" t="s">
        <v>109</v>
      </c>
      <c r="B175" s="18">
        <v>20000</v>
      </c>
      <c r="C175" s="18">
        <v>19000</v>
      </c>
      <c r="D175" s="18">
        <v>42000</v>
      </c>
      <c r="E175" s="28">
        <v>0</v>
      </c>
      <c r="F175" s="20">
        <v>0</v>
      </c>
      <c r="G175" s="20">
        <v>0</v>
      </c>
      <c r="H175" s="117" t="s">
        <v>434</v>
      </c>
      <c r="I175" s="107" t="s">
        <v>12</v>
      </c>
      <c r="J175" s="107" t="s">
        <v>12</v>
      </c>
      <c r="K175" s="107" t="s">
        <v>12</v>
      </c>
      <c r="L175" s="121" t="s">
        <v>12</v>
      </c>
      <c r="M175" s="121" t="s">
        <v>12</v>
      </c>
      <c r="N175" s="123">
        <v>-2227933</v>
      </c>
      <c r="O175" s="67"/>
      <c r="P175" s="67"/>
      <c r="Q175" s="67"/>
    </row>
    <row r="176" spans="1:17" x14ac:dyDescent="0.25">
      <c r="A176" s="12" t="s">
        <v>167</v>
      </c>
      <c r="B176" s="13" t="s">
        <v>12</v>
      </c>
      <c r="C176" s="13" t="s">
        <v>12</v>
      </c>
      <c r="D176" s="13" t="s">
        <v>12</v>
      </c>
      <c r="E176" s="23" t="s">
        <v>12</v>
      </c>
      <c r="F176" s="13" t="s">
        <v>12</v>
      </c>
      <c r="G176" s="13" t="s">
        <v>12</v>
      </c>
      <c r="H176" s="116" t="s">
        <v>435</v>
      </c>
      <c r="I176" s="106" t="s">
        <v>12</v>
      </c>
      <c r="J176" s="106" t="s">
        <v>12</v>
      </c>
      <c r="K176" s="110">
        <v>39000</v>
      </c>
      <c r="L176" s="124">
        <v>750000</v>
      </c>
      <c r="M176" s="120" t="s">
        <v>12</v>
      </c>
      <c r="N176" s="124">
        <v>6443000</v>
      </c>
      <c r="O176" s="67"/>
      <c r="P176" s="67"/>
      <c r="Q176" s="67"/>
    </row>
    <row r="177" spans="1:17" x14ac:dyDescent="0.25">
      <c r="A177" s="14" t="s">
        <v>168</v>
      </c>
      <c r="B177" s="18">
        <v>2552000</v>
      </c>
      <c r="C177" s="18">
        <v>2670000</v>
      </c>
      <c r="D177" s="18">
        <v>2642000</v>
      </c>
      <c r="E177" s="26">
        <v>865405</v>
      </c>
      <c r="F177" s="18">
        <v>1027813</v>
      </c>
      <c r="G177" s="18">
        <v>1106528</v>
      </c>
      <c r="H177" s="117" t="s">
        <v>436</v>
      </c>
      <c r="I177" s="109">
        <v>-17000</v>
      </c>
      <c r="J177" s="107" t="s">
        <v>12</v>
      </c>
      <c r="K177" s="109">
        <v>-31000</v>
      </c>
      <c r="L177" s="123">
        <v>-1489005</v>
      </c>
      <c r="M177" s="123">
        <v>-900649</v>
      </c>
      <c r="N177" s="123">
        <v>-5208251</v>
      </c>
      <c r="O177" s="67"/>
      <c r="P177" s="67"/>
      <c r="Q177" s="67"/>
    </row>
    <row r="178" spans="1:17" x14ac:dyDescent="0.25">
      <c r="A178" s="12" t="s">
        <v>169</v>
      </c>
      <c r="B178" s="17">
        <v>2367000</v>
      </c>
      <c r="C178" s="17">
        <v>2469000</v>
      </c>
      <c r="D178" s="17">
        <v>2421000</v>
      </c>
      <c r="E178" s="27">
        <v>865405</v>
      </c>
      <c r="F178" s="17">
        <v>1027813</v>
      </c>
      <c r="G178" s="17">
        <v>1106528</v>
      </c>
      <c r="H178" s="116" t="s">
        <v>437</v>
      </c>
      <c r="I178" s="106" t="s">
        <v>12</v>
      </c>
      <c r="J178" s="106" t="s">
        <v>12</v>
      </c>
      <c r="K178" s="106" t="s">
        <v>12</v>
      </c>
      <c r="L178" s="124">
        <v>-368264</v>
      </c>
      <c r="M178" s="124">
        <v>-652498</v>
      </c>
      <c r="N178" s="120" t="s">
        <v>12</v>
      </c>
      <c r="O178" s="67"/>
      <c r="P178" s="67"/>
      <c r="Q178" s="67"/>
    </row>
    <row r="179" spans="1:17" x14ac:dyDescent="0.25">
      <c r="A179" s="14" t="s">
        <v>170</v>
      </c>
      <c r="B179" s="15" t="s">
        <v>12</v>
      </c>
      <c r="C179" s="15" t="s">
        <v>12</v>
      </c>
      <c r="D179" s="15" t="s">
        <v>12</v>
      </c>
      <c r="E179" s="24" t="s">
        <v>12</v>
      </c>
      <c r="F179" s="15" t="s">
        <v>12</v>
      </c>
      <c r="G179" s="15" t="s">
        <v>12</v>
      </c>
      <c r="H179" s="117" t="s">
        <v>438</v>
      </c>
      <c r="I179" s="109">
        <v>-279000</v>
      </c>
      <c r="J179" s="109">
        <v>-42000</v>
      </c>
      <c r="K179" s="107" t="s">
        <v>12</v>
      </c>
      <c r="L179" s="121" t="s">
        <v>12</v>
      </c>
      <c r="M179" s="121" t="s">
        <v>12</v>
      </c>
      <c r="N179" s="121" t="s">
        <v>12</v>
      </c>
      <c r="O179" s="67"/>
      <c r="P179" s="67"/>
      <c r="Q179" s="67"/>
    </row>
    <row r="180" spans="1:17" x14ac:dyDescent="0.25">
      <c r="A180" s="12" t="s">
        <v>171</v>
      </c>
      <c r="B180" s="17">
        <v>185000</v>
      </c>
      <c r="C180" s="17">
        <v>201000</v>
      </c>
      <c r="D180" s="17">
        <v>221000</v>
      </c>
      <c r="E180" s="29">
        <v>0</v>
      </c>
      <c r="F180" s="19">
        <v>0</v>
      </c>
      <c r="G180" s="19">
        <v>0</v>
      </c>
      <c r="H180" s="116" t="s">
        <v>511</v>
      </c>
      <c r="I180" s="106" t="s">
        <v>12</v>
      </c>
      <c r="J180" s="106" t="s">
        <v>12</v>
      </c>
      <c r="K180" s="106" t="s">
        <v>12</v>
      </c>
      <c r="L180" s="120" t="s">
        <v>12</v>
      </c>
      <c r="M180" s="120" t="s">
        <v>12</v>
      </c>
      <c r="N180" s="120" t="s">
        <v>12</v>
      </c>
      <c r="O180" s="67"/>
      <c r="P180" s="67"/>
      <c r="Q180" s="67"/>
    </row>
    <row r="181" spans="1:17" x14ac:dyDescent="0.25">
      <c r="A181" s="14" t="s">
        <v>172</v>
      </c>
      <c r="B181" s="20">
        <v>0</v>
      </c>
      <c r="C181" s="20">
        <v>0</v>
      </c>
      <c r="D181" s="18">
        <v>478000</v>
      </c>
      <c r="E181" s="26">
        <v>328290</v>
      </c>
      <c r="F181" s="18">
        <v>295415</v>
      </c>
      <c r="G181" s="18">
        <v>290730</v>
      </c>
      <c r="H181" s="117" t="s">
        <v>439</v>
      </c>
      <c r="I181" s="107" t="s">
        <v>12</v>
      </c>
      <c r="J181" s="107" t="s">
        <v>12</v>
      </c>
      <c r="K181" s="107" t="s">
        <v>12</v>
      </c>
      <c r="L181" s="121" t="s">
        <v>12</v>
      </c>
      <c r="M181" s="121" t="s">
        <v>12</v>
      </c>
      <c r="N181" s="121" t="s">
        <v>12</v>
      </c>
      <c r="O181" s="67"/>
      <c r="P181" s="67"/>
      <c r="Q181" s="67"/>
    </row>
    <row r="182" spans="1:17" x14ac:dyDescent="0.25">
      <c r="A182" s="12" t="s">
        <v>163</v>
      </c>
      <c r="B182" s="17">
        <v>242000</v>
      </c>
      <c r="C182" s="17">
        <v>217000</v>
      </c>
      <c r="D182" s="17">
        <v>854000</v>
      </c>
      <c r="E182" s="29">
        <v>0</v>
      </c>
      <c r="F182" s="19">
        <v>0</v>
      </c>
      <c r="G182" s="19">
        <v>0</v>
      </c>
      <c r="H182" s="116" t="s">
        <v>440</v>
      </c>
      <c r="I182" s="110">
        <v>-768000</v>
      </c>
      <c r="J182" s="110">
        <v>261000</v>
      </c>
      <c r="K182" s="110">
        <v>-1000</v>
      </c>
      <c r="L182" s="120" t="s">
        <v>12</v>
      </c>
      <c r="M182" s="120" t="s">
        <v>12</v>
      </c>
      <c r="N182" s="120" t="s">
        <v>12</v>
      </c>
      <c r="O182" s="67"/>
      <c r="P182" s="67"/>
      <c r="Q182" s="67"/>
    </row>
    <row r="183" spans="1:17" x14ac:dyDescent="0.25">
      <c r="A183" s="14" t="s">
        <v>173</v>
      </c>
      <c r="B183" s="18">
        <v>830000</v>
      </c>
      <c r="C183" s="18">
        <v>836000</v>
      </c>
      <c r="D183" s="18">
        <v>479000</v>
      </c>
      <c r="E183" s="26">
        <v>108243</v>
      </c>
      <c r="F183" s="18">
        <v>96553</v>
      </c>
      <c r="G183" s="18">
        <v>104778</v>
      </c>
      <c r="H183" s="117" t="s">
        <v>512</v>
      </c>
      <c r="I183" s="107" t="s">
        <v>12</v>
      </c>
      <c r="J183" s="107" t="s">
        <v>12</v>
      </c>
      <c r="K183" s="107" t="s">
        <v>12</v>
      </c>
      <c r="L183" s="121" t="s">
        <v>12</v>
      </c>
      <c r="M183" s="121" t="s">
        <v>12</v>
      </c>
      <c r="N183" s="121" t="s">
        <v>12</v>
      </c>
      <c r="O183" s="67"/>
      <c r="P183" s="67"/>
      <c r="Q183" s="67"/>
    </row>
    <row r="184" spans="1:17" x14ac:dyDescent="0.25">
      <c r="A184" s="12" t="s">
        <v>174</v>
      </c>
      <c r="B184" s="17">
        <v>28000</v>
      </c>
      <c r="C184" s="17">
        <v>54000</v>
      </c>
      <c r="D184" s="17">
        <v>19000</v>
      </c>
      <c r="E184" s="27">
        <v>141466</v>
      </c>
      <c r="F184" s="17">
        <v>93145</v>
      </c>
      <c r="G184" s="17">
        <v>10258</v>
      </c>
      <c r="H184" s="116" t="s">
        <v>441</v>
      </c>
      <c r="I184" s="110">
        <v>-207000</v>
      </c>
      <c r="J184" s="110">
        <v>-35000</v>
      </c>
      <c r="K184" s="110">
        <v>384000</v>
      </c>
      <c r="L184" s="124">
        <v>-60544</v>
      </c>
      <c r="M184" s="124">
        <v>-275314</v>
      </c>
      <c r="N184" s="124">
        <v>287922</v>
      </c>
      <c r="O184" s="67"/>
      <c r="P184" s="67"/>
      <c r="Q184" s="67"/>
    </row>
    <row r="185" spans="1:17" x14ac:dyDescent="0.25">
      <c r="A185" s="14" t="s">
        <v>175</v>
      </c>
      <c r="B185" s="20">
        <v>0</v>
      </c>
      <c r="C185" s="20">
        <v>0</v>
      </c>
      <c r="D185" s="20">
        <v>0</v>
      </c>
      <c r="E185" s="28">
        <v>0</v>
      </c>
      <c r="F185" s="20">
        <v>0</v>
      </c>
      <c r="G185" s="20">
        <v>0</v>
      </c>
      <c r="H185" s="117" t="s">
        <v>442</v>
      </c>
      <c r="I185" s="107" t="s">
        <v>12</v>
      </c>
      <c r="J185" s="107" t="s">
        <v>12</v>
      </c>
      <c r="K185" s="107" t="s">
        <v>12</v>
      </c>
      <c r="L185" s="126">
        <v>-60</v>
      </c>
      <c r="M185" s="126">
        <v>401</v>
      </c>
      <c r="N185" s="126">
        <v>-408</v>
      </c>
      <c r="O185" s="67"/>
      <c r="P185" s="67"/>
      <c r="Q185" s="67"/>
    </row>
    <row r="186" spans="1:17" x14ac:dyDescent="0.25">
      <c r="A186" s="11"/>
      <c r="B186" s="11"/>
      <c r="C186" s="11"/>
      <c r="D186" s="11"/>
      <c r="F186" s="11"/>
      <c r="G186" s="11"/>
      <c r="H186" s="116" t="s">
        <v>513</v>
      </c>
      <c r="I186" s="106" t="s">
        <v>12</v>
      </c>
      <c r="J186" s="106" t="s">
        <v>12</v>
      </c>
      <c r="K186" s="106" t="s">
        <v>12</v>
      </c>
      <c r="L186" s="120" t="s">
        <v>12</v>
      </c>
      <c r="M186" s="120" t="s">
        <v>12</v>
      </c>
      <c r="N186" s="120" t="s">
        <v>12</v>
      </c>
      <c r="O186" s="67"/>
      <c r="P186" s="67"/>
      <c r="Q186" s="67"/>
    </row>
    <row r="187" spans="1:17" x14ac:dyDescent="0.25">
      <c r="A187" s="11"/>
      <c r="B187" s="11"/>
      <c r="C187" s="11"/>
      <c r="D187" s="11"/>
      <c r="F187" s="11"/>
      <c r="G187" s="11"/>
      <c r="H187" s="117" t="s">
        <v>443</v>
      </c>
      <c r="I187" s="109">
        <v>611000</v>
      </c>
      <c r="J187" s="109">
        <v>646000</v>
      </c>
      <c r="K187" s="109">
        <v>262000</v>
      </c>
      <c r="L187" s="123">
        <v>353595</v>
      </c>
      <c r="M187" s="123">
        <v>628508</v>
      </c>
      <c r="N187" s="123">
        <v>340994</v>
      </c>
      <c r="O187" s="67"/>
      <c r="P187" s="67"/>
      <c r="Q187" s="67"/>
    </row>
    <row r="188" spans="1:17" x14ac:dyDescent="0.25">
      <c r="A188" s="16" t="s">
        <v>176</v>
      </c>
      <c r="B188" s="16">
        <v>2019</v>
      </c>
      <c r="C188" s="16">
        <v>2018</v>
      </c>
      <c r="D188" s="16">
        <v>2017</v>
      </c>
      <c r="E188" s="25">
        <v>2019</v>
      </c>
      <c r="F188" s="16">
        <v>2018</v>
      </c>
      <c r="G188" s="16">
        <v>2017</v>
      </c>
      <c r="H188" s="116" t="s">
        <v>444</v>
      </c>
      <c r="I188" s="110">
        <v>404000</v>
      </c>
      <c r="J188" s="110">
        <v>611000</v>
      </c>
      <c r="K188" s="110">
        <v>646000</v>
      </c>
      <c r="L188" s="124">
        <v>294317</v>
      </c>
      <c r="M188" s="124">
        <v>353595</v>
      </c>
      <c r="N188" s="124">
        <v>628508</v>
      </c>
      <c r="O188" s="67"/>
      <c r="P188" s="67"/>
      <c r="Q188" s="67"/>
    </row>
    <row r="189" spans="1:17" x14ac:dyDescent="0.25">
      <c r="A189" s="14" t="s">
        <v>177</v>
      </c>
      <c r="B189" s="18">
        <v>2776000</v>
      </c>
      <c r="C189" s="18">
        <v>1812000</v>
      </c>
      <c r="D189" s="18">
        <v>2064000</v>
      </c>
      <c r="E189" s="26">
        <v>2229725</v>
      </c>
      <c r="F189" s="18">
        <v>2037397</v>
      </c>
      <c r="G189" s="18">
        <v>1389338</v>
      </c>
      <c r="I189" s="67"/>
      <c r="J189" s="67"/>
      <c r="K189" s="67"/>
      <c r="L189" s="67"/>
      <c r="M189" s="67"/>
      <c r="N189" s="67"/>
      <c r="O189" s="67"/>
      <c r="P189" s="67"/>
      <c r="Q189" s="67"/>
    </row>
    <row r="190" spans="1:17" x14ac:dyDescent="0.25">
      <c r="A190" s="12" t="s">
        <v>178</v>
      </c>
      <c r="B190" s="17">
        <v>91000</v>
      </c>
      <c r="C190" s="17">
        <v>10000</v>
      </c>
      <c r="D190" s="17">
        <v>-60000</v>
      </c>
      <c r="E190" s="27">
        <v>1154746</v>
      </c>
      <c r="F190" s="17">
        <v>997656</v>
      </c>
      <c r="G190" s="17">
        <v>629310</v>
      </c>
      <c r="I190" s="67"/>
      <c r="J190" s="67"/>
      <c r="K190" s="67"/>
      <c r="L190" s="67"/>
      <c r="M190" s="67"/>
      <c r="N190" s="67"/>
      <c r="O190" s="67"/>
      <c r="P190" s="67"/>
      <c r="Q190" s="67"/>
    </row>
    <row r="191" spans="1:17" x14ac:dyDescent="0.25">
      <c r="A191" s="14" t="s">
        <v>179</v>
      </c>
      <c r="B191" s="18">
        <v>2712000</v>
      </c>
      <c r="C191" s="18">
        <v>1809000</v>
      </c>
      <c r="D191" s="18">
        <v>2147000</v>
      </c>
      <c r="E191" s="26">
        <v>1303622</v>
      </c>
      <c r="F191" s="18">
        <v>1192722</v>
      </c>
      <c r="G191" s="18">
        <v>961097</v>
      </c>
      <c r="H191" s="117" t="s">
        <v>230</v>
      </c>
      <c r="I191" s="107" t="s">
        <v>12</v>
      </c>
      <c r="J191" s="107" t="s">
        <v>12</v>
      </c>
      <c r="K191" s="107" t="s">
        <v>12</v>
      </c>
      <c r="L191" s="121" t="s">
        <v>12</v>
      </c>
      <c r="M191" s="121" t="s">
        <v>12</v>
      </c>
      <c r="N191" s="121" t="s">
        <v>12</v>
      </c>
      <c r="O191" s="67"/>
      <c r="P191" s="67"/>
      <c r="Q191" s="67"/>
    </row>
    <row r="192" spans="1:17" x14ac:dyDescent="0.25">
      <c r="A192" s="12" t="s">
        <v>180</v>
      </c>
      <c r="B192" s="17">
        <v>2748000</v>
      </c>
      <c r="C192" s="17">
        <v>2541000</v>
      </c>
      <c r="D192" s="17">
        <v>2572000</v>
      </c>
      <c r="E192" s="27">
        <v>906264</v>
      </c>
      <c r="F192" s="17">
        <v>789290</v>
      </c>
      <c r="G192" s="17">
        <v>797256</v>
      </c>
      <c r="H192" s="116" t="s">
        <v>6</v>
      </c>
      <c r="I192" s="106" t="s">
        <v>7</v>
      </c>
      <c r="J192" s="106" t="s">
        <v>7</v>
      </c>
      <c r="K192" s="106" t="s">
        <v>7</v>
      </c>
      <c r="L192" s="120" t="s">
        <v>7</v>
      </c>
      <c r="M192" s="120" t="s">
        <v>7</v>
      </c>
      <c r="N192" s="120" t="s">
        <v>7</v>
      </c>
      <c r="O192" s="67"/>
      <c r="P192" s="67"/>
      <c r="Q192" s="67"/>
    </row>
    <row r="193" spans="1:17" x14ac:dyDescent="0.25">
      <c r="A193" s="14" t="s">
        <v>181</v>
      </c>
      <c r="B193" s="15" t="s">
        <v>12</v>
      </c>
      <c r="C193" s="15" t="s">
        <v>12</v>
      </c>
      <c r="D193" s="15" t="s">
        <v>12</v>
      </c>
      <c r="E193" s="24" t="s">
        <v>12</v>
      </c>
      <c r="F193" s="15" t="s">
        <v>12</v>
      </c>
      <c r="G193" s="15" t="s">
        <v>12</v>
      </c>
      <c r="H193" s="117" t="s">
        <v>231</v>
      </c>
      <c r="I193" s="107" t="s">
        <v>232</v>
      </c>
      <c r="J193" s="107" t="s">
        <v>233</v>
      </c>
      <c r="K193" s="107" t="s">
        <v>234</v>
      </c>
      <c r="L193" s="121" t="s">
        <v>232</v>
      </c>
      <c r="M193" s="121" t="s">
        <v>233</v>
      </c>
      <c r="N193" s="121" t="s">
        <v>234</v>
      </c>
      <c r="O193" s="67"/>
      <c r="P193" s="67"/>
      <c r="Q193" s="67"/>
    </row>
    <row r="194" spans="1:17" x14ac:dyDescent="0.25">
      <c r="A194" s="12" t="s">
        <v>182</v>
      </c>
      <c r="B194" s="13" t="s">
        <v>12</v>
      </c>
      <c r="C194" s="13" t="s">
        <v>12</v>
      </c>
      <c r="D194" s="13" t="s">
        <v>12</v>
      </c>
      <c r="E194" s="23" t="s">
        <v>12</v>
      </c>
      <c r="F194" s="13" t="s">
        <v>12</v>
      </c>
      <c r="G194" s="13" t="s">
        <v>12</v>
      </c>
      <c r="H194" s="116" t="s">
        <v>8</v>
      </c>
      <c r="I194" s="106" t="s">
        <v>9</v>
      </c>
      <c r="J194" s="106" t="s">
        <v>10</v>
      </c>
      <c r="K194" s="106" t="s">
        <v>11</v>
      </c>
      <c r="L194" s="120" t="s">
        <v>9</v>
      </c>
      <c r="M194" s="120" t="s">
        <v>10</v>
      </c>
      <c r="N194" s="120" t="s">
        <v>11</v>
      </c>
      <c r="O194" s="67"/>
      <c r="P194" s="67"/>
      <c r="Q194" s="67"/>
    </row>
    <row r="195" spans="1:17" x14ac:dyDescent="0.25">
      <c r="A195" s="14" t="s">
        <v>183</v>
      </c>
      <c r="B195" s="15" t="s">
        <v>12</v>
      </c>
      <c r="C195" s="15" t="s">
        <v>12</v>
      </c>
      <c r="D195" s="15" t="s">
        <v>12</v>
      </c>
      <c r="E195" s="24" t="s">
        <v>12</v>
      </c>
      <c r="F195" s="15" t="s">
        <v>12</v>
      </c>
      <c r="G195" s="15" t="s">
        <v>12</v>
      </c>
      <c r="H195" s="117" t="s">
        <v>6</v>
      </c>
      <c r="I195" s="107" t="s">
        <v>12</v>
      </c>
      <c r="J195" s="107" t="s">
        <v>12</v>
      </c>
      <c r="K195" s="107" t="s">
        <v>12</v>
      </c>
      <c r="L195" s="121" t="s">
        <v>12</v>
      </c>
      <c r="M195" s="121" t="s">
        <v>12</v>
      </c>
      <c r="N195" s="121" t="s">
        <v>12</v>
      </c>
      <c r="O195" s="67"/>
      <c r="P195" s="67"/>
      <c r="Q195" s="67"/>
    </row>
    <row r="196" spans="1:17" x14ac:dyDescent="0.25">
      <c r="A196" s="12" t="s">
        <v>184</v>
      </c>
      <c r="B196" s="13" t="s">
        <v>12</v>
      </c>
      <c r="C196" s="13" t="s">
        <v>12</v>
      </c>
      <c r="D196" s="13" t="s">
        <v>12</v>
      </c>
      <c r="E196" s="23" t="s">
        <v>12</v>
      </c>
      <c r="F196" s="13" t="s">
        <v>12</v>
      </c>
      <c r="G196" s="13" t="s">
        <v>12</v>
      </c>
      <c r="H196" s="116" t="s">
        <v>235</v>
      </c>
      <c r="I196" s="106" t="s">
        <v>236</v>
      </c>
      <c r="J196" s="106" t="s">
        <v>236</v>
      </c>
      <c r="K196" s="106" t="s">
        <v>237</v>
      </c>
      <c r="L196" s="120" t="s">
        <v>237</v>
      </c>
      <c r="M196" s="120" t="s">
        <v>237</v>
      </c>
      <c r="N196" s="120" t="s">
        <v>237</v>
      </c>
      <c r="O196" s="67"/>
      <c r="P196" s="67"/>
      <c r="Q196" s="67"/>
    </row>
    <row r="197" spans="1:17" x14ac:dyDescent="0.25">
      <c r="A197" s="14" t="s">
        <v>185</v>
      </c>
      <c r="B197" s="18">
        <v>298000</v>
      </c>
      <c r="C197" s="18">
        <v>305000</v>
      </c>
      <c r="D197" s="18">
        <v>-331000</v>
      </c>
      <c r="E197" s="26">
        <v>346212</v>
      </c>
      <c r="F197" s="18">
        <v>368479</v>
      </c>
      <c r="G197" s="18">
        <v>372928</v>
      </c>
      <c r="H197" s="117" t="s">
        <v>238</v>
      </c>
      <c r="I197" s="107" t="s">
        <v>238</v>
      </c>
      <c r="J197" s="107" t="s">
        <v>238</v>
      </c>
      <c r="K197" s="107" t="s">
        <v>238</v>
      </c>
      <c r="L197" s="121" t="s">
        <v>238</v>
      </c>
      <c r="M197" s="121" t="s">
        <v>238</v>
      </c>
      <c r="N197" s="121" t="s">
        <v>238</v>
      </c>
      <c r="O197" s="67"/>
      <c r="P197" s="67"/>
      <c r="Q197" s="67"/>
    </row>
    <row r="198" spans="1:17" x14ac:dyDescent="0.25">
      <c r="A198" s="12" t="s">
        <v>186</v>
      </c>
      <c r="B198" s="13" t="s">
        <v>12</v>
      </c>
      <c r="C198" s="13" t="s">
        <v>12</v>
      </c>
      <c r="D198" s="13" t="s">
        <v>12</v>
      </c>
      <c r="E198" s="23" t="s">
        <v>12</v>
      </c>
      <c r="F198" s="13" t="s">
        <v>12</v>
      </c>
      <c r="G198" s="13" t="s">
        <v>12</v>
      </c>
      <c r="H198" s="116" t="s">
        <v>239</v>
      </c>
      <c r="I198" s="106" t="s">
        <v>240</v>
      </c>
      <c r="J198" s="106" t="s">
        <v>240</v>
      </c>
      <c r="K198" s="106" t="s">
        <v>241</v>
      </c>
      <c r="L198" s="120" t="s">
        <v>240</v>
      </c>
      <c r="M198" s="120" t="s">
        <v>240</v>
      </c>
      <c r="N198" s="120" t="s">
        <v>241</v>
      </c>
      <c r="O198" s="67"/>
      <c r="P198" s="67"/>
      <c r="Q198" s="67"/>
    </row>
    <row r="199" spans="1:17" x14ac:dyDescent="0.25">
      <c r="A199" s="14" t="s">
        <v>187</v>
      </c>
      <c r="B199" s="15" t="s">
        <v>12</v>
      </c>
      <c r="C199" s="15" t="s">
        <v>12</v>
      </c>
      <c r="D199" s="15" t="s">
        <v>12</v>
      </c>
      <c r="E199" s="24" t="s">
        <v>12</v>
      </c>
      <c r="F199" s="15" t="s">
        <v>12</v>
      </c>
      <c r="G199" s="15" t="s">
        <v>12</v>
      </c>
      <c r="H199" s="117" t="s">
        <v>242</v>
      </c>
      <c r="I199" s="107" t="s">
        <v>12</v>
      </c>
      <c r="J199" s="107" t="s">
        <v>12</v>
      </c>
      <c r="K199" s="107" t="s">
        <v>12</v>
      </c>
      <c r="L199" s="121" t="s">
        <v>12</v>
      </c>
      <c r="M199" s="121" t="s">
        <v>12</v>
      </c>
      <c r="N199" s="121" t="s">
        <v>12</v>
      </c>
      <c r="O199" s="67"/>
      <c r="P199" s="67"/>
      <c r="Q199" s="67"/>
    </row>
    <row r="200" spans="1:17" x14ac:dyDescent="0.25">
      <c r="A200" s="12" t="s">
        <v>188</v>
      </c>
      <c r="B200" s="13" t="s">
        <v>12</v>
      </c>
      <c r="C200" s="13" t="s">
        <v>12</v>
      </c>
      <c r="D200" s="13" t="s">
        <v>12</v>
      </c>
      <c r="E200" s="23" t="s">
        <v>12</v>
      </c>
      <c r="F200" s="13" t="s">
        <v>12</v>
      </c>
      <c r="G200" s="13" t="s">
        <v>12</v>
      </c>
      <c r="H200" s="116" t="s">
        <v>243</v>
      </c>
      <c r="I200" s="106" t="s">
        <v>12</v>
      </c>
      <c r="J200" s="106" t="s">
        <v>12</v>
      </c>
      <c r="K200" s="106" t="s">
        <v>12</v>
      </c>
      <c r="L200" s="120" t="s">
        <v>12</v>
      </c>
      <c r="M200" s="120" t="s">
        <v>12</v>
      </c>
      <c r="N200" s="120" t="s">
        <v>12</v>
      </c>
      <c r="O200" s="67"/>
      <c r="P200" s="67"/>
      <c r="Q200" s="67"/>
    </row>
    <row r="201" spans="1:17" x14ac:dyDescent="0.25">
      <c r="A201" s="14" t="s">
        <v>189</v>
      </c>
      <c r="B201" s="18">
        <v>-176000</v>
      </c>
      <c r="C201" s="18">
        <v>-850000</v>
      </c>
      <c r="D201" s="18">
        <v>342000</v>
      </c>
      <c r="E201" s="26">
        <v>3061</v>
      </c>
      <c r="F201" s="18">
        <v>-10784</v>
      </c>
      <c r="G201" s="18">
        <v>-18085</v>
      </c>
      <c r="I201" s="67"/>
      <c r="J201" s="67"/>
      <c r="K201" s="67"/>
      <c r="L201" s="67"/>
      <c r="M201" s="67"/>
      <c r="N201" s="67"/>
      <c r="O201" s="67"/>
      <c r="P201" s="67"/>
      <c r="Q201" s="67"/>
    </row>
    <row r="202" spans="1:17" x14ac:dyDescent="0.25">
      <c r="A202" s="12" t="s">
        <v>190</v>
      </c>
      <c r="B202" s="17">
        <v>29000</v>
      </c>
      <c r="C202" s="17">
        <v>-25000</v>
      </c>
      <c r="D202" s="17">
        <v>-53000</v>
      </c>
      <c r="E202" s="29">
        <v>0</v>
      </c>
      <c r="F202" s="19">
        <v>0</v>
      </c>
      <c r="G202" s="19">
        <v>0</v>
      </c>
      <c r="I202" s="67"/>
      <c r="J202" s="67"/>
      <c r="K202" s="67"/>
      <c r="L202" s="67"/>
      <c r="M202" s="67"/>
      <c r="N202" s="67"/>
      <c r="O202" s="67"/>
      <c r="P202" s="67"/>
      <c r="Q202" s="67"/>
    </row>
    <row r="203" spans="1:17" x14ac:dyDescent="0.25">
      <c r="A203" s="14" t="s">
        <v>191</v>
      </c>
      <c r="B203" s="15" t="s">
        <v>12</v>
      </c>
      <c r="C203" s="15" t="s">
        <v>12</v>
      </c>
      <c r="D203" s="15" t="s">
        <v>12</v>
      </c>
      <c r="E203" s="24" t="s">
        <v>12</v>
      </c>
      <c r="F203" s="15" t="s">
        <v>12</v>
      </c>
      <c r="G203" s="15" t="s">
        <v>12</v>
      </c>
      <c r="H203" s="115" t="s">
        <v>244</v>
      </c>
      <c r="I203" s="105"/>
      <c r="J203" s="105"/>
      <c r="K203" s="105"/>
      <c r="L203" s="119"/>
      <c r="M203" s="119"/>
      <c r="N203" s="119"/>
      <c r="O203" s="67"/>
      <c r="P203" s="67"/>
      <c r="Q203" s="67"/>
    </row>
    <row r="204" spans="1:17" x14ac:dyDescent="0.25">
      <c r="A204" s="12" t="s">
        <v>192</v>
      </c>
      <c r="B204" s="17">
        <v>367000</v>
      </c>
      <c r="C204" s="17">
        <v>-225000</v>
      </c>
      <c r="D204" s="17">
        <v>-334000</v>
      </c>
      <c r="E204" s="29">
        <v>0</v>
      </c>
      <c r="F204" s="19">
        <v>0</v>
      </c>
      <c r="G204" s="19">
        <v>0</v>
      </c>
      <c r="H204" s="115" t="s">
        <v>245</v>
      </c>
      <c r="I204" s="105"/>
      <c r="J204" s="105"/>
      <c r="K204" s="105"/>
      <c r="L204" s="119"/>
      <c r="M204" s="119"/>
      <c r="N204" s="119"/>
      <c r="O204" s="67"/>
      <c r="P204" s="67"/>
      <c r="Q204" s="67"/>
    </row>
    <row r="205" spans="1:17" x14ac:dyDescent="0.25">
      <c r="A205" s="14" t="s">
        <v>193</v>
      </c>
      <c r="B205" s="18">
        <v>-96000</v>
      </c>
      <c r="C205" s="18">
        <v>-34000</v>
      </c>
      <c r="D205" s="18">
        <v>57000</v>
      </c>
      <c r="E205" s="28">
        <v>0</v>
      </c>
      <c r="F205" s="20">
        <v>0</v>
      </c>
      <c r="G205" s="20">
        <v>0</v>
      </c>
      <c r="I205" s="67"/>
      <c r="J205" s="67"/>
    </row>
    <row r="206" spans="1:17" x14ac:dyDescent="0.25">
      <c r="A206" s="12" t="s">
        <v>194</v>
      </c>
      <c r="B206" s="17">
        <v>-34000</v>
      </c>
      <c r="C206" s="17">
        <v>209000</v>
      </c>
      <c r="D206" s="17">
        <v>-106000</v>
      </c>
      <c r="E206" s="27">
        <v>8708</v>
      </c>
      <c r="F206" s="17">
        <v>6161</v>
      </c>
      <c r="G206" s="17">
        <v>-12770</v>
      </c>
      <c r="I206" s="67"/>
      <c r="J206" s="67"/>
    </row>
    <row r="207" spans="1:17" x14ac:dyDescent="0.25">
      <c r="A207" s="14" t="s">
        <v>195</v>
      </c>
      <c r="B207" s="15" t="s">
        <v>12</v>
      </c>
      <c r="C207" s="15" t="s">
        <v>12</v>
      </c>
      <c r="D207" s="15" t="s">
        <v>12</v>
      </c>
      <c r="E207" s="24" t="s">
        <v>12</v>
      </c>
      <c r="F207" s="15" t="s">
        <v>12</v>
      </c>
      <c r="G207" s="15" t="s">
        <v>12</v>
      </c>
      <c r="I207" s="67"/>
      <c r="J207" s="67"/>
    </row>
    <row r="208" spans="1:17" x14ac:dyDescent="0.25">
      <c r="A208" s="12" t="s">
        <v>196</v>
      </c>
      <c r="B208" s="13" t="s">
        <v>12</v>
      </c>
      <c r="C208" s="13" t="s">
        <v>12</v>
      </c>
      <c r="D208" s="13" t="s">
        <v>12</v>
      </c>
      <c r="E208" s="23" t="s">
        <v>12</v>
      </c>
      <c r="F208" s="13" t="s">
        <v>12</v>
      </c>
      <c r="G208" s="13" t="s">
        <v>12</v>
      </c>
      <c r="I208" s="67"/>
      <c r="J208" s="67"/>
    </row>
    <row r="209" spans="1:10" x14ac:dyDescent="0.25">
      <c r="A209" s="14" t="s">
        <v>197</v>
      </c>
      <c r="B209" s="20">
        <v>0</v>
      </c>
      <c r="C209" s="20">
        <v>0</v>
      </c>
      <c r="D209" s="20">
        <v>0</v>
      </c>
      <c r="E209" s="26">
        <v>37736</v>
      </c>
      <c r="F209" s="18">
        <v>37328</v>
      </c>
      <c r="G209" s="18">
        <v>-178232</v>
      </c>
      <c r="I209" s="11"/>
      <c r="J209" s="11"/>
    </row>
    <row r="210" spans="1:10" x14ac:dyDescent="0.25">
      <c r="A210" s="12" t="s">
        <v>198</v>
      </c>
      <c r="B210" s="17">
        <v>-27000</v>
      </c>
      <c r="C210" s="17">
        <v>-7000</v>
      </c>
      <c r="D210" s="17">
        <v>-23000</v>
      </c>
      <c r="E210" s="27">
        <v>-228643</v>
      </c>
      <c r="F210" s="17">
        <v>-152981</v>
      </c>
      <c r="G210" s="17">
        <v>-201069</v>
      </c>
      <c r="I210" s="11"/>
      <c r="J210" s="11"/>
    </row>
    <row r="211" spans="1:10" x14ac:dyDescent="0.25">
      <c r="A211" s="14" t="s">
        <v>199</v>
      </c>
      <c r="B211" s="20">
        <v>0</v>
      </c>
      <c r="C211" s="20">
        <v>0</v>
      </c>
      <c r="D211" s="20">
        <v>0</v>
      </c>
      <c r="E211" s="28">
        <v>0</v>
      </c>
      <c r="F211" s="20">
        <v>0</v>
      </c>
      <c r="G211" s="20">
        <v>0</v>
      </c>
      <c r="I211" s="11"/>
      <c r="J211" s="11"/>
    </row>
    <row r="212" spans="1:10" x14ac:dyDescent="0.25">
      <c r="A212" s="12" t="s">
        <v>200</v>
      </c>
      <c r="B212" s="17">
        <v>-1919000</v>
      </c>
      <c r="C212" s="17">
        <v>-2066000</v>
      </c>
      <c r="D212" s="17">
        <v>-1687000</v>
      </c>
      <c r="E212" s="27">
        <v>-1183000</v>
      </c>
      <c r="F212" s="17">
        <v>-759564</v>
      </c>
      <c r="G212" s="17">
        <v>-393614</v>
      </c>
      <c r="I212" s="11"/>
      <c r="J212" s="11"/>
    </row>
    <row r="213" spans="1:10" x14ac:dyDescent="0.25">
      <c r="A213" s="14" t="s">
        <v>201</v>
      </c>
      <c r="B213" s="18">
        <v>500000</v>
      </c>
      <c r="C213" s="18">
        <v>156000</v>
      </c>
      <c r="D213" s="18">
        <v>113000</v>
      </c>
      <c r="E213" s="26">
        <v>4493</v>
      </c>
      <c r="F213" s="18">
        <v>7079</v>
      </c>
      <c r="G213" s="18">
        <v>3539</v>
      </c>
      <c r="I213" s="11"/>
      <c r="J213" s="11"/>
    </row>
    <row r="214" spans="1:10" x14ac:dyDescent="0.25">
      <c r="A214" s="12" t="s">
        <v>202</v>
      </c>
      <c r="B214" s="17">
        <v>-2272000</v>
      </c>
      <c r="C214" s="17">
        <v>-2166000</v>
      </c>
      <c r="D214" s="17">
        <v>-2059000</v>
      </c>
      <c r="E214" s="27">
        <v>-852596</v>
      </c>
      <c r="F214" s="17">
        <v>-766643</v>
      </c>
      <c r="G214" s="17">
        <v>-734816</v>
      </c>
      <c r="I214" s="11"/>
      <c r="J214" s="11"/>
    </row>
    <row r="215" spans="1:10" x14ac:dyDescent="0.25">
      <c r="A215" s="14" t="s">
        <v>203</v>
      </c>
      <c r="B215" s="15" t="s">
        <v>12</v>
      </c>
      <c r="C215" s="15" t="s">
        <v>12</v>
      </c>
      <c r="D215" s="15" t="s">
        <v>12</v>
      </c>
      <c r="E215" s="24" t="s">
        <v>12</v>
      </c>
      <c r="F215" s="15" t="s">
        <v>12</v>
      </c>
      <c r="G215" s="15" t="s">
        <v>12</v>
      </c>
      <c r="I215" s="11"/>
      <c r="J215" s="11"/>
    </row>
    <row r="216" spans="1:10" x14ac:dyDescent="0.25">
      <c r="A216" s="12" t="s">
        <v>204</v>
      </c>
      <c r="B216" s="19">
        <v>0</v>
      </c>
      <c r="C216" s="19">
        <v>0</v>
      </c>
      <c r="D216" s="19">
        <v>0</v>
      </c>
      <c r="E216" s="29">
        <v>0</v>
      </c>
      <c r="F216" s="19">
        <v>0</v>
      </c>
      <c r="G216" s="19">
        <v>0</v>
      </c>
      <c r="I216" s="11"/>
      <c r="J216" s="11"/>
    </row>
    <row r="217" spans="1:10" x14ac:dyDescent="0.25">
      <c r="A217" s="14" t="s">
        <v>205</v>
      </c>
      <c r="B217" s="20">
        <v>0</v>
      </c>
      <c r="C217" s="20">
        <v>0</v>
      </c>
      <c r="D217" s="20">
        <v>0</v>
      </c>
      <c r="E217" s="28">
        <v>0</v>
      </c>
      <c r="F217" s="20">
        <v>0</v>
      </c>
      <c r="G217" s="18">
        <v>-68922</v>
      </c>
      <c r="I217" s="11"/>
      <c r="J217" s="11"/>
    </row>
    <row r="218" spans="1:10" x14ac:dyDescent="0.25">
      <c r="A218" s="12" t="s">
        <v>206</v>
      </c>
      <c r="B218" s="19">
        <v>0</v>
      </c>
      <c r="C218" s="19">
        <v>0</v>
      </c>
      <c r="D218" s="17">
        <v>1000</v>
      </c>
      <c r="E218" s="29">
        <v>0</v>
      </c>
      <c r="F218" s="19">
        <v>0</v>
      </c>
      <c r="G218" s="17">
        <v>388250</v>
      </c>
      <c r="I218" s="11"/>
      <c r="J218" s="11"/>
    </row>
    <row r="219" spans="1:10" x14ac:dyDescent="0.25">
      <c r="A219" s="14" t="s">
        <v>207</v>
      </c>
      <c r="B219" s="20">
        <v>0</v>
      </c>
      <c r="C219" s="20">
        <v>0</v>
      </c>
      <c r="D219" s="20">
        <v>0</v>
      </c>
      <c r="E219" s="28">
        <v>0</v>
      </c>
      <c r="F219" s="20">
        <v>0</v>
      </c>
      <c r="G219" s="20">
        <v>0</v>
      </c>
      <c r="I219" s="11"/>
      <c r="J219" s="11"/>
    </row>
    <row r="220" spans="1:10" x14ac:dyDescent="0.25">
      <c r="A220" s="12" t="s">
        <v>208</v>
      </c>
      <c r="B220" s="17">
        <v>-132000</v>
      </c>
      <c r="C220" s="17">
        <v>-2000</v>
      </c>
      <c r="D220" s="17">
        <v>-31000</v>
      </c>
      <c r="E220" s="27">
        <v>-334897</v>
      </c>
      <c r="F220" s="19">
        <v>0</v>
      </c>
      <c r="G220" s="19">
        <v>0</v>
      </c>
      <c r="I220" s="11"/>
      <c r="J220" s="11"/>
    </row>
    <row r="221" spans="1:10" x14ac:dyDescent="0.25">
      <c r="A221" s="14" t="s">
        <v>209</v>
      </c>
      <c r="B221" s="15" t="s">
        <v>12</v>
      </c>
      <c r="C221" s="15" t="s">
        <v>12</v>
      </c>
      <c r="D221" s="15" t="s">
        <v>12</v>
      </c>
      <c r="E221" s="24" t="s">
        <v>12</v>
      </c>
      <c r="F221" s="15" t="s">
        <v>12</v>
      </c>
      <c r="G221" s="15" t="s">
        <v>12</v>
      </c>
      <c r="I221" s="11"/>
      <c r="J221" s="11"/>
    </row>
    <row r="222" spans="1:10" x14ac:dyDescent="0.25">
      <c r="A222" s="12" t="s">
        <v>210</v>
      </c>
      <c r="B222" s="13" t="s">
        <v>12</v>
      </c>
      <c r="C222" s="13" t="s">
        <v>12</v>
      </c>
      <c r="D222" s="13" t="s">
        <v>12</v>
      </c>
      <c r="E222" s="23" t="s">
        <v>12</v>
      </c>
      <c r="F222" s="13" t="s">
        <v>12</v>
      </c>
      <c r="G222" s="13" t="s">
        <v>12</v>
      </c>
      <c r="I222" s="11"/>
      <c r="J222" s="11"/>
    </row>
    <row r="223" spans="1:10" x14ac:dyDescent="0.25">
      <c r="A223" s="14" t="s">
        <v>211</v>
      </c>
      <c r="B223" s="18">
        <v>-15000</v>
      </c>
      <c r="C223" s="18">
        <v>-54000</v>
      </c>
      <c r="D223" s="18">
        <v>289000</v>
      </c>
      <c r="E223" s="28">
        <v>0</v>
      </c>
      <c r="F223" s="20">
        <v>0</v>
      </c>
      <c r="G223" s="18">
        <v>18335</v>
      </c>
      <c r="I223" s="11"/>
      <c r="J223" s="11"/>
    </row>
    <row r="224" spans="1:10" x14ac:dyDescent="0.25">
      <c r="A224" s="12" t="s">
        <v>212</v>
      </c>
      <c r="B224" s="17">
        <v>-1064000</v>
      </c>
      <c r="C224" s="17">
        <v>219000</v>
      </c>
      <c r="D224" s="17">
        <v>7000</v>
      </c>
      <c r="E224" s="27">
        <v>-1107269</v>
      </c>
      <c r="F224" s="17">
        <v>-1553147</v>
      </c>
      <c r="G224" s="17">
        <v>-707802</v>
      </c>
      <c r="I224" s="11"/>
      <c r="J224" s="11"/>
    </row>
    <row r="225" spans="1:10" x14ac:dyDescent="0.25">
      <c r="A225" s="14" t="s">
        <v>213</v>
      </c>
      <c r="B225" s="20">
        <v>0</v>
      </c>
      <c r="C225" s="20">
        <v>0</v>
      </c>
      <c r="D225" s="20">
        <v>0</v>
      </c>
      <c r="E225" s="28">
        <v>0</v>
      </c>
      <c r="F225" s="20">
        <v>0</v>
      </c>
      <c r="G225" s="18">
        <v>285382</v>
      </c>
      <c r="I225" s="11"/>
      <c r="J225" s="11"/>
    </row>
    <row r="226" spans="1:10" x14ac:dyDescent="0.25">
      <c r="A226" s="12" t="s">
        <v>214</v>
      </c>
      <c r="B226" s="13" t="s">
        <v>12</v>
      </c>
      <c r="C226" s="13" t="s">
        <v>12</v>
      </c>
      <c r="D226" s="13" t="s">
        <v>12</v>
      </c>
      <c r="E226" s="23" t="s">
        <v>12</v>
      </c>
      <c r="F226" s="13" t="s">
        <v>12</v>
      </c>
      <c r="G226" s="13" t="s">
        <v>12</v>
      </c>
      <c r="I226" s="11"/>
      <c r="J226" s="11"/>
    </row>
    <row r="227" spans="1:10" x14ac:dyDescent="0.25">
      <c r="A227" s="14" t="s">
        <v>215</v>
      </c>
      <c r="B227" s="20">
        <v>0</v>
      </c>
      <c r="C227" s="20">
        <v>0</v>
      </c>
      <c r="D227" s="20">
        <v>0</v>
      </c>
      <c r="E227" s="28">
        <v>0</v>
      </c>
      <c r="F227" s="20">
        <v>0</v>
      </c>
      <c r="G227" s="20">
        <v>0</v>
      </c>
      <c r="I227" s="11"/>
      <c r="J227" s="11"/>
    </row>
    <row r="228" spans="1:10" x14ac:dyDescent="0.25">
      <c r="A228" s="12" t="s">
        <v>216</v>
      </c>
      <c r="B228" s="13" t="s">
        <v>12</v>
      </c>
      <c r="C228" s="13" t="s">
        <v>12</v>
      </c>
      <c r="D228" s="13" t="s">
        <v>12</v>
      </c>
      <c r="E228" s="23" t="s">
        <v>12</v>
      </c>
      <c r="F228" s="13" t="s">
        <v>12</v>
      </c>
      <c r="G228" s="13" t="s">
        <v>12</v>
      </c>
      <c r="I228" s="11"/>
      <c r="J228" s="11"/>
    </row>
    <row r="229" spans="1:10" x14ac:dyDescent="0.25">
      <c r="A229" s="14" t="s">
        <v>217</v>
      </c>
      <c r="B229" s="20">
        <v>0</v>
      </c>
      <c r="C229" s="20">
        <v>0</v>
      </c>
      <c r="D229" s="18">
        <v>39000</v>
      </c>
      <c r="E229" s="26">
        <v>750000</v>
      </c>
      <c r="F229" s="20">
        <v>0</v>
      </c>
      <c r="G229" s="18">
        <v>6443000</v>
      </c>
      <c r="I229" s="11"/>
      <c r="J229" s="11"/>
    </row>
    <row r="230" spans="1:10" x14ac:dyDescent="0.25">
      <c r="A230" s="12" t="s">
        <v>218</v>
      </c>
      <c r="B230" s="17">
        <v>-17000</v>
      </c>
      <c r="C230" s="19">
        <v>0</v>
      </c>
      <c r="D230" s="17">
        <v>-31000</v>
      </c>
      <c r="E230" s="27">
        <v>-1489005</v>
      </c>
      <c r="F230" s="17">
        <v>-900649</v>
      </c>
      <c r="G230" s="17">
        <v>-5208251</v>
      </c>
      <c r="I230" s="11"/>
      <c r="J230" s="11"/>
    </row>
    <row r="231" spans="1:10" x14ac:dyDescent="0.25">
      <c r="A231" s="14" t="s">
        <v>219</v>
      </c>
      <c r="B231" s="15" t="s">
        <v>12</v>
      </c>
      <c r="C231" s="15" t="s">
        <v>12</v>
      </c>
      <c r="D231" s="15" t="s">
        <v>12</v>
      </c>
      <c r="E231" s="24" t="s">
        <v>12</v>
      </c>
      <c r="F231" s="15" t="s">
        <v>12</v>
      </c>
      <c r="G231" s="15" t="s">
        <v>12</v>
      </c>
      <c r="I231" s="11"/>
      <c r="J231" s="11"/>
    </row>
    <row r="232" spans="1:10" x14ac:dyDescent="0.25">
      <c r="A232" s="12" t="s">
        <v>220</v>
      </c>
      <c r="B232" s="17">
        <v>-279000</v>
      </c>
      <c r="C232" s="17">
        <v>-42000</v>
      </c>
      <c r="D232" s="19">
        <v>0</v>
      </c>
      <c r="E232" s="29">
        <v>0</v>
      </c>
      <c r="F232" s="19">
        <v>0</v>
      </c>
      <c r="G232" s="19">
        <v>0</v>
      </c>
      <c r="I232" s="11"/>
      <c r="J232" s="11"/>
    </row>
    <row r="233" spans="1:10" x14ac:dyDescent="0.25">
      <c r="A233" s="14" t="s">
        <v>221</v>
      </c>
      <c r="B233" s="15" t="s">
        <v>12</v>
      </c>
      <c r="C233" s="15" t="s">
        <v>12</v>
      </c>
      <c r="D233" s="15" t="s">
        <v>12</v>
      </c>
      <c r="E233" s="24" t="s">
        <v>12</v>
      </c>
      <c r="F233" s="15" t="s">
        <v>12</v>
      </c>
      <c r="G233" s="15" t="s">
        <v>12</v>
      </c>
      <c r="I233" s="11"/>
      <c r="J233" s="11"/>
    </row>
    <row r="234" spans="1:10" x14ac:dyDescent="0.25">
      <c r="A234" s="12" t="s">
        <v>222</v>
      </c>
      <c r="B234" s="19">
        <v>0</v>
      </c>
      <c r="C234" s="19">
        <v>0</v>
      </c>
      <c r="D234" s="19">
        <v>0</v>
      </c>
      <c r="E234" s="27">
        <v>-368264</v>
      </c>
      <c r="F234" s="17">
        <v>-652498</v>
      </c>
      <c r="G234" s="19">
        <v>0</v>
      </c>
      <c r="I234" s="11"/>
      <c r="J234" s="11"/>
    </row>
    <row r="235" spans="1:10" x14ac:dyDescent="0.25">
      <c r="A235" s="14" t="s">
        <v>223</v>
      </c>
      <c r="B235" s="18">
        <v>-768000</v>
      </c>
      <c r="C235" s="18">
        <v>261000</v>
      </c>
      <c r="D235" s="18">
        <v>-1000</v>
      </c>
      <c r="E235" s="28">
        <v>0</v>
      </c>
      <c r="F235" s="20">
        <v>0</v>
      </c>
      <c r="G235" s="18">
        <v>-2227933</v>
      </c>
      <c r="I235" s="11"/>
      <c r="J235" s="11"/>
    </row>
    <row r="236" spans="1:10" x14ac:dyDescent="0.25">
      <c r="A236" s="12" t="s">
        <v>224</v>
      </c>
      <c r="B236" s="17">
        <v>-207000</v>
      </c>
      <c r="C236" s="17">
        <v>-35000</v>
      </c>
      <c r="D236" s="17">
        <v>384000</v>
      </c>
      <c r="E236" s="27">
        <v>-60544</v>
      </c>
      <c r="F236" s="17">
        <v>-275314</v>
      </c>
      <c r="G236" s="17">
        <v>287922</v>
      </c>
      <c r="I236" s="11"/>
      <c r="J236" s="11"/>
    </row>
    <row r="237" spans="1:10" x14ac:dyDescent="0.25">
      <c r="A237" s="14" t="s">
        <v>225</v>
      </c>
      <c r="B237" s="18">
        <v>611000</v>
      </c>
      <c r="C237" s="18">
        <v>646000</v>
      </c>
      <c r="D237" s="18">
        <v>262000</v>
      </c>
      <c r="E237" s="26">
        <v>353595</v>
      </c>
      <c r="F237" s="18">
        <v>628508</v>
      </c>
      <c r="G237" s="18">
        <v>340994</v>
      </c>
      <c r="I237" s="11"/>
      <c r="J237" s="11"/>
    </row>
    <row r="238" spans="1:10" x14ac:dyDescent="0.25">
      <c r="A238" s="12" t="s">
        <v>226</v>
      </c>
      <c r="B238" s="19">
        <v>0</v>
      </c>
      <c r="C238" s="19">
        <v>0</v>
      </c>
      <c r="D238" s="19">
        <v>0</v>
      </c>
      <c r="E238" s="29">
        <v>-60</v>
      </c>
      <c r="F238" s="19">
        <v>401</v>
      </c>
      <c r="G238" s="19">
        <v>-408</v>
      </c>
      <c r="I238" s="11"/>
      <c r="J238" s="11"/>
    </row>
    <row r="239" spans="1:10" x14ac:dyDescent="0.25">
      <c r="A239" s="14" t="s">
        <v>227</v>
      </c>
      <c r="B239" s="18">
        <v>404000</v>
      </c>
      <c r="C239" s="18">
        <v>611000</v>
      </c>
      <c r="D239" s="18">
        <v>646000</v>
      </c>
      <c r="E239" s="26">
        <v>294317</v>
      </c>
      <c r="F239" s="18">
        <v>353595</v>
      </c>
      <c r="G239" s="18">
        <v>628508</v>
      </c>
      <c r="I239" s="11"/>
      <c r="J239" s="11"/>
    </row>
    <row r="240" spans="1:10" x14ac:dyDescent="0.25">
      <c r="A240" s="12" t="s">
        <v>228</v>
      </c>
      <c r="B240" s="17">
        <v>504000</v>
      </c>
      <c r="C240" s="17">
        <v>-354000</v>
      </c>
      <c r="D240" s="17">
        <v>5000</v>
      </c>
      <c r="E240" s="27">
        <v>1377129</v>
      </c>
      <c r="F240" s="17">
        <v>1270754</v>
      </c>
      <c r="G240" s="17">
        <v>654522</v>
      </c>
      <c r="I240" s="11"/>
      <c r="J240" s="11"/>
    </row>
    <row r="241" spans="1:10" x14ac:dyDescent="0.25">
      <c r="A241" s="14" t="s">
        <v>229</v>
      </c>
      <c r="B241" s="18">
        <v>2272000</v>
      </c>
      <c r="C241" s="18">
        <v>2166000</v>
      </c>
      <c r="D241" s="18">
        <v>2059000</v>
      </c>
      <c r="E241" s="26">
        <v>852596</v>
      </c>
      <c r="F241" s="18">
        <v>766643</v>
      </c>
      <c r="G241" s="18">
        <v>734816</v>
      </c>
      <c r="I241" s="11"/>
      <c r="J241" s="11"/>
    </row>
    <row r="242" spans="1:10" x14ac:dyDescent="0.25">
      <c r="A242" s="11"/>
      <c r="B242" s="11"/>
      <c r="C242" s="11"/>
      <c r="D242" s="11"/>
      <c r="F242" s="11"/>
      <c r="G242" s="11"/>
      <c r="I242" s="11"/>
      <c r="J242" s="11"/>
    </row>
    <row r="243" spans="1:10" x14ac:dyDescent="0.25">
      <c r="A243" s="11"/>
      <c r="B243" s="11"/>
      <c r="C243" s="11"/>
      <c r="D243" s="11"/>
      <c r="F243" s="11"/>
      <c r="G243" s="11"/>
      <c r="I243" s="11"/>
      <c r="J243" s="11"/>
    </row>
    <row r="244" spans="1:10" x14ac:dyDescent="0.25">
      <c r="A244" s="12" t="s">
        <v>230</v>
      </c>
      <c r="B244" s="13" t="s">
        <v>12</v>
      </c>
      <c r="C244" s="13" t="s">
        <v>12</v>
      </c>
      <c r="D244" s="13" t="s">
        <v>12</v>
      </c>
      <c r="E244" s="23" t="s">
        <v>12</v>
      </c>
      <c r="F244" s="13" t="s">
        <v>12</v>
      </c>
      <c r="G244" s="13" t="s">
        <v>12</v>
      </c>
      <c r="I244" s="11"/>
      <c r="J244" s="11"/>
    </row>
    <row r="245" spans="1:10" x14ac:dyDescent="0.25">
      <c r="A245" s="14" t="s">
        <v>6</v>
      </c>
      <c r="B245" s="15" t="s">
        <v>7</v>
      </c>
      <c r="C245" s="15" t="s">
        <v>7</v>
      </c>
      <c r="D245" s="15" t="s">
        <v>7</v>
      </c>
      <c r="E245" s="24" t="s">
        <v>7</v>
      </c>
      <c r="F245" s="15" t="s">
        <v>7</v>
      </c>
      <c r="G245" s="15" t="s">
        <v>7</v>
      </c>
      <c r="I245" s="11"/>
      <c r="J245" s="11"/>
    </row>
    <row r="246" spans="1:10" x14ac:dyDescent="0.25">
      <c r="A246" s="12" t="s">
        <v>231</v>
      </c>
      <c r="B246" s="13" t="s">
        <v>232</v>
      </c>
      <c r="C246" s="13" t="s">
        <v>233</v>
      </c>
      <c r="D246" s="13" t="s">
        <v>234</v>
      </c>
      <c r="E246" s="23" t="s">
        <v>232</v>
      </c>
      <c r="F246" s="13" t="s">
        <v>233</v>
      </c>
      <c r="G246" s="13" t="s">
        <v>234</v>
      </c>
      <c r="I246" s="11"/>
      <c r="J246" s="11"/>
    </row>
    <row r="247" spans="1:10" x14ac:dyDescent="0.25">
      <c r="A247" s="14" t="s">
        <v>8</v>
      </c>
      <c r="B247" s="15" t="s">
        <v>9</v>
      </c>
      <c r="C247" s="15" t="s">
        <v>10</v>
      </c>
      <c r="D247" s="15" t="s">
        <v>11</v>
      </c>
      <c r="E247" s="24" t="s">
        <v>9</v>
      </c>
      <c r="F247" s="15" t="s">
        <v>10</v>
      </c>
      <c r="G247" s="15" t="s">
        <v>11</v>
      </c>
      <c r="I247" s="11"/>
      <c r="J247" s="11"/>
    </row>
    <row r="248" spans="1:10" x14ac:dyDescent="0.25">
      <c r="A248" s="12" t="s">
        <v>6</v>
      </c>
      <c r="B248" s="13" t="s">
        <v>12</v>
      </c>
      <c r="C248" s="13" t="s">
        <v>12</v>
      </c>
      <c r="D248" s="13" t="s">
        <v>12</v>
      </c>
      <c r="E248" s="23" t="s">
        <v>12</v>
      </c>
      <c r="F248" s="13" t="s">
        <v>12</v>
      </c>
      <c r="G248" s="13" t="s">
        <v>12</v>
      </c>
      <c r="I248" s="11"/>
      <c r="J248" s="11"/>
    </row>
    <row r="249" spans="1:10" x14ac:dyDescent="0.25">
      <c r="A249" s="14" t="s">
        <v>235</v>
      </c>
      <c r="B249" s="15" t="s">
        <v>236</v>
      </c>
      <c r="C249" s="15" t="s">
        <v>236</v>
      </c>
      <c r="D249" s="15" t="s">
        <v>237</v>
      </c>
      <c r="E249" s="24" t="s">
        <v>237</v>
      </c>
      <c r="F249" s="15" t="s">
        <v>237</v>
      </c>
      <c r="G249" s="15" t="s">
        <v>237</v>
      </c>
      <c r="I249" s="11"/>
      <c r="J249" s="11"/>
    </row>
    <row r="250" spans="1:10" x14ac:dyDescent="0.25">
      <c r="A250" s="12" t="s">
        <v>238</v>
      </c>
      <c r="B250" s="13" t="s">
        <v>238</v>
      </c>
      <c r="C250" s="13" t="s">
        <v>238</v>
      </c>
      <c r="D250" s="13" t="s">
        <v>238</v>
      </c>
      <c r="E250" s="23" t="s">
        <v>238</v>
      </c>
      <c r="F250" s="13" t="s">
        <v>238</v>
      </c>
      <c r="G250" s="13" t="s">
        <v>238</v>
      </c>
      <c r="I250" s="11"/>
      <c r="J250" s="11"/>
    </row>
    <row r="251" spans="1:10" x14ac:dyDescent="0.25">
      <c r="A251" s="14" t="s">
        <v>239</v>
      </c>
      <c r="B251" s="15" t="s">
        <v>240</v>
      </c>
      <c r="C251" s="15" t="s">
        <v>240</v>
      </c>
      <c r="D251" s="15" t="s">
        <v>241</v>
      </c>
      <c r="E251" s="24" t="s">
        <v>240</v>
      </c>
      <c r="F251" s="15" t="s">
        <v>240</v>
      </c>
      <c r="G251" s="15" t="s">
        <v>241</v>
      </c>
      <c r="I251" s="11"/>
      <c r="J251" s="11"/>
    </row>
    <row r="252" spans="1:10" x14ac:dyDescent="0.25">
      <c r="A252" s="12" t="s">
        <v>242</v>
      </c>
      <c r="B252" s="13" t="s">
        <v>12</v>
      </c>
      <c r="C252" s="13" t="s">
        <v>12</v>
      </c>
      <c r="D252" s="13" t="s">
        <v>12</v>
      </c>
      <c r="E252" s="23" t="s">
        <v>12</v>
      </c>
      <c r="F252" s="13" t="s">
        <v>12</v>
      </c>
      <c r="G252" s="13" t="s">
        <v>12</v>
      </c>
      <c r="I252" s="11"/>
      <c r="J252" s="11"/>
    </row>
    <row r="253" spans="1:10" x14ac:dyDescent="0.25">
      <c r="A253" s="14" t="s">
        <v>243</v>
      </c>
      <c r="B253" s="15" t="s">
        <v>12</v>
      </c>
      <c r="C253" s="15" t="s">
        <v>12</v>
      </c>
      <c r="D253" s="15" t="s">
        <v>12</v>
      </c>
      <c r="E253" s="24" t="s">
        <v>12</v>
      </c>
      <c r="F253" s="15" t="s">
        <v>12</v>
      </c>
      <c r="G253" s="15" t="s">
        <v>12</v>
      </c>
      <c r="I253" s="11"/>
      <c r="J253" s="11"/>
    </row>
    <row r="254" spans="1:10" x14ac:dyDescent="0.25">
      <c r="A254" s="11"/>
      <c r="B254" s="11"/>
      <c r="C254" s="11"/>
      <c r="D254" s="11"/>
      <c r="F254" s="11"/>
      <c r="G254" s="11"/>
      <c r="I254" s="11"/>
      <c r="J254" s="11"/>
    </row>
    <row r="255" spans="1:10" x14ac:dyDescent="0.25">
      <c r="A255" s="11"/>
      <c r="B255" s="11"/>
      <c r="C255" s="11"/>
      <c r="D255" s="11"/>
      <c r="F255" s="11"/>
      <c r="G255" s="11"/>
      <c r="I255" s="11"/>
      <c r="J255" s="11"/>
    </row>
    <row r="256" spans="1:10" x14ac:dyDescent="0.25">
      <c r="A256" s="11" t="s">
        <v>244</v>
      </c>
      <c r="B256" s="11"/>
      <c r="C256" s="11"/>
      <c r="D256" s="11"/>
      <c r="F256" s="11"/>
      <c r="G256" s="11"/>
      <c r="I256" s="11"/>
      <c r="J256" s="11"/>
    </row>
    <row r="257" spans="1:7" x14ac:dyDescent="0.25">
      <c r="A257" s="11" t="s">
        <v>245</v>
      </c>
      <c r="B257" s="11"/>
      <c r="C257" s="11"/>
      <c r="D257" s="11"/>
      <c r="F257" s="11"/>
      <c r="G257" s="11"/>
    </row>
    <row r="258" spans="1:7" x14ac:dyDescent="0.25">
      <c r="F258" s="11"/>
      <c r="G258" s="11"/>
    </row>
  </sheetData>
  <mergeCells count="13">
    <mergeCell ref="L5:N5"/>
    <mergeCell ref="I5:K5"/>
    <mergeCell ref="A1:A4"/>
    <mergeCell ref="B1:C1"/>
    <mergeCell ref="B2:C2"/>
    <mergeCell ref="B3:C3"/>
    <mergeCell ref="B5:D5"/>
    <mergeCell ref="B4:C4"/>
    <mergeCell ref="E1:F1"/>
    <mergeCell ref="E2:F2"/>
    <mergeCell ref="E3:F3"/>
    <mergeCell ref="E4:F4"/>
    <mergeCell ref="E5:G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42A8-A69F-49B9-A996-16CAEDA14D3B}">
  <sheetPr>
    <tabColor theme="4"/>
  </sheetPr>
  <dimension ref="A1:AV221"/>
  <sheetViews>
    <sheetView topLeftCell="T106" zoomScaleNormal="100" workbookViewId="0">
      <selection activeCell="V67" sqref="V67"/>
    </sheetView>
  </sheetViews>
  <sheetFormatPr defaultRowHeight="15" x14ac:dyDescent="0.25"/>
  <cols>
    <col min="1" max="1" width="65.28515625" customWidth="1"/>
    <col min="2" max="3" width="12" bestFit="1" customWidth="1"/>
    <col min="4" max="4" width="12.42578125" bestFit="1" customWidth="1"/>
    <col min="5" max="7" width="12.5703125" bestFit="1" customWidth="1"/>
    <col min="8" max="10" width="13.85546875" bestFit="1" customWidth="1"/>
    <col min="11" max="12" width="15.140625" bestFit="1" customWidth="1"/>
    <col min="13" max="13" width="13.7109375" bestFit="1" customWidth="1"/>
    <col min="14" max="16" width="12.7109375" bestFit="1" customWidth="1"/>
    <col min="19" max="19" width="37.42578125" bestFit="1" customWidth="1"/>
    <col min="24" max="24" width="9.85546875" bestFit="1" customWidth="1"/>
    <col min="26" max="26" width="32.140625" bestFit="1" customWidth="1"/>
    <col min="27" max="38" width="3.140625" bestFit="1" customWidth="1"/>
    <col min="40" max="40" width="32.140625" bestFit="1" customWidth="1"/>
    <col min="45" max="45" width="32.140625" bestFit="1" customWidth="1"/>
    <col min="46" max="48" width="13.7109375" bestFit="1" customWidth="1"/>
  </cols>
  <sheetData>
    <row r="1" spans="1:48" x14ac:dyDescent="0.25">
      <c r="A1" s="36"/>
      <c r="B1" s="184" t="s">
        <v>255</v>
      </c>
      <c r="C1" s="184"/>
      <c r="D1" s="184"/>
      <c r="E1" s="185" t="s">
        <v>254</v>
      </c>
      <c r="F1" s="185"/>
      <c r="G1" s="185"/>
      <c r="H1" s="185"/>
      <c r="I1" s="185"/>
      <c r="J1" s="185"/>
      <c r="K1" s="185"/>
      <c r="L1" s="185"/>
      <c r="M1" s="185"/>
      <c r="N1" s="186" t="s">
        <v>301</v>
      </c>
      <c r="O1" s="179"/>
      <c r="P1" s="179"/>
      <c r="S1" s="30" t="str">
        <f>A39 &amp; " 2017"</f>
        <v>"SZYBKI TEST" MĄCZYŃSKIEJ 2017</v>
      </c>
      <c r="T1" s="33" t="s">
        <v>898</v>
      </c>
      <c r="U1" s="33" t="s">
        <v>935</v>
      </c>
      <c r="V1" s="33" t="s">
        <v>936</v>
      </c>
      <c r="W1" s="33" t="s">
        <v>937</v>
      </c>
      <c r="X1" s="33"/>
      <c r="Z1" s="179" t="str">
        <f>A39</f>
        <v>"SZYBKI TEST" MĄCZYŃSKIEJ</v>
      </c>
      <c r="AA1" s="179">
        <v>2017</v>
      </c>
      <c r="AB1" s="179"/>
      <c r="AC1" s="179"/>
      <c r="AD1" s="179"/>
      <c r="AE1" s="179">
        <v>2018</v>
      </c>
      <c r="AF1" s="179"/>
      <c r="AG1" s="179"/>
      <c r="AH1" s="179"/>
      <c r="AI1" s="179">
        <v>2019</v>
      </c>
      <c r="AJ1" s="179"/>
      <c r="AK1" s="179"/>
      <c r="AL1" s="179"/>
      <c r="AN1" s="21" t="str">
        <f>A39</f>
        <v>"SZYBKI TEST" MĄCZYŃSKIEJ</v>
      </c>
      <c r="AO1">
        <v>2017</v>
      </c>
      <c r="AP1" s="67">
        <v>2018</v>
      </c>
      <c r="AQ1" s="67">
        <v>2019</v>
      </c>
      <c r="AS1" s="21" t="str">
        <f>A39</f>
        <v>"SZYBKI TEST" MĄCZYŃSKIEJ</v>
      </c>
      <c r="AT1" s="67">
        <v>2017</v>
      </c>
      <c r="AU1" s="67">
        <v>2018</v>
      </c>
      <c r="AV1" s="67">
        <v>2019</v>
      </c>
    </row>
    <row r="2" spans="1:48" x14ac:dyDescent="0.25">
      <c r="A2" s="37" t="s">
        <v>256</v>
      </c>
      <c r="B2" s="187" t="s">
        <v>4</v>
      </c>
      <c r="C2" s="187"/>
      <c r="D2" s="187"/>
      <c r="E2" s="188" t="s">
        <v>248</v>
      </c>
      <c r="F2" s="188"/>
      <c r="G2" s="188"/>
      <c r="H2" s="189" t="s">
        <v>246</v>
      </c>
      <c r="I2" s="189"/>
      <c r="J2" s="189"/>
      <c r="K2" s="190" t="s">
        <v>247</v>
      </c>
      <c r="L2" s="190"/>
      <c r="M2" s="190"/>
      <c r="N2" s="191" t="s">
        <v>298</v>
      </c>
      <c r="O2" s="191"/>
      <c r="P2" s="191"/>
      <c r="S2" s="67" t="str">
        <f>$B$2</f>
        <v>Cyfrowy Polsat S.A. (Polska)</v>
      </c>
      <c r="T2" s="48">
        <f>D40</f>
        <v>0.43654705288946533</v>
      </c>
      <c r="U2" s="48">
        <f>D43</f>
        <v>3.6031434184675835</v>
      </c>
      <c r="V2" s="48">
        <f>D46</f>
        <v>3.4053898256232888E-2</v>
      </c>
      <c r="W2" s="48">
        <f>D49</f>
        <v>1.2222560635133353</v>
      </c>
      <c r="Z2" s="179"/>
      <c r="AA2" s="33" t="s">
        <v>898</v>
      </c>
      <c r="AB2" s="33" t="s">
        <v>935</v>
      </c>
      <c r="AC2" s="33" t="s">
        <v>936</v>
      </c>
      <c r="AD2" s="33" t="s">
        <v>937</v>
      </c>
      <c r="AE2" s="33" t="s">
        <v>898</v>
      </c>
      <c r="AF2" s="33" t="s">
        <v>935</v>
      </c>
      <c r="AG2" s="33" t="s">
        <v>936</v>
      </c>
      <c r="AH2" s="33" t="s">
        <v>937</v>
      </c>
      <c r="AI2" s="33" t="s">
        <v>898</v>
      </c>
      <c r="AJ2" s="33" t="s">
        <v>935</v>
      </c>
      <c r="AK2" s="33" t="s">
        <v>936</v>
      </c>
      <c r="AL2" s="33" t="s">
        <v>937</v>
      </c>
      <c r="AM2" s="33"/>
      <c r="AN2" s="67" t="str">
        <f>$B$2</f>
        <v>Cyfrowy Polsat S.A. (Polska)</v>
      </c>
      <c r="AO2" s="33">
        <f>SUM(AA3:AD3)</f>
        <v>12</v>
      </c>
      <c r="AP2" s="33">
        <f>SUM(AE3:AH3)</f>
        <v>12</v>
      </c>
      <c r="AQ2" s="33">
        <f>SUM(AI3:AL3)</f>
        <v>17</v>
      </c>
      <c r="AS2" s="67" t="str">
        <f>$B$2</f>
        <v>Cyfrowy Polsat S.A. (Polska)</v>
      </c>
      <c r="AT2" s="33" t="str">
        <f>IF(AO2&lt;=4,"bardzo zła",IF(AO2&lt;=8,"zła",IF(AO2&lt;=12,"dostateczna",IF(AO2&lt;=16,"dobra","bardzo dobra"))))</f>
        <v>dostateczna</v>
      </c>
      <c r="AU2" s="33" t="str">
        <f t="shared" ref="AU2:AV3" si="0">IF(AP2&lt;=4,"bardzo zła",IF(AP2&lt;=8,"zła",IF(AP2&lt;=12,"dostateczna",IF(AP2&lt;=16,"dobra","bardzo dobra"))))</f>
        <v>dostateczna</v>
      </c>
      <c r="AV2" s="33" t="str">
        <f t="shared" si="0"/>
        <v>bardzo dobra</v>
      </c>
    </row>
    <row r="3" spans="1:48" x14ac:dyDescent="0.25">
      <c r="A3" s="37" t="s">
        <v>257</v>
      </c>
      <c r="B3" s="33">
        <v>2019</v>
      </c>
      <c r="C3" s="33">
        <v>2018</v>
      </c>
      <c r="D3" s="33">
        <v>2017</v>
      </c>
      <c r="E3" s="33">
        <v>2019</v>
      </c>
      <c r="F3" s="33">
        <v>2018</v>
      </c>
      <c r="G3" s="33">
        <v>2017</v>
      </c>
      <c r="H3" s="33">
        <v>2019</v>
      </c>
      <c r="I3" s="33">
        <v>2018</v>
      </c>
      <c r="J3" s="33">
        <v>2017</v>
      </c>
      <c r="K3" s="33">
        <v>2019</v>
      </c>
      <c r="L3" s="33">
        <v>2018</v>
      </c>
      <c r="M3" s="33">
        <v>2017</v>
      </c>
      <c r="N3" s="33">
        <v>2019</v>
      </c>
      <c r="O3" s="33">
        <v>2018</v>
      </c>
      <c r="P3" s="33">
        <v>2017</v>
      </c>
      <c r="S3" s="67" t="str">
        <f>$E$2</f>
        <v>Telewizja Polska S.A. (Polska)</v>
      </c>
      <c r="T3" s="48">
        <f>G40</f>
        <v>0.31122325656891581</v>
      </c>
      <c r="U3" s="48">
        <f>G43</f>
        <v>0.99785431917829359</v>
      </c>
      <c r="V3" s="48">
        <f>G46</f>
        <v>3.7934946908433698E-4</v>
      </c>
      <c r="W3" s="48">
        <f>G49</f>
        <v>0.57899110793061515</v>
      </c>
      <c r="Z3" s="67" t="str">
        <f>$B$2</f>
        <v>Cyfrowy Polsat S.A. (Polska)</v>
      </c>
      <c r="AA3">
        <f>IF(T2&lt;=0.09,1,IF(T2&lt;=0.29,2,IF(T2&lt;=0.39,3,IF(T2&lt;=0.49,4,5))))</f>
        <v>4</v>
      </c>
      <c r="AB3" s="67">
        <f>IF(U2&lt;=1,1,IF(U2&lt;=2,2,IF(U2&lt;=3.9,3,IF(U2&lt;=6,4,5))))</f>
        <v>3</v>
      </c>
      <c r="AC3" s="67">
        <f>IF(V2&lt;=0.01,1,IF(V2&lt;=0.02,2,IF(V2&lt;=0.03,3,IF(V2&lt;=0.04,4,5))))</f>
        <v>4</v>
      </c>
      <c r="AD3" s="67">
        <f>IF(W2&gt;=1,1,IF(W2&gt;=0.98,2,IF(W2&gt;=0.96,3,IF(W2&gt;=0.9,4,5))))</f>
        <v>1</v>
      </c>
      <c r="AE3" s="67">
        <f>IF(T8&lt;=0.09,1,IF(T8&lt;=0.29,2,IF(T8&lt;=0.39,3,IF(T8&lt;=0.49,4,5))))</f>
        <v>4</v>
      </c>
      <c r="AF3" s="67">
        <f>IF(U8&lt;=1,1,IF(U8&lt;=2,2,IF(U8&lt;=3.9,3,IF(U8&lt;=6,4,5))))</f>
        <v>4</v>
      </c>
      <c r="AG3" s="67">
        <f>IF(V8&lt;=0.01,1,IF(V8&lt;=0.02,2,IF(V8&lt;=0.03,3,IF(V8&lt;=0.04,4,5))))</f>
        <v>3</v>
      </c>
      <c r="AH3" s="67">
        <f>IF(W8&gt;=1,1,IF(W8&gt;=0.98,2,IF(W8&gt;=0.96,3,IF(W8&gt;=0.9,4,5))))</f>
        <v>1</v>
      </c>
      <c r="AI3" s="67">
        <f>IF(T14&lt;=0.09,1,IF(T14&lt;=0.29,2,IF(T14&lt;=0.39,3,IF(T14&lt;=0.49,4,5))))</f>
        <v>4</v>
      </c>
      <c r="AJ3" s="67">
        <f>IF(U14&lt;=1,1,IF(U14&lt;=2,2,IF(U14&lt;=3.9,3,IF(U14&lt;=6,4,5))))</f>
        <v>4</v>
      </c>
      <c r="AK3" s="67">
        <f>IF(V14&lt;=0.01,1,IF(V14&lt;=0.02,2,IF(V14&lt;=0.03,3,IF(V14&lt;=0.04,4,5))))</f>
        <v>4</v>
      </c>
      <c r="AL3" s="67">
        <f>IF(W14&gt;=1,1,IF(W14&gt;=0.98,2,IF(W14&gt;=0.96,3,IF(W14&gt;=0.9,4,5))))</f>
        <v>5</v>
      </c>
      <c r="AN3" s="67" t="str">
        <f>$E$2</f>
        <v>Telewizja Polska S.A. (Polska)</v>
      </c>
      <c r="AO3" s="33">
        <f t="shared" ref="AO3:AO6" si="1">SUM(AA4:AD4)</f>
        <v>10</v>
      </c>
      <c r="AP3" s="33">
        <f t="shared" ref="AP3:AP6" si="2">SUM(AE4:AH4)</f>
        <v>10</v>
      </c>
      <c r="AQ3" s="33">
        <f>SUM(AI4:AL4)</f>
        <v>18</v>
      </c>
      <c r="AS3" s="67" t="str">
        <f>$E$2</f>
        <v>Telewizja Polska S.A. (Polska)</v>
      </c>
      <c r="AT3" s="33" t="str">
        <f>IF(AO3&lt;=4,"bardzo zła",IF(AO3&lt;=8,"zła",IF(AO3&lt;=12,"dostateczna",IF(AO3&lt;=16,"dobra","bardzo dobra"))))</f>
        <v>dostateczna</v>
      </c>
      <c r="AU3" s="33" t="str">
        <f t="shared" si="0"/>
        <v>dostateczna</v>
      </c>
      <c r="AV3" s="33" t="str">
        <f t="shared" si="0"/>
        <v>bardzo dobra</v>
      </c>
    </row>
    <row r="4" spans="1:48" x14ac:dyDescent="0.25">
      <c r="A4" s="53" t="s">
        <v>303</v>
      </c>
      <c r="B4" s="67">
        <f>'CYFROWY POLSAT SA'!B14</f>
        <v>11676100</v>
      </c>
      <c r="C4" s="67">
        <f>'CYFROWY POLSAT SA'!C14</f>
        <v>10686100</v>
      </c>
      <c r="D4" s="67">
        <f>'CYFROWY POLSAT SA'!D14</f>
        <v>9828600</v>
      </c>
      <c r="E4" s="67">
        <f>'KONKURENCJA R.N.TV'!B14</f>
        <v>2707328.91</v>
      </c>
      <c r="F4" s="67">
        <f>'KONKURENCJA R.N.TV'!C14</f>
        <v>2205047.9700000002</v>
      </c>
      <c r="G4" s="67">
        <f>'KONKURENCJA R.N.TV'!D14</f>
        <v>1777328.03</v>
      </c>
      <c r="H4" s="67">
        <f>'KONKURENCJA R.O.KOM.'!B14</f>
        <v>11406000</v>
      </c>
      <c r="I4" s="67">
        <f>'KONKURENCJA R.O.KOM.'!C14</f>
        <v>11101000</v>
      </c>
      <c r="J4" s="67">
        <f>'KONKURENCJA R.O.KOM.'!D14</f>
        <v>11381000</v>
      </c>
      <c r="K4" s="67">
        <f>'KONKURENCJA R.O.KOM.'!E14</f>
        <v>7040753</v>
      </c>
      <c r="L4" s="67">
        <f>'KONKURENCJA R.O.KOM.'!F14</f>
        <v>6839148</v>
      </c>
      <c r="M4" s="67">
        <f>'KONKURENCJA R.O.KOM.'!G14</f>
        <v>6669859</v>
      </c>
      <c r="N4" s="67"/>
      <c r="O4" s="67"/>
      <c r="P4" s="67"/>
      <c r="S4" s="67" t="str">
        <f>$H$2</f>
        <v>Orange Polska S.A. (Polska)</v>
      </c>
      <c r="T4" s="48">
        <f>J40</f>
        <v>0.43334932193781889</v>
      </c>
      <c r="U4" s="48">
        <f>J43</f>
        <v>0.68154761904761907</v>
      </c>
      <c r="V4" s="48">
        <f>J46</f>
        <v>-2.616317097632233E-3</v>
      </c>
      <c r="W4" s="48">
        <f>J49</f>
        <v>1.420804794520548</v>
      </c>
      <c r="Z4" s="67" t="str">
        <f>$E$2</f>
        <v>Telewizja Polska S.A. (Polska)</v>
      </c>
      <c r="AA4" s="67">
        <f t="shared" ref="AA4:AA7" si="3">IF(T3&lt;=0.09,1,IF(T3&lt;=0.29,2,IF(T3&lt;=0.39,3,IF(T3&lt;=0.49,4,5))))</f>
        <v>3</v>
      </c>
      <c r="AB4" s="67">
        <f t="shared" ref="AB4:AB7" si="4">IF(U3&lt;=1,1,IF(U3&lt;=2,2,IF(U3&lt;=3.9,3,IF(U3&lt;=6,4,5))))</f>
        <v>1</v>
      </c>
      <c r="AC4" s="67">
        <f t="shared" ref="AC4:AC7" si="5">IF(V3&lt;=0.01,1,IF(V3&lt;=0.02,2,IF(V3&lt;=0.03,3,IF(V3&lt;=0.04,4,5))))</f>
        <v>1</v>
      </c>
      <c r="AD4" s="67">
        <f t="shared" ref="AD4:AD7" si="6">IF(W3&gt;=1,1,IF(W3&gt;=0.98,2,IF(W3&gt;=0.96,3,IF(W3&gt;=0.9,4,5))))</f>
        <v>5</v>
      </c>
      <c r="AE4" s="67">
        <f t="shared" ref="AE4:AE7" si="7">IF(T9&lt;=0.09,1,IF(T9&lt;=0.29,2,IF(T9&lt;=0.39,3,IF(T9&lt;=0.49,4,5))))</f>
        <v>3</v>
      </c>
      <c r="AF4" s="67">
        <f t="shared" ref="AF4:AF7" si="8">IF(U9&lt;=1,1,IF(U9&lt;=2,2,IF(U9&lt;=3.9,3,IF(U9&lt;=6,4,5))))</f>
        <v>1</v>
      </c>
      <c r="AG4" s="67">
        <f t="shared" ref="AG4:AG7" si="9">IF(V9&lt;=0.01,1,IF(V9&lt;=0.02,2,IF(V9&lt;=0.03,3,IF(V9&lt;=0.04,4,5))))</f>
        <v>1</v>
      </c>
      <c r="AH4" s="67">
        <f t="shared" ref="AH4:AH7" si="10">IF(W9&gt;=1,1,IF(W9&gt;=0.98,2,IF(W9&gt;=0.96,3,IF(W9&gt;=0.9,4,5))))</f>
        <v>5</v>
      </c>
      <c r="AI4" s="67">
        <f t="shared" ref="AI4:AI7" si="11">IF(T15&lt;=0.09,1,IF(T15&lt;=0.29,2,IF(T15&lt;=0.39,3,IF(T15&lt;=0.49,4,5))))</f>
        <v>5</v>
      </c>
      <c r="AJ4" s="67">
        <f t="shared" ref="AJ4:AJ7" si="12">IF(U15&lt;=1,1,IF(U15&lt;=2,2,IF(U15&lt;=3.9,3,IF(U15&lt;=6,4,5))))</f>
        <v>3</v>
      </c>
      <c r="AK4" s="67">
        <f t="shared" ref="AK4:AK7" si="13">IF(V15&lt;=0.01,1,IF(V15&lt;=0.02,2,IF(V15&lt;=0.03,3,IF(V15&lt;=0.04,4,5))))</f>
        <v>5</v>
      </c>
      <c r="AL4" s="67">
        <f t="shared" ref="AL4:AL7" si="14">IF(W15&gt;=1,1,IF(W15&gt;=0.98,2,IF(W15&gt;=0.96,3,IF(W15&gt;=0.9,4,5))))</f>
        <v>5</v>
      </c>
      <c r="AN4" s="67" t="str">
        <f>$H$2</f>
        <v>Orange Polska S.A. (Polska)</v>
      </c>
      <c r="AO4" s="33">
        <f t="shared" si="1"/>
        <v>7</v>
      </c>
      <c r="AP4" s="33">
        <f t="shared" si="2"/>
        <v>9</v>
      </c>
      <c r="AQ4" s="33">
        <f t="shared" ref="AQ4:AQ5" si="15">SUM(AI5:AL5)</f>
        <v>7</v>
      </c>
      <c r="AS4" s="67" t="str">
        <f>$H$2</f>
        <v>Orange Polska S.A. (Polska)</v>
      </c>
      <c r="AT4" s="33" t="str">
        <f t="shared" ref="AT4:AT6" si="16">IF(AO4&lt;=4,"bardzo zła",IF(AO4&lt;=8,"zła",IF(AO4&lt;=12,"dostateczna",IF(AO4&lt;=16,"dobra","bardzo dobra"))))</f>
        <v>zła</v>
      </c>
      <c r="AU4" s="33" t="str">
        <f t="shared" ref="AU4:AU6" si="17">IF(AP4&lt;=4,"bardzo zła",IF(AP4&lt;=8,"zła",IF(AP4&lt;=12,"dostateczna",IF(AP4&lt;=16,"dobra","bardzo dobra"))))</f>
        <v>dostateczna</v>
      </c>
      <c r="AV4" s="33" t="str">
        <f t="shared" ref="AV4:AV6" si="18">IF(AQ4&lt;=4,"bardzo zła",IF(AQ4&lt;=8,"zła",IF(AQ4&lt;=12,"dostateczna",IF(AQ4&lt;=16,"dobra","bardzo dobra"))))</f>
        <v>zła</v>
      </c>
    </row>
    <row r="5" spans="1:48" x14ac:dyDescent="0.25">
      <c r="A5" s="53" t="s">
        <v>304</v>
      </c>
      <c r="B5" s="55">
        <f>'CYFROWY POLSAT SA'!B19</f>
        <v>0</v>
      </c>
      <c r="C5" s="55">
        <f>'CYFROWY POLSAT SA'!C19</f>
        <v>0</v>
      </c>
      <c r="D5" s="55">
        <f>'CYFROWY POLSAT SA'!D19</f>
        <v>0</v>
      </c>
      <c r="E5" s="55">
        <f>'KONKURENCJA R.N.TV'!B19</f>
        <v>0</v>
      </c>
      <c r="F5" s="55">
        <f>'KONKURENCJA R.N.TV'!C19</f>
        <v>0</v>
      </c>
      <c r="G5" s="55">
        <f>'KONKURENCJA R.N.TV'!D19</f>
        <v>0</v>
      </c>
      <c r="H5" s="55">
        <f>'KONKURENCJA R.O.KOM.'!B19</f>
        <v>0</v>
      </c>
      <c r="I5" s="55">
        <f>'KONKURENCJA R.O.KOM.'!C19</f>
        <v>0</v>
      </c>
      <c r="J5" s="55">
        <f>'KONKURENCJA R.O.KOM.'!D19</f>
        <v>0</v>
      </c>
      <c r="K5" s="55">
        <f>'KONKURENCJA R.O.KOM.'!E19</f>
        <v>0</v>
      </c>
      <c r="L5" s="55">
        <f>'KONKURENCJA R.O.KOM.'!F19</f>
        <v>0</v>
      </c>
      <c r="M5" s="55">
        <f>'KONKURENCJA R.O.KOM.'!G19</f>
        <v>0</v>
      </c>
      <c r="N5" s="67"/>
      <c r="O5" s="67"/>
      <c r="P5" s="67"/>
      <c r="S5" s="67" t="str">
        <f>$K$2</f>
        <v>Play Communications S.A. (Polska)</v>
      </c>
      <c r="T5" s="48">
        <f>M40</f>
        <v>-2.4071990287815526E-2</v>
      </c>
      <c r="U5" s="48">
        <f>M43</f>
        <v>1.6862343336537569</v>
      </c>
      <c r="V5" s="48">
        <f>M46</f>
        <v>4.3862230747271337E-2</v>
      </c>
      <c r="W5" s="48">
        <f>M49</f>
        <v>1.0719255322961982</v>
      </c>
      <c r="Z5" s="67" t="str">
        <f>$H$2</f>
        <v>Orange Polska S.A. (Polska)</v>
      </c>
      <c r="AA5" s="67">
        <f t="shared" si="3"/>
        <v>4</v>
      </c>
      <c r="AB5" s="67">
        <f t="shared" si="4"/>
        <v>1</v>
      </c>
      <c r="AC5" s="67">
        <f t="shared" si="5"/>
        <v>1</v>
      </c>
      <c r="AD5" s="67">
        <f t="shared" si="6"/>
        <v>1</v>
      </c>
      <c r="AE5" s="67">
        <f t="shared" si="7"/>
        <v>4</v>
      </c>
      <c r="AF5" s="67">
        <f t="shared" si="8"/>
        <v>1</v>
      </c>
      <c r="AG5" s="67">
        <f t="shared" si="9"/>
        <v>1</v>
      </c>
      <c r="AH5" s="67">
        <f t="shared" si="10"/>
        <v>3</v>
      </c>
      <c r="AI5" s="67">
        <f t="shared" si="11"/>
        <v>4</v>
      </c>
      <c r="AJ5" s="67">
        <f t="shared" si="12"/>
        <v>1</v>
      </c>
      <c r="AK5" s="67">
        <f t="shared" si="13"/>
        <v>1</v>
      </c>
      <c r="AL5" s="67">
        <f t="shared" si="14"/>
        <v>1</v>
      </c>
      <c r="AN5" s="67" t="str">
        <f>$K$2</f>
        <v>Play Communications S.A. (Polska)</v>
      </c>
      <c r="AO5" s="33">
        <f t="shared" si="1"/>
        <v>9</v>
      </c>
      <c r="AP5" s="33">
        <f t="shared" si="2"/>
        <v>10</v>
      </c>
      <c r="AQ5" s="33">
        <f t="shared" si="15"/>
        <v>11</v>
      </c>
      <c r="AS5" s="67" t="str">
        <f>$K$2</f>
        <v>Play Communications S.A. (Polska)</v>
      </c>
      <c r="AT5" s="33" t="str">
        <f t="shared" si="16"/>
        <v>dostateczna</v>
      </c>
      <c r="AU5" s="33" t="str">
        <f t="shared" si="17"/>
        <v>dostateczna</v>
      </c>
      <c r="AV5" s="33" t="str">
        <f t="shared" si="18"/>
        <v>dostateczna</v>
      </c>
    </row>
    <row r="6" spans="1:48" x14ac:dyDescent="0.25">
      <c r="A6" s="53" t="s">
        <v>306</v>
      </c>
      <c r="B6" s="67">
        <f>B17</f>
        <v>27604700</v>
      </c>
      <c r="C6" s="67">
        <f t="shared" ref="C6:M6" si="19">C17</f>
        <v>25274100</v>
      </c>
      <c r="D6" s="67">
        <f t="shared" si="19"/>
        <v>23824500</v>
      </c>
      <c r="E6" s="67">
        <f t="shared" si="19"/>
        <v>1014809.35</v>
      </c>
      <c r="F6" s="67">
        <f t="shared" si="19"/>
        <v>877020.05</v>
      </c>
      <c r="G6" s="67">
        <f t="shared" si="19"/>
        <v>752325.55</v>
      </c>
      <c r="H6" s="67">
        <f t="shared" si="19"/>
        <v>20847000</v>
      </c>
      <c r="I6" s="67">
        <f t="shared" si="19"/>
        <v>19326000</v>
      </c>
      <c r="J6" s="67">
        <f t="shared" si="19"/>
        <v>19660000</v>
      </c>
      <c r="K6" s="67">
        <f t="shared" si="19"/>
        <v>6199209</v>
      </c>
      <c r="L6" s="67">
        <f t="shared" si="19"/>
        <v>5718002</v>
      </c>
      <c r="M6" s="67">
        <f t="shared" si="19"/>
        <v>5504527</v>
      </c>
      <c r="N6" s="67"/>
      <c r="O6" s="67"/>
      <c r="P6" s="67"/>
      <c r="S6" s="67" t="str">
        <f>$N$2</f>
        <v>Branża</v>
      </c>
      <c r="T6" s="48">
        <f>P40</f>
        <v>0.36561481925975975</v>
      </c>
      <c r="U6" s="48">
        <f>O43</f>
        <v>2.676979766126907</v>
      </c>
      <c r="V6" s="48">
        <f>O46</f>
        <v>2.4599014647540069E-2</v>
      </c>
      <c r="W6" s="48">
        <f>O49</f>
        <v>1.0743715107402401</v>
      </c>
      <c r="Z6" s="67" t="str">
        <f>$K$2</f>
        <v>Play Communications S.A. (Polska)</v>
      </c>
      <c r="AA6" s="67">
        <f t="shared" si="3"/>
        <v>1</v>
      </c>
      <c r="AB6" s="67">
        <f t="shared" si="4"/>
        <v>2</v>
      </c>
      <c r="AC6" s="67">
        <f t="shared" si="5"/>
        <v>5</v>
      </c>
      <c r="AD6" s="67">
        <f t="shared" si="6"/>
        <v>1</v>
      </c>
      <c r="AE6" s="67">
        <f t="shared" si="7"/>
        <v>1</v>
      </c>
      <c r="AF6" s="67">
        <f t="shared" si="8"/>
        <v>3</v>
      </c>
      <c r="AG6" s="67">
        <f t="shared" si="9"/>
        <v>5</v>
      </c>
      <c r="AH6" s="67">
        <f t="shared" si="10"/>
        <v>1</v>
      </c>
      <c r="AI6" s="67">
        <f t="shared" si="11"/>
        <v>1</v>
      </c>
      <c r="AJ6" s="67">
        <f t="shared" si="12"/>
        <v>4</v>
      </c>
      <c r="AK6" s="67">
        <f t="shared" si="13"/>
        <v>5</v>
      </c>
      <c r="AL6" s="67">
        <f t="shared" si="14"/>
        <v>1</v>
      </c>
      <c r="AN6" s="67" t="str">
        <f>$N$2</f>
        <v>Branża</v>
      </c>
      <c r="AO6" s="33">
        <f t="shared" si="1"/>
        <v>10</v>
      </c>
      <c r="AP6" s="33">
        <f t="shared" si="2"/>
        <v>11</v>
      </c>
      <c r="AQ6" s="33">
        <f>SUM(AI7:AL7)</f>
        <v>14</v>
      </c>
      <c r="AS6" s="67" t="str">
        <f>$N$2</f>
        <v>Branża</v>
      </c>
      <c r="AT6" s="33" t="str">
        <f t="shared" si="16"/>
        <v>dostateczna</v>
      </c>
      <c r="AU6" s="33" t="str">
        <f t="shared" si="17"/>
        <v>dostateczna</v>
      </c>
      <c r="AV6" s="33" t="str">
        <f t="shared" si="18"/>
        <v>dobra</v>
      </c>
    </row>
    <row r="7" spans="1:48" x14ac:dyDescent="0.25">
      <c r="A7" s="53" t="s">
        <v>307</v>
      </c>
      <c r="B7" s="67">
        <f>'CYFROWY POLSAT SA'!B20</f>
        <v>2229700</v>
      </c>
      <c r="C7" s="67">
        <f>'CYFROWY POLSAT SA'!C20</f>
        <v>2307700</v>
      </c>
      <c r="D7" s="67">
        <f>'CYFROWY POLSAT SA'!D20</f>
        <v>2011600</v>
      </c>
      <c r="E7" s="55">
        <f>'KONKURENCJA R.N.TV'!B20</f>
        <v>0</v>
      </c>
      <c r="F7" s="55">
        <f>'KONKURENCJA R.N.TV'!C20</f>
        <v>0</v>
      </c>
      <c r="G7" s="55">
        <f>'KONKURENCJA R.N.TV'!D20</f>
        <v>0</v>
      </c>
      <c r="H7" s="55">
        <f>'KONKURENCJA R.O.KOM.'!B20</f>
        <v>2748000</v>
      </c>
      <c r="I7" s="55">
        <f>'KONKURENCJA R.O.KOM.'!C20</f>
        <v>0</v>
      </c>
      <c r="J7" s="55">
        <f>'KONKURENCJA R.O.KOM.'!D20</f>
        <v>2572000</v>
      </c>
      <c r="K7" s="55">
        <f>'KONKURENCJA R.O.KOM.'!E20</f>
        <v>906264</v>
      </c>
      <c r="L7" s="55">
        <f>'KONKURENCJA R.O.KOM.'!F20</f>
        <v>789290</v>
      </c>
      <c r="M7" s="55">
        <f>'KONKURENCJA R.O.KOM.'!G20</f>
        <v>797256</v>
      </c>
      <c r="N7" s="67"/>
      <c r="O7" s="67"/>
      <c r="P7" s="67"/>
      <c r="S7" s="30" t="str">
        <f>A39 &amp; " 2018"</f>
        <v>"SZYBKI TEST" MĄCZYŃSKIEJ 2018</v>
      </c>
      <c r="T7" s="33" t="s">
        <v>898</v>
      </c>
      <c r="U7" s="33" t="s">
        <v>935</v>
      </c>
      <c r="V7" s="33" t="s">
        <v>936</v>
      </c>
      <c r="W7" s="34" t="s">
        <v>937</v>
      </c>
      <c r="Z7" s="67" t="str">
        <f>$N$2</f>
        <v>Branża</v>
      </c>
      <c r="AA7" s="67">
        <f t="shared" si="3"/>
        <v>3</v>
      </c>
      <c r="AB7" s="67">
        <f t="shared" si="4"/>
        <v>3</v>
      </c>
      <c r="AC7" s="67">
        <f t="shared" si="5"/>
        <v>3</v>
      </c>
      <c r="AD7" s="67">
        <f t="shared" si="6"/>
        <v>1</v>
      </c>
      <c r="AE7" s="67">
        <f t="shared" si="7"/>
        <v>4</v>
      </c>
      <c r="AF7" s="67">
        <f t="shared" si="8"/>
        <v>3</v>
      </c>
      <c r="AG7" s="67">
        <f t="shared" si="9"/>
        <v>3</v>
      </c>
      <c r="AH7" s="67">
        <f t="shared" si="10"/>
        <v>1</v>
      </c>
      <c r="AI7" s="67">
        <f t="shared" si="11"/>
        <v>4</v>
      </c>
      <c r="AJ7" s="67">
        <f t="shared" si="12"/>
        <v>3</v>
      </c>
      <c r="AK7" s="67">
        <f t="shared" si="13"/>
        <v>4</v>
      </c>
      <c r="AL7" s="67">
        <f t="shared" si="14"/>
        <v>3</v>
      </c>
    </row>
    <row r="8" spans="1:48" x14ac:dyDescent="0.25">
      <c r="A8" s="53" t="s">
        <v>310</v>
      </c>
      <c r="B8" s="67">
        <f>'CYFROWY POLSAT SA'!B62</f>
        <v>1114600</v>
      </c>
      <c r="C8" s="67">
        <f>'CYFROWY POLSAT SA'!C62</f>
        <v>816100</v>
      </c>
      <c r="D8" s="67">
        <f>'CYFROWY POLSAT SA'!D62</f>
        <v>945200</v>
      </c>
      <c r="E8" s="55">
        <f>'KONKURENCJA R.N.TV'!B62</f>
        <v>89071.43</v>
      </c>
      <c r="F8" s="55">
        <f>'KONKURENCJA R.N.TV'!C62</f>
        <v>3492.65</v>
      </c>
      <c r="G8" s="55">
        <f>'KONKURENCJA R.N.TV'!D62</f>
        <v>563.79999999999995</v>
      </c>
      <c r="H8" s="55">
        <f>'KONKURENCJA R.O.KOM.'!B62</f>
        <v>91000</v>
      </c>
      <c r="I8" s="55">
        <f>'KONKURENCJA R.O.KOM.'!C62</f>
        <v>10000</v>
      </c>
      <c r="J8" s="55">
        <f>'KONKURENCJA R.O.KOM.'!D62</f>
        <v>-60000</v>
      </c>
      <c r="K8" s="55">
        <f>'KONKURENCJA R.O.KOM.'!E62</f>
        <v>866937</v>
      </c>
      <c r="L8" s="55">
        <f>'KONKURENCJA R.O.KOM.'!F62</f>
        <v>744604</v>
      </c>
      <c r="M8" s="55">
        <f>'KONKURENCJA R.O.KOM.'!G62</f>
        <v>387346</v>
      </c>
      <c r="N8" s="67"/>
      <c r="O8" s="67"/>
      <c r="P8" s="67"/>
      <c r="S8" s="67" t="str">
        <f>$B$2</f>
        <v>Cyfrowy Polsat S.A. (Polska)</v>
      </c>
      <c r="T8" s="48">
        <f>C40</f>
        <v>0.47312423444789031</v>
      </c>
      <c r="U8" s="48">
        <f>C43</f>
        <v>4.1148439361448652</v>
      </c>
      <c r="V8" s="48">
        <f>C46</f>
        <v>2.658583305100206E-2</v>
      </c>
      <c r="W8" s="48">
        <f>C49</f>
        <v>1.2697976797623718</v>
      </c>
    </row>
    <row r="9" spans="1:48" x14ac:dyDescent="0.25">
      <c r="A9" s="53" t="s">
        <v>272</v>
      </c>
      <c r="B9" s="67">
        <f>'CYFROWY POLSAT SA'!B84</f>
        <v>32589600</v>
      </c>
      <c r="C9" s="67">
        <f>'CYFROWY POLSAT SA'!C84</f>
        <v>30696800</v>
      </c>
      <c r="D9" s="67">
        <f>'CYFROWY POLSAT SA'!D84</f>
        <v>27756000</v>
      </c>
      <c r="E9" s="55">
        <f>'KONKURENCJA R.N.TV'!B84</f>
        <v>2149271.39</v>
      </c>
      <c r="F9" s="55">
        <f>'KONKURENCJA R.N.TV'!C84</f>
        <v>1481959.03</v>
      </c>
      <c r="G9" s="55">
        <f>'KONKURENCJA R.N.TV'!D84</f>
        <v>1486228.52</v>
      </c>
      <c r="H9" s="55">
        <f>'KONKURENCJA R.O.KOM.'!B84</f>
        <v>24340000</v>
      </c>
      <c r="I9" s="55">
        <f>'KONKURENCJA R.O.KOM.'!C84</f>
        <v>23295000</v>
      </c>
      <c r="J9" s="55">
        <f>'KONKURENCJA R.O.KOM.'!D84</f>
        <v>22933000</v>
      </c>
      <c r="K9" s="55">
        <f>'KONKURENCJA R.O.KOM.'!E84</f>
        <v>8885641</v>
      </c>
      <c r="L9" s="55">
        <f>'KONKURENCJA R.O.KOM.'!F84</f>
        <v>8520538</v>
      </c>
      <c r="M9" s="55">
        <f>'KONKURENCJA R.O.KOM.'!G84</f>
        <v>8830969</v>
      </c>
      <c r="N9" s="67"/>
      <c r="O9" s="67"/>
      <c r="P9" s="67"/>
      <c r="S9" s="67" t="str">
        <f>$E$2</f>
        <v>Telewizja Polska S.A. (Polska)</v>
      </c>
      <c r="T9" s="48">
        <f>F40</f>
        <v>0.31447666943937036</v>
      </c>
      <c r="U9" s="48">
        <f>F43</f>
        <v>0.6168083580488537</v>
      </c>
      <c r="V9" s="48">
        <f>F46</f>
        <v>2.3567790534668154E-3</v>
      </c>
      <c r="W9" s="48">
        <f>F49</f>
        <v>0.56973730863418659</v>
      </c>
      <c r="AS9" s="67" t="str">
        <f>$B$2</f>
        <v>Cyfrowy Polsat S.A. (Polska)</v>
      </c>
      <c r="AT9" s="67">
        <v>2017</v>
      </c>
      <c r="AU9" s="67">
        <v>2018</v>
      </c>
      <c r="AV9" s="67">
        <v>2019</v>
      </c>
    </row>
    <row r="10" spans="1:48" x14ac:dyDescent="0.25">
      <c r="A10" s="53" t="s">
        <v>321</v>
      </c>
      <c r="B10" s="67">
        <f>'CYFROWY POLSAT SA'!B160</f>
        <v>653200</v>
      </c>
      <c r="C10" s="67">
        <f>'CYFROWY POLSAT SA'!C160</f>
        <v>648200</v>
      </c>
      <c r="D10" s="67">
        <f>'CYFROWY POLSAT SA'!D160</f>
        <v>42600</v>
      </c>
      <c r="E10" s="55">
        <f>'KONKURENCJA R.N.TV'!B160</f>
        <v>0</v>
      </c>
      <c r="F10" s="55">
        <f>'KONKURENCJA R.N.TV'!C160</f>
        <v>0</v>
      </c>
      <c r="G10" s="55">
        <f>'KONKURENCJA R.N.TV'!D160</f>
        <v>0</v>
      </c>
      <c r="H10" s="55">
        <f>'KONKURENCJA R.O.KOM.'!B160</f>
        <v>2000</v>
      </c>
      <c r="I10" s="55">
        <f>'KONKURENCJA R.O.KOM.'!C160</f>
        <v>2000</v>
      </c>
      <c r="J10" s="55">
        <f>'KONKURENCJA R.O.KOM.'!D160</f>
        <v>2000</v>
      </c>
      <c r="K10" s="55">
        <f>'KONKURENCJA R.O.KOM.'!E160</f>
        <v>0</v>
      </c>
      <c r="L10" s="55">
        <f>'KONKURENCJA R.O.KOM.'!F160</f>
        <v>0</v>
      </c>
      <c r="M10" s="55">
        <f>'KONKURENCJA R.O.KOM.'!G160</f>
        <v>0</v>
      </c>
      <c r="N10" s="67"/>
      <c r="O10" s="67"/>
      <c r="P10" s="67"/>
      <c r="S10" s="67" t="str">
        <f>$H$2</f>
        <v>Orange Polska S.A. (Polska)</v>
      </c>
      <c r="T10" s="48">
        <f>I40</f>
        <v>0.45095514058810904</v>
      </c>
      <c r="U10" s="48">
        <f>I43</f>
        <v>0</v>
      </c>
      <c r="V10" s="48">
        <f>I46</f>
        <v>4.2927666881305E-4</v>
      </c>
      <c r="W10" s="48">
        <f>I49</f>
        <v>0.96811696318478069</v>
      </c>
      <c r="AS10" s="21" t="str">
        <f>A39</f>
        <v>"SZYBKI TEST" MĄCZYŃSKIEJ</v>
      </c>
      <c r="AT10" t="s">
        <v>945</v>
      </c>
      <c r="AU10" t="s">
        <v>946</v>
      </c>
      <c r="AV10" t="s">
        <v>945</v>
      </c>
    </row>
    <row r="11" spans="1:48" x14ac:dyDescent="0.25">
      <c r="A11" s="53" t="s">
        <v>314</v>
      </c>
      <c r="B11" s="67">
        <f>'CYFROWY POLSAT SA'!B144</f>
        <v>15117700</v>
      </c>
      <c r="C11" s="67">
        <f>'CYFROWY POLSAT SA'!C144</f>
        <v>14523400</v>
      </c>
      <c r="D11" s="67">
        <f>'CYFROWY POLSAT SA'!D144</f>
        <v>12116800</v>
      </c>
      <c r="E11" s="55">
        <f>'KONKURENCJA R.N.TV'!B144</f>
        <v>555112.97</v>
      </c>
      <c r="F11" s="55">
        <f>'KONKURENCJA R.N.TV'!C144</f>
        <v>466041.54</v>
      </c>
      <c r="G11" s="55">
        <f>'KONKURENCJA R.N.TV'!D144</f>
        <v>462548.88</v>
      </c>
      <c r="H11" s="55">
        <f>'KONKURENCJA R.O.KOM.'!B144</f>
        <v>10568000</v>
      </c>
      <c r="I11" s="55">
        <f>'KONKURENCJA R.O.KOM.'!C144</f>
        <v>10505000</v>
      </c>
      <c r="J11" s="55">
        <f>'KONKURENCJA R.O.KOM.'!D144</f>
        <v>9938000</v>
      </c>
      <c r="K11" s="55">
        <f>'KONKURENCJA R.O.KOM.'!E144</f>
        <v>321653</v>
      </c>
      <c r="L11" s="55">
        <f>'KONKURENCJA R.O.KOM.'!F144</f>
        <v>-200538</v>
      </c>
      <c r="M11" s="55">
        <f>'KONKURENCJA R.O.KOM.'!G144</f>
        <v>-212579</v>
      </c>
      <c r="N11" s="67"/>
      <c r="O11" s="67"/>
      <c r="P11" s="67"/>
      <c r="S11" s="67" t="str">
        <f>$K$2</f>
        <v>Play Communications S.A. (Polska)</v>
      </c>
      <c r="T11" s="48">
        <f>L40</f>
        <v>-2.3535837760479444E-2</v>
      </c>
      <c r="U11" s="48">
        <f>L43</f>
        <v>3.6582247737396543</v>
      </c>
      <c r="V11" s="48">
        <f>L46</f>
        <v>8.7389317435119712E-2</v>
      </c>
      <c r="W11" s="48">
        <f>L49</f>
        <v>1.1098432110275167</v>
      </c>
      <c r="AS11" t="str">
        <f>S41</f>
        <v>MODEL MĄCZYŃSKIEJ</v>
      </c>
      <c r="AT11" t="s">
        <v>947</v>
      </c>
      <c r="AU11" s="67" t="s">
        <v>947</v>
      </c>
      <c r="AV11" s="67" t="s">
        <v>947</v>
      </c>
    </row>
    <row r="12" spans="1:48" x14ac:dyDescent="0.25">
      <c r="A12" s="53" t="s">
        <v>316</v>
      </c>
      <c r="B12" s="67">
        <f>'CYFROWY POLSAT SA'!B39</f>
        <v>1967000</v>
      </c>
      <c r="C12" s="67">
        <f>'CYFROWY POLSAT SA'!C39</f>
        <v>1727000</v>
      </c>
      <c r="D12" s="67">
        <f>'CYFROWY POLSAT SA'!D39</f>
        <v>1834000</v>
      </c>
      <c r="E12" s="55">
        <f>'KONKURENCJA R.N.TV'!B39</f>
        <v>112714.52</v>
      </c>
      <c r="F12" s="55">
        <f>'KONKURENCJA R.N.TV'!C39</f>
        <v>15042.42</v>
      </c>
      <c r="G12" s="55">
        <f>'KONKURENCJA R.N.TV'!D39</f>
        <v>24429.21</v>
      </c>
      <c r="H12" s="55">
        <f>'KONKURENCJA R.O.KOM.'!B39</f>
        <v>0</v>
      </c>
      <c r="I12" s="55">
        <f>'KONKURENCJA R.O.KOM.'!C39</f>
        <v>0</v>
      </c>
      <c r="J12" s="55">
        <f>'KONKURENCJA R.O.KOM.'!D39</f>
        <v>229000</v>
      </c>
      <c r="K12" s="55">
        <f>'KONKURENCJA R.O.KOM.'!E39</f>
        <v>1499646</v>
      </c>
      <c r="L12" s="55">
        <f>'KONKURENCJA R.O.KOM.'!F39</f>
        <v>1370660</v>
      </c>
      <c r="M12" s="55">
        <f>'KONKURENCJA R.O.KOM.'!G39</f>
        <v>1106883</v>
      </c>
      <c r="N12" s="67"/>
      <c r="O12" s="67"/>
      <c r="P12" s="67"/>
      <c r="S12" s="67" t="str">
        <f>$N$2</f>
        <v>Branża</v>
      </c>
      <c r="T12" s="48">
        <f>O40</f>
        <v>0.39525246332719971</v>
      </c>
      <c r="U12" s="48">
        <f>O43</f>
        <v>2.676979766126907</v>
      </c>
      <c r="V12" s="48">
        <f>O46</f>
        <v>2.4599014647540069E-2</v>
      </c>
      <c r="W12" s="48">
        <f>O49</f>
        <v>1.0743715107402401</v>
      </c>
      <c r="AS12" t="str">
        <f>S59</f>
        <v>TRZECI MODEL ALTMANA</v>
      </c>
      <c r="AT12" s="67" t="s">
        <v>949</v>
      </c>
      <c r="AU12" s="67" t="s">
        <v>949</v>
      </c>
      <c r="AV12" s="67" t="s">
        <v>949</v>
      </c>
    </row>
    <row r="13" spans="1:48" x14ac:dyDescent="0.25">
      <c r="A13" s="53" t="s">
        <v>309</v>
      </c>
      <c r="B13" s="67">
        <f>'CYFROWY POLSAT SA'!B36</f>
        <v>45700</v>
      </c>
      <c r="C13" s="67">
        <f>'CYFROWY POLSAT SA'!C36</f>
        <v>19700</v>
      </c>
      <c r="D13" s="67">
        <f>'CYFROWY POLSAT SA'!D36</f>
        <v>21300</v>
      </c>
      <c r="E13" s="55">
        <f>'KONKURENCJA R.N.TV'!B36</f>
        <v>41415.46</v>
      </c>
      <c r="F13" s="55">
        <f>'KONKURENCJA R.N.TV'!C36</f>
        <v>36478.31</v>
      </c>
      <c r="G13" s="55">
        <f>'KONKURENCJA R.N.TV'!D36</f>
        <v>27086.59</v>
      </c>
      <c r="H13" s="55">
        <f>'KONKURENCJA R.O.KOM.'!B36</f>
        <v>238000</v>
      </c>
      <c r="I13" s="55">
        <f>'KONKURENCJA R.O.KOM.'!C36</f>
        <v>253000</v>
      </c>
      <c r="J13" s="55">
        <f>'KONKURENCJA R.O.KOM.'!D36</f>
        <v>299000</v>
      </c>
      <c r="K13" s="55">
        <f>'KONKURENCJA R.O.KOM.'!E36</f>
        <v>76885</v>
      </c>
      <c r="L13" s="55">
        <f>'KONKURENCJA R.O.KOM.'!F36</f>
        <v>78239</v>
      </c>
      <c r="M13" s="55">
        <f>'KONKURENCJA R.O.KOM.'!G36</f>
        <v>109778</v>
      </c>
      <c r="N13" s="67"/>
      <c r="O13" s="67"/>
      <c r="P13" s="67"/>
      <c r="S13" s="30" t="str">
        <f>A39 &amp; " 2019"</f>
        <v>"SZYBKI TEST" MĄCZYŃSKIEJ 2019</v>
      </c>
      <c r="T13" s="33" t="s">
        <v>898</v>
      </c>
      <c r="U13" s="33" t="s">
        <v>935</v>
      </c>
      <c r="V13" s="33" t="s">
        <v>936</v>
      </c>
      <c r="W13" s="34" t="s">
        <v>937</v>
      </c>
      <c r="X13" s="33"/>
      <c r="AS13" t="str">
        <f>A158</f>
        <v>MODEL OHLSONA</v>
      </c>
      <c r="AT13" s="53" t="s">
        <v>945</v>
      </c>
      <c r="AU13" s="53" t="s">
        <v>945</v>
      </c>
      <c r="AV13" s="53" t="s">
        <v>945</v>
      </c>
    </row>
    <row r="14" spans="1:48" x14ac:dyDescent="0.25">
      <c r="A14" s="53" t="s">
        <v>317</v>
      </c>
      <c r="B14" s="67">
        <f>'CYFROWY POLSAT SA'!B40</f>
        <v>4196700</v>
      </c>
      <c r="C14" s="67">
        <f>'CYFROWY POLSAT SA'!C40</f>
        <v>4034700</v>
      </c>
      <c r="D14" s="67">
        <f>'CYFROWY POLSAT SA'!D40</f>
        <v>3845600</v>
      </c>
      <c r="E14" s="55">
        <f>'KONKURENCJA R.N.TV'!B40</f>
        <v>322286.03000000003</v>
      </c>
      <c r="F14" s="55">
        <f>'KONKURENCJA R.N.TV'!C40</f>
        <v>204586.81</v>
      </c>
      <c r="G14" s="55">
        <f>'KONKURENCJA R.N.TV'!D40</f>
        <v>194949.42</v>
      </c>
      <c r="H14" s="55">
        <f>'KONKURENCJA R.O.KOM.'!B40</f>
        <v>2748000</v>
      </c>
      <c r="I14" s="55">
        <f>'KONKURENCJA R.O.KOM.'!C40</f>
        <v>0</v>
      </c>
      <c r="J14" s="55">
        <f>'KONKURENCJA R.O.KOM.'!D40</f>
        <v>2801000</v>
      </c>
      <c r="K14" s="55">
        <f>'KONKURENCJA R.O.KOM.'!E40</f>
        <v>2405910</v>
      </c>
      <c r="L14" s="55">
        <f>'KONKURENCJA R.O.KOM.'!F40</f>
        <v>2159950</v>
      </c>
      <c r="M14" s="55">
        <f>'KONKURENCJA R.O.KOM.'!G40</f>
        <v>1904139</v>
      </c>
      <c r="N14" s="67"/>
      <c r="O14" s="67"/>
      <c r="P14" s="67"/>
      <c r="S14" s="67" t="str">
        <f>$B$2</f>
        <v>Cyfrowy Polsat S.A. (Polska)</v>
      </c>
      <c r="T14" s="48">
        <f>B40</f>
        <v>0.46388111544787292</v>
      </c>
      <c r="U14" s="48">
        <f>B43</f>
        <v>4.2219360377763469</v>
      </c>
      <c r="V14" s="48">
        <f>B46</f>
        <v>3.4201094827797825E-2</v>
      </c>
      <c r="W14" s="48">
        <f>B49</f>
        <v>0.52938968417819787</v>
      </c>
      <c r="AS14" t="str">
        <f>A188</f>
        <v>MODEL STĘPIENIA I STRĄKA</v>
      </c>
      <c r="AT14" s="53" t="s">
        <v>947</v>
      </c>
      <c r="AU14" s="53" t="s">
        <v>947</v>
      </c>
      <c r="AV14" s="53" t="s">
        <v>947</v>
      </c>
    </row>
    <row r="15" spans="1:48" x14ac:dyDescent="0.25">
      <c r="A15" s="53" t="s">
        <v>326</v>
      </c>
      <c r="B15" s="67">
        <f>'CYFROWY POLSAT SA'!B143</f>
        <v>32589600</v>
      </c>
      <c r="C15" s="67">
        <f>'CYFROWY POLSAT SA'!C143</f>
        <v>30696800</v>
      </c>
      <c r="D15" s="67">
        <f>'CYFROWY POLSAT SA'!D143</f>
        <v>27756000</v>
      </c>
      <c r="E15" s="55">
        <f>'KONKURENCJA R.N.TV'!B143</f>
        <v>2149271.39</v>
      </c>
      <c r="F15" s="55">
        <f>'KONKURENCJA R.N.TV'!C143</f>
        <v>1481959.03</v>
      </c>
      <c r="G15" s="55">
        <f>'KONKURENCJA R.N.TV'!D143</f>
        <v>1486228.52</v>
      </c>
      <c r="H15" s="55">
        <f>'KONKURENCJA R.O.KOM.'!B143</f>
        <v>24340000</v>
      </c>
      <c r="I15" s="55">
        <f>'KONKURENCJA R.O.KOM.'!C143</f>
        <v>23295000</v>
      </c>
      <c r="J15" s="55">
        <f>'KONKURENCJA R.O.KOM.'!D143</f>
        <v>22933000</v>
      </c>
      <c r="K15" s="55">
        <f>'KONKURENCJA R.O.KOM.'!E143</f>
        <v>8885641</v>
      </c>
      <c r="L15" s="55">
        <f>'KONKURENCJA R.O.KOM.'!F143</f>
        <v>8520538</v>
      </c>
      <c r="M15" s="55">
        <f>'KONKURENCJA R.O.KOM.'!G143</f>
        <v>8830969</v>
      </c>
      <c r="N15" s="67"/>
      <c r="O15" s="67"/>
      <c r="P15" s="67"/>
      <c r="S15" s="67" t="str">
        <f>$E$2</f>
        <v>Telewizja Polska S.A. (Polska)</v>
      </c>
      <c r="T15" s="48">
        <f>E43</f>
        <v>2.0316891869116951</v>
      </c>
      <c r="U15" s="48">
        <f>E43</f>
        <v>2.0316891869116951</v>
      </c>
      <c r="V15" s="48">
        <f>E46</f>
        <v>4.1442616513868907E-2</v>
      </c>
      <c r="W15" s="48">
        <f>E49</f>
        <v>0.5714685502020691</v>
      </c>
      <c r="AS15" t="str">
        <f>A205</f>
        <v>MODEL "POZNAŃASKI"</v>
      </c>
      <c r="AT15" s="53" t="s">
        <v>947</v>
      </c>
      <c r="AU15" s="53" t="s">
        <v>947</v>
      </c>
      <c r="AV15" s="53" t="s">
        <v>947</v>
      </c>
    </row>
    <row r="16" spans="1:48" x14ac:dyDescent="0.25">
      <c r="A16" s="53" t="s">
        <v>942</v>
      </c>
      <c r="B16" s="67">
        <f>'CYFROWY POLSAT SA'!B13</f>
        <v>11721800</v>
      </c>
      <c r="C16" s="67">
        <f>'CYFROWY POLSAT SA'!C13</f>
        <v>10705800</v>
      </c>
      <c r="D16" s="67">
        <f>'CYFROWY POLSAT SA'!D13</f>
        <v>9849900</v>
      </c>
      <c r="E16" s="55">
        <f>'KONKURENCJA R.N.TV'!B13</f>
        <v>2748744.37</v>
      </c>
      <c r="F16" s="55">
        <f>'KONKURENCJA R.N.TV'!C13</f>
        <v>2241526.2799999998</v>
      </c>
      <c r="G16" s="55">
        <f>'KONKURENCJA R.N.TV'!D13</f>
        <v>1804414.62</v>
      </c>
      <c r="H16" s="55">
        <f>'KONKURENCJA R.O.KOM.'!B13</f>
        <v>11644000</v>
      </c>
      <c r="I16" s="55">
        <f>'KONKURENCJA R.O.KOM.'!C13</f>
        <v>11354000</v>
      </c>
      <c r="J16" s="55">
        <f>'KONKURENCJA R.O.KOM.'!D13</f>
        <v>11680000</v>
      </c>
      <c r="K16" s="55">
        <f>'KONKURENCJA R.O.KOM.'!E13</f>
        <v>7117638</v>
      </c>
      <c r="L16" s="55">
        <f>'KONKURENCJA R.O.KOM.'!F13</f>
        <v>6917387</v>
      </c>
      <c r="M16" s="55">
        <f>'KONKURENCJA R.O.KOM.'!G13</f>
        <v>6779637</v>
      </c>
      <c r="N16" s="67"/>
      <c r="O16" s="67"/>
      <c r="P16" s="67"/>
      <c r="S16" s="67" t="str">
        <f>$H$2</f>
        <v>Orange Polska S.A. (Polska)</v>
      </c>
      <c r="T16" s="48">
        <f>H40</f>
        <v>0.43418241577649958</v>
      </c>
      <c r="U16" s="48">
        <f>H43</f>
        <v>0</v>
      </c>
      <c r="V16" s="48">
        <f>H46</f>
        <v>3.7387017255546425E-3</v>
      </c>
      <c r="W16" s="48">
        <f>H49</f>
        <v>1.3868945379594642</v>
      </c>
      <c r="AS16" t="str">
        <f>S47</f>
        <v>MODEL ALTMANA 1968</v>
      </c>
      <c r="AT16" t="s">
        <v>948</v>
      </c>
      <c r="AU16" s="67" t="s">
        <v>948</v>
      </c>
      <c r="AV16" s="67" t="s">
        <v>948</v>
      </c>
    </row>
    <row r="17" spans="1:48" x14ac:dyDescent="0.25">
      <c r="A17" s="63" t="s">
        <v>837</v>
      </c>
      <c r="B17" s="67">
        <f>'CYFROWY POLSAT SA'!F70</f>
        <v>27604700</v>
      </c>
      <c r="C17" s="67">
        <f>'CYFROWY POLSAT SA'!G70</f>
        <v>25274100</v>
      </c>
      <c r="D17" s="67">
        <f>'CYFROWY POLSAT SA'!H70</f>
        <v>23824500</v>
      </c>
      <c r="E17" s="72">
        <f>'KONKURENCJA R.N.TV'!F85</f>
        <v>1014809.35</v>
      </c>
      <c r="F17" s="72">
        <f>'KONKURENCJA R.N.TV'!G85</f>
        <v>877020.05</v>
      </c>
      <c r="G17" s="72">
        <f>'KONKURENCJA R.N.TV'!H85</f>
        <v>752325.55</v>
      </c>
      <c r="H17" s="67">
        <f>'KONKURENCJA R.O.KOM.'!I70</f>
        <v>20847000</v>
      </c>
      <c r="I17" s="67">
        <f>'KONKURENCJA R.O.KOM.'!J70</f>
        <v>19326000</v>
      </c>
      <c r="J17" s="67">
        <f>'KONKURENCJA R.O.KOM.'!K70</f>
        <v>19660000</v>
      </c>
      <c r="K17" s="67">
        <f>'KONKURENCJA R.O.KOM.'!L70</f>
        <v>6199209</v>
      </c>
      <c r="L17" s="67">
        <f>'KONKURENCJA R.O.KOM.'!M70</f>
        <v>5718002</v>
      </c>
      <c r="M17" s="67">
        <f>'KONKURENCJA R.O.KOM.'!N70</f>
        <v>5504527</v>
      </c>
      <c r="N17" s="67"/>
      <c r="O17" s="67"/>
      <c r="P17" s="67"/>
      <c r="S17" s="67" t="str">
        <f>$K$2</f>
        <v>Play Communications S.A. (Polska)</v>
      </c>
      <c r="T17" s="48">
        <f>K40</f>
        <v>3.6199189231255237E-2</v>
      </c>
      <c r="U17" s="48">
        <f>K43</f>
        <v>4.3327593479680342</v>
      </c>
      <c r="V17" s="48">
        <f>K46</f>
        <v>9.7566061919449595E-2</v>
      </c>
      <c r="W17" s="48">
        <f>K49</f>
        <v>1.1924667986767521</v>
      </c>
      <c r="AS17" t="str">
        <f>S53</f>
        <v>DRUGI MODEL ALTMANA</v>
      </c>
      <c r="AT17" s="67" t="s">
        <v>949</v>
      </c>
      <c r="AU17" s="67" t="s">
        <v>948</v>
      </c>
      <c r="AV17" s="67" t="s">
        <v>948</v>
      </c>
    </row>
    <row r="18" spans="1:48" x14ac:dyDescent="0.25">
      <c r="A18" s="63" t="s">
        <v>839</v>
      </c>
      <c r="B18" s="67">
        <f>'CYFROWY POLSAT SA'!F71</f>
        <v>5239600</v>
      </c>
      <c r="C18" s="67">
        <f>'CYFROWY POLSAT SA'!G71</f>
        <v>5056700</v>
      </c>
      <c r="D18" s="67">
        <f>'CYFROWY POLSAT SA'!H71</f>
        <v>3192400</v>
      </c>
      <c r="E18" s="72">
        <f>'KONKURENCJA R.N.TV'!F95</f>
        <v>623028.61</v>
      </c>
      <c r="F18" s="72">
        <f>'KONKURENCJA R.N.TV'!G95</f>
        <v>570548.88</v>
      </c>
      <c r="G18" s="72">
        <f>'KONKURENCJA R.N.TV'!H95</f>
        <v>474864.57</v>
      </c>
      <c r="H18" s="67">
        <f>'KONKURENCJA R.O.KOM.'!I71</f>
        <v>10402000</v>
      </c>
      <c r="I18" s="67">
        <f>'KONKURENCJA R.O.KOM.'!J71</f>
        <v>10738000</v>
      </c>
      <c r="J18" s="67">
        <f>'KONKURENCJA R.O.KOM.'!K71</f>
        <v>10666000</v>
      </c>
      <c r="K18" s="67">
        <f>'KONKURENCJA R.O.KOM.'!L71</f>
        <v>2314734</v>
      </c>
      <c r="L18" s="67">
        <f>'KONKURENCJA R.O.KOM.'!M71</f>
        <v>1949433</v>
      </c>
      <c r="M18" s="67">
        <f>'KONKURENCJA R.O.KOM.'!N71</f>
        <v>1585698</v>
      </c>
      <c r="N18" s="67"/>
      <c r="O18" s="67"/>
      <c r="P18" s="67"/>
      <c r="S18" s="67" t="str">
        <f>$N$2</f>
        <v>Branża</v>
      </c>
      <c r="T18" s="48">
        <f>N40</f>
        <v>0.39082846379558933</v>
      </c>
      <c r="U18" s="48">
        <f>N43</f>
        <v>2.9692009240045487</v>
      </c>
      <c r="V18" s="48">
        <f>N46</f>
        <v>3.1804957528365187E-2</v>
      </c>
      <c r="W18" s="48">
        <f>N49</f>
        <v>0.97534274454572933</v>
      </c>
    </row>
    <row r="19" spans="1:48" x14ac:dyDescent="0.25">
      <c r="A19" s="63" t="s">
        <v>843</v>
      </c>
      <c r="B19" s="67">
        <f>'A. SYTUACJI M-K.'!B15-'A. SYTUACJI M-K.'!B11</f>
        <v>17471900</v>
      </c>
      <c r="C19" s="67">
        <f>'A. SYTUACJI M-K.'!C15-'A. SYTUACJI M-K.'!C11</f>
        <v>16173400</v>
      </c>
      <c r="D19" s="67">
        <f>'A. SYTUACJI M-K.'!D15-'A. SYTUACJI M-K.'!D11</f>
        <v>15639200</v>
      </c>
      <c r="E19" s="67">
        <f>'A. SYTUACJI M-K.'!E15-'A. SYTUACJI M-K.'!E11</f>
        <v>1594158.4200000002</v>
      </c>
      <c r="F19" s="67">
        <f>'A. SYTUACJI M-K.'!F15-'A. SYTUACJI M-K.'!F11</f>
        <v>1015917.49</v>
      </c>
      <c r="G19" s="67">
        <f>'A. SYTUACJI M-K.'!G15-'A. SYTUACJI M-K.'!G11</f>
        <v>1023679.64</v>
      </c>
      <c r="H19" s="67">
        <f>'A. SYTUACJI M-K.'!H15-'A. SYTUACJI M-K.'!H11</f>
        <v>13772000</v>
      </c>
      <c r="I19" s="67">
        <f>'A. SYTUACJI M-K.'!I15-'A. SYTUACJI M-K.'!I11</f>
        <v>12790000</v>
      </c>
      <c r="J19" s="67">
        <f>'A. SYTUACJI M-K.'!J15-'A. SYTUACJI M-K.'!J11</f>
        <v>12995000</v>
      </c>
      <c r="K19" s="67">
        <f>'A. SYTUACJI M-K.'!K15-'A. SYTUACJI M-K.'!K11</f>
        <v>8563988</v>
      </c>
      <c r="L19" s="67">
        <f>'A. SYTUACJI M-K.'!L15-'A. SYTUACJI M-K.'!L11</f>
        <v>8721076</v>
      </c>
      <c r="M19" s="67">
        <f>'A. SYTUACJI M-K.'!M15-'A. SYTUACJI M-K.'!M11</f>
        <v>9043548</v>
      </c>
      <c r="N19" s="67"/>
      <c r="O19" s="67"/>
      <c r="P19" s="67"/>
      <c r="S19" s="30" t="str">
        <f>A54 &amp; " 2017"</f>
        <v>MODEL BEAVERA 2017</v>
      </c>
      <c r="T19" s="33" t="s">
        <v>898</v>
      </c>
      <c r="U19" s="33" t="s">
        <v>935</v>
      </c>
      <c r="V19" s="33" t="s">
        <v>936</v>
      </c>
      <c r="W19" s="33" t="s">
        <v>937</v>
      </c>
      <c r="X19" s="33" t="s">
        <v>938</v>
      </c>
      <c r="Y19" s="33" t="s">
        <v>939</v>
      </c>
    </row>
    <row r="20" spans="1:48" x14ac:dyDescent="0.25">
      <c r="A20" s="63" t="s">
        <v>264</v>
      </c>
      <c r="B20" s="67">
        <f>'CYFROWY POLSAT SA'!F118</f>
        <v>5868200</v>
      </c>
      <c r="C20" s="67">
        <f>'CYFROWY POLSAT SA'!G118</f>
        <v>5018600</v>
      </c>
      <c r="D20" s="67">
        <f>'CYFROWY POLSAT SA'!H118</f>
        <v>3915500</v>
      </c>
      <c r="E20" s="67">
        <f>'KONKURENCJA R.N.TV'!F236</f>
        <v>918223.13</v>
      </c>
      <c r="F20" s="67">
        <f>'KONKURENCJA R.N.TV'!G236</f>
        <v>572696.17000000004</v>
      </c>
      <c r="G20" s="67">
        <f>'KONKURENCJA R.N.TV'!H236</f>
        <v>502911.89</v>
      </c>
      <c r="H20" s="67">
        <f>'KONKURENCJA R.O.KOM.'!I118</f>
        <v>4092000</v>
      </c>
      <c r="I20" s="67">
        <f>'KONKURENCJA R.O.KOM.'!J118</f>
        <v>5946000</v>
      </c>
      <c r="J20" s="67">
        <f>'KONKURENCJA R.O.KOM.'!K118</f>
        <v>6043000</v>
      </c>
      <c r="K20" s="67">
        <f>'KONKURENCJA R.O.KOM.'!L118</f>
        <v>1809809</v>
      </c>
      <c r="L20" s="67">
        <f>'KONKURENCJA R.O.KOM.'!M118</f>
        <v>2277356</v>
      </c>
      <c r="M20" s="67">
        <f>'KONKURENCJA R.O.KOM.'!N118</f>
        <v>2105120</v>
      </c>
      <c r="N20" s="67"/>
      <c r="O20" s="67"/>
      <c r="P20" s="67"/>
      <c r="S20" s="67" t="str">
        <f>$B$2</f>
        <v>Cyfrowy Polsat S.A. (Polska)</v>
      </c>
      <c r="T20" s="48">
        <f>D55</f>
        <v>0.13061409790782136</v>
      </c>
      <c r="U20" s="48">
        <f>D58</f>
        <v>3.4053898256232888E-2</v>
      </c>
      <c r="V20" s="48">
        <f>D61</f>
        <v>0.56345294711053462</v>
      </c>
      <c r="W20" s="48">
        <f>D64</f>
        <v>1.0040863235857489</v>
      </c>
      <c r="X20" s="48">
        <f>D67</f>
        <v>5.7645193831964265E-4</v>
      </c>
      <c r="Y20" s="48">
        <f>D71</f>
        <v>7.5821490900024935E-2</v>
      </c>
    </row>
    <row r="21" spans="1:48" x14ac:dyDescent="0.25">
      <c r="A21" s="63" t="s">
        <v>845</v>
      </c>
      <c r="B21" s="67">
        <f>'CYFROWY POLSAT SA'!F106</f>
        <v>12256900</v>
      </c>
      <c r="C21" s="67">
        <f>'CYFROWY POLSAT SA'!G106</f>
        <v>11803000</v>
      </c>
      <c r="D21" s="67">
        <f>'CYFROWY POLSAT SA'!H106</f>
        <v>11723700</v>
      </c>
      <c r="E21" s="67">
        <f>'KONKURENCJA R.N.TV'!F227</f>
        <v>414490.62</v>
      </c>
      <c r="F21" s="67">
        <f>'KONKURENCJA R.N.TV'!G227</f>
        <v>252583.51</v>
      </c>
      <c r="G21" s="67">
        <f>'KONKURENCJA R.N.TV'!H227</f>
        <v>357810.68</v>
      </c>
      <c r="H21" s="67">
        <f>'KONKURENCJA R.O.KOM.'!I106</f>
        <v>9682000</v>
      </c>
      <c r="I21" s="67">
        <f>'KONKURENCJA R.O.KOM.'!J106</f>
        <v>6846000</v>
      </c>
      <c r="J21" s="67">
        <f>'KONKURENCJA R.O.KOM.'!K106</f>
        <v>6952000</v>
      </c>
      <c r="K21" s="67">
        <f>'KONKURENCJA R.O.KOM.'!L106</f>
        <v>6754179</v>
      </c>
      <c r="L21" s="67">
        <f>'KONKURENCJA R.O.KOM.'!M106</f>
        <v>6443720</v>
      </c>
      <c r="M21" s="67">
        <f>'KONKURENCJA R.O.KOM.'!N106</f>
        <v>6938428</v>
      </c>
      <c r="N21" s="67"/>
      <c r="O21" s="67"/>
      <c r="P21" s="67"/>
      <c r="S21" s="67" t="str">
        <f>$E$2</f>
        <v>Telewizja Polska S.A. (Polska)</v>
      </c>
      <c r="T21" s="48">
        <f>G55</f>
        <v>0.14773510587745992</v>
      </c>
      <c r="U21" s="48">
        <f>G58</f>
        <v>3.7934946908433698E-4</v>
      </c>
      <c r="V21" s="48">
        <f>G61</f>
        <v>0.68877674343108419</v>
      </c>
      <c r="W21" s="48">
        <f>G64</f>
        <v>1.459307255591034</v>
      </c>
      <c r="X21" s="48">
        <f>G61</f>
        <v>0.68877674343108419</v>
      </c>
      <c r="Y21" s="48">
        <f>G71</f>
        <v>0.18709161892540505</v>
      </c>
    </row>
    <row r="22" spans="1:48" x14ac:dyDescent="0.25">
      <c r="A22" s="63" t="s">
        <v>844</v>
      </c>
      <c r="B22" s="67">
        <f t="shared" ref="B22:M22" si="20">B20+B21</f>
        <v>18125100</v>
      </c>
      <c r="C22" s="67">
        <f t="shared" si="20"/>
        <v>16821600</v>
      </c>
      <c r="D22" s="67">
        <f t="shared" si="20"/>
        <v>15639200</v>
      </c>
      <c r="E22" s="67">
        <f t="shared" si="20"/>
        <v>1332713.75</v>
      </c>
      <c r="F22" s="67">
        <f t="shared" si="20"/>
        <v>825279.68</v>
      </c>
      <c r="G22" s="67">
        <f t="shared" si="20"/>
        <v>860722.57000000007</v>
      </c>
      <c r="H22" s="67">
        <f t="shared" si="20"/>
        <v>13774000</v>
      </c>
      <c r="I22" s="67">
        <f t="shared" si="20"/>
        <v>12792000</v>
      </c>
      <c r="J22" s="67">
        <f t="shared" si="20"/>
        <v>12995000</v>
      </c>
      <c r="K22" s="67">
        <f t="shared" si="20"/>
        <v>8563988</v>
      </c>
      <c r="L22" s="67">
        <f t="shared" si="20"/>
        <v>8721076</v>
      </c>
      <c r="M22" s="67">
        <f t="shared" si="20"/>
        <v>9043548</v>
      </c>
      <c r="N22" s="67"/>
      <c r="O22" s="67"/>
      <c r="P22" s="67"/>
      <c r="S22" s="67" t="str">
        <f>$H$2</f>
        <v>Orange Polska S.A. (Polska)</v>
      </c>
      <c r="T22" s="48">
        <f>J55</f>
        <v>2.993459022701039E-2</v>
      </c>
      <c r="U22" s="48">
        <f>J58</f>
        <v>-2.616317097632233E-3</v>
      </c>
      <c r="V22" s="48">
        <f>J61</f>
        <v>0.56665067806218117</v>
      </c>
      <c r="W22" s="48">
        <f>J64</f>
        <v>0.5416184014562303</v>
      </c>
      <c r="X22" s="48">
        <f>J61</f>
        <v>0.56665067806218117</v>
      </c>
      <c r="Y22" s="48">
        <f>J71</f>
        <v>0.2325460487225193</v>
      </c>
    </row>
    <row r="23" spans="1:48" x14ac:dyDescent="0.25">
      <c r="A23" s="63" t="s">
        <v>260</v>
      </c>
      <c r="B23" s="67">
        <f>B9-B17</f>
        <v>4984900</v>
      </c>
      <c r="C23" s="67">
        <f t="shared" ref="C23:M23" si="21">C9-C17</f>
        <v>5422700</v>
      </c>
      <c r="D23" s="67">
        <f t="shared" si="21"/>
        <v>3931500</v>
      </c>
      <c r="E23" s="67">
        <f t="shared" si="21"/>
        <v>1134462.04</v>
      </c>
      <c r="F23" s="67">
        <f t="shared" si="21"/>
        <v>604938.98</v>
      </c>
      <c r="G23" s="67">
        <f t="shared" si="21"/>
        <v>733902.97</v>
      </c>
      <c r="H23" s="67">
        <f t="shared" si="21"/>
        <v>3493000</v>
      </c>
      <c r="I23" s="67">
        <f t="shared" si="21"/>
        <v>3969000</v>
      </c>
      <c r="J23" s="67">
        <f t="shared" si="21"/>
        <v>3273000</v>
      </c>
      <c r="K23" s="67">
        <f t="shared" si="21"/>
        <v>2686432</v>
      </c>
      <c r="L23" s="67">
        <f t="shared" si="21"/>
        <v>2802536</v>
      </c>
      <c r="M23" s="67">
        <f t="shared" si="21"/>
        <v>3326442</v>
      </c>
      <c r="N23" s="67"/>
      <c r="O23" s="67"/>
      <c r="P23" s="67"/>
      <c r="S23" s="67" t="str">
        <f>$K$2</f>
        <v>Play Communications S.A. (Polska)</v>
      </c>
      <c r="T23" s="48">
        <f>M55</f>
        <v>0.10421175405935812</v>
      </c>
      <c r="U23" s="48">
        <f>M58</f>
        <v>4.3862230747271337E-2</v>
      </c>
      <c r="V23" s="48">
        <f>M61</f>
        <v>1.0240719902878155</v>
      </c>
      <c r="W23" s="48">
        <f>M64</f>
        <v>1.580167401383294</v>
      </c>
      <c r="X23" s="48">
        <f>M61</f>
        <v>1.0240719902878155</v>
      </c>
      <c r="Y23" s="48">
        <f>M71</f>
        <v>5.829688415395945E-2</v>
      </c>
    </row>
    <row r="24" spans="1:48" s="67" customFormat="1" x14ac:dyDescent="0.25">
      <c r="A24" s="63" t="s">
        <v>900</v>
      </c>
      <c r="B24" s="67">
        <f>'CYFROWY POLSAT SA'!B34</f>
        <v>2229700</v>
      </c>
      <c r="C24" s="67">
        <f>'CYFROWY POLSAT SA'!C34</f>
        <v>2307700</v>
      </c>
      <c r="D24" s="67">
        <f>'CYFROWY POLSAT SA'!D34</f>
        <v>2011600</v>
      </c>
      <c r="E24" s="67">
        <f>'KONKURENCJA R.N.TV'!B34</f>
        <v>-209571.51</v>
      </c>
      <c r="F24" s="67">
        <f>'KONKURENCJA R.N.TV'!C34</f>
        <v>-189544.38</v>
      </c>
      <c r="G24" s="67">
        <f>'KONKURENCJA R.N.TV'!D34</f>
        <v>-170520.21</v>
      </c>
      <c r="H24" s="67">
        <f>'KONKURENCJA R.O.KOM.'!B34</f>
        <v>2748000</v>
      </c>
      <c r="I24" s="67">
        <f>'KONKURENCJA R.O.KOM.'!C34</f>
        <v>0</v>
      </c>
      <c r="J24" s="67">
        <f>'KONKURENCJA R.O.KOM.'!D34</f>
        <v>2572000</v>
      </c>
      <c r="K24" s="67">
        <f>'KONKURENCJA R.O.KOM.'!E34</f>
        <v>906264</v>
      </c>
      <c r="L24" s="67">
        <f>'KONKURENCJA R.O.KOM.'!F34</f>
        <v>789290</v>
      </c>
      <c r="M24" s="67">
        <f>'KONKURENCJA R.O.KOM.'!G34</f>
        <v>797256</v>
      </c>
      <c r="S24" s="67" t="str">
        <f>$N$2</f>
        <v>Branża</v>
      </c>
      <c r="T24" s="48">
        <f>P55</f>
        <v>9.1091663408208054E-2</v>
      </c>
      <c r="U24" s="48">
        <f>O58</f>
        <v>2.4599014647540069E-2</v>
      </c>
      <c r="V24" s="48">
        <f>O61</f>
        <v>0.60474753667280023</v>
      </c>
      <c r="W24" s="48">
        <f>O64</f>
        <v>0.92649274281366145</v>
      </c>
      <c r="X24" s="48">
        <f>O61</f>
        <v>0.60474753667280023</v>
      </c>
      <c r="Y24" s="48">
        <f>O71</f>
        <v>0.1993444120689421</v>
      </c>
    </row>
    <row r="25" spans="1:48" s="67" customFormat="1" x14ac:dyDescent="0.25">
      <c r="A25" s="63" t="s">
        <v>901</v>
      </c>
      <c r="B25" s="147">
        <f>'CYFROWY POLSAT SA'!B47</f>
        <v>-465900</v>
      </c>
      <c r="C25" s="147">
        <f>'CYFROWY POLSAT SA'!C47</f>
        <v>-419700</v>
      </c>
      <c r="D25" s="147">
        <f>'CYFROWY POLSAT SA'!D47</f>
        <v>-509000</v>
      </c>
      <c r="E25" s="67">
        <f>'KONKURENCJA R.N.TV'!B47</f>
        <v>-55478.23</v>
      </c>
      <c r="F25" s="67">
        <f>'KONKURENCJA R.N.TV'!C47</f>
        <v>-24387.51</v>
      </c>
      <c r="G25" s="67">
        <f>'KONKURENCJA R.N.TV'!D47</f>
        <v>-24481.74</v>
      </c>
      <c r="H25" s="147">
        <f>'KONKURENCJA R.O.KOM.'!B47</f>
        <v>-338000</v>
      </c>
      <c r="I25" s="147">
        <f>'KONKURENCJA R.O.KOM.'!C47</f>
        <v>-344000</v>
      </c>
      <c r="J25" s="147">
        <f>'KONKURENCJA R.O.KOM.'!D47</f>
        <v>-336000</v>
      </c>
      <c r="K25" s="147">
        <f>'KONKURENCJA R.O.KOM.'!E47</f>
        <v>-346118</v>
      </c>
      <c r="L25" s="147">
        <f>'KONKURENCJA R.O.KOM.'!F47</f>
        <v>-374679</v>
      </c>
      <c r="M25" s="147">
        <f>'KONKURENCJA R.O.KOM.'!G47</f>
        <v>-656423</v>
      </c>
      <c r="S25" s="30" t="str">
        <f>A54 &amp; " 2018"</f>
        <v>MODEL BEAVERA 2018</v>
      </c>
      <c r="T25" s="33" t="s">
        <v>898</v>
      </c>
      <c r="U25" s="33" t="s">
        <v>935</v>
      </c>
      <c r="V25" s="33" t="s">
        <v>936</v>
      </c>
      <c r="W25" s="33" t="s">
        <v>937</v>
      </c>
      <c r="X25" s="33" t="s">
        <v>938</v>
      </c>
      <c r="Y25" s="33" t="s">
        <v>939</v>
      </c>
    </row>
    <row r="26" spans="1:48" s="67" customFormat="1" x14ac:dyDescent="0.25">
      <c r="A26" s="63" t="s">
        <v>904</v>
      </c>
      <c r="B26" s="147">
        <f>'CYFROWY POLSAT SA'!B189+'CYFROWY POLSAT SA'!B212+'CYFROWY POLSAT SA'!B224+'CYFROWY POLSAT SA'!B240</f>
        <v>1815400</v>
      </c>
      <c r="C26" s="147">
        <f>'CYFROWY POLSAT SA'!C189+'CYFROWY POLSAT SA'!C212+'CYFROWY POLSAT SA'!C224+'CYFROWY POLSAT SA'!C240</f>
        <v>1992000</v>
      </c>
      <c r="D26" s="147">
        <f>'CYFROWY POLSAT SA'!D189+'CYFROWY POLSAT SA'!D212+'CYFROWY POLSAT SA'!D224+'CYFROWY POLSAT SA'!D240</f>
        <v>2042700</v>
      </c>
      <c r="E26" s="147">
        <f>'KONKURENCJA R.N.TV'!B189+'KONKURENCJA R.N.TV'!B212+'KONKURENCJA R.N.TV'!B224</f>
        <v>396774.34</v>
      </c>
      <c r="F26" s="147">
        <f>'KONKURENCJA R.N.TV'!C189+'KONKURENCJA R.N.TV'!C212+'KONKURENCJA R.N.TV'!C224</f>
        <v>-161069.71000000002</v>
      </c>
      <c r="G26" s="147">
        <f>'KONKURENCJA R.N.TV'!D189+'KONKURENCJA R.N.TV'!D212+'KONKURENCJA R.N.TV'!D224</f>
        <v>151233.42000000004</v>
      </c>
      <c r="H26" s="147">
        <f>'KONKURENCJA R.O.KOM.'!B189+'KONKURENCJA R.O.KOM.'!B212+'KONKURENCJA R.O.KOM.'!B224+'KONKURENCJA R.O.KOM.'!B240</f>
        <v>297000</v>
      </c>
      <c r="I26" s="147">
        <f>'KONKURENCJA R.O.KOM.'!C189+'KONKURENCJA R.O.KOM.'!C212+'KONKURENCJA R.O.KOM.'!C224+'KONKURENCJA R.O.KOM.'!C240</f>
        <v>-389000</v>
      </c>
      <c r="J26" s="147">
        <f>'KONKURENCJA R.O.KOM.'!D189+'KONKURENCJA R.O.KOM.'!D212+'KONKURENCJA R.O.KOM.'!D224+'KONKURENCJA R.O.KOM.'!D240</f>
        <v>389000</v>
      </c>
      <c r="K26" s="147">
        <f>'KONKURENCJA R.O.KOM.'!E189+'KONKURENCJA R.O.KOM.'!E212+'KONKURENCJA R.O.KOM.'!E224+'KONKURENCJA R.O.KOM.'!E240</f>
        <v>1316585</v>
      </c>
      <c r="L26" s="147">
        <f>'KONKURENCJA R.O.KOM.'!F189+'KONKURENCJA R.O.KOM.'!F212+'KONKURENCJA R.O.KOM.'!F224+'KONKURENCJA R.O.KOM.'!F240</f>
        <v>995440</v>
      </c>
      <c r="M26" s="147">
        <f>'KONKURENCJA R.O.KOM.'!G189+'KONKURENCJA R.O.KOM.'!G212+'KONKURENCJA R.O.KOM.'!G224+'KONKURENCJA R.O.KOM.'!G240</f>
        <v>942444</v>
      </c>
      <c r="S26" s="67" t="str">
        <f>$B$2</f>
        <v>Cyfrowy Polsat S.A. (Polska)</v>
      </c>
      <c r="T26" s="48">
        <f>C55</f>
        <v>0.12316519717560934</v>
      </c>
      <c r="U26" s="48">
        <f>C58</f>
        <v>2.658583305100206E-2</v>
      </c>
      <c r="V26" s="48">
        <f>C61</f>
        <v>0.52687576555210969</v>
      </c>
      <c r="W26" s="48">
        <f>C64</f>
        <v>1.0805204638743873</v>
      </c>
      <c r="X26" s="48">
        <f>C67</f>
        <v>1.3164238617706081E-2</v>
      </c>
      <c r="Y26" s="48">
        <f>C71</f>
        <v>0.13019979621671909</v>
      </c>
    </row>
    <row r="27" spans="1:48" s="67" customFormat="1" x14ac:dyDescent="0.25">
      <c r="A27" s="63" t="s">
        <v>910</v>
      </c>
      <c r="B27" s="147">
        <f>'CYFROWY POLSAT SA'!F89</f>
        <v>753100</v>
      </c>
      <c r="C27" s="147">
        <f>'CYFROWY POLSAT SA'!G89</f>
        <v>1178700</v>
      </c>
      <c r="D27" s="147">
        <f>'CYFROWY POLSAT SA'!H89</f>
        <v>1172000</v>
      </c>
      <c r="E27" s="147">
        <f>'KONKURENCJA R.N.TV'!F188</f>
        <v>418968.05</v>
      </c>
      <c r="F27" s="147">
        <f>'KONKURENCJA R.N.TV'!G188</f>
        <v>22211.41</v>
      </c>
      <c r="G27" s="147">
        <f>'KONKURENCJA R.N.TV'!H188</f>
        <v>183281.18</v>
      </c>
      <c r="H27" s="147">
        <f>'KONKURENCJA R.O.KOM.'!I89</f>
        <v>404000</v>
      </c>
      <c r="I27" s="147">
        <f>'KONKURENCJA R.O.KOM.'!J89</f>
        <v>611000</v>
      </c>
      <c r="J27" s="147">
        <f>'KONKURENCJA R.O.KOM.'!K89</f>
        <v>646000</v>
      </c>
      <c r="K27" s="147">
        <f>'KONKURENCJA R.O.KOM.'!L89</f>
        <v>294317</v>
      </c>
      <c r="L27" s="147">
        <f>'KONKURENCJA R.O.KOM.'!M89</f>
        <v>353690</v>
      </c>
      <c r="M27" s="147">
        <f>'KONKURENCJA R.O.KOM.'!N89</f>
        <v>628725</v>
      </c>
      <c r="S27" s="67" t="str">
        <f>$E$2</f>
        <v>Telewizja Polska S.A. (Polska)</v>
      </c>
      <c r="T27" s="48">
        <f>F55</f>
        <v>-0.15854605475883679</v>
      </c>
      <c r="U27" s="48">
        <f>F58</f>
        <v>2.3567790534668154E-3</v>
      </c>
      <c r="V27" s="48">
        <f>F61</f>
        <v>0.68552333056062953</v>
      </c>
      <c r="W27" s="48">
        <f>F64</f>
        <v>1.0563000272902121</v>
      </c>
      <c r="X27" s="48">
        <f>F67</f>
        <v>2.1756883521941859E-2</v>
      </c>
      <c r="Y27" s="48">
        <f>H64</f>
        <v>0.85361681329423267</v>
      </c>
    </row>
    <row r="28" spans="1:48" s="67" customFormat="1" x14ac:dyDescent="0.25">
      <c r="A28" s="63" t="s">
        <v>263</v>
      </c>
      <c r="B28" s="147">
        <f>'CYFROWY POLSAT SA'!F86</f>
        <v>2511600</v>
      </c>
      <c r="C28" s="147">
        <f>'CYFROWY POLSAT SA'!G86</f>
        <v>2370400</v>
      </c>
      <c r="D28" s="147">
        <f>'CYFROWY POLSAT SA'!H86</f>
        <v>1983200</v>
      </c>
      <c r="E28" s="147">
        <f>'KONKURENCJA R.N.TV'!B124</f>
        <v>258878.14</v>
      </c>
      <c r="F28" s="147">
        <f>'KONKURENCJA R.N.TV'!C124</f>
        <v>212817.92000000001</v>
      </c>
      <c r="G28" s="147">
        <f>'KONKURENCJA R.N.TV'!D124</f>
        <v>216532.85</v>
      </c>
      <c r="H28" s="147">
        <f>'KONKURENCJA R.O.KOM.'!I86</f>
        <v>2132000</v>
      </c>
      <c r="I28" s="147">
        <f>'KONKURENCJA R.O.KOM.'!J86</f>
        <v>2371000</v>
      </c>
      <c r="J28" s="147">
        <f>'KONKURENCJA R.O.KOM.'!K86</f>
        <v>2266000</v>
      </c>
      <c r="K28" s="147">
        <f>'KONKURENCJA R.O.KOM.'!L86</f>
        <v>731556</v>
      </c>
      <c r="L28" s="147">
        <f>'KONKURENCJA R.O.KOM.'!M86</f>
        <v>863913</v>
      </c>
      <c r="M28" s="147">
        <f>'KONKURENCJA R.O.KOM.'!N86</f>
        <v>1100466</v>
      </c>
      <c r="S28" s="67" t="str">
        <f>$H$2</f>
        <v>Orange Polska S.A. (Polska)</v>
      </c>
      <c r="T28" s="48">
        <f>I55</f>
        <v>-3.0414386239249414E-2</v>
      </c>
      <c r="U28" s="48">
        <f>I58</f>
        <v>4.2927666881305E-4</v>
      </c>
      <c r="V28" s="48">
        <f>I61</f>
        <v>0.54904485941189096</v>
      </c>
      <c r="W28" s="48">
        <f>I64</f>
        <v>0.66750756811301715</v>
      </c>
      <c r="X28" s="48">
        <f>I67</f>
        <v>-8.486799742433998E-2</v>
      </c>
      <c r="Y28" s="48">
        <f>I71</f>
        <v>0.28174904942965778</v>
      </c>
    </row>
    <row r="29" spans="1:48" s="67" customFormat="1" x14ac:dyDescent="0.25">
      <c r="A29" s="63" t="s">
        <v>911</v>
      </c>
      <c r="B29" s="147">
        <f>'CYFROWY POLSAT SA'!B112</f>
        <v>0</v>
      </c>
      <c r="C29" s="147">
        <f>'CYFROWY POLSAT SA'!C112</f>
        <v>0</v>
      </c>
      <c r="D29" s="147">
        <f>'CYFROWY POLSAT SA'!D112</f>
        <v>0</v>
      </c>
      <c r="E29" s="150">
        <f>'KONKURENCJA R.N.TV'!B112</f>
        <v>0</v>
      </c>
      <c r="F29" s="150">
        <f>'KONKURENCJA R.N.TV'!C112</f>
        <v>0</v>
      </c>
      <c r="G29" s="150">
        <f>'KONKURENCJA R.N.TV'!D112</f>
        <v>0</v>
      </c>
      <c r="H29" s="150">
        <f>'KONKURENCJA R.O.KOM.'!B112</f>
        <v>0</v>
      </c>
      <c r="I29" s="150">
        <f>'KONKURENCJA R.O.KOM.'!C112</f>
        <v>0</v>
      </c>
      <c r="J29" s="150">
        <f>'KONKURENCJA R.O.KOM.'!D112</f>
        <v>0</v>
      </c>
      <c r="K29" s="150">
        <f>'KONKURENCJA R.O.KOM.'!E112</f>
        <v>11587</v>
      </c>
      <c r="L29" s="150">
        <f>'KONKURENCJA R.O.KOM.'!F112</f>
        <v>0</v>
      </c>
      <c r="M29" s="150">
        <f>'KONKURENCJA R.O.KOM.'!G112</f>
        <v>4268</v>
      </c>
      <c r="S29" s="67" t="str">
        <f>$K$2</f>
        <v>Play Communications S.A. (Polska)</v>
      </c>
      <c r="T29" s="48">
        <f>L55</f>
        <v>0.11414187882320943</v>
      </c>
      <c r="U29" s="48">
        <f>L58</f>
        <v>8.7389317435119712E-2</v>
      </c>
      <c r="V29" s="48">
        <f>L61</f>
        <v>1.0235358377604795</v>
      </c>
      <c r="W29" s="48">
        <f>L64</f>
        <v>1.2306095314039613</v>
      </c>
      <c r="X29" s="48">
        <f>L67</f>
        <v>6.1636952971748968E-2</v>
      </c>
      <c r="Y29" s="48">
        <f>L71</f>
        <v>0.15659931819088588</v>
      </c>
    </row>
    <row r="30" spans="1:48" s="67" customFormat="1" x14ac:dyDescent="0.25">
      <c r="A30" s="63" t="s">
        <v>912</v>
      </c>
      <c r="B30" s="147">
        <f>'CYFROWY POLSAT SA'!B37</f>
        <v>-8008800</v>
      </c>
      <c r="C30" s="147">
        <f>'CYFROWY POLSAT SA'!C37</f>
        <v>-8978800</v>
      </c>
      <c r="D30" s="147">
        <f>'CYFROWY POLSAT SA'!D37</f>
        <v>-8015900</v>
      </c>
      <c r="E30" s="150">
        <f>'KONKURENCJA R.N.TV'!B33</f>
        <v>-1089996.0900000001</v>
      </c>
      <c r="F30" s="150">
        <f>'KONKURENCJA R.N.TV'!C33</f>
        <v>-866234.89</v>
      </c>
      <c r="G30" s="150">
        <f>'KONKURENCJA R.N.TV'!D33</f>
        <v>-721575.68</v>
      </c>
      <c r="H30" s="150">
        <f>'KONKURENCJA R.O.KOM.'!B33</f>
        <v>-10233000</v>
      </c>
      <c r="I30" s="150">
        <f>'KONKURENCJA R.O.KOM.'!C33</f>
        <v>-10520000</v>
      </c>
      <c r="J30" s="150">
        <f>'KONKURENCJA R.O.KOM.'!D33</f>
        <v>-10892000</v>
      </c>
      <c r="K30" s="150">
        <f>'KONKURENCJA R.O.KOM.'!E33</f>
        <v>-6532022</v>
      </c>
      <c r="L30" s="150">
        <f>'KONKURENCJA R.O.KOM.'!F33</f>
        <v>-5978000</v>
      </c>
      <c r="M30" s="150">
        <f>'KONKURENCJA R.O.KOM.'!G33</f>
        <v>-5578059</v>
      </c>
      <c r="S30" s="67" t="str">
        <f>$N$2</f>
        <v>Branża</v>
      </c>
      <c r="T30" s="48">
        <f>O55</f>
        <v>6.298050407755687E-2</v>
      </c>
      <c r="U30" s="48">
        <f>O58</f>
        <v>2.4599014647540069E-2</v>
      </c>
      <c r="V30" s="48">
        <f>O61</f>
        <v>0.60474753667280023</v>
      </c>
      <c r="W30" s="48">
        <f>O64</f>
        <v>0.92649274281366145</v>
      </c>
      <c r="X30" s="48">
        <f>O67</f>
        <v>-1.5868245095714578E-2</v>
      </c>
      <c r="Y30" s="48">
        <f>O71</f>
        <v>0.1993444120689421</v>
      </c>
    </row>
    <row r="31" spans="1:48" s="67" customFormat="1" x14ac:dyDescent="0.25">
      <c r="A31" s="53" t="s">
        <v>918</v>
      </c>
      <c r="B31" s="67">
        <f>'CYFROWY POLSAT SA'!B40</f>
        <v>4196700</v>
      </c>
      <c r="C31" s="67">
        <f>'CYFROWY POLSAT SA'!C40</f>
        <v>4034700</v>
      </c>
      <c r="D31" s="67">
        <f>'CYFROWY POLSAT SA'!D40</f>
        <v>3845600</v>
      </c>
      <c r="E31" s="55">
        <f>'KONKURENCJA R.N.TV'!B40</f>
        <v>322286.03000000003</v>
      </c>
      <c r="F31" s="55">
        <f>'KONKURENCJA R.N.TV'!C40</f>
        <v>204586.81</v>
      </c>
      <c r="G31" s="55">
        <f>'KONKURENCJA R.N.TV'!D40</f>
        <v>194949.42</v>
      </c>
      <c r="H31" s="55">
        <f>'KONKURENCJA R.O.KOM.'!B40</f>
        <v>2748000</v>
      </c>
      <c r="I31" s="55">
        <f>'KONKURENCJA R.O.KOM.'!C40</f>
        <v>0</v>
      </c>
      <c r="J31" s="55">
        <f>'KONKURENCJA R.O.KOM.'!D40</f>
        <v>2801000</v>
      </c>
      <c r="K31" s="55">
        <f>'KONKURENCJA R.O.KOM.'!E40</f>
        <v>2405910</v>
      </c>
      <c r="L31" s="55">
        <f>'KONKURENCJA R.O.KOM.'!F40</f>
        <v>2159950</v>
      </c>
      <c r="M31" s="55">
        <f>'KONKURENCJA R.O.KOM.'!G40</f>
        <v>1904139</v>
      </c>
      <c r="S31" s="30" t="str">
        <f>A54 &amp; " 2019"</f>
        <v>MODEL BEAVERA 2019</v>
      </c>
      <c r="T31" s="33" t="s">
        <v>898</v>
      </c>
      <c r="U31" s="33" t="s">
        <v>935</v>
      </c>
      <c r="V31" s="33" t="s">
        <v>936</v>
      </c>
      <c r="W31" s="33" t="s">
        <v>937</v>
      </c>
      <c r="X31" s="33" t="s">
        <v>938</v>
      </c>
      <c r="Y31" s="33" t="s">
        <v>939</v>
      </c>
    </row>
    <row r="32" spans="1:48" s="67" customFormat="1" x14ac:dyDescent="0.25">
      <c r="A32" s="53" t="s">
        <v>921</v>
      </c>
      <c r="B32" s="67">
        <f>'CYFROWY POLSAT SA'!B118</f>
        <v>306800</v>
      </c>
      <c r="C32" s="67">
        <f>'CYFROWY POLSAT SA'!C118</f>
        <v>394000</v>
      </c>
      <c r="D32" s="67">
        <f>'CYFROWY POLSAT SA'!D118</f>
        <v>283700</v>
      </c>
      <c r="E32" s="55">
        <f>'KONKURENCJA R.N.TV'!B118</f>
        <v>447288.34</v>
      </c>
      <c r="F32" s="55">
        <f>'KONKURENCJA R.N.TV'!C118</f>
        <v>354422.6</v>
      </c>
      <c r="G32" s="55">
        <f>'KONKURENCJA R.N.TV'!D118</f>
        <v>328797.03999999998</v>
      </c>
      <c r="H32" s="55">
        <f>'KONKURENCJA R.O.KOM.'!B118</f>
        <v>218000</v>
      </c>
      <c r="I32" s="55">
        <f>'KONKURENCJA R.O.KOM.'!C118</f>
        <v>240000</v>
      </c>
      <c r="J32" s="55">
        <f>'KONKURENCJA R.O.KOM.'!D118</f>
        <v>217000</v>
      </c>
      <c r="K32" s="55">
        <f>'KONKURENCJA R.O.KOM.'!E118</f>
        <v>169147</v>
      </c>
      <c r="L32" s="55">
        <f>'KONKURENCJA R.O.KOM.'!F118</f>
        <v>169494</v>
      </c>
      <c r="M32" s="55">
        <f>'KONKURENCJA R.O.KOM.'!G118</f>
        <v>159279</v>
      </c>
      <c r="S32" s="67" t="str">
        <f>$B$2</f>
        <v>Cyfrowy Polsat S.A. (Polska)</v>
      </c>
      <c r="T32" s="48">
        <f>B55</f>
        <v>0.10390398296693548</v>
      </c>
      <c r="U32" s="48">
        <f>B58</f>
        <v>3.4201094827797825E-2</v>
      </c>
      <c r="V32" s="48">
        <f>B61</f>
        <v>0.53611888455212708</v>
      </c>
      <c r="W32" s="48">
        <f>B64</f>
        <v>0.84947684128012002</v>
      </c>
      <c r="X32" s="48">
        <f>B67</f>
        <v>-2.7103738616000198E-2</v>
      </c>
      <c r="Y32" s="48">
        <f>B71</f>
        <v>0.25428529569761193</v>
      </c>
    </row>
    <row r="33" spans="1:25" s="67" customFormat="1" x14ac:dyDescent="0.25">
      <c r="A33" s="53" t="s">
        <v>925</v>
      </c>
      <c r="B33" s="141">
        <f>'A. POZYCJI RYNKOWEJ'!B10</f>
        <v>639546</v>
      </c>
      <c r="C33" s="141">
        <f>'A. POZYCJI RYNKOWEJ'!C10</f>
        <v>594778</v>
      </c>
      <c r="D33" s="141">
        <f>'A. POZYCJI RYNKOWEJ'!D10</f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S33" s="67" t="str">
        <f>$E$2</f>
        <v>Telewizja Polska S.A. (Polska)</v>
      </c>
      <c r="T33" s="48">
        <f>E58</f>
        <v>4.1442616513868907E-2</v>
      </c>
      <c r="U33" s="48">
        <f>E58</f>
        <v>4.1442616513868907E-2</v>
      </c>
      <c r="V33" s="48">
        <f>E61</f>
        <v>0.74172039297466297</v>
      </c>
      <c r="W33" s="48">
        <f>E64</f>
        <v>1.2354971280237734</v>
      </c>
      <c r="X33" s="48">
        <f>E67</f>
        <v>0.10061033288122818</v>
      </c>
      <c r="Y33" s="48">
        <f>E71</f>
        <v>0.27302388581654552</v>
      </c>
    </row>
    <row r="34" spans="1:25" s="67" customFormat="1" x14ac:dyDescent="0.25">
      <c r="A34" s="53" t="s">
        <v>927</v>
      </c>
      <c r="B34" s="141">
        <f>'A. POZYCJI RYNKOWEJ'!B29/1000</f>
        <v>17261346.971840002</v>
      </c>
      <c r="C34" s="141">
        <f>'A. POZYCJI RYNKOWEJ'!C29/1000</f>
        <v>15016540.45568</v>
      </c>
      <c r="D34" s="141">
        <f>'A. POZYCJI RYNKOWEJ'!D29/1000</f>
        <v>16039814.081279999</v>
      </c>
      <c r="E34" s="55">
        <v>0</v>
      </c>
      <c r="F34" s="55">
        <v>0</v>
      </c>
      <c r="G34" s="55">
        <v>0</v>
      </c>
      <c r="H34" s="55">
        <f>'A. POZYCJI RYNKOWEJ'!H29/1000</f>
        <v>8031627.7714800006</v>
      </c>
      <c r="I34" s="55">
        <f>'A. POZYCJI RYNKOWEJ'!I29/1000</f>
        <v>6456798.7966800006</v>
      </c>
      <c r="J34" s="55">
        <f>'A. POZYCJI RYNKOWEJ'!J29/1000</f>
        <v>6837382.4655900002</v>
      </c>
      <c r="K34" s="55">
        <v>0</v>
      </c>
      <c r="L34" s="55">
        <v>0</v>
      </c>
      <c r="M34" s="55">
        <v>0</v>
      </c>
      <c r="S34" s="67" t="str">
        <f>$H$2</f>
        <v>Orange Polska S.A. (Polska)</v>
      </c>
      <c r="T34" s="48">
        <f>H55</f>
        <v>2.1565495207667731E-2</v>
      </c>
      <c r="U34" s="48">
        <f>H58</f>
        <v>3.7387017255546425E-3</v>
      </c>
      <c r="V34" s="48">
        <f>H61</f>
        <v>0.56581758422350037</v>
      </c>
      <c r="W34" s="48">
        <f>H64</f>
        <v>0.85361681329423267</v>
      </c>
      <c r="X34" s="48">
        <f>H67</f>
        <v>-2.4609695973705836E-2</v>
      </c>
      <c r="Y34" s="48">
        <f>H71</f>
        <v>0.11986749865187582</v>
      </c>
    </row>
    <row r="35" spans="1:25" s="67" customFormat="1" x14ac:dyDescent="0.25">
      <c r="A35" s="53" t="s">
        <v>944</v>
      </c>
      <c r="B35" s="141">
        <f>'CYFROWY POLSAT SA'!B17-'CYFROWY POLSAT SA'!B20-'CYFROWY POLSAT SA'!B19-'CYFROWY POLSAT SA'!B28-'CYFROWY POLSAT SA'!B34-'CYFROWY POLSAT SA'!B37</f>
        <v>-6205400</v>
      </c>
      <c r="C35" s="141">
        <f>'CYFROWY POLSAT SA'!C17-'CYFROWY POLSAT SA'!C20-'CYFROWY POLSAT SA'!C19-'CYFROWY POLSAT SA'!C28-'CYFROWY POLSAT SA'!C34+'CYFROWY POLSAT SA'!C37</f>
        <v>-13594200</v>
      </c>
      <c r="D35" s="141">
        <f>'CYFROWY POLSAT SA'!D17-'CYFROWY POLSAT SA'!D20-'CYFROWY POLSAT SA'!D19-'CYFROWY POLSAT SA'!D28-'CYFROWY POLSAT SA'!D34+'CYFROWY POLSAT SA'!D37</f>
        <v>-12039100</v>
      </c>
      <c r="E35" s="55">
        <f>'KONKURENCJA R.N.TV'!B19-'KONKURENCJA R.N.TV'!B20+'KONKURENCJA R.N.TV'!B26+'KONKURENCJA R.N.TV'!B33+'KONKURENCJA R.N.TV'!B34+'KONKURENCJA R.N.TV'!B37</f>
        <v>-1570820.96</v>
      </c>
      <c r="F35" s="55">
        <f>'KONKURENCJA R.N.TV'!C19-'KONKURENCJA R.N.TV'!C20+'KONKURENCJA R.N.TV'!C26+'KONKURENCJA R.N.TV'!C33+'KONKURENCJA R.N.TV'!C34+'KONKURENCJA R.N.TV'!C37</f>
        <v>-1277081.1499999999</v>
      </c>
      <c r="G35" s="55">
        <f>'KONKURENCJA R.N.TV'!D19-'KONKURENCJA R.N.TV'!D20+'KONKURENCJA R.N.TV'!D26+'KONKURENCJA R.N.TV'!D33+'KONKURENCJA R.N.TV'!D34+'KONKURENCJA R.N.TV'!D37</f>
        <v>-1044740.02</v>
      </c>
      <c r="H35" s="55">
        <f>'KONKURENCJA R.O.KOM.'!B17-'KONKURENCJA R.O.KOM.'!B20-'KONKURENCJA R.O.KOM.'!B34+'KONKURENCJA R.O.KOM.'!B33+'KONKURENCJA R.O.KOM.'!B37</f>
        <v>-16149000</v>
      </c>
      <c r="I35" s="55">
        <f>'KONKURENCJA R.O.KOM.'!C17-'KONKURENCJA R.O.KOM.'!C20-'KONKURENCJA R.O.KOM.'!C34+'KONKURENCJA R.O.KOM.'!C33+'KONKURENCJA R.O.KOM.'!C37</f>
        <v>-10992000</v>
      </c>
      <c r="J35" s="55">
        <f>'KONKURENCJA R.O.KOM.'!D17-'KONKURENCJA R.O.KOM.'!D20-'KONKURENCJA R.O.KOM.'!D34+'KONKURENCJA R.O.KOM.'!D33+'KONKURENCJA R.O.KOM.'!D37</f>
        <v>-16595000</v>
      </c>
      <c r="K35" s="55">
        <f>'KONKURENCJA R.O.KOM.'!E17-'KONKURENCJA R.O.KOM.'!E20-'KONKURENCJA R.O.KOM.'!E34+'KONKURENCJA R.O.KOM.'!E33+'KONKURENCJA R.O.KOM.'!E37</f>
        <v>-8487547</v>
      </c>
      <c r="L35" s="55">
        <f>'KONKURENCJA R.O.KOM.'!F17-'KONKURENCJA R.O.KOM.'!F20-'KONKURENCJA R.O.KOM.'!F34+'KONKURENCJA R.O.KOM.'!F33+'KONKURENCJA R.O.KOM.'!F37</f>
        <v>-7677215</v>
      </c>
      <c r="M35" s="55">
        <f>'KONKURENCJA R.O.KOM.'!G17-'KONKURENCJA R.O.KOM.'!G20-'KONKURENCJA R.O.KOM.'!G34+'KONKURENCJA R.O.KOM.'!G33+'KONKURENCJA R.O.KOM.'!G37</f>
        <v>-7267266</v>
      </c>
      <c r="S35" s="67" t="str">
        <f>$K$2</f>
        <v>Play Communications S.A. (Polska)</v>
      </c>
      <c r="T35" s="48">
        <f>K55</f>
        <v>0.15373503559323062</v>
      </c>
      <c r="U35" s="48">
        <f>K58</f>
        <v>9.7566061919449595E-2</v>
      </c>
      <c r="V35" s="48">
        <f>K61</f>
        <v>0.9638008107687448</v>
      </c>
      <c r="W35" s="48">
        <f>K64</f>
        <v>1.4843732128638989</v>
      </c>
      <c r="X35" s="48">
        <f>K67</f>
        <v>9.8656135218607194E-2</v>
      </c>
      <c r="Y35" s="48">
        <f>K71</f>
        <v>0.10383427042197625</v>
      </c>
    </row>
    <row r="36" spans="1:25" s="67" customFormat="1" x14ac:dyDescent="0.25">
      <c r="A36" s="53" t="s">
        <v>952</v>
      </c>
      <c r="B36" s="153">
        <v>4.8</v>
      </c>
      <c r="C36" s="153">
        <v>5.15</v>
      </c>
      <c r="D36" s="153">
        <v>4.875</v>
      </c>
      <c r="E36" s="153">
        <v>4.8</v>
      </c>
      <c r="F36" s="153">
        <v>5.15</v>
      </c>
      <c r="G36" s="153">
        <v>4.875</v>
      </c>
      <c r="H36" s="153">
        <v>4.8</v>
      </c>
      <c r="I36" s="153">
        <v>5.15</v>
      </c>
      <c r="J36" s="153">
        <v>4.875</v>
      </c>
      <c r="K36" s="153">
        <v>4.8</v>
      </c>
      <c r="L36" s="153">
        <v>5.15</v>
      </c>
      <c r="M36" s="153">
        <v>4.875</v>
      </c>
      <c r="S36" s="67" t="str">
        <f>$N$2</f>
        <v>Branża</v>
      </c>
      <c r="T36" s="48">
        <f>N55</f>
        <v>9.2405078270524771E-2</v>
      </c>
      <c r="U36" s="48">
        <f>N58</f>
        <v>3.1804957528365187E-2</v>
      </c>
      <c r="V36" s="48">
        <f>N61</f>
        <v>0.60917153620441067</v>
      </c>
      <c r="W36" s="48">
        <f>N64</f>
        <v>0.96930714334275037</v>
      </c>
      <c r="X36" s="48">
        <f>N67</f>
        <v>-5.7300210993244775E-3</v>
      </c>
      <c r="Y36" s="48">
        <f>N71</f>
        <v>0.16399871282741618</v>
      </c>
    </row>
    <row r="37" spans="1:25" s="67" customFormat="1" x14ac:dyDescent="0.25">
      <c r="A37" s="53" t="s">
        <v>961</v>
      </c>
      <c r="B37" s="153">
        <f>C8</f>
        <v>816100</v>
      </c>
      <c r="C37" s="153">
        <f t="shared" ref="C37:L37" si="22">D8</f>
        <v>945200</v>
      </c>
      <c r="D37" s="153">
        <v>1021000</v>
      </c>
      <c r="E37" s="153">
        <f t="shared" si="22"/>
        <v>3492.65</v>
      </c>
      <c r="F37" s="153">
        <f t="shared" si="22"/>
        <v>563.79999999999995</v>
      </c>
      <c r="G37" s="153">
        <v>-176746.74</v>
      </c>
      <c r="H37" s="153">
        <f t="shared" si="22"/>
        <v>10000</v>
      </c>
      <c r="I37" s="153">
        <f t="shared" si="22"/>
        <v>-60000</v>
      </c>
      <c r="J37" s="153">
        <v>-1746000</v>
      </c>
      <c r="K37" s="153">
        <f t="shared" si="22"/>
        <v>744604</v>
      </c>
      <c r="L37" s="153">
        <f t="shared" si="22"/>
        <v>387346</v>
      </c>
      <c r="M37" s="153">
        <v>711988</v>
      </c>
      <c r="T37" s="48"/>
      <c r="U37" s="48"/>
      <c r="V37" s="48"/>
      <c r="W37" s="48"/>
      <c r="X37" s="48"/>
      <c r="Y37" s="48"/>
    </row>
    <row r="38" spans="1:25" x14ac:dyDescent="0.25">
      <c r="B38" s="153"/>
      <c r="C38" s="153"/>
    </row>
    <row r="39" spans="1:25" x14ac:dyDescent="0.25">
      <c r="A39" s="146" t="s">
        <v>897</v>
      </c>
    </row>
    <row r="40" spans="1:25" x14ac:dyDescent="0.25">
      <c r="A40" s="145" t="s">
        <v>899</v>
      </c>
      <c r="B40" s="148">
        <f>B41/B42</f>
        <v>0.46388111544787292</v>
      </c>
      <c r="C40" s="148">
        <f t="shared" ref="C40:N40" si="23">C41/C42</f>
        <v>0.47312423444789031</v>
      </c>
      <c r="D40" s="148">
        <f t="shared" si="23"/>
        <v>0.43654705288946533</v>
      </c>
      <c r="E40" s="148">
        <f t="shared" si="23"/>
        <v>0.25827960702533703</v>
      </c>
      <c r="F40" s="148">
        <f t="shared" si="23"/>
        <v>0.31447666943937036</v>
      </c>
      <c r="G40" s="148">
        <f t="shared" si="23"/>
        <v>0.31122325656891581</v>
      </c>
      <c r="H40" s="148">
        <f t="shared" si="23"/>
        <v>0.43418241577649958</v>
      </c>
      <c r="I40" s="148">
        <f t="shared" si="23"/>
        <v>0.45095514058810904</v>
      </c>
      <c r="J40" s="148">
        <f t="shared" si="23"/>
        <v>0.43334932193781889</v>
      </c>
      <c r="K40" s="148">
        <f t="shared" si="23"/>
        <v>3.6199189231255237E-2</v>
      </c>
      <c r="L40" s="148">
        <f t="shared" si="23"/>
        <v>-2.3535837760479444E-2</v>
      </c>
      <c r="M40" s="148">
        <f t="shared" si="23"/>
        <v>-2.4071990287815526E-2</v>
      </c>
      <c r="N40" s="148">
        <f t="shared" si="23"/>
        <v>0.39082846379558933</v>
      </c>
      <c r="O40" s="148">
        <f t="shared" ref="O40" si="24">O41/O42</f>
        <v>0.39525246332719971</v>
      </c>
      <c r="P40" s="148">
        <f t="shared" ref="P40" si="25">P41/P42</f>
        <v>0.36561481925975975</v>
      </c>
    </row>
    <row r="41" spans="1:25" x14ac:dyDescent="0.25">
      <c r="A41" t="str">
        <f>A11</f>
        <v>kapitał własny</v>
      </c>
      <c r="B41" s="67">
        <f t="shared" ref="B41:M41" si="26">B11</f>
        <v>15117700</v>
      </c>
      <c r="C41" s="67">
        <f t="shared" si="26"/>
        <v>14523400</v>
      </c>
      <c r="D41" s="67">
        <f t="shared" si="26"/>
        <v>12116800</v>
      </c>
      <c r="E41" s="67">
        <f t="shared" si="26"/>
        <v>555112.97</v>
      </c>
      <c r="F41" s="67">
        <f t="shared" si="26"/>
        <v>466041.54</v>
      </c>
      <c r="G41" s="67">
        <f t="shared" si="26"/>
        <v>462548.88</v>
      </c>
      <c r="H41" s="67">
        <f t="shared" si="26"/>
        <v>10568000</v>
      </c>
      <c r="I41" s="67">
        <f t="shared" si="26"/>
        <v>10505000</v>
      </c>
      <c r="J41" s="67">
        <f t="shared" si="26"/>
        <v>9938000</v>
      </c>
      <c r="K41" s="67">
        <f t="shared" si="26"/>
        <v>321653</v>
      </c>
      <c r="L41" s="67">
        <f t="shared" si="26"/>
        <v>-200538</v>
      </c>
      <c r="M41" s="67">
        <f t="shared" si="26"/>
        <v>-212579</v>
      </c>
      <c r="N41" s="149">
        <f t="shared" ref="N41:N42" si="27">AVERAGE(B41,E41,H41,K41)</f>
        <v>6640616.4924999997</v>
      </c>
      <c r="O41" s="149">
        <f t="shared" ref="O41:O42" si="28">AVERAGE(C41,F41,I41,L41)</f>
        <v>6323475.8849999998</v>
      </c>
      <c r="P41" s="149">
        <f t="shared" ref="P41:P42" si="29">AVERAGE(D41,G41,J41,M41)</f>
        <v>5576192.4700000007</v>
      </c>
      <c r="S41" s="30" t="str">
        <f>A79</f>
        <v>MODEL MĄCZYŃSKIEJ</v>
      </c>
      <c r="T41" s="33">
        <v>2019</v>
      </c>
      <c r="U41" s="33">
        <v>2018</v>
      </c>
      <c r="V41" s="33">
        <v>2017</v>
      </c>
    </row>
    <row r="42" spans="1:25" x14ac:dyDescent="0.25">
      <c r="A42" t="str">
        <f>A9</f>
        <v>aktywa ogółem</v>
      </c>
      <c r="B42" s="67">
        <f t="shared" ref="B42:M42" si="30">B9</f>
        <v>32589600</v>
      </c>
      <c r="C42" s="67">
        <f t="shared" si="30"/>
        <v>30696800</v>
      </c>
      <c r="D42" s="67">
        <f t="shared" si="30"/>
        <v>27756000</v>
      </c>
      <c r="E42" s="67">
        <f t="shared" si="30"/>
        <v>2149271.39</v>
      </c>
      <c r="F42" s="67">
        <f t="shared" si="30"/>
        <v>1481959.03</v>
      </c>
      <c r="G42" s="67">
        <f t="shared" si="30"/>
        <v>1486228.52</v>
      </c>
      <c r="H42" s="67">
        <f t="shared" si="30"/>
        <v>24340000</v>
      </c>
      <c r="I42" s="67">
        <f t="shared" si="30"/>
        <v>23295000</v>
      </c>
      <c r="J42" s="67">
        <f t="shared" si="30"/>
        <v>22933000</v>
      </c>
      <c r="K42" s="67">
        <f t="shared" si="30"/>
        <v>8885641</v>
      </c>
      <c r="L42" s="67">
        <f t="shared" si="30"/>
        <v>8520538</v>
      </c>
      <c r="M42" s="67">
        <f t="shared" si="30"/>
        <v>8830969</v>
      </c>
      <c r="N42" s="149">
        <f t="shared" si="27"/>
        <v>16991128.0975</v>
      </c>
      <c r="O42" s="149">
        <f t="shared" si="28"/>
        <v>15998574.2575</v>
      </c>
      <c r="P42" s="149">
        <f t="shared" si="29"/>
        <v>15251549.379999999</v>
      </c>
      <c r="S42" s="67" t="str">
        <f>$B$2</f>
        <v>Cyfrowy Polsat S.A. (Polska)</v>
      </c>
      <c r="T42" s="48">
        <f>B80</f>
        <v>5.9847543491511157</v>
      </c>
      <c r="U42" s="48">
        <f>C80</f>
        <v>6.1060040617035183</v>
      </c>
      <c r="V42" s="48">
        <f>D80</f>
        <v>6.2528887887046665</v>
      </c>
    </row>
    <row r="43" spans="1:25" x14ac:dyDescent="0.25">
      <c r="A43" s="145" t="s">
        <v>940</v>
      </c>
      <c r="B43" s="148">
        <f>-B44/B45</f>
        <v>4.2219360377763469</v>
      </c>
      <c r="C43" s="148">
        <f t="shared" ref="C43:P43" si="31">-C44/C45</f>
        <v>4.1148439361448652</v>
      </c>
      <c r="D43" s="148">
        <f t="shared" si="31"/>
        <v>3.6031434184675835</v>
      </c>
      <c r="E43" s="148">
        <f t="shared" si="31"/>
        <v>2.0316891869116951</v>
      </c>
      <c r="F43" s="148">
        <f t="shared" si="31"/>
        <v>0.6168083580488537</v>
      </c>
      <c r="G43" s="148">
        <f t="shared" si="31"/>
        <v>0.99785431917829359</v>
      </c>
      <c r="H43" s="148">
        <f t="shared" si="31"/>
        <v>0</v>
      </c>
      <c r="I43" s="148">
        <f t="shared" si="31"/>
        <v>0</v>
      </c>
      <c r="J43" s="148">
        <f t="shared" si="31"/>
        <v>0.68154761904761907</v>
      </c>
      <c r="K43" s="148">
        <f t="shared" si="31"/>
        <v>4.3327593479680342</v>
      </c>
      <c r="L43" s="148">
        <f t="shared" si="31"/>
        <v>3.6582247737396543</v>
      </c>
      <c r="M43" s="148">
        <f t="shared" si="31"/>
        <v>1.6862343336537569</v>
      </c>
      <c r="N43" s="148">
        <f t="shared" si="31"/>
        <v>2.9692009240045487</v>
      </c>
      <c r="O43" s="148">
        <f t="shared" si="31"/>
        <v>2.676979766126907</v>
      </c>
      <c r="P43" s="148">
        <f t="shared" si="31"/>
        <v>2.0933890080189408</v>
      </c>
      <c r="S43" s="67" t="str">
        <f>$E$2</f>
        <v>Telewizja Polska S.A. (Polska)</v>
      </c>
      <c r="T43" s="48">
        <f>E80</f>
        <v>3.2590045740435092</v>
      </c>
      <c r="U43" s="48">
        <f t="shared" ref="U43:V43" si="32">F80</f>
        <v>3.3530374007577222</v>
      </c>
      <c r="V43" s="48">
        <f t="shared" si="32"/>
        <v>3.1513222005462032</v>
      </c>
    </row>
    <row r="44" spans="1:25" x14ac:dyDescent="0.25">
      <c r="A44" t="str">
        <f>A12</f>
        <v>zysk na działalności operacyjnej</v>
      </c>
      <c r="B44" s="67">
        <f t="shared" ref="B44:M44" si="33">B12</f>
        <v>1967000</v>
      </c>
      <c r="C44" s="67">
        <f t="shared" si="33"/>
        <v>1727000</v>
      </c>
      <c r="D44" s="67">
        <f t="shared" si="33"/>
        <v>1834000</v>
      </c>
      <c r="E44" s="67">
        <f t="shared" si="33"/>
        <v>112714.52</v>
      </c>
      <c r="F44" s="67">
        <f t="shared" si="33"/>
        <v>15042.42</v>
      </c>
      <c r="G44" s="67">
        <f t="shared" si="33"/>
        <v>24429.21</v>
      </c>
      <c r="H44" s="67">
        <f t="shared" si="33"/>
        <v>0</v>
      </c>
      <c r="I44" s="67">
        <f t="shared" si="33"/>
        <v>0</v>
      </c>
      <c r="J44" s="67">
        <f t="shared" si="33"/>
        <v>229000</v>
      </c>
      <c r="K44" s="67">
        <f t="shared" si="33"/>
        <v>1499646</v>
      </c>
      <c r="L44" s="67">
        <f t="shared" si="33"/>
        <v>1370660</v>
      </c>
      <c r="M44" s="67">
        <f t="shared" si="33"/>
        <v>1106883</v>
      </c>
      <c r="N44" s="149">
        <f>AVERAGE(B44,E44,H44,K44)</f>
        <v>894840.13</v>
      </c>
      <c r="O44" s="149">
        <f t="shared" ref="O44" si="34">AVERAGE(C44,F44,I44,L44)</f>
        <v>778175.60499999998</v>
      </c>
      <c r="P44" s="149">
        <f t="shared" ref="P44" si="35">AVERAGE(D44,G44,J44,M44)</f>
        <v>798578.05249999999</v>
      </c>
      <c r="S44" s="67" t="str">
        <f>$H$2</f>
        <v>Orange Polska S.A. (Polska)</v>
      </c>
      <c r="T44" s="48">
        <f>H80</f>
        <v>5.2636479994223677</v>
      </c>
      <c r="U44" s="48">
        <f t="shared" ref="U44:V44" si="36">I80</f>
        <v>2.6281986537392559</v>
      </c>
      <c r="V44" s="48">
        <f t="shared" si="36"/>
        <v>5.3665645305265794</v>
      </c>
    </row>
    <row r="45" spans="1:25" x14ac:dyDescent="0.25">
      <c r="A45" t="str">
        <f>A25</f>
        <v>odsetki od kredytu</v>
      </c>
      <c r="B45" s="67">
        <f t="shared" ref="B45:M45" si="37">B25</f>
        <v>-465900</v>
      </c>
      <c r="C45" s="67">
        <f t="shared" si="37"/>
        <v>-419700</v>
      </c>
      <c r="D45" s="67">
        <f t="shared" si="37"/>
        <v>-509000</v>
      </c>
      <c r="E45" s="67">
        <f t="shared" si="37"/>
        <v>-55478.23</v>
      </c>
      <c r="F45" s="67">
        <f t="shared" si="37"/>
        <v>-24387.51</v>
      </c>
      <c r="G45" s="67">
        <f t="shared" si="37"/>
        <v>-24481.74</v>
      </c>
      <c r="H45" s="67">
        <f t="shared" si="37"/>
        <v>-338000</v>
      </c>
      <c r="I45" s="67">
        <f t="shared" si="37"/>
        <v>-344000</v>
      </c>
      <c r="J45" s="67">
        <f t="shared" si="37"/>
        <v>-336000</v>
      </c>
      <c r="K45" s="67">
        <f t="shared" si="37"/>
        <v>-346118</v>
      </c>
      <c r="L45" s="67">
        <f t="shared" si="37"/>
        <v>-374679</v>
      </c>
      <c r="M45" s="67">
        <f t="shared" si="37"/>
        <v>-656423</v>
      </c>
      <c r="N45" s="149">
        <f t="shared" ref="N45" si="38">AVERAGE(B45,E45,H45,K45)</f>
        <v>-301374.0575</v>
      </c>
      <c r="O45" s="149">
        <f t="shared" ref="O45" si="39">AVERAGE(C45,F45,I45,L45)</f>
        <v>-290691.6275</v>
      </c>
      <c r="P45" s="149">
        <f t="shared" ref="P45" si="40">AVERAGE(D45,G45,J45,M45)</f>
        <v>-381476.185</v>
      </c>
      <c r="S45" s="67" t="str">
        <f>$K$2</f>
        <v>Play Communications S.A. (Polska)</v>
      </c>
      <c r="T45" s="48">
        <f>K80</f>
        <v>5.8771512475038126</v>
      </c>
      <c r="U45" s="48">
        <f t="shared" ref="U45:V45" si="41">L80</f>
        <v>5.4435156293585276</v>
      </c>
      <c r="V45" s="48">
        <f t="shared" si="41"/>
        <v>4.8465512849402188</v>
      </c>
    </row>
    <row r="46" spans="1:25" x14ac:dyDescent="0.25">
      <c r="A46" s="145" t="s">
        <v>941</v>
      </c>
      <c r="B46" s="148">
        <f>(B47/B48)</f>
        <v>3.4201094827797825E-2</v>
      </c>
      <c r="C46" s="148">
        <f t="shared" ref="C46:P46" si="42">(C47/C48)</f>
        <v>2.658583305100206E-2</v>
      </c>
      <c r="D46" s="148">
        <f t="shared" si="42"/>
        <v>3.4053898256232888E-2</v>
      </c>
      <c r="E46" s="148">
        <f t="shared" si="42"/>
        <v>4.1442616513868907E-2</v>
      </c>
      <c r="F46" s="148">
        <f t="shared" si="42"/>
        <v>2.3567790534668154E-3</v>
      </c>
      <c r="G46" s="148">
        <f t="shared" si="42"/>
        <v>3.7934946908433698E-4</v>
      </c>
      <c r="H46" s="148">
        <f t="shared" si="42"/>
        <v>3.7387017255546425E-3</v>
      </c>
      <c r="I46" s="148">
        <f t="shared" si="42"/>
        <v>4.2927666881305E-4</v>
      </c>
      <c r="J46" s="148">
        <f t="shared" si="42"/>
        <v>-2.616317097632233E-3</v>
      </c>
      <c r="K46" s="148">
        <f t="shared" si="42"/>
        <v>9.7566061919449595E-2</v>
      </c>
      <c r="L46" s="148">
        <f t="shared" si="42"/>
        <v>8.7389317435119712E-2</v>
      </c>
      <c r="M46" s="148">
        <f t="shared" si="42"/>
        <v>4.3862230747271337E-2</v>
      </c>
      <c r="N46" s="148">
        <f t="shared" si="42"/>
        <v>3.1804957528365187E-2</v>
      </c>
      <c r="O46" s="148">
        <f t="shared" si="42"/>
        <v>2.4599014647540069E-2</v>
      </c>
      <c r="P46" s="148">
        <f t="shared" si="42"/>
        <v>2.0868532243509021E-2</v>
      </c>
      <c r="S46" s="67" t="str">
        <f>$N$2</f>
        <v>Branża</v>
      </c>
      <c r="T46" s="48">
        <f>N80</f>
        <v>5.4453555677786474</v>
      </c>
      <c r="U46" s="48">
        <f t="shared" ref="U46:V46" si="43">O80</f>
        <v>4.4596847295232243</v>
      </c>
      <c r="V46" s="48">
        <f t="shared" si="43"/>
        <v>5.3892440412878351</v>
      </c>
    </row>
    <row r="47" spans="1:25" x14ac:dyDescent="0.25">
      <c r="A47" t="str">
        <f>A8</f>
        <v>zysk netto</v>
      </c>
      <c r="B47" s="67">
        <f t="shared" ref="B47:M47" si="44">B8</f>
        <v>1114600</v>
      </c>
      <c r="C47" s="67">
        <f t="shared" si="44"/>
        <v>816100</v>
      </c>
      <c r="D47" s="67">
        <f t="shared" si="44"/>
        <v>945200</v>
      </c>
      <c r="E47" s="67">
        <f t="shared" si="44"/>
        <v>89071.43</v>
      </c>
      <c r="F47" s="67">
        <f t="shared" si="44"/>
        <v>3492.65</v>
      </c>
      <c r="G47" s="67">
        <f t="shared" si="44"/>
        <v>563.79999999999995</v>
      </c>
      <c r="H47" s="67">
        <f t="shared" si="44"/>
        <v>91000</v>
      </c>
      <c r="I47" s="67">
        <f t="shared" si="44"/>
        <v>10000</v>
      </c>
      <c r="J47" s="67">
        <f t="shared" si="44"/>
        <v>-60000</v>
      </c>
      <c r="K47" s="67">
        <f t="shared" si="44"/>
        <v>866937</v>
      </c>
      <c r="L47" s="67">
        <f t="shared" si="44"/>
        <v>744604</v>
      </c>
      <c r="M47" s="67">
        <f t="shared" si="44"/>
        <v>387346</v>
      </c>
      <c r="N47" s="149">
        <f t="shared" ref="N47" si="45">AVERAGE(B47,E47,H47,K47)</f>
        <v>540402.10749999993</v>
      </c>
      <c r="O47" s="149">
        <f t="shared" ref="O47" si="46">AVERAGE(C47,F47,I47,L47)</f>
        <v>393549.16249999998</v>
      </c>
      <c r="P47" s="149">
        <f t="shared" ref="P47" si="47">AVERAGE(D47,G47,J47,M47)</f>
        <v>318277.45</v>
      </c>
      <c r="S47" s="30" t="str">
        <f>A101</f>
        <v>MODEL ALTMANA 1968</v>
      </c>
      <c r="T47" s="33">
        <v>2019</v>
      </c>
      <c r="U47" s="33">
        <v>2018</v>
      </c>
      <c r="V47" s="33">
        <v>2017</v>
      </c>
    </row>
    <row r="48" spans="1:25" x14ac:dyDescent="0.25">
      <c r="A48" t="str">
        <f>A9</f>
        <v>aktywa ogółem</v>
      </c>
      <c r="B48" s="67">
        <f t="shared" ref="B48:M48" si="48">B9</f>
        <v>32589600</v>
      </c>
      <c r="C48" s="67">
        <f t="shared" si="48"/>
        <v>30696800</v>
      </c>
      <c r="D48" s="67">
        <f t="shared" si="48"/>
        <v>27756000</v>
      </c>
      <c r="E48" s="67">
        <f t="shared" si="48"/>
        <v>2149271.39</v>
      </c>
      <c r="F48" s="67">
        <f t="shared" si="48"/>
        <v>1481959.03</v>
      </c>
      <c r="G48" s="67">
        <f t="shared" si="48"/>
        <v>1486228.52</v>
      </c>
      <c r="H48" s="67">
        <f t="shared" si="48"/>
        <v>24340000</v>
      </c>
      <c r="I48" s="67">
        <f t="shared" si="48"/>
        <v>23295000</v>
      </c>
      <c r="J48" s="67">
        <f t="shared" si="48"/>
        <v>22933000</v>
      </c>
      <c r="K48" s="67">
        <f t="shared" si="48"/>
        <v>8885641</v>
      </c>
      <c r="L48" s="67">
        <f t="shared" si="48"/>
        <v>8520538</v>
      </c>
      <c r="M48" s="67">
        <f t="shared" si="48"/>
        <v>8830969</v>
      </c>
      <c r="N48" s="149">
        <f t="shared" ref="N48" si="49">AVERAGE(B48,E48,H48,K48)</f>
        <v>16991128.0975</v>
      </c>
      <c r="O48" s="149">
        <f t="shared" ref="O48" si="50">AVERAGE(C48,F48,I48,L48)</f>
        <v>15998574.2575</v>
      </c>
      <c r="P48" s="149">
        <f t="shared" ref="P48" si="51">AVERAGE(D48,G48,J48,M48)</f>
        <v>15251549.379999999</v>
      </c>
      <c r="S48" s="67" t="str">
        <f>$B$2</f>
        <v>Cyfrowy Polsat S.A. (Polska)</v>
      </c>
      <c r="T48" s="48">
        <f>B102</f>
        <v>1.3425218373395684</v>
      </c>
      <c r="U48" s="48">
        <f t="shared" ref="U48:V48" si="52">C102</f>
        <v>1.3433676892734407</v>
      </c>
      <c r="V48" s="48">
        <f t="shared" si="52"/>
        <v>1.4750597699001771</v>
      </c>
    </row>
    <row r="49" spans="1:22" x14ac:dyDescent="0.25">
      <c r="A49" s="145" t="s">
        <v>943</v>
      </c>
      <c r="B49" s="127">
        <f>-B50/B51</f>
        <v>0.52938968417819787</v>
      </c>
      <c r="C49" s="127">
        <f t="shared" ref="C49:P49" si="53">-C50/C51</f>
        <v>1.2697976797623718</v>
      </c>
      <c r="D49" s="127">
        <f t="shared" si="53"/>
        <v>1.2222560635133353</v>
      </c>
      <c r="E49" s="127">
        <f t="shared" si="53"/>
        <v>0.5714685502020691</v>
      </c>
      <c r="F49" s="127">
        <f t="shared" si="53"/>
        <v>0.56973730863418659</v>
      </c>
      <c r="G49" s="127">
        <f t="shared" si="53"/>
        <v>0.57899110793061515</v>
      </c>
      <c r="H49" s="127">
        <f t="shared" si="53"/>
        <v>1.3868945379594642</v>
      </c>
      <c r="I49" s="127">
        <f t="shared" si="53"/>
        <v>0.96811696318478069</v>
      </c>
      <c r="J49" s="127">
        <f t="shared" si="53"/>
        <v>1.420804794520548</v>
      </c>
      <c r="K49" s="127">
        <f t="shared" si="53"/>
        <v>1.1924667986767521</v>
      </c>
      <c r="L49" s="127">
        <f t="shared" si="53"/>
        <v>1.1098432110275167</v>
      </c>
      <c r="M49" s="127">
        <f t="shared" si="53"/>
        <v>1.0719255322961982</v>
      </c>
      <c r="N49" s="127">
        <f t="shared" si="53"/>
        <v>0.97534274454572933</v>
      </c>
      <c r="O49" s="127">
        <f t="shared" si="53"/>
        <v>1.0743715107402401</v>
      </c>
      <c r="P49" s="127">
        <f t="shared" si="53"/>
        <v>1.2268767143619392</v>
      </c>
      <c r="S49" s="67" t="str">
        <f>$E$2</f>
        <v>Telewizja Polska S.A. (Polska)</v>
      </c>
      <c r="T49" s="48">
        <f>E102</f>
        <v>1.9332409682334253</v>
      </c>
      <c r="U49" s="48">
        <f t="shared" ref="U49:V49" si="54">F102</f>
        <v>1.9729057725705144</v>
      </c>
      <c r="V49" s="48">
        <f t="shared" si="54"/>
        <v>1.8157636565876154</v>
      </c>
    </row>
    <row r="50" spans="1:22" x14ac:dyDescent="0.25">
      <c r="A50" t="str">
        <f>A35</f>
        <v>koszty ogółem</v>
      </c>
      <c r="B50" s="67">
        <f t="shared" ref="B50:M50" si="55">B35</f>
        <v>-6205400</v>
      </c>
      <c r="C50" s="67">
        <f t="shared" si="55"/>
        <v>-13594200</v>
      </c>
      <c r="D50" s="67">
        <f t="shared" si="55"/>
        <v>-12039100</v>
      </c>
      <c r="E50" s="67">
        <f t="shared" si="55"/>
        <v>-1570820.96</v>
      </c>
      <c r="F50" s="67">
        <f t="shared" si="55"/>
        <v>-1277081.1499999999</v>
      </c>
      <c r="G50" s="67">
        <f t="shared" si="55"/>
        <v>-1044740.02</v>
      </c>
      <c r="H50" s="67">
        <f t="shared" si="55"/>
        <v>-16149000</v>
      </c>
      <c r="I50" s="67">
        <f t="shared" si="55"/>
        <v>-10992000</v>
      </c>
      <c r="J50" s="67">
        <f t="shared" si="55"/>
        <v>-16595000</v>
      </c>
      <c r="K50" s="67">
        <f t="shared" si="55"/>
        <v>-8487547</v>
      </c>
      <c r="L50" s="67">
        <f t="shared" si="55"/>
        <v>-7677215</v>
      </c>
      <c r="M50" s="67">
        <f t="shared" si="55"/>
        <v>-7267266</v>
      </c>
      <c r="N50" s="149">
        <f t="shared" ref="N50:N51" si="56">AVERAGE(B50,E50,H50,K50)</f>
        <v>-8103191.9900000002</v>
      </c>
      <c r="O50" s="149">
        <f t="shared" ref="O50:O51" si="57">AVERAGE(C50,F50,I50,L50)</f>
        <v>-8385124.0374999996</v>
      </c>
      <c r="P50" s="149">
        <f t="shared" ref="P50:P51" si="58">AVERAGE(D50,G50,J50,M50)</f>
        <v>-9236526.504999999</v>
      </c>
      <c r="S50" s="67" t="str">
        <f>$H$2</f>
        <v>Orange Polska S.A. (Polska)</v>
      </c>
      <c r="T50" s="48">
        <f>H102</f>
        <v>1.1667461493809563</v>
      </c>
      <c r="U50" s="48">
        <f t="shared" ref="U50:V50" si="59">I102</f>
        <v>0.67815114639957397</v>
      </c>
      <c r="V50" s="48">
        <f t="shared" si="59"/>
        <v>1.0664145862313141</v>
      </c>
    </row>
    <row r="51" spans="1:22" x14ac:dyDescent="0.25">
      <c r="A51" t="str">
        <f>A16</f>
        <v>przychody ogółem</v>
      </c>
      <c r="B51" s="67">
        <f t="shared" ref="B51:M51" si="60">B16</f>
        <v>11721800</v>
      </c>
      <c r="C51" s="67">
        <f t="shared" si="60"/>
        <v>10705800</v>
      </c>
      <c r="D51" s="67">
        <f t="shared" si="60"/>
        <v>9849900</v>
      </c>
      <c r="E51" s="67">
        <f t="shared" si="60"/>
        <v>2748744.37</v>
      </c>
      <c r="F51" s="67">
        <f t="shared" si="60"/>
        <v>2241526.2799999998</v>
      </c>
      <c r="G51" s="67">
        <f t="shared" si="60"/>
        <v>1804414.62</v>
      </c>
      <c r="H51" s="67">
        <f t="shared" si="60"/>
        <v>11644000</v>
      </c>
      <c r="I51" s="67">
        <f t="shared" si="60"/>
        <v>11354000</v>
      </c>
      <c r="J51" s="67">
        <f t="shared" si="60"/>
        <v>11680000</v>
      </c>
      <c r="K51" s="67">
        <f t="shared" si="60"/>
        <v>7117638</v>
      </c>
      <c r="L51" s="67">
        <f t="shared" si="60"/>
        <v>6917387</v>
      </c>
      <c r="M51" s="67">
        <f t="shared" si="60"/>
        <v>6779637</v>
      </c>
      <c r="N51" s="149">
        <f t="shared" si="56"/>
        <v>8308045.5925000003</v>
      </c>
      <c r="O51" s="149">
        <f t="shared" si="57"/>
        <v>7804678.3200000003</v>
      </c>
      <c r="P51" s="149">
        <f t="shared" si="58"/>
        <v>7528487.9050000003</v>
      </c>
      <c r="S51" s="67" t="str">
        <f>$K$2</f>
        <v>Play Communications S.A. (Polska)</v>
      </c>
      <c r="T51" s="48">
        <f>K102</f>
        <v>1.9408746538375792</v>
      </c>
      <c r="U51" s="48">
        <f t="shared" ref="U51:V51" si="61">L102</f>
        <v>1.8355231324594761</v>
      </c>
      <c r="V51" s="48">
        <f t="shared" si="61"/>
        <v>1.6941955633634316</v>
      </c>
    </row>
    <row r="52" spans="1:22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149"/>
      <c r="O52" s="149"/>
      <c r="P52" s="149"/>
      <c r="S52" s="67" t="str">
        <f>$N$2</f>
        <v>Branża</v>
      </c>
      <c r="T52" s="48">
        <f>N102</f>
        <v>1.3402843844239811</v>
      </c>
      <c r="U52" s="48">
        <f t="shared" ref="U52:V52" si="62">O102</f>
        <v>1.1431664379298012</v>
      </c>
      <c r="V52" s="48">
        <f t="shared" si="62"/>
        <v>1.318990218257218</v>
      </c>
    </row>
    <row r="53" spans="1:22" x14ac:dyDescent="0.25">
      <c r="S53" s="30" t="str">
        <f>A121</f>
        <v>DRUGI MODEL ALTMANA</v>
      </c>
      <c r="T53" s="33">
        <v>2019</v>
      </c>
      <c r="U53" s="33">
        <v>2018</v>
      </c>
      <c r="V53" s="33">
        <v>2017</v>
      </c>
    </row>
    <row r="54" spans="1:22" x14ac:dyDescent="0.25">
      <c r="A54" s="146" t="s">
        <v>902</v>
      </c>
      <c r="S54" s="67" t="str">
        <f>$B$2</f>
        <v>Cyfrowy Polsat S.A. (Polska)</v>
      </c>
      <c r="T54" s="48">
        <f>B122</f>
        <v>1.1505598776024599</v>
      </c>
      <c r="U54" s="48">
        <f t="shared" ref="U54:V54" si="63">C122</f>
        <v>1.1462737507773535</v>
      </c>
      <c r="V54" s="48">
        <f t="shared" si="63"/>
        <v>1.2438902464816444</v>
      </c>
    </row>
    <row r="55" spans="1:22" s="67" customFormat="1" x14ac:dyDescent="0.25">
      <c r="A55" s="145" t="s">
        <v>903</v>
      </c>
      <c r="B55" s="148">
        <f>B56/B57</f>
        <v>0.10390398296693548</v>
      </c>
      <c r="C55" s="148">
        <f t="shared" ref="C55:E55" si="64">C56/C57</f>
        <v>0.12316519717560934</v>
      </c>
      <c r="D55" s="148">
        <f t="shared" si="64"/>
        <v>0.13061409790782136</v>
      </c>
      <c r="E55" s="148">
        <f t="shared" si="64"/>
        <v>0.24889266651428532</v>
      </c>
      <c r="F55" s="148">
        <f t="shared" ref="F55" si="65">F56/F57</f>
        <v>-0.15854605475883679</v>
      </c>
      <c r="G55" s="148">
        <f t="shared" ref="G55" si="66">G56/G57</f>
        <v>0.14773510587745992</v>
      </c>
      <c r="H55" s="148">
        <f t="shared" ref="H55" si="67">H56/H57</f>
        <v>2.1565495207667731E-2</v>
      </c>
      <c r="I55" s="148">
        <f t="shared" ref="I55" si="68">I56/I57</f>
        <v>-3.0414386239249414E-2</v>
      </c>
      <c r="J55" s="148">
        <f t="shared" ref="J55" si="69">J56/J57</f>
        <v>2.993459022701039E-2</v>
      </c>
      <c r="K55" s="148">
        <f t="shared" ref="K55" si="70">K56/K57</f>
        <v>0.15373503559323062</v>
      </c>
      <c r="L55" s="148">
        <f t="shared" ref="L55" si="71">L56/L57</f>
        <v>0.11414187882320943</v>
      </c>
      <c r="M55" s="148">
        <f t="shared" ref="M55" si="72">M56/M57</f>
        <v>0.10421175405935812</v>
      </c>
      <c r="N55" s="148">
        <f t="shared" ref="N55" si="73">N56/N57</f>
        <v>9.2405078270524771E-2</v>
      </c>
      <c r="O55" s="148">
        <f t="shared" ref="O55" si="74">O56/O57</f>
        <v>6.298050407755687E-2</v>
      </c>
      <c r="P55" s="148">
        <f t="shared" ref="P55" si="75">P56/P57</f>
        <v>9.1091663408208054E-2</v>
      </c>
      <c r="S55" s="67" t="str">
        <f>$E$2</f>
        <v>Telewizja Polska S.A. (Polska)</v>
      </c>
      <c r="T55" s="48">
        <f>E122</f>
        <v>1.8302685111674053</v>
      </c>
      <c r="U55" s="48">
        <f t="shared" ref="U55:V55" si="76">F122</f>
        <v>1.9314740853868275</v>
      </c>
      <c r="V55" s="48">
        <f t="shared" si="76"/>
        <v>1.712777900965055</v>
      </c>
    </row>
    <row r="56" spans="1:22" x14ac:dyDescent="0.25">
      <c r="A56" t="str">
        <f t="shared" ref="A56:M56" si="77">A26</f>
        <v>przepływy pieniężne</v>
      </c>
      <c r="B56" s="67">
        <f t="shared" si="77"/>
        <v>1815400</v>
      </c>
      <c r="C56" s="67">
        <f t="shared" si="77"/>
        <v>1992000</v>
      </c>
      <c r="D56" s="67">
        <f t="shared" si="77"/>
        <v>2042700</v>
      </c>
      <c r="E56" s="67">
        <f t="shared" si="77"/>
        <v>396774.34</v>
      </c>
      <c r="F56" s="67">
        <f t="shared" si="77"/>
        <v>-161069.71000000002</v>
      </c>
      <c r="G56" s="67">
        <f t="shared" si="77"/>
        <v>151233.42000000004</v>
      </c>
      <c r="H56" s="67">
        <f t="shared" si="77"/>
        <v>297000</v>
      </c>
      <c r="I56" s="67">
        <f t="shared" si="77"/>
        <v>-389000</v>
      </c>
      <c r="J56" s="67">
        <f t="shared" si="77"/>
        <v>389000</v>
      </c>
      <c r="K56" s="67">
        <f t="shared" si="77"/>
        <v>1316585</v>
      </c>
      <c r="L56" s="67">
        <f t="shared" si="77"/>
        <v>995440</v>
      </c>
      <c r="M56" s="67">
        <f t="shared" si="77"/>
        <v>942444</v>
      </c>
      <c r="N56" s="149">
        <f t="shared" ref="N56:N57" si="78">AVERAGE(B56,E56,H56,K56)</f>
        <v>956439.83499999996</v>
      </c>
      <c r="O56" s="149">
        <f t="shared" ref="O56:O57" si="79">AVERAGE(C56,F56,I56,L56)</f>
        <v>609342.57250000001</v>
      </c>
      <c r="P56" s="149">
        <f t="shared" ref="P56:P57" si="80">AVERAGE(D56,G56,J56,M56)</f>
        <v>881344.35499999998</v>
      </c>
      <c r="S56" s="67" t="str">
        <f>$H$2</f>
        <v>Orange Polska S.A. (Polska)</v>
      </c>
      <c r="T56" s="48">
        <f>H122</f>
        <v>1.0488799873932924</v>
      </c>
      <c r="U56" s="48">
        <f t="shared" ref="U56:V56" si="81">I122</f>
        <v>0.62709640132065481</v>
      </c>
      <c r="V56" s="48">
        <f t="shared" si="81"/>
        <v>1.0069282254493486</v>
      </c>
    </row>
    <row r="57" spans="1:22" x14ac:dyDescent="0.25">
      <c r="A57" t="str">
        <f t="shared" ref="A57:M57" si="82">A19</f>
        <v xml:space="preserve">kapitał obcy </v>
      </c>
      <c r="B57" s="67">
        <f t="shared" si="82"/>
        <v>17471900</v>
      </c>
      <c r="C57" s="67">
        <f t="shared" si="82"/>
        <v>16173400</v>
      </c>
      <c r="D57" s="67">
        <f t="shared" si="82"/>
        <v>15639200</v>
      </c>
      <c r="E57" s="67">
        <f t="shared" si="82"/>
        <v>1594158.4200000002</v>
      </c>
      <c r="F57" s="67">
        <f t="shared" si="82"/>
        <v>1015917.49</v>
      </c>
      <c r="G57" s="67">
        <f t="shared" si="82"/>
        <v>1023679.64</v>
      </c>
      <c r="H57" s="67">
        <f t="shared" si="82"/>
        <v>13772000</v>
      </c>
      <c r="I57" s="67">
        <f t="shared" si="82"/>
        <v>12790000</v>
      </c>
      <c r="J57" s="67">
        <f t="shared" si="82"/>
        <v>12995000</v>
      </c>
      <c r="K57" s="67">
        <f t="shared" si="82"/>
        <v>8563988</v>
      </c>
      <c r="L57" s="67">
        <f t="shared" si="82"/>
        <v>8721076</v>
      </c>
      <c r="M57" s="67">
        <f t="shared" si="82"/>
        <v>9043548</v>
      </c>
      <c r="N57" s="149">
        <f t="shared" si="78"/>
        <v>10350511.605</v>
      </c>
      <c r="O57" s="149">
        <f t="shared" si="79"/>
        <v>9675098.3724999987</v>
      </c>
      <c r="P57" s="149">
        <f t="shared" si="80"/>
        <v>9675356.9100000001</v>
      </c>
      <c r="S57" s="67" t="str">
        <f>$K$2</f>
        <v>Play Communications S.A. (Polska)</v>
      </c>
      <c r="T57" s="48">
        <f>K122</f>
        <v>1.7854275447320007</v>
      </c>
      <c r="U57" s="48">
        <f t="shared" ref="U57:V57" si="83">L122</f>
        <v>1.7068955037815687</v>
      </c>
      <c r="V57" s="48">
        <f t="shared" si="83"/>
        <v>1.5600155646566081</v>
      </c>
    </row>
    <row r="58" spans="1:22" x14ac:dyDescent="0.25">
      <c r="A58" s="145" t="s">
        <v>905</v>
      </c>
      <c r="B58" s="148">
        <f>B59/B60</f>
        <v>3.4201094827797825E-2</v>
      </c>
      <c r="C58" s="148">
        <f t="shared" ref="C58:P58" si="84">C59/C60</f>
        <v>2.658583305100206E-2</v>
      </c>
      <c r="D58" s="148">
        <f t="shared" si="84"/>
        <v>3.4053898256232888E-2</v>
      </c>
      <c r="E58" s="148">
        <f t="shared" si="84"/>
        <v>4.1442616513868907E-2</v>
      </c>
      <c r="F58" s="148">
        <f t="shared" si="84"/>
        <v>2.3567790534668154E-3</v>
      </c>
      <c r="G58" s="148">
        <f t="shared" si="84"/>
        <v>3.7934946908433698E-4</v>
      </c>
      <c r="H58" s="148">
        <f t="shared" si="84"/>
        <v>3.7387017255546425E-3</v>
      </c>
      <c r="I58" s="148">
        <f t="shared" si="84"/>
        <v>4.2927666881305E-4</v>
      </c>
      <c r="J58" s="148">
        <f t="shared" si="84"/>
        <v>-2.616317097632233E-3</v>
      </c>
      <c r="K58" s="148">
        <f t="shared" si="84"/>
        <v>9.7566061919449595E-2</v>
      </c>
      <c r="L58" s="148">
        <f t="shared" si="84"/>
        <v>8.7389317435119712E-2</v>
      </c>
      <c r="M58" s="148">
        <f t="shared" si="84"/>
        <v>4.3862230747271337E-2</v>
      </c>
      <c r="N58" s="148">
        <f t="shared" si="84"/>
        <v>3.1804957528365187E-2</v>
      </c>
      <c r="O58" s="148">
        <f t="shared" si="84"/>
        <v>2.4599014647540069E-2</v>
      </c>
      <c r="P58" s="148">
        <f t="shared" si="84"/>
        <v>2.0868532243509021E-2</v>
      </c>
      <c r="S58" s="67" t="str">
        <f>$N$2</f>
        <v>Branża</v>
      </c>
      <c r="T58" s="48">
        <f>N122</f>
        <v>1.193305128380765</v>
      </c>
      <c r="U58" s="48">
        <f t="shared" ref="U58:V58" si="85">O122</f>
        <v>1.0234013779129831</v>
      </c>
      <c r="V58" s="48">
        <f t="shared" si="85"/>
        <v>1.1822638924046718</v>
      </c>
    </row>
    <row r="59" spans="1:22" x14ac:dyDescent="0.25">
      <c r="A59" t="str">
        <f t="shared" ref="A59:M59" si="86">A8</f>
        <v>zysk netto</v>
      </c>
      <c r="B59" s="67">
        <f t="shared" si="86"/>
        <v>1114600</v>
      </c>
      <c r="C59" s="67">
        <f t="shared" si="86"/>
        <v>816100</v>
      </c>
      <c r="D59" s="67">
        <f t="shared" si="86"/>
        <v>945200</v>
      </c>
      <c r="E59" s="67">
        <f t="shared" si="86"/>
        <v>89071.43</v>
      </c>
      <c r="F59" s="67">
        <f t="shared" si="86"/>
        <v>3492.65</v>
      </c>
      <c r="G59" s="67">
        <f t="shared" si="86"/>
        <v>563.79999999999995</v>
      </c>
      <c r="H59" s="67">
        <f t="shared" si="86"/>
        <v>91000</v>
      </c>
      <c r="I59" s="67">
        <f t="shared" si="86"/>
        <v>10000</v>
      </c>
      <c r="J59" s="67">
        <f t="shared" si="86"/>
        <v>-60000</v>
      </c>
      <c r="K59" s="67">
        <f t="shared" si="86"/>
        <v>866937</v>
      </c>
      <c r="L59" s="67">
        <f t="shared" si="86"/>
        <v>744604</v>
      </c>
      <c r="M59" s="67">
        <f t="shared" si="86"/>
        <v>387346</v>
      </c>
      <c r="N59" s="149">
        <f t="shared" ref="N59:N60" si="87">AVERAGE(B59,E59,H59,K59)</f>
        <v>540402.10749999993</v>
      </c>
      <c r="O59" s="149">
        <f t="shared" ref="O59:O60" si="88">AVERAGE(C59,F59,I59,L59)</f>
        <v>393549.16249999998</v>
      </c>
      <c r="P59" s="149">
        <f t="shared" ref="P59:P60" si="89">AVERAGE(D59,G59,J59,M59)</f>
        <v>318277.45</v>
      </c>
      <c r="S59" s="30" t="str">
        <f>A141</f>
        <v>TRZECI MODEL ALTMANA</v>
      </c>
      <c r="T59" s="33">
        <v>2019</v>
      </c>
      <c r="U59" s="33">
        <v>2018</v>
      </c>
      <c r="V59" s="33">
        <v>2017</v>
      </c>
    </row>
    <row r="60" spans="1:22" x14ac:dyDescent="0.25">
      <c r="A60" t="str">
        <f t="shared" ref="A60:M60" si="90">A9</f>
        <v>aktywa ogółem</v>
      </c>
      <c r="B60" s="67">
        <f t="shared" si="90"/>
        <v>32589600</v>
      </c>
      <c r="C60" s="67">
        <f t="shared" si="90"/>
        <v>30696800</v>
      </c>
      <c r="D60" s="67">
        <f t="shared" si="90"/>
        <v>27756000</v>
      </c>
      <c r="E60" s="67">
        <f t="shared" si="90"/>
        <v>2149271.39</v>
      </c>
      <c r="F60" s="67">
        <f t="shared" si="90"/>
        <v>1481959.03</v>
      </c>
      <c r="G60" s="67">
        <f t="shared" si="90"/>
        <v>1486228.52</v>
      </c>
      <c r="H60" s="67">
        <f t="shared" si="90"/>
        <v>24340000</v>
      </c>
      <c r="I60" s="67">
        <f t="shared" si="90"/>
        <v>23295000</v>
      </c>
      <c r="J60" s="67">
        <f t="shared" si="90"/>
        <v>22933000</v>
      </c>
      <c r="K60" s="67">
        <f t="shared" si="90"/>
        <v>8885641</v>
      </c>
      <c r="L60" s="67">
        <f t="shared" si="90"/>
        <v>8520538</v>
      </c>
      <c r="M60" s="67">
        <f t="shared" si="90"/>
        <v>8830969</v>
      </c>
      <c r="N60" s="149">
        <f t="shared" si="87"/>
        <v>16991128.0975</v>
      </c>
      <c r="O60" s="149">
        <f t="shared" si="88"/>
        <v>15998574.2575</v>
      </c>
      <c r="P60" s="149">
        <f t="shared" si="89"/>
        <v>15251549.379999999</v>
      </c>
      <c r="S60" s="67" t="str">
        <f>$B$2</f>
        <v>Cyfrowy Polsat S.A. (Polska)</v>
      </c>
      <c r="T60" s="48">
        <f>B142</f>
        <v>4.9850448966167988</v>
      </c>
      <c r="U60" s="48">
        <f t="shared" ref="U60:V60" si="91">C142</f>
        <v>5.1804481107853473</v>
      </c>
      <c r="V60" s="48">
        <f t="shared" si="91"/>
        <v>5.3727515565413348</v>
      </c>
    </row>
    <row r="61" spans="1:22" x14ac:dyDescent="0.25">
      <c r="A61" s="145" t="s">
        <v>906</v>
      </c>
      <c r="B61" s="148">
        <f>B62/B63</f>
        <v>0.53611888455212708</v>
      </c>
      <c r="C61" s="148">
        <f t="shared" ref="C61:P61" si="92">C62/C63</f>
        <v>0.52687576555210969</v>
      </c>
      <c r="D61" s="148">
        <f t="shared" si="92"/>
        <v>0.56345294711053462</v>
      </c>
      <c r="E61" s="148">
        <f t="shared" si="92"/>
        <v>0.74172039297466297</v>
      </c>
      <c r="F61" s="148">
        <f t="shared" si="92"/>
        <v>0.68552333056062953</v>
      </c>
      <c r="G61" s="148">
        <f t="shared" si="92"/>
        <v>0.68877674343108419</v>
      </c>
      <c r="H61" s="148">
        <f t="shared" si="92"/>
        <v>0.56581758422350037</v>
      </c>
      <c r="I61" s="148">
        <f t="shared" si="92"/>
        <v>0.54904485941189096</v>
      </c>
      <c r="J61" s="148">
        <f t="shared" si="92"/>
        <v>0.56665067806218117</v>
      </c>
      <c r="K61" s="148">
        <f t="shared" si="92"/>
        <v>0.9638008107687448</v>
      </c>
      <c r="L61" s="148">
        <f t="shared" si="92"/>
        <v>1.0235358377604795</v>
      </c>
      <c r="M61" s="148">
        <f t="shared" si="92"/>
        <v>1.0240719902878155</v>
      </c>
      <c r="N61" s="148">
        <f t="shared" si="92"/>
        <v>0.60917153620441067</v>
      </c>
      <c r="O61" s="148">
        <f t="shared" si="92"/>
        <v>0.60474753667280023</v>
      </c>
      <c r="P61" s="148">
        <f t="shared" si="92"/>
        <v>0.63438518074024031</v>
      </c>
      <c r="S61" s="67" t="str">
        <f>$E$2</f>
        <v>Telewizja Polska S.A. (Polska)</v>
      </c>
      <c r="T61" s="48">
        <f>E142</f>
        <v>5.0527794214484931</v>
      </c>
      <c r="U61" s="48">
        <f t="shared" ref="U61:V61" si="93">F142</f>
        <v>4.3281149839209787</v>
      </c>
      <c r="V61" s="48">
        <f t="shared" si="93"/>
        <v>5.1522643807158266</v>
      </c>
    </row>
    <row r="62" spans="1:22" x14ac:dyDescent="0.25">
      <c r="A62" t="str">
        <f t="shared" ref="A62:M62" si="94">A19</f>
        <v xml:space="preserve">kapitał obcy </v>
      </c>
      <c r="B62" s="67">
        <f t="shared" si="94"/>
        <v>17471900</v>
      </c>
      <c r="C62" s="67">
        <f t="shared" si="94"/>
        <v>16173400</v>
      </c>
      <c r="D62" s="67">
        <f t="shared" si="94"/>
        <v>15639200</v>
      </c>
      <c r="E62" s="67">
        <f t="shared" si="94"/>
        <v>1594158.4200000002</v>
      </c>
      <c r="F62" s="67">
        <f t="shared" si="94"/>
        <v>1015917.49</v>
      </c>
      <c r="G62" s="67">
        <f t="shared" si="94"/>
        <v>1023679.64</v>
      </c>
      <c r="H62" s="67">
        <f t="shared" si="94"/>
        <v>13772000</v>
      </c>
      <c r="I62" s="67">
        <f t="shared" si="94"/>
        <v>12790000</v>
      </c>
      <c r="J62" s="67">
        <f t="shared" si="94"/>
        <v>12995000</v>
      </c>
      <c r="K62" s="67">
        <f t="shared" si="94"/>
        <v>8563988</v>
      </c>
      <c r="L62" s="67">
        <f t="shared" si="94"/>
        <v>8721076</v>
      </c>
      <c r="M62" s="67">
        <f t="shared" si="94"/>
        <v>9043548</v>
      </c>
      <c r="N62" s="149">
        <f t="shared" ref="N62:N63" si="95">AVERAGE(B62,E62,H62,K62)</f>
        <v>10350511.605</v>
      </c>
      <c r="O62" s="149">
        <f t="shared" ref="O62:O63" si="96">AVERAGE(C62,F62,I62,L62)</f>
        <v>9675098.3724999987</v>
      </c>
      <c r="P62" s="149">
        <f t="shared" ref="P62:P63" si="97">AVERAGE(D62,G62,J62,M62)</f>
        <v>9675356.9100000001</v>
      </c>
      <c r="S62" s="67" t="str">
        <f>$H$2</f>
        <v>Orange Polska S.A. (Polska)</v>
      </c>
      <c r="T62" s="48">
        <f>H142</f>
        <v>4.471696065442968</v>
      </c>
      <c r="U62" s="48">
        <f t="shared" ref="U62:V62" si="98">I142</f>
        <v>3.2246558992020451</v>
      </c>
      <c r="V62" s="48">
        <f t="shared" si="98"/>
        <v>3.8223431293583388</v>
      </c>
    </row>
    <row r="63" spans="1:22" x14ac:dyDescent="0.25">
      <c r="A63" t="str">
        <f t="shared" ref="A63:M63" si="99">A9</f>
        <v>aktywa ogółem</v>
      </c>
      <c r="B63" s="67">
        <f t="shared" si="99"/>
        <v>32589600</v>
      </c>
      <c r="C63" s="67">
        <f t="shared" si="99"/>
        <v>30696800</v>
      </c>
      <c r="D63" s="67">
        <f t="shared" si="99"/>
        <v>27756000</v>
      </c>
      <c r="E63" s="67">
        <f t="shared" si="99"/>
        <v>2149271.39</v>
      </c>
      <c r="F63" s="67">
        <f t="shared" si="99"/>
        <v>1481959.03</v>
      </c>
      <c r="G63" s="67">
        <f t="shared" si="99"/>
        <v>1486228.52</v>
      </c>
      <c r="H63" s="67">
        <f t="shared" si="99"/>
        <v>24340000</v>
      </c>
      <c r="I63" s="67">
        <f t="shared" si="99"/>
        <v>23295000</v>
      </c>
      <c r="J63" s="67">
        <f t="shared" si="99"/>
        <v>22933000</v>
      </c>
      <c r="K63" s="67">
        <f t="shared" si="99"/>
        <v>8885641</v>
      </c>
      <c r="L63" s="67">
        <f t="shared" si="99"/>
        <v>8520538</v>
      </c>
      <c r="M63" s="67">
        <f t="shared" si="99"/>
        <v>8830969</v>
      </c>
      <c r="N63" s="149">
        <f t="shared" si="95"/>
        <v>16991128.0975</v>
      </c>
      <c r="O63" s="149">
        <f t="shared" si="96"/>
        <v>15998574.2575</v>
      </c>
      <c r="P63" s="149">
        <f t="shared" si="97"/>
        <v>15251549.379999999</v>
      </c>
      <c r="S63" s="67" t="str">
        <f>$K$2</f>
        <v>Play Communications S.A. (Polska)</v>
      </c>
      <c r="T63" s="48">
        <f>K142</f>
        <v>6.0347824034304338</v>
      </c>
      <c r="U63" s="48">
        <f t="shared" ref="U63:V63" si="100">L142</f>
        <v>5.6427425521721748</v>
      </c>
      <c r="V63" s="48">
        <f t="shared" si="100"/>
        <v>5.7492086780057772</v>
      </c>
    </row>
    <row r="64" spans="1:22" x14ac:dyDescent="0.25">
      <c r="A64" s="145" t="s">
        <v>907</v>
      </c>
      <c r="B64" s="148">
        <f>B65/B66</f>
        <v>0.84947684128012002</v>
      </c>
      <c r="C64" s="148">
        <f t="shared" ref="C64:P64" si="101">C65/C66</f>
        <v>1.0805204638743873</v>
      </c>
      <c r="D64" s="148">
        <f t="shared" si="101"/>
        <v>1.0040863235857489</v>
      </c>
      <c r="E64" s="148">
        <f t="shared" si="101"/>
        <v>1.2354971280237734</v>
      </c>
      <c r="F64" s="148">
        <f t="shared" si="101"/>
        <v>1.0563000272902121</v>
      </c>
      <c r="G64" s="148">
        <f t="shared" si="101"/>
        <v>1.459307255591034</v>
      </c>
      <c r="H64" s="148">
        <f t="shared" si="101"/>
        <v>0.85361681329423267</v>
      </c>
      <c r="I64" s="148">
        <f t="shared" si="101"/>
        <v>0.66750756811301715</v>
      </c>
      <c r="J64" s="148">
        <f t="shared" si="101"/>
        <v>0.5416184014562303</v>
      </c>
      <c r="K64" s="148">
        <f t="shared" si="101"/>
        <v>1.4843732128638989</v>
      </c>
      <c r="L64" s="148">
        <f t="shared" si="101"/>
        <v>1.2306095314039613</v>
      </c>
      <c r="M64" s="148">
        <f t="shared" si="101"/>
        <v>1.580167401383294</v>
      </c>
      <c r="N64" s="148">
        <f t="shared" si="101"/>
        <v>0.96930714334275037</v>
      </c>
      <c r="O64" s="148">
        <f t="shared" si="101"/>
        <v>0.92649274281366145</v>
      </c>
      <c r="P64" s="148">
        <f t="shared" si="101"/>
        <v>0.89641637554464504</v>
      </c>
      <c r="S64" s="67" t="str">
        <f>$N$2</f>
        <v>Branża</v>
      </c>
      <c r="T64" s="48">
        <f>N142</f>
        <v>4.8772411416404129</v>
      </c>
      <c r="U64" s="48">
        <f t="shared" ref="U64:V64" si="102">O142</f>
        <v>4.4435445382352663</v>
      </c>
      <c r="V64" s="48">
        <f t="shared" si="102"/>
        <v>4.764723231476836</v>
      </c>
    </row>
    <row r="65" spans="1:22" x14ac:dyDescent="0.25">
      <c r="A65" t="str">
        <f t="shared" ref="A65:M65" si="103">A23</f>
        <v>aktywa obrotowe</v>
      </c>
      <c r="B65" s="67">
        <f t="shared" si="103"/>
        <v>4984900</v>
      </c>
      <c r="C65" s="67">
        <f t="shared" si="103"/>
        <v>5422700</v>
      </c>
      <c r="D65" s="67">
        <f t="shared" si="103"/>
        <v>3931500</v>
      </c>
      <c r="E65" s="67">
        <f t="shared" si="103"/>
        <v>1134462.04</v>
      </c>
      <c r="F65" s="67">
        <f t="shared" si="103"/>
        <v>604938.98</v>
      </c>
      <c r="G65" s="67">
        <f t="shared" si="103"/>
        <v>733902.97</v>
      </c>
      <c r="H65" s="67">
        <f t="shared" si="103"/>
        <v>3493000</v>
      </c>
      <c r="I65" s="67">
        <f t="shared" si="103"/>
        <v>3969000</v>
      </c>
      <c r="J65" s="67">
        <f t="shared" si="103"/>
        <v>3273000</v>
      </c>
      <c r="K65" s="67">
        <f t="shared" si="103"/>
        <v>2686432</v>
      </c>
      <c r="L65" s="67">
        <f t="shared" si="103"/>
        <v>2802536</v>
      </c>
      <c r="M65" s="67">
        <f t="shared" si="103"/>
        <v>3326442</v>
      </c>
      <c r="N65" s="149">
        <f t="shared" ref="N65:N66" si="104">AVERAGE(B65,E65,H65,K65)</f>
        <v>3074698.51</v>
      </c>
      <c r="O65" s="149">
        <f t="shared" ref="O65:O66" si="105">AVERAGE(C65,F65,I65,L65)</f>
        <v>3199793.7450000001</v>
      </c>
      <c r="P65" s="149">
        <f t="shared" ref="P65:P66" si="106">AVERAGE(D65,G65,J65,M65)</f>
        <v>2816211.2424999997</v>
      </c>
    </row>
    <row r="66" spans="1:22" x14ac:dyDescent="0.25">
      <c r="A66" t="str">
        <f t="shared" ref="A66:M66" si="107">A20</f>
        <v>zobowiązania krótkoterminowe</v>
      </c>
      <c r="B66" s="67">
        <f t="shared" si="107"/>
        <v>5868200</v>
      </c>
      <c r="C66" s="67">
        <f t="shared" si="107"/>
        <v>5018600</v>
      </c>
      <c r="D66" s="67">
        <f t="shared" si="107"/>
        <v>3915500</v>
      </c>
      <c r="E66" s="67">
        <f t="shared" si="107"/>
        <v>918223.13</v>
      </c>
      <c r="F66" s="67">
        <f t="shared" si="107"/>
        <v>572696.17000000004</v>
      </c>
      <c r="G66" s="67">
        <f t="shared" si="107"/>
        <v>502911.89</v>
      </c>
      <c r="H66" s="67">
        <f t="shared" si="107"/>
        <v>4092000</v>
      </c>
      <c r="I66" s="67">
        <f t="shared" si="107"/>
        <v>5946000</v>
      </c>
      <c r="J66" s="67">
        <f t="shared" si="107"/>
        <v>6043000</v>
      </c>
      <c r="K66" s="67">
        <f t="shared" si="107"/>
        <v>1809809</v>
      </c>
      <c r="L66" s="67">
        <f t="shared" si="107"/>
        <v>2277356</v>
      </c>
      <c r="M66" s="67">
        <f t="shared" si="107"/>
        <v>2105120</v>
      </c>
      <c r="N66" s="149">
        <f t="shared" si="104"/>
        <v>3172058.0324999997</v>
      </c>
      <c r="O66" s="149">
        <f t="shared" si="105"/>
        <v>3453663.0425</v>
      </c>
      <c r="P66" s="149">
        <f t="shared" si="106"/>
        <v>3141632.9725000001</v>
      </c>
      <c r="S66" s="30" t="str">
        <f>A158 &amp; " WSKAŹNIK O"</f>
        <v>MODEL OHLSONA WSKAŹNIK O</v>
      </c>
      <c r="T66" s="33">
        <v>2019</v>
      </c>
      <c r="U66" s="33">
        <v>2018</v>
      </c>
      <c r="V66" s="33">
        <v>2017</v>
      </c>
    </row>
    <row r="67" spans="1:22" x14ac:dyDescent="0.25">
      <c r="A67" s="145" t="s">
        <v>908</v>
      </c>
      <c r="B67" s="148">
        <f>(B68-B69)/B70</f>
        <v>-2.7103738616000198E-2</v>
      </c>
      <c r="C67" s="148">
        <f t="shared" ref="C67:P67" si="108">(C68-C69)/C70</f>
        <v>1.3164238617706081E-2</v>
      </c>
      <c r="D67" s="148">
        <f t="shared" si="108"/>
        <v>5.7645193831964265E-4</v>
      </c>
      <c r="E67" s="148">
        <f t="shared" si="108"/>
        <v>0.10061033288122818</v>
      </c>
      <c r="F67" s="148">
        <f t="shared" si="108"/>
        <v>2.1756883521941859E-2</v>
      </c>
      <c r="G67" s="148">
        <f t="shared" si="108"/>
        <v>0.15542097119761902</v>
      </c>
      <c r="H67" s="148">
        <f t="shared" si="108"/>
        <v>-2.4609695973705836E-2</v>
      </c>
      <c r="I67" s="148">
        <f t="shared" si="108"/>
        <v>-8.486799742433998E-2</v>
      </c>
      <c r="J67" s="148">
        <f t="shared" si="108"/>
        <v>-0.12078663934068809</v>
      </c>
      <c r="K67" s="148">
        <f t="shared" si="108"/>
        <v>9.8656135218607194E-2</v>
      </c>
      <c r="L67" s="148">
        <f t="shared" si="108"/>
        <v>6.1636952971748968E-2</v>
      </c>
      <c r="M67" s="148">
        <f t="shared" si="108"/>
        <v>0.13829988532402276</v>
      </c>
      <c r="N67" s="148">
        <f t="shared" si="108"/>
        <v>-5.7300210993244775E-3</v>
      </c>
      <c r="O67" s="148">
        <f t="shared" si="108"/>
        <v>-1.5868245095714578E-2</v>
      </c>
      <c r="P67" s="148">
        <f t="shared" si="108"/>
        <v>-2.1336962028706389E-2</v>
      </c>
      <c r="S67" s="67" t="str">
        <f>$B$2</f>
        <v>Cyfrowy Polsat S.A. (Polska)</v>
      </c>
      <c r="T67" s="48">
        <f>B160</f>
        <v>-0.80672054212834221</v>
      </c>
      <c r="U67" s="48">
        <f t="shared" ref="U67:V67" si="109">C160</f>
        <v>-0.76080251654388575</v>
      </c>
      <c r="V67" s="48">
        <f t="shared" si="109"/>
        <v>-0.67077624691190685</v>
      </c>
    </row>
    <row r="68" spans="1:22" x14ac:dyDescent="0.25">
      <c r="A68" t="str">
        <f t="shared" ref="A68:M68" si="110">A23</f>
        <v>aktywa obrotowe</v>
      </c>
      <c r="B68" s="67">
        <f t="shared" si="110"/>
        <v>4984900</v>
      </c>
      <c r="C68" s="67">
        <f t="shared" si="110"/>
        <v>5422700</v>
      </c>
      <c r="D68" s="67">
        <f t="shared" si="110"/>
        <v>3931500</v>
      </c>
      <c r="E68" s="67">
        <f t="shared" si="110"/>
        <v>1134462.04</v>
      </c>
      <c r="F68" s="67">
        <f t="shared" si="110"/>
        <v>604938.98</v>
      </c>
      <c r="G68" s="67">
        <f t="shared" si="110"/>
        <v>733902.97</v>
      </c>
      <c r="H68" s="67">
        <f t="shared" si="110"/>
        <v>3493000</v>
      </c>
      <c r="I68" s="67">
        <f t="shared" si="110"/>
        <v>3969000</v>
      </c>
      <c r="J68" s="67">
        <f t="shared" si="110"/>
        <v>3273000</v>
      </c>
      <c r="K68" s="67">
        <f t="shared" si="110"/>
        <v>2686432</v>
      </c>
      <c r="L68" s="67">
        <f t="shared" si="110"/>
        <v>2802536</v>
      </c>
      <c r="M68" s="67">
        <f t="shared" si="110"/>
        <v>3326442</v>
      </c>
      <c r="N68" s="149">
        <f t="shared" ref="N68:N70" si="111">AVERAGE(B68,E68,H68,K68)</f>
        <v>3074698.51</v>
      </c>
      <c r="O68" s="149">
        <f t="shared" ref="O68:O70" si="112">AVERAGE(C68,F68,I68,L68)</f>
        <v>3199793.7450000001</v>
      </c>
      <c r="P68" s="149">
        <f t="shared" ref="P68:P70" si="113">AVERAGE(D68,G68,J68,M68)</f>
        <v>2816211.2424999997</v>
      </c>
      <c r="S68" s="67" t="str">
        <f>$E$2</f>
        <v>Telewizja Polska S.A. (Polska)</v>
      </c>
      <c r="T68" s="48">
        <f>E160</f>
        <v>-0.52586395010159925</v>
      </c>
      <c r="U68" s="48">
        <f t="shared" ref="U68:V68" si="114">F160</f>
        <v>-0.5609631944834863</v>
      </c>
      <c r="V68" s="48">
        <f t="shared" si="114"/>
        <v>-2.47010870800275</v>
      </c>
    </row>
    <row r="69" spans="1:22" x14ac:dyDescent="0.25">
      <c r="A69" t="str">
        <f t="shared" ref="A69:M69" si="115">A20</f>
        <v>zobowiązania krótkoterminowe</v>
      </c>
      <c r="B69" s="67">
        <f t="shared" si="115"/>
        <v>5868200</v>
      </c>
      <c r="C69" s="67">
        <f t="shared" si="115"/>
        <v>5018600</v>
      </c>
      <c r="D69" s="67">
        <f t="shared" si="115"/>
        <v>3915500</v>
      </c>
      <c r="E69" s="67">
        <f t="shared" si="115"/>
        <v>918223.13</v>
      </c>
      <c r="F69" s="67">
        <f t="shared" si="115"/>
        <v>572696.17000000004</v>
      </c>
      <c r="G69" s="67">
        <f t="shared" si="115"/>
        <v>502911.89</v>
      </c>
      <c r="H69" s="67">
        <f t="shared" si="115"/>
        <v>4092000</v>
      </c>
      <c r="I69" s="67">
        <f t="shared" si="115"/>
        <v>5946000</v>
      </c>
      <c r="J69" s="67">
        <f t="shared" si="115"/>
        <v>6043000</v>
      </c>
      <c r="K69" s="67">
        <f t="shared" si="115"/>
        <v>1809809</v>
      </c>
      <c r="L69" s="67">
        <f t="shared" si="115"/>
        <v>2277356</v>
      </c>
      <c r="M69" s="67">
        <f t="shared" si="115"/>
        <v>2105120</v>
      </c>
      <c r="N69" s="149">
        <f t="shared" si="111"/>
        <v>3172058.0324999997</v>
      </c>
      <c r="O69" s="149">
        <f t="shared" si="112"/>
        <v>3453663.0425</v>
      </c>
      <c r="P69" s="149">
        <f t="shared" si="113"/>
        <v>3141632.9725000001</v>
      </c>
      <c r="S69" s="67" t="str">
        <f>$H$2</f>
        <v>Orange Polska S.A. (Polska)</v>
      </c>
      <c r="T69" s="48">
        <f>H160</f>
        <v>-1.0133468613811243</v>
      </c>
      <c r="U69" s="48">
        <f t="shared" ref="U69:V69" si="116">I160</f>
        <v>-2.798614246187439</v>
      </c>
      <c r="V69" s="48">
        <f t="shared" si="116"/>
        <v>-0.90269784443557755</v>
      </c>
    </row>
    <row r="70" spans="1:22" x14ac:dyDescent="0.25">
      <c r="A70" t="str">
        <f t="shared" ref="A70:M70" si="117">A9</f>
        <v>aktywa ogółem</v>
      </c>
      <c r="B70" s="67">
        <f t="shared" si="117"/>
        <v>32589600</v>
      </c>
      <c r="C70" s="67">
        <f t="shared" si="117"/>
        <v>30696800</v>
      </c>
      <c r="D70" s="67">
        <f t="shared" si="117"/>
        <v>27756000</v>
      </c>
      <c r="E70" s="67">
        <f t="shared" si="117"/>
        <v>2149271.39</v>
      </c>
      <c r="F70" s="67">
        <f t="shared" si="117"/>
        <v>1481959.03</v>
      </c>
      <c r="G70" s="67">
        <f t="shared" si="117"/>
        <v>1486228.52</v>
      </c>
      <c r="H70" s="67">
        <f t="shared" si="117"/>
        <v>24340000</v>
      </c>
      <c r="I70" s="67">
        <f t="shared" si="117"/>
        <v>23295000</v>
      </c>
      <c r="J70" s="67">
        <f t="shared" si="117"/>
        <v>22933000</v>
      </c>
      <c r="K70" s="67">
        <f t="shared" si="117"/>
        <v>8885641</v>
      </c>
      <c r="L70" s="67">
        <f t="shared" si="117"/>
        <v>8520538</v>
      </c>
      <c r="M70" s="67">
        <f t="shared" si="117"/>
        <v>8830969</v>
      </c>
      <c r="N70" s="149">
        <f t="shared" si="111"/>
        <v>16991128.0975</v>
      </c>
      <c r="O70" s="149">
        <f t="shared" si="112"/>
        <v>15998574.2575</v>
      </c>
      <c r="P70" s="149">
        <f t="shared" si="113"/>
        <v>15251549.379999999</v>
      </c>
      <c r="S70" s="67" t="str">
        <f>$K$2</f>
        <v>Play Communications S.A. (Polska)</v>
      </c>
      <c r="T70" s="48">
        <f>K160</f>
        <v>1.6470191424296463</v>
      </c>
      <c r="U70" s="48">
        <f t="shared" ref="U70:V70" si="118">L160</f>
        <v>-0.39654563954266586</v>
      </c>
      <c r="V70" s="48">
        <f t="shared" si="118"/>
        <v>-0.13311911890248415</v>
      </c>
    </row>
    <row r="71" spans="1:22" ht="15" customHeight="1" x14ac:dyDescent="0.25">
      <c r="A71" s="145" t="s">
        <v>909</v>
      </c>
      <c r="B71" s="127">
        <f>(B72+B73+B74-B75)/(B76-B77)</f>
        <v>0.25428529569761193</v>
      </c>
      <c r="C71" s="127">
        <f t="shared" ref="C71:P71" si="119">(C72+C73+C74-C75)/(C76-C77)</f>
        <v>0.13019979621671909</v>
      </c>
      <c r="D71" s="127">
        <f t="shared" si="119"/>
        <v>7.5821490900024935E-2</v>
      </c>
      <c r="E71" s="127">
        <f t="shared" si="119"/>
        <v>0.27302388581654552</v>
      </c>
      <c r="F71" s="127">
        <f t="shared" si="119"/>
        <v>0.49899745158240805</v>
      </c>
      <c r="G71" s="127">
        <f t="shared" si="119"/>
        <v>0.18709161892540505</v>
      </c>
      <c r="H71" s="127">
        <f t="shared" si="119"/>
        <v>0.11986749865187582</v>
      </c>
      <c r="I71" s="127">
        <f t="shared" si="119"/>
        <v>0.28174904942965778</v>
      </c>
      <c r="J71" s="127">
        <f t="shared" si="119"/>
        <v>0.2325460487225193</v>
      </c>
      <c r="K71" s="127">
        <f t="shared" si="119"/>
        <v>0.10383427042197625</v>
      </c>
      <c r="L71" s="127">
        <f t="shared" si="119"/>
        <v>0.15659931819088588</v>
      </c>
      <c r="M71" s="127">
        <f t="shared" si="119"/>
        <v>5.829688415395945E-2</v>
      </c>
      <c r="N71" s="127">
        <f t="shared" si="119"/>
        <v>0.16399871282741618</v>
      </c>
      <c r="O71" s="127">
        <f t="shared" si="119"/>
        <v>0.1993444120689421</v>
      </c>
      <c r="P71" s="127">
        <f t="shared" si="119"/>
        <v>0.14353598041342444</v>
      </c>
      <c r="Q71" s="67"/>
      <c r="S71" s="67" t="str">
        <f>$N$2</f>
        <v>Branża</v>
      </c>
      <c r="T71" s="48">
        <f>N160</f>
        <v>-0.37058660004578048</v>
      </c>
      <c r="U71" s="48">
        <f t="shared" ref="U71:V71" si="120">O160</f>
        <v>-0.31084676509942288</v>
      </c>
      <c r="V71" s="48">
        <f t="shared" si="120"/>
        <v>-0.64382922401207754</v>
      </c>
    </row>
    <row r="72" spans="1:22" x14ac:dyDescent="0.25">
      <c r="A72" t="str">
        <f t="shared" ref="A72:M72" si="121">A27</f>
        <v>środki pieniężne</v>
      </c>
      <c r="B72" s="67">
        <f t="shared" si="121"/>
        <v>753100</v>
      </c>
      <c r="C72" s="67">
        <f t="shared" si="121"/>
        <v>1178700</v>
      </c>
      <c r="D72" s="67">
        <f t="shared" si="121"/>
        <v>1172000</v>
      </c>
      <c r="E72" s="67">
        <f t="shared" si="121"/>
        <v>418968.05</v>
      </c>
      <c r="F72" s="67">
        <f t="shared" si="121"/>
        <v>22211.41</v>
      </c>
      <c r="G72" s="67">
        <f t="shared" si="121"/>
        <v>183281.18</v>
      </c>
      <c r="H72" s="67">
        <f t="shared" si="121"/>
        <v>404000</v>
      </c>
      <c r="I72" s="67">
        <f t="shared" si="121"/>
        <v>611000</v>
      </c>
      <c r="J72" s="67">
        <f t="shared" si="121"/>
        <v>646000</v>
      </c>
      <c r="K72" s="67">
        <f t="shared" si="121"/>
        <v>294317</v>
      </c>
      <c r="L72" s="67">
        <f t="shared" si="121"/>
        <v>353690</v>
      </c>
      <c r="M72" s="67">
        <f t="shared" si="121"/>
        <v>628725</v>
      </c>
      <c r="N72" s="149">
        <f t="shared" ref="N72:N77" si="122">AVERAGE(B72,E72,H72,K72)</f>
        <v>467596.26250000001</v>
      </c>
      <c r="O72" s="149">
        <f t="shared" ref="O72:O77" si="123">AVERAGE(C72,F72,I72,L72)</f>
        <v>541400.35250000004</v>
      </c>
      <c r="P72" s="149">
        <f t="shared" ref="P72:P77" si="124">AVERAGE(D72,G72,J72,M72)</f>
        <v>657501.54499999993</v>
      </c>
      <c r="Q72" s="67"/>
      <c r="S72" s="30" t="str">
        <f>A158 &amp; " P(X)"</f>
        <v>MODEL OHLSONA P(X)</v>
      </c>
      <c r="T72" s="33">
        <v>2019</v>
      </c>
      <c r="U72" s="33">
        <v>2018</v>
      </c>
      <c r="V72" s="33">
        <v>2017</v>
      </c>
    </row>
    <row r="73" spans="1:22" x14ac:dyDescent="0.25">
      <c r="A73" t="str">
        <f t="shared" ref="A73:M73" si="125">A28</f>
        <v>należności krótkoterminowe</v>
      </c>
      <c r="B73" s="67">
        <f t="shared" si="125"/>
        <v>2511600</v>
      </c>
      <c r="C73" s="67">
        <f t="shared" si="125"/>
        <v>2370400</v>
      </c>
      <c r="D73" s="67">
        <f t="shared" si="125"/>
        <v>1983200</v>
      </c>
      <c r="E73" s="67">
        <f t="shared" si="125"/>
        <v>258878.14</v>
      </c>
      <c r="F73" s="67">
        <f t="shared" si="125"/>
        <v>212817.92000000001</v>
      </c>
      <c r="G73" s="67">
        <f t="shared" si="125"/>
        <v>216532.85</v>
      </c>
      <c r="H73" s="67">
        <f t="shared" si="125"/>
        <v>2132000</v>
      </c>
      <c r="I73" s="67">
        <f t="shared" si="125"/>
        <v>2371000</v>
      </c>
      <c r="J73" s="67">
        <f t="shared" si="125"/>
        <v>2266000</v>
      </c>
      <c r="K73" s="67">
        <f t="shared" si="125"/>
        <v>731556</v>
      </c>
      <c r="L73" s="67">
        <f t="shared" si="125"/>
        <v>863913</v>
      </c>
      <c r="M73" s="67">
        <f t="shared" si="125"/>
        <v>1100466</v>
      </c>
      <c r="N73" s="149">
        <f t="shared" si="122"/>
        <v>1408508.5350000001</v>
      </c>
      <c r="O73" s="149">
        <f t="shared" si="123"/>
        <v>1454532.73</v>
      </c>
      <c r="P73" s="149">
        <f t="shared" si="124"/>
        <v>1391549.7124999999</v>
      </c>
      <c r="Q73" s="67"/>
      <c r="S73" s="67" t="str">
        <f>$B$2</f>
        <v>Cyfrowy Polsat S.A. (Polska)</v>
      </c>
      <c r="T73" s="48">
        <f>B159</f>
        <v>0.30858976821723949</v>
      </c>
      <c r="U73" s="48">
        <f t="shared" ref="U73:V73" si="126">C159</f>
        <v>0.3184720565471818</v>
      </c>
      <c r="V73" s="48">
        <f t="shared" si="126"/>
        <v>0.33832304792369772</v>
      </c>
    </row>
    <row r="74" spans="1:22" x14ac:dyDescent="0.25">
      <c r="A74" t="str">
        <f t="shared" ref="A74:M74" si="127">A29</f>
        <v>papiery wartościowe</v>
      </c>
      <c r="B74" s="67">
        <f t="shared" si="127"/>
        <v>0</v>
      </c>
      <c r="C74" s="67">
        <f t="shared" si="127"/>
        <v>0</v>
      </c>
      <c r="D74" s="67">
        <f t="shared" si="127"/>
        <v>0</v>
      </c>
      <c r="E74" s="67">
        <f t="shared" si="127"/>
        <v>0</v>
      </c>
      <c r="F74" s="67">
        <f t="shared" si="127"/>
        <v>0</v>
      </c>
      <c r="G74" s="67">
        <f t="shared" si="127"/>
        <v>0</v>
      </c>
      <c r="H74" s="67">
        <f t="shared" si="127"/>
        <v>0</v>
      </c>
      <c r="I74" s="67">
        <f t="shared" si="127"/>
        <v>0</v>
      </c>
      <c r="J74" s="67">
        <f t="shared" si="127"/>
        <v>0</v>
      </c>
      <c r="K74" s="67">
        <f t="shared" si="127"/>
        <v>11587</v>
      </c>
      <c r="L74" s="67">
        <f t="shared" si="127"/>
        <v>0</v>
      </c>
      <c r="M74" s="67">
        <f t="shared" si="127"/>
        <v>4268</v>
      </c>
      <c r="N74" s="149">
        <f t="shared" si="122"/>
        <v>2896.75</v>
      </c>
      <c r="O74" s="149">
        <f t="shared" si="123"/>
        <v>0</v>
      </c>
      <c r="P74" s="149">
        <f t="shared" si="124"/>
        <v>1067</v>
      </c>
      <c r="S74" s="67" t="str">
        <f>$E$2</f>
        <v>Telewizja Polska S.A. (Polska)</v>
      </c>
      <c r="T74" s="48">
        <f>E159</f>
        <v>0.37148207153304341</v>
      </c>
      <c r="U74" s="48">
        <f t="shared" ref="U74:V74" si="128">F159</f>
        <v>0.36332462440506175</v>
      </c>
      <c r="V74" s="48">
        <f t="shared" si="128"/>
        <v>7.7980418722670905E-2</v>
      </c>
    </row>
    <row r="75" spans="1:22" x14ac:dyDescent="0.25">
      <c r="A75" t="str">
        <f t="shared" ref="A75:M75" si="129">A20</f>
        <v>zobowiązania krótkoterminowe</v>
      </c>
      <c r="B75" s="67">
        <f t="shared" si="129"/>
        <v>5868200</v>
      </c>
      <c r="C75" s="67">
        <f t="shared" si="129"/>
        <v>5018600</v>
      </c>
      <c r="D75" s="67">
        <f t="shared" si="129"/>
        <v>3915500</v>
      </c>
      <c r="E75" s="67">
        <f t="shared" si="129"/>
        <v>918223.13</v>
      </c>
      <c r="F75" s="67">
        <f t="shared" si="129"/>
        <v>572696.17000000004</v>
      </c>
      <c r="G75" s="67">
        <f t="shared" si="129"/>
        <v>502911.89</v>
      </c>
      <c r="H75" s="67">
        <f t="shared" si="129"/>
        <v>4092000</v>
      </c>
      <c r="I75" s="67">
        <f t="shared" si="129"/>
        <v>5946000</v>
      </c>
      <c r="J75" s="67">
        <f t="shared" si="129"/>
        <v>6043000</v>
      </c>
      <c r="K75" s="67">
        <f t="shared" si="129"/>
        <v>1809809</v>
      </c>
      <c r="L75" s="67">
        <f t="shared" si="129"/>
        <v>2277356</v>
      </c>
      <c r="M75" s="67">
        <f t="shared" si="129"/>
        <v>2105120</v>
      </c>
      <c r="N75" s="149">
        <f t="shared" si="122"/>
        <v>3172058.0324999997</v>
      </c>
      <c r="O75" s="149">
        <f t="shared" si="123"/>
        <v>3453663.0425</v>
      </c>
      <c r="P75" s="149">
        <f t="shared" si="124"/>
        <v>3141632.9725000001</v>
      </c>
      <c r="S75" s="67" t="str">
        <f>$H$2</f>
        <v>Orange Polska S.A. (Polska)</v>
      </c>
      <c r="T75" s="48">
        <f>H159</f>
        <v>0.26632537562725567</v>
      </c>
      <c r="U75" s="48">
        <f t="shared" ref="U75:V75" si="130">I159</f>
        <v>5.7399105375141604E-2</v>
      </c>
      <c r="V75" s="48">
        <f t="shared" si="130"/>
        <v>0.28849640518921449</v>
      </c>
    </row>
    <row r="76" spans="1:22" x14ac:dyDescent="0.25">
      <c r="A76" t="str">
        <f t="shared" ref="A76:M76" si="131">A30</f>
        <v>koszty operacyjne</v>
      </c>
      <c r="B76" s="67">
        <f t="shared" si="131"/>
        <v>-8008800</v>
      </c>
      <c r="C76" s="67">
        <f t="shared" si="131"/>
        <v>-8978800</v>
      </c>
      <c r="D76" s="67">
        <f t="shared" si="131"/>
        <v>-8015900</v>
      </c>
      <c r="E76" s="67">
        <f t="shared" si="131"/>
        <v>-1089996.0900000001</v>
      </c>
      <c r="F76" s="67">
        <f t="shared" si="131"/>
        <v>-866234.89</v>
      </c>
      <c r="G76" s="67">
        <f t="shared" si="131"/>
        <v>-721575.68</v>
      </c>
      <c r="H76" s="67">
        <f t="shared" si="131"/>
        <v>-10233000</v>
      </c>
      <c r="I76" s="67">
        <f t="shared" si="131"/>
        <v>-10520000</v>
      </c>
      <c r="J76" s="67">
        <f t="shared" si="131"/>
        <v>-10892000</v>
      </c>
      <c r="K76" s="67">
        <f t="shared" si="131"/>
        <v>-6532022</v>
      </c>
      <c r="L76" s="67">
        <f t="shared" si="131"/>
        <v>-5978000</v>
      </c>
      <c r="M76" s="67">
        <f t="shared" si="131"/>
        <v>-5578059</v>
      </c>
      <c r="N76" s="149">
        <f t="shared" si="122"/>
        <v>-6465954.5225</v>
      </c>
      <c r="O76" s="149">
        <f t="shared" si="123"/>
        <v>-6585758.7225000001</v>
      </c>
      <c r="P76" s="149">
        <f t="shared" si="124"/>
        <v>-6301883.6699999999</v>
      </c>
      <c r="S76" s="67" t="str">
        <f>$K$2</f>
        <v>Play Communications S.A. (Polska)</v>
      </c>
      <c r="T76" s="48">
        <f>K159</f>
        <v>0.83848777192195634</v>
      </c>
      <c r="U76" s="48">
        <f t="shared" ref="U76:V76" si="132">L159</f>
        <v>0.4021425693090141</v>
      </c>
      <c r="V76" s="48">
        <f t="shared" si="132"/>
        <v>0.46676927842394722</v>
      </c>
    </row>
    <row r="77" spans="1:22" x14ac:dyDescent="0.25">
      <c r="A77" t="str">
        <f t="shared" ref="A77:M77" si="133">A24</f>
        <v>amortyzacja</v>
      </c>
      <c r="B77" s="67">
        <f t="shared" si="133"/>
        <v>2229700</v>
      </c>
      <c r="C77" s="67">
        <f t="shared" si="133"/>
        <v>2307700</v>
      </c>
      <c r="D77" s="67">
        <f t="shared" si="133"/>
        <v>2011600</v>
      </c>
      <c r="E77" s="67">
        <f t="shared" si="133"/>
        <v>-209571.51</v>
      </c>
      <c r="F77" s="67">
        <f t="shared" si="133"/>
        <v>-189544.38</v>
      </c>
      <c r="G77" s="67">
        <f t="shared" si="133"/>
        <v>-170520.21</v>
      </c>
      <c r="H77" s="67">
        <f t="shared" si="133"/>
        <v>2748000</v>
      </c>
      <c r="I77" s="67">
        <f t="shared" si="133"/>
        <v>0</v>
      </c>
      <c r="J77" s="67">
        <f t="shared" si="133"/>
        <v>2572000</v>
      </c>
      <c r="K77" s="67">
        <f t="shared" si="133"/>
        <v>906264</v>
      </c>
      <c r="L77" s="67">
        <f t="shared" si="133"/>
        <v>789290</v>
      </c>
      <c r="M77" s="67">
        <f t="shared" si="133"/>
        <v>797256</v>
      </c>
      <c r="N77" s="149">
        <f t="shared" si="122"/>
        <v>1418598.1225000001</v>
      </c>
      <c r="O77" s="149">
        <f t="shared" si="123"/>
        <v>726861.40500000003</v>
      </c>
      <c r="P77" s="149">
        <f t="shared" si="124"/>
        <v>1302583.9475</v>
      </c>
      <c r="S77" s="67" t="str">
        <f>$N$2</f>
        <v>Branża</v>
      </c>
      <c r="T77" s="48">
        <f>N159</f>
        <v>0.40839928592357888</v>
      </c>
      <c r="U77" s="48">
        <f t="shared" ref="U77:V77" si="134">O159</f>
        <v>0.4229080665798533</v>
      </c>
      <c r="V77" s="48">
        <f t="shared" si="134"/>
        <v>0.34438145176897161</v>
      </c>
    </row>
    <row r="78" spans="1:22" x14ac:dyDescent="0.25">
      <c r="S78" s="30" t="str">
        <f>A188 &amp; " WSKAŹNIK Z"</f>
        <v>MODEL STĘPIENIA I STRĄKA WSKAŹNIK Z</v>
      </c>
      <c r="T78" s="33">
        <v>2019</v>
      </c>
      <c r="U78" s="33">
        <v>2018</v>
      </c>
      <c r="V78" s="33">
        <v>2017</v>
      </c>
    </row>
    <row r="79" spans="1:22" x14ac:dyDescent="0.25">
      <c r="A79" s="146" t="s">
        <v>913</v>
      </c>
      <c r="S79" s="67" t="str">
        <f>$B$2</f>
        <v>Cyfrowy Polsat S.A. (Polska)</v>
      </c>
      <c r="T79" s="48">
        <f>B190</f>
        <v>21.69672948427835</v>
      </c>
      <c r="U79" s="48">
        <f t="shared" ref="U79:V79" si="135">C190</f>
        <v>17.521682316058776</v>
      </c>
      <c r="V79" s="48">
        <f t="shared" si="135"/>
        <v>17.852713537104144</v>
      </c>
    </row>
    <row r="80" spans="1:22" x14ac:dyDescent="0.25">
      <c r="A80" s="151" t="s">
        <v>914</v>
      </c>
      <c r="B80" s="152">
        <f xml:space="preserve"> 1.5*B81+0.08*B85+10*B88+5*B91+0.3*B94+0.1*B97</f>
        <v>5.9847543491511157</v>
      </c>
      <c r="C80" s="152">
        <f t="shared" ref="C80:P80" si="136" xml:space="preserve"> 1.5*C81+0.08*C85+10*C88+5*C91+0.3*C94+0.1*C97</f>
        <v>6.1060040617035183</v>
      </c>
      <c r="D80" s="152">
        <f t="shared" si="136"/>
        <v>6.2528887887046665</v>
      </c>
      <c r="E80" s="152">
        <f t="shared" si="136"/>
        <v>3.2590045740435092</v>
      </c>
      <c r="F80" s="152">
        <f t="shared" si="136"/>
        <v>3.3530374007577222</v>
      </c>
      <c r="G80" s="152">
        <f t="shared" si="136"/>
        <v>3.1513222005462032</v>
      </c>
      <c r="H80" s="152">
        <f t="shared" si="136"/>
        <v>5.2636479994223677</v>
      </c>
      <c r="I80" s="152">
        <f t="shared" si="136"/>
        <v>2.6281986537392559</v>
      </c>
      <c r="J80" s="152">
        <f t="shared" si="136"/>
        <v>5.3665645305265794</v>
      </c>
      <c r="K80" s="152">
        <f t="shared" si="136"/>
        <v>5.8771512475038126</v>
      </c>
      <c r="L80" s="152">
        <f t="shared" si="136"/>
        <v>5.4435156293585276</v>
      </c>
      <c r="M80" s="152">
        <f t="shared" si="136"/>
        <v>4.8465512849402188</v>
      </c>
      <c r="N80" s="152">
        <f t="shared" si="136"/>
        <v>5.4453555677786474</v>
      </c>
      <c r="O80" s="152">
        <f t="shared" si="136"/>
        <v>4.4596847295232243</v>
      </c>
      <c r="P80" s="152">
        <f t="shared" si="136"/>
        <v>5.3892440412878351</v>
      </c>
      <c r="S80" s="67" t="str">
        <f>$E$2</f>
        <v>Telewizja Polska S.A. (Polska)</v>
      </c>
      <c r="T80" s="48">
        <f>E190</f>
        <v>76.247519288719403</v>
      </c>
      <c r="U80" s="48">
        <f t="shared" ref="U80:V80" si="137">F190</f>
        <v>85.381515113513728</v>
      </c>
      <c r="V80" s="48">
        <f t="shared" si="137"/>
        <v>74.096548602700025</v>
      </c>
    </row>
    <row r="81" spans="1:22" x14ac:dyDescent="0.25">
      <c r="A81" s="145" t="s">
        <v>915</v>
      </c>
      <c r="B81" s="148">
        <f>(B82+B83)/B84</f>
        <v>1.6460267805419004</v>
      </c>
      <c r="C81" s="148">
        <f t="shared" ref="C81:P81" si="138">(C82+C83)/C84</f>
        <v>1.63966566795073</v>
      </c>
      <c r="D81" s="148">
        <f t="shared" si="138"/>
        <v>1.6520090541715688</v>
      </c>
      <c r="E81" s="148">
        <f t="shared" si="138"/>
        <v>0.60420914843866502</v>
      </c>
      <c r="F81" s="148">
        <f t="shared" si="138"/>
        <v>0.83302144310641457</v>
      </c>
      <c r="G81" s="148">
        <f t="shared" si="138"/>
        <v>0.67594990567053448</v>
      </c>
      <c r="H81" s="148">
        <f t="shared" si="138"/>
        <v>1.7130100188761435</v>
      </c>
      <c r="I81" s="148">
        <f t="shared" si="138"/>
        <v>1.5107879924953096</v>
      </c>
      <c r="J81" s="148">
        <f t="shared" si="138"/>
        <v>1.7108118507118122</v>
      </c>
      <c r="K81" s="148">
        <f t="shared" si="138"/>
        <v>0.82969207803654088</v>
      </c>
      <c r="L81" s="148">
        <f t="shared" si="138"/>
        <v>0.74615701090094844</v>
      </c>
      <c r="M81" s="148">
        <f t="shared" si="138"/>
        <v>0.69682640043487354</v>
      </c>
      <c r="N81" s="148">
        <f t="shared" si="138"/>
        <v>1.4676141686886053</v>
      </c>
      <c r="O81" s="148">
        <f t="shared" si="138"/>
        <v>1.3815788789983634</v>
      </c>
      <c r="P81" s="148">
        <f t="shared" si="138"/>
        <v>1.4258917784551821</v>
      </c>
      <c r="S81" s="67" t="str">
        <f>$H$2</f>
        <v>Orange Polska S.A. (Polska)</v>
      </c>
      <c r="T81" s="48">
        <f>H190</f>
        <v>19.499562751145749</v>
      </c>
      <c r="U81" s="48">
        <f t="shared" ref="U81:V81" si="139">I190</f>
        <v>17.8333637326621</v>
      </c>
      <c r="V81" s="48">
        <f t="shared" si="139"/>
        <v>17.504978360603022</v>
      </c>
    </row>
    <row r="82" spans="1:22" x14ac:dyDescent="0.25">
      <c r="A82" t="str">
        <f t="shared" ref="A82:M82" si="140">A6</f>
        <v>zysk brutto ze sprzedaży</v>
      </c>
      <c r="B82" s="67">
        <f t="shared" si="140"/>
        <v>27604700</v>
      </c>
      <c r="C82" s="67">
        <f t="shared" si="140"/>
        <v>25274100</v>
      </c>
      <c r="D82" s="67">
        <f t="shared" si="140"/>
        <v>23824500</v>
      </c>
      <c r="E82" s="67">
        <f t="shared" si="140"/>
        <v>1014809.35</v>
      </c>
      <c r="F82" s="67">
        <f t="shared" si="140"/>
        <v>877020.05</v>
      </c>
      <c r="G82" s="67">
        <f t="shared" si="140"/>
        <v>752325.55</v>
      </c>
      <c r="H82" s="67">
        <f t="shared" si="140"/>
        <v>20847000</v>
      </c>
      <c r="I82" s="67">
        <f t="shared" si="140"/>
        <v>19326000</v>
      </c>
      <c r="J82" s="67">
        <f t="shared" si="140"/>
        <v>19660000</v>
      </c>
      <c r="K82" s="67">
        <f t="shared" si="140"/>
        <v>6199209</v>
      </c>
      <c r="L82" s="67">
        <f t="shared" si="140"/>
        <v>5718002</v>
      </c>
      <c r="M82" s="67">
        <f t="shared" si="140"/>
        <v>5504527</v>
      </c>
      <c r="N82" s="149">
        <f t="shared" ref="N82:N84" si="141">AVERAGE(B82,E82,H82,K82)</f>
        <v>13916429.5875</v>
      </c>
      <c r="O82" s="149">
        <f t="shared" ref="O82:O84" si="142">AVERAGE(C82,F82,I82,L82)</f>
        <v>12798780.512499999</v>
      </c>
      <c r="P82" s="149">
        <f t="shared" ref="P82:P84" si="143">AVERAGE(D82,G82,J82,M82)</f>
        <v>12435338.137499999</v>
      </c>
      <c r="S82" s="67" t="str">
        <f>$K$2</f>
        <v>Play Communications S.A. (Polska)</v>
      </c>
      <c r="T82" s="48">
        <f>K190</f>
        <v>30.91840215923801</v>
      </c>
      <c r="U82" s="48">
        <f t="shared" ref="U82:V82" si="144">L190</f>
        <v>30.521861298154228</v>
      </c>
      <c r="V82" s="48">
        <f t="shared" si="144"/>
        <v>31.692350116989449</v>
      </c>
    </row>
    <row r="83" spans="1:22" s="53" customFormat="1" x14ac:dyDescent="0.25">
      <c r="A83" t="str">
        <f t="shared" ref="A83:M83" si="145">A24</f>
        <v>amortyzacja</v>
      </c>
      <c r="B83" s="67">
        <f t="shared" si="145"/>
        <v>2229700</v>
      </c>
      <c r="C83" s="67">
        <f t="shared" si="145"/>
        <v>2307700</v>
      </c>
      <c r="D83" s="67">
        <f t="shared" si="145"/>
        <v>2011600</v>
      </c>
      <c r="E83" s="67">
        <f t="shared" si="145"/>
        <v>-209571.51</v>
      </c>
      <c r="F83" s="67">
        <f t="shared" si="145"/>
        <v>-189544.38</v>
      </c>
      <c r="G83" s="67">
        <f t="shared" si="145"/>
        <v>-170520.21</v>
      </c>
      <c r="H83" s="67">
        <f t="shared" si="145"/>
        <v>2748000</v>
      </c>
      <c r="I83" s="67">
        <f t="shared" si="145"/>
        <v>0</v>
      </c>
      <c r="J83" s="67">
        <f t="shared" si="145"/>
        <v>2572000</v>
      </c>
      <c r="K83" s="67">
        <f t="shared" si="145"/>
        <v>906264</v>
      </c>
      <c r="L83" s="67">
        <f t="shared" si="145"/>
        <v>789290</v>
      </c>
      <c r="M83" s="67">
        <f t="shared" si="145"/>
        <v>797256</v>
      </c>
      <c r="N83" s="149">
        <f t="shared" si="141"/>
        <v>1418598.1225000001</v>
      </c>
      <c r="O83" s="149">
        <f t="shared" si="142"/>
        <v>726861.40500000003</v>
      </c>
      <c r="P83" s="149">
        <f t="shared" si="143"/>
        <v>1302583.9475</v>
      </c>
      <c r="S83" s="67" t="str">
        <f>$N$2</f>
        <v>Branża</v>
      </c>
      <c r="T83" s="48">
        <f>N190</f>
        <v>22.95112518527446</v>
      </c>
      <c r="U83" s="48">
        <f t="shared" ref="U83:V83" si="146">O190</f>
        <v>20.833281421001626</v>
      </c>
      <c r="V83" s="48">
        <f t="shared" si="146"/>
        <v>20.756234440295014</v>
      </c>
    </row>
    <row r="84" spans="1:22" x14ac:dyDescent="0.25">
      <c r="A84" t="str">
        <f t="shared" ref="A84:M84" si="147">A22</f>
        <v>zobowiązania ogółem</v>
      </c>
      <c r="B84" s="67">
        <f t="shared" si="147"/>
        <v>18125100</v>
      </c>
      <c r="C84" s="67">
        <f t="shared" si="147"/>
        <v>16821600</v>
      </c>
      <c r="D84" s="67">
        <f t="shared" si="147"/>
        <v>15639200</v>
      </c>
      <c r="E84" s="67">
        <f t="shared" si="147"/>
        <v>1332713.75</v>
      </c>
      <c r="F84" s="67">
        <f t="shared" si="147"/>
        <v>825279.68</v>
      </c>
      <c r="G84" s="67">
        <f t="shared" si="147"/>
        <v>860722.57000000007</v>
      </c>
      <c r="H84" s="67">
        <f t="shared" si="147"/>
        <v>13774000</v>
      </c>
      <c r="I84" s="67">
        <f t="shared" si="147"/>
        <v>12792000</v>
      </c>
      <c r="J84" s="67">
        <f t="shared" si="147"/>
        <v>12995000</v>
      </c>
      <c r="K84" s="67">
        <f t="shared" si="147"/>
        <v>8563988</v>
      </c>
      <c r="L84" s="67">
        <f t="shared" si="147"/>
        <v>8721076</v>
      </c>
      <c r="M84" s="67">
        <f t="shared" si="147"/>
        <v>9043548</v>
      </c>
      <c r="N84" s="149">
        <f t="shared" si="141"/>
        <v>10448950.4375</v>
      </c>
      <c r="O84" s="149">
        <f t="shared" si="142"/>
        <v>9789988.9199999999</v>
      </c>
      <c r="P84" s="149">
        <f t="shared" si="143"/>
        <v>9634617.6425000001</v>
      </c>
      <c r="S84" s="30" t="str">
        <f>A188 &amp; " P(X)"</f>
        <v>MODEL STĘPIENIA I STRĄKA P(X)</v>
      </c>
      <c r="T84" s="33">
        <v>2019</v>
      </c>
      <c r="U84" s="33">
        <v>2018</v>
      </c>
      <c r="V84" s="33">
        <v>2017</v>
      </c>
    </row>
    <row r="85" spans="1:22" x14ac:dyDescent="0.25">
      <c r="A85" s="145" t="s">
        <v>916</v>
      </c>
      <c r="B85" s="148">
        <f>B86/B87</f>
        <v>1.7980369763477166</v>
      </c>
      <c r="C85" s="148">
        <f t="shared" ref="C85:P85" si="148">C86/C87</f>
        <v>1.8248442478717839</v>
      </c>
      <c r="D85" s="148">
        <f t="shared" si="148"/>
        <v>1.7747710880351937</v>
      </c>
      <c r="E85" s="148">
        <f t="shared" si="148"/>
        <v>1.6127029453999406</v>
      </c>
      <c r="F85" s="148">
        <f t="shared" si="148"/>
        <v>1.7957052208046609</v>
      </c>
      <c r="G85" s="148">
        <f t="shared" si="148"/>
        <v>1.7267219099413182</v>
      </c>
      <c r="H85" s="148">
        <f t="shared" si="148"/>
        <v>1.7670974299404676</v>
      </c>
      <c r="I85" s="148">
        <f t="shared" si="148"/>
        <v>1.8210600375234522</v>
      </c>
      <c r="J85" s="148">
        <f t="shared" si="148"/>
        <v>1.7647556752597153</v>
      </c>
      <c r="K85" s="148">
        <f t="shared" si="148"/>
        <v>1.0375587868642506</v>
      </c>
      <c r="L85" s="148">
        <f t="shared" si="148"/>
        <v>0.97700536034773688</v>
      </c>
      <c r="M85" s="148">
        <f t="shared" si="148"/>
        <v>0.97649384953781415</v>
      </c>
      <c r="N85" s="148">
        <f t="shared" si="148"/>
        <v>1.6261085933110495</v>
      </c>
      <c r="O85" s="148">
        <f t="shared" si="148"/>
        <v>1.6341769524188594</v>
      </c>
      <c r="P85" s="148">
        <f t="shared" si="148"/>
        <v>1.5829947742526618</v>
      </c>
      <c r="S85" s="67" t="str">
        <f>$B$2</f>
        <v>Cyfrowy Polsat S.A. (Polska)</v>
      </c>
      <c r="T85" s="48">
        <f>B189</f>
        <v>0.99999999962222774</v>
      </c>
      <c r="U85" s="48">
        <f t="shared" ref="U85:V85" si="149">C189</f>
        <v>0.99999997542859187</v>
      </c>
      <c r="V85" s="48">
        <f t="shared" si="149"/>
        <v>0.9999999823532385</v>
      </c>
    </row>
    <row r="86" spans="1:22" x14ac:dyDescent="0.25">
      <c r="A86" s="53" t="str">
        <f t="shared" ref="A86:M86" si="150">A9</f>
        <v>aktywa ogółem</v>
      </c>
      <c r="B86" s="53">
        <f t="shared" si="150"/>
        <v>32589600</v>
      </c>
      <c r="C86" s="53">
        <f t="shared" si="150"/>
        <v>30696800</v>
      </c>
      <c r="D86" s="53">
        <f t="shared" si="150"/>
        <v>27756000</v>
      </c>
      <c r="E86" s="53">
        <f t="shared" si="150"/>
        <v>2149271.39</v>
      </c>
      <c r="F86" s="53">
        <f t="shared" si="150"/>
        <v>1481959.03</v>
      </c>
      <c r="G86" s="53">
        <f t="shared" si="150"/>
        <v>1486228.52</v>
      </c>
      <c r="H86" s="53">
        <f t="shared" si="150"/>
        <v>24340000</v>
      </c>
      <c r="I86" s="53">
        <f t="shared" si="150"/>
        <v>23295000</v>
      </c>
      <c r="J86" s="53">
        <f t="shared" si="150"/>
        <v>22933000</v>
      </c>
      <c r="K86" s="53">
        <f t="shared" si="150"/>
        <v>8885641</v>
      </c>
      <c r="L86" s="53">
        <f t="shared" si="150"/>
        <v>8520538</v>
      </c>
      <c r="M86" s="53">
        <f t="shared" si="150"/>
        <v>8830969</v>
      </c>
      <c r="N86" s="149">
        <f t="shared" ref="N86:N99" si="151">AVERAGE(B86,E86,H86,K86)</f>
        <v>16991128.0975</v>
      </c>
      <c r="O86" s="149">
        <f t="shared" ref="O86:O99" si="152">AVERAGE(C86,F86,I86,L86)</f>
        <v>15998574.2575</v>
      </c>
      <c r="P86" s="149">
        <f t="shared" ref="P86:P99" si="153">AVERAGE(D86,G86,J86,M86)</f>
        <v>15251549.379999999</v>
      </c>
      <c r="S86" s="67" t="str">
        <f>$E$2</f>
        <v>Telewizja Polska S.A. (Polska)</v>
      </c>
      <c r="T86" s="48">
        <f>E189</f>
        <v>1</v>
      </c>
      <c r="U86" s="48">
        <f t="shared" ref="U86:V86" si="154">F189</f>
        <v>1</v>
      </c>
      <c r="V86" s="48">
        <f t="shared" si="154"/>
        <v>1</v>
      </c>
    </row>
    <row r="87" spans="1:22" x14ac:dyDescent="0.25">
      <c r="A87" s="53" t="str">
        <f t="shared" ref="A87:M87" si="155">A22</f>
        <v>zobowiązania ogółem</v>
      </c>
      <c r="B87" s="53">
        <f t="shared" si="155"/>
        <v>18125100</v>
      </c>
      <c r="C87" s="53">
        <f t="shared" si="155"/>
        <v>16821600</v>
      </c>
      <c r="D87" s="53">
        <f t="shared" si="155"/>
        <v>15639200</v>
      </c>
      <c r="E87" s="53">
        <f t="shared" si="155"/>
        <v>1332713.75</v>
      </c>
      <c r="F87" s="53">
        <f t="shared" si="155"/>
        <v>825279.68</v>
      </c>
      <c r="G87" s="53">
        <f t="shared" si="155"/>
        <v>860722.57000000007</v>
      </c>
      <c r="H87" s="53">
        <f t="shared" si="155"/>
        <v>13774000</v>
      </c>
      <c r="I87" s="53">
        <f t="shared" si="155"/>
        <v>12792000</v>
      </c>
      <c r="J87" s="53">
        <f t="shared" si="155"/>
        <v>12995000</v>
      </c>
      <c r="K87" s="53">
        <f t="shared" si="155"/>
        <v>8563988</v>
      </c>
      <c r="L87" s="53">
        <f t="shared" si="155"/>
        <v>8721076</v>
      </c>
      <c r="M87" s="53">
        <f t="shared" si="155"/>
        <v>9043548</v>
      </c>
      <c r="N87" s="149">
        <f t="shared" si="151"/>
        <v>10448950.4375</v>
      </c>
      <c r="O87" s="149">
        <f t="shared" si="152"/>
        <v>9789988.9199999999</v>
      </c>
      <c r="P87" s="149">
        <f t="shared" si="153"/>
        <v>9634617.6425000001</v>
      </c>
      <c r="S87" s="67" t="str">
        <f>$H$2</f>
        <v>Orange Polska S.A. (Polska)</v>
      </c>
      <c r="T87" s="48">
        <f>H189</f>
        <v>0.99999999660024597</v>
      </c>
      <c r="U87" s="48">
        <f t="shared" ref="U87:V87" si="156">I189</f>
        <v>0.99999998200845208</v>
      </c>
      <c r="V87" s="48">
        <f t="shared" si="156"/>
        <v>0.99999997501470506</v>
      </c>
    </row>
    <row r="88" spans="1:22" x14ac:dyDescent="0.25">
      <c r="A88" s="145" t="s">
        <v>917</v>
      </c>
      <c r="B88" s="148">
        <f>B89/B90</f>
        <v>0.12877421017747992</v>
      </c>
      <c r="C88" s="148">
        <f t="shared" ref="C88:P88" si="157">C89/C90</f>
        <v>0.13143715305829923</v>
      </c>
      <c r="D88" s="148">
        <f t="shared" si="157"/>
        <v>0.1385502233751261</v>
      </c>
      <c r="E88" s="148">
        <f t="shared" si="157"/>
        <v>0.14995129582030123</v>
      </c>
      <c r="F88" s="148">
        <f t="shared" si="157"/>
        <v>0.13805159647362181</v>
      </c>
      <c r="G88" s="148">
        <f t="shared" si="157"/>
        <v>0.1311705551175939</v>
      </c>
      <c r="H88" s="148">
        <f t="shared" si="157"/>
        <v>0.11290057518488085</v>
      </c>
      <c r="I88" s="148">
        <f t="shared" si="157"/>
        <v>0</v>
      </c>
      <c r="J88" s="148">
        <f t="shared" si="157"/>
        <v>0.12213840317446474</v>
      </c>
      <c r="K88" s="148">
        <f t="shared" si="157"/>
        <v>0.27076380871115546</v>
      </c>
      <c r="L88" s="148">
        <f t="shared" si="157"/>
        <v>0.25349925086890052</v>
      </c>
      <c r="M88" s="148">
        <f t="shared" si="157"/>
        <v>0.21562061875656002</v>
      </c>
      <c r="N88" s="148">
        <f t="shared" si="157"/>
        <v>0.14232274594267857</v>
      </c>
      <c r="O88" s="148">
        <f t="shared" si="157"/>
        <v>9.9996985778280992E-2</v>
      </c>
      <c r="P88" s="148">
        <f t="shared" si="157"/>
        <v>0.14335737639004387</v>
      </c>
      <c r="S88" s="67" t="str">
        <f>$K$2</f>
        <v>Play Communications S.A. (Polska)</v>
      </c>
      <c r="T88" s="48">
        <f>K189</f>
        <v>0.9999999999999627</v>
      </c>
      <c r="U88" s="48">
        <f t="shared" ref="U88:V88" si="158">L189</f>
        <v>0.99999999999994449</v>
      </c>
      <c r="V88" s="48">
        <f t="shared" si="158"/>
        <v>0.99999999999998279</v>
      </c>
    </row>
    <row r="89" spans="1:22" x14ac:dyDescent="0.25">
      <c r="A89" t="str">
        <f t="shared" ref="A89:M89" si="159">A31</f>
        <v>EBIT</v>
      </c>
      <c r="B89" s="67">
        <f t="shared" si="159"/>
        <v>4196700</v>
      </c>
      <c r="C89" s="67">
        <f t="shared" si="159"/>
        <v>4034700</v>
      </c>
      <c r="D89" s="67">
        <f t="shared" si="159"/>
        <v>3845600</v>
      </c>
      <c r="E89" s="67">
        <f t="shared" si="159"/>
        <v>322286.03000000003</v>
      </c>
      <c r="F89" s="67">
        <f t="shared" si="159"/>
        <v>204586.81</v>
      </c>
      <c r="G89" s="67">
        <f t="shared" si="159"/>
        <v>194949.42</v>
      </c>
      <c r="H89" s="67">
        <f t="shared" si="159"/>
        <v>2748000</v>
      </c>
      <c r="I89" s="67">
        <f t="shared" si="159"/>
        <v>0</v>
      </c>
      <c r="J89" s="67">
        <f t="shared" si="159"/>
        <v>2801000</v>
      </c>
      <c r="K89" s="67">
        <f t="shared" si="159"/>
        <v>2405910</v>
      </c>
      <c r="L89" s="67">
        <f t="shared" si="159"/>
        <v>2159950</v>
      </c>
      <c r="M89" s="67">
        <f t="shared" si="159"/>
        <v>1904139</v>
      </c>
      <c r="N89" s="149">
        <f t="shared" si="151"/>
        <v>2418224.0075000003</v>
      </c>
      <c r="O89" s="149">
        <f t="shared" si="152"/>
        <v>1599809.2024999999</v>
      </c>
      <c r="P89" s="149">
        <f t="shared" si="153"/>
        <v>2186422.105</v>
      </c>
      <c r="S89" s="67" t="str">
        <f>$N$2</f>
        <v>Branża</v>
      </c>
      <c r="T89" s="48">
        <f>N189</f>
        <v>0.99999999989224109</v>
      </c>
      <c r="U89" s="48">
        <f t="shared" ref="U89:V89" si="160">O189</f>
        <v>0.9999999991041798</v>
      </c>
      <c r="V89" s="48">
        <f t="shared" si="160"/>
        <v>0.99999999903243109</v>
      </c>
    </row>
    <row r="90" spans="1:22" x14ac:dyDescent="0.25">
      <c r="A90" t="str">
        <f t="shared" ref="A90:M90" si="161">A9</f>
        <v>aktywa ogółem</v>
      </c>
      <c r="B90" s="67">
        <f t="shared" si="161"/>
        <v>32589600</v>
      </c>
      <c r="C90" s="67">
        <f t="shared" si="161"/>
        <v>30696800</v>
      </c>
      <c r="D90" s="67">
        <f t="shared" si="161"/>
        <v>27756000</v>
      </c>
      <c r="E90" s="67">
        <f t="shared" si="161"/>
        <v>2149271.39</v>
      </c>
      <c r="F90" s="67">
        <f t="shared" si="161"/>
        <v>1481959.03</v>
      </c>
      <c r="G90" s="67">
        <f t="shared" si="161"/>
        <v>1486228.52</v>
      </c>
      <c r="H90" s="67">
        <f t="shared" si="161"/>
        <v>24340000</v>
      </c>
      <c r="I90" s="67">
        <f t="shared" si="161"/>
        <v>23295000</v>
      </c>
      <c r="J90" s="67">
        <f t="shared" si="161"/>
        <v>22933000</v>
      </c>
      <c r="K90" s="67">
        <f t="shared" si="161"/>
        <v>8885641</v>
      </c>
      <c r="L90" s="67">
        <f t="shared" si="161"/>
        <v>8520538</v>
      </c>
      <c r="M90" s="67">
        <f t="shared" si="161"/>
        <v>8830969</v>
      </c>
      <c r="N90" s="149">
        <f t="shared" si="151"/>
        <v>16991128.0975</v>
      </c>
      <c r="O90" s="149">
        <f t="shared" si="152"/>
        <v>15998574.2575</v>
      </c>
      <c r="P90" s="149">
        <f t="shared" si="153"/>
        <v>15251549.379999999</v>
      </c>
      <c r="S90" s="30" t="str">
        <f>A205 &amp; " WSKAŹNIK W"</f>
        <v>MODEL "POZNAŃASKI" WSKAŹNIK W</v>
      </c>
      <c r="T90" s="33">
        <v>2019</v>
      </c>
      <c r="U90" s="33">
        <v>2018</v>
      </c>
      <c r="V90" s="33">
        <v>2017</v>
      </c>
    </row>
    <row r="91" spans="1:22" x14ac:dyDescent="0.25">
      <c r="A91" s="145" t="s">
        <v>919</v>
      </c>
      <c r="B91" s="148">
        <f>B92/B93</f>
        <v>0.35942652084171939</v>
      </c>
      <c r="C91" s="148">
        <f t="shared" ref="C91" si="162">C92/C93</f>
        <v>0.37756524831322935</v>
      </c>
      <c r="D91" s="148">
        <f t="shared" ref="D91" si="163">D92/D93</f>
        <v>0.39126630445841726</v>
      </c>
      <c r="E91" s="148">
        <f t="shared" ref="E91" si="164">E92/E93</f>
        <v>0.1190420671864358</v>
      </c>
      <c r="F91" s="148">
        <f t="shared" ref="F91" si="165">F92/F93</f>
        <v>9.278111532421672E-2</v>
      </c>
      <c r="G91" s="148">
        <f t="shared" ref="G91" si="166">G92/G93</f>
        <v>0.10968679765884298</v>
      </c>
      <c r="H91" s="148">
        <f t="shared" ref="H91" si="167">H92/H93</f>
        <v>0.24092582851130984</v>
      </c>
      <c r="I91" s="148">
        <f t="shared" ref="I91" si="168">I92/I93</f>
        <v>0</v>
      </c>
      <c r="J91" s="148">
        <f t="shared" ref="J91" si="169">J92/J93</f>
        <v>0.24611194095422195</v>
      </c>
      <c r="K91" s="148">
        <f t="shared" ref="K91" si="170">K92/K93</f>
        <v>0.34171202994906935</v>
      </c>
      <c r="L91" s="148">
        <f t="shared" ref="L91" si="171">L92/L93</f>
        <v>0.31582150291235106</v>
      </c>
      <c r="M91" s="148">
        <f t="shared" ref="M91" si="172">M92/M93</f>
        <v>0.28548414591672777</v>
      </c>
      <c r="N91" s="148">
        <f t="shared" ref="N91" si="173">N92/N93</f>
        <v>0.29463425017007472</v>
      </c>
      <c r="O91" s="148">
        <f t="shared" ref="O91" si="174">O92/O93</f>
        <v>0.20755653009937355</v>
      </c>
      <c r="P91" s="148">
        <f t="shared" ref="P91" si="175">P92/P93</f>
        <v>0.29489669299486482</v>
      </c>
      <c r="S91" s="67" t="str">
        <f>$B$2</f>
        <v>Cyfrowy Polsat S.A. (Polska)</v>
      </c>
      <c r="T91" s="48">
        <f>B207</f>
        <v>18.506699522360435</v>
      </c>
      <c r="U91" s="48">
        <f t="shared" ref="U91:V91" si="176">C207</f>
        <v>18.886760035911074</v>
      </c>
      <c r="V91" s="48">
        <f t="shared" si="176"/>
        <v>19.202665340038614</v>
      </c>
    </row>
    <row r="92" spans="1:22" x14ac:dyDescent="0.25">
      <c r="A92" t="str">
        <f t="shared" ref="A92:M92" si="177">A31</f>
        <v>EBIT</v>
      </c>
      <c r="B92" s="67">
        <f t="shared" si="177"/>
        <v>4196700</v>
      </c>
      <c r="C92" s="67">
        <f t="shared" si="177"/>
        <v>4034700</v>
      </c>
      <c r="D92" s="67">
        <f t="shared" si="177"/>
        <v>3845600</v>
      </c>
      <c r="E92" s="67">
        <f t="shared" si="177"/>
        <v>322286.03000000003</v>
      </c>
      <c r="F92" s="67">
        <f t="shared" si="177"/>
        <v>204586.81</v>
      </c>
      <c r="G92" s="67">
        <f t="shared" si="177"/>
        <v>194949.42</v>
      </c>
      <c r="H92" s="67">
        <f t="shared" si="177"/>
        <v>2748000</v>
      </c>
      <c r="I92" s="67">
        <f t="shared" si="177"/>
        <v>0</v>
      </c>
      <c r="J92" s="67">
        <f t="shared" si="177"/>
        <v>2801000</v>
      </c>
      <c r="K92" s="67">
        <f t="shared" si="177"/>
        <v>2405910</v>
      </c>
      <c r="L92" s="67">
        <f t="shared" si="177"/>
        <v>2159950</v>
      </c>
      <c r="M92" s="67">
        <f t="shared" si="177"/>
        <v>1904139</v>
      </c>
      <c r="N92" s="149">
        <f t="shared" si="151"/>
        <v>2418224.0075000003</v>
      </c>
      <c r="O92" s="149">
        <f t="shared" si="152"/>
        <v>1599809.2024999999</v>
      </c>
      <c r="P92" s="149">
        <f t="shared" si="153"/>
        <v>2186422.105</v>
      </c>
      <c r="S92" s="67" t="str">
        <f>$E$2</f>
        <v>Telewizja Polska S.A. (Polska)</v>
      </c>
      <c r="T92" s="48">
        <f>E207</f>
        <v>3.4210219669274577</v>
      </c>
      <c r="U92" s="48">
        <f t="shared" ref="U92:V92" si="178">F207</f>
        <v>3.0867241565506069</v>
      </c>
      <c r="V92" s="48">
        <f t="shared" si="178"/>
        <v>4.1234696739968193</v>
      </c>
    </row>
    <row r="93" spans="1:22" x14ac:dyDescent="0.25">
      <c r="A93" t="str">
        <f t="shared" ref="A93:M93" si="179">A4</f>
        <v>przychody netto ze sprzedaży</v>
      </c>
      <c r="B93" s="67">
        <f t="shared" si="179"/>
        <v>11676100</v>
      </c>
      <c r="C93" s="67">
        <f t="shared" si="179"/>
        <v>10686100</v>
      </c>
      <c r="D93" s="67">
        <f t="shared" si="179"/>
        <v>9828600</v>
      </c>
      <c r="E93" s="67">
        <f t="shared" si="179"/>
        <v>2707328.91</v>
      </c>
      <c r="F93" s="67">
        <f t="shared" si="179"/>
        <v>2205047.9700000002</v>
      </c>
      <c r="G93" s="67">
        <f t="shared" si="179"/>
        <v>1777328.03</v>
      </c>
      <c r="H93" s="67">
        <f t="shared" si="179"/>
        <v>11406000</v>
      </c>
      <c r="I93" s="67">
        <f t="shared" si="179"/>
        <v>11101000</v>
      </c>
      <c r="J93" s="67">
        <f t="shared" si="179"/>
        <v>11381000</v>
      </c>
      <c r="K93" s="67">
        <f t="shared" si="179"/>
        <v>7040753</v>
      </c>
      <c r="L93" s="67">
        <f t="shared" si="179"/>
        <v>6839148</v>
      </c>
      <c r="M93" s="67">
        <f t="shared" si="179"/>
        <v>6669859</v>
      </c>
      <c r="N93" s="149">
        <f t="shared" si="151"/>
        <v>8207545.4775</v>
      </c>
      <c r="O93" s="149">
        <f t="shared" si="152"/>
        <v>7707823.9924999997</v>
      </c>
      <c r="P93" s="149">
        <f t="shared" si="153"/>
        <v>7414196.7575000003</v>
      </c>
      <c r="S93" s="67" t="str">
        <f>$H$2</f>
        <v>Orange Polska S.A. (Polska)</v>
      </c>
      <c r="T93" s="48">
        <f>H207</f>
        <v>14.764187336621369</v>
      </c>
      <c r="U93" s="48">
        <f t="shared" ref="U93:V93" si="180">I207</f>
        <v>13.52056932675969</v>
      </c>
      <c r="V93" s="48">
        <f t="shared" si="180"/>
        <v>13.19050234136199</v>
      </c>
    </row>
    <row r="94" spans="1:22" x14ac:dyDescent="0.25">
      <c r="A94" s="145" t="s">
        <v>920</v>
      </c>
      <c r="B94" s="148">
        <f>B95/B96</f>
        <v>2.6275896917635169E-2</v>
      </c>
      <c r="C94" s="148">
        <f t="shared" ref="C94" si="181">C95/C96</f>
        <v>3.6870326873227839E-2</v>
      </c>
      <c r="D94" s="148">
        <f t="shared" ref="D94" si="182">D95/D96</f>
        <v>2.8864741672262582E-2</v>
      </c>
      <c r="E94" s="148">
        <f t="shared" ref="E94" si="183">E95/E96</f>
        <v>0.16521388973015472</v>
      </c>
      <c r="F94" s="148">
        <f t="shared" ref="F94" si="184">F95/F96</f>
        <v>0.16073237626662604</v>
      </c>
      <c r="G94" s="148">
        <f t="shared" ref="G94" si="185">G95/G96</f>
        <v>0.1849951356475259</v>
      </c>
      <c r="H94" s="148">
        <f t="shared" ref="H94" si="186">H95/H96</f>
        <v>1.9112747676661407E-2</v>
      </c>
      <c r="I94" s="148">
        <f t="shared" ref="I94" si="187">I95/I96</f>
        <v>2.1619673903251958E-2</v>
      </c>
      <c r="J94" s="148">
        <f t="shared" ref="J94" si="188">J95/J96</f>
        <v>1.9066865829013267E-2</v>
      </c>
      <c r="K94" s="148">
        <f t="shared" ref="K94" si="189">K95/K96</f>
        <v>2.4023992888260674E-2</v>
      </c>
      <c r="L94" s="148">
        <f t="shared" ref="L94" si="190">L95/L96</f>
        <v>2.4782911555649913E-2</v>
      </c>
      <c r="M94" s="148">
        <f t="shared" ref="M94" si="191">M95/M96</f>
        <v>2.3880414863342688E-2</v>
      </c>
      <c r="N94" s="148">
        <f t="shared" ref="N94" si="192">N95/N96</f>
        <v>3.4761773270966322E-2</v>
      </c>
      <c r="O94" s="148">
        <f t="shared" ref="O94" si="193">O95/O96</f>
        <v>3.7556533501760553E-2</v>
      </c>
      <c r="P94" s="148">
        <f t="shared" ref="P94" si="194">P95/P96</f>
        <v>3.3340632584365294E-2</v>
      </c>
      <c r="S94" s="67" t="str">
        <f>$K$2</f>
        <v>Play Communications S.A. (Polska)</v>
      </c>
      <c r="T94" s="48">
        <f>K207</f>
        <v>9.5188409749711802</v>
      </c>
      <c r="U94" s="48">
        <f t="shared" ref="U94:V94" si="195">L207</f>
        <v>8.5387605856483795</v>
      </c>
      <c r="V94" s="48">
        <f t="shared" si="195"/>
        <v>8.9883027164239664</v>
      </c>
    </row>
    <row r="95" spans="1:22" x14ac:dyDescent="0.25">
      <c r="A95" t="str">
        <f t="shared" ref="A95:M95" si="196">A32</f>
        <v>zapasy</v>
      </c>
      <c r="B95" s="67">
        <f t="shared" si="196"/>
        <v>306800</v>
      </c>
      <c r="C95" s="67">
        <f t="shared" si="196"/>
        <v>394000</v>
      </c>
      <c r="D95" s="67">
        <f t="shared" si="196"/>
        <v>283700</v>
      </c>
      <c r="E95" s="67">
        <f t="shared" si="196"/>
        <v>447288.34</v>
      </c>
      <c r="F95" s="67">
        <f t="shared" si="196"/>
        <v>354422.6</v>
      </c>
      <c r="G95" s="67">
        <f t="shared" si="196"/>
        <v>328797.03999999998</v>
      </c>
      <c r="H95" s="67">
        <f t="shared" si="196"/>
        <v>218000</v>
      </c>
      <c r="I95" s="67">
        <f t="shared" si="196"/>
        <v>240000</v>
      </c>
      <c r="J95" s="67">
        <f t="shared" si="196"/>
        <v>217000</v>
      </c>
      <c r="K95" s="67">
        <f t="shared" si="196"/>
        <v>169147</v>
      </c>
      <c r="L95" s="67">
        <f t="shared" si="196"/>
        <v>169494</v>
      </c>
      <c r="M95" s="67">
        <f t="shared" si="196"/>
        <v>159279</v>
      </c>
      <c r="N95" s="149">
        <f t="shared" si="151"/>
        <v>285308.83500000002</v>
      </c>
      <c r="O95" s="149">
        <f t="shared" si="152"/>
        <v>289479.15000000002</v>
      </c>
      <c r="P95" s="149">
        <f t="shared" si="153"/>
        <v>247194.01</v>
      </c>
      <c r="S95" s="67" t="str">
        <f>$N$2</f>
        <v>Branża</v>
      </c>
      <c r="T95" s="48">
        <f>N207</f>
        <v>14.04654073172556</v>
      </c>
      <c r="U95" s="48">
        <f t="shared" ref="U95:V95" si="197">O207</f>
        <v>13.607764530113837</v>
      </c>
      <c r="V95" s="48">
        <f t="shared" si="197"/>
        <v>13.667495233596727</v>
      </c>
    </row>
    <row r="96" spans="1:22" x14ac:dyDescent="0.25">
      <c r="A96" s="67" t="str">
        <f t="shared" ref="A96:M96" si="198">A4</f>
        <v>przychody netto ze sprzedaży</v>
      </c>
      <c r="B96" s="67">
        <f t="shared" si="198"/>
        <v>11676100</v>
      </c>
      <c r="C96" s="67">
        <f t="shared" si="198"/>
        <v>10686100</v>
      </c>
      <c r="D96" s="67">
        <f t="shared" si="198"/>
        <v>9828600</v>
      </c>
      <c r="E96" s="67">
        <f t="shared" si="198"/>
        <v>2707328.91</v>
      </c>
      <c r="F96" s="67">
        <f t="shared" si="198"/>
        <v>2205047.9700000002</v>
      </c>
      <c r="G96" s="67">
        <f t="shared" si="198"/>
        <v>1777328.03</v>
      </c>
      <c r="H96" s="67">
        <f t="shared" si="198"/>
        <v>11406000</v>
      </c>
      <c r="I96" s="67">
        <f t="shared" si="198"/>
        <v>11101000</v>
      </c>
      <c r="J96" s="67">
        <f t="shared" si="198"/>
        <v>11381000</v>
      </c>
      <c r="K96" s="67">
        <f t="shared" si="198"/>
        <v>7040753</v>
      </c>
      <c r="L96" s="67">
        <f t="shared" si="198"/>
        <v>6839148</v>
      </c>
      <c r="M96" s="67">
        <f t="shared" si="198"/>
        <v>6669859</v>
      </c>
      <c r="N96" s="149">
        <f t="shared" si="151"/>
        <v>8207545.4775</v>
      </c>
      <c r="O96" s="149">
        <f t="shared" si="152"/>
        <v>7707823.9924999997</v>
      </c>
      <c r="P96" s="149">
        <f t="shared" si="153"/>
        <v>7414196.7575000003</v>
      </c>
      <c r="S96" s="30" t="str">
        <f>A205 &amp; " P(X)"</f>
        <v>MODEL "POZNAŃASKI" P(X)</v>
      </c>
      <c r="T96" s="33">
        <v>2019</v>
      </c>
      <c r="U96" s="33">
        <v>2018</v>
      </c>
      <c r="V96" s="33">
        <v>2017</v>
      </c>
    </row>
    <row r="97" spans="1:22" x14ac:dyDescent="0.25">
      <c r="A97" s="145" t="s">
        <v>922</v>
      </c>
      <c r="B97" s="148">
        <f>B98/B99</f>
        <v>2.7911374517176113</v>
      </c>
      <c r="C97" s="148">
        <f t="shared" ref="C97" si="199">C98/C99</f>
        <v>2.8725914973657369</v>
      </c>
      <c r="D97" s="148">
        <f t="shared" ref="D97" si="200">D98/D99</f>
        <v>2.8240034185947134</v>
      </c>
      <c r="E97" s="148">
        <f t="shared" ref="E97" si="201">E98/E99</f>
        <v>0.7938715469927885</v>
      </c>
      <c r="F97" s="148">
        <f t="shared" ref="F97" si="202">F98/F99</f>
        <v>0.67207564196437863</v>
      </c>
      <c r="G97" s="148">
        <f t="shared" ref="G97" si="203">G98/G99</f>
        <v>0.83621509080684442</v>
      </c>
      <c r="H97" s="148">
        <f t="shared" ref="H97" si="204">H98/H99</f>
        <v>2.13396458004559</v>
      </c>
      <c r="I97" s="148">
        <f t="shared" ref="I97" si="205">I98/I99</f>
        <v>2.0984595982343932</v>
      </c>
      <c r="J97" s="148">
        <f t="shared" ref="J97" si="206">J98/J99</f>
        <v>2.015025041736227</v>
      </c>
      <c r="K97" s="148">
        <f t="shared" ref="K97" si="207">K98/K99</f>
        <v>1.2620299277648286</v>
      </c>
      <c r="L97" s="148">
        <f t="shared" ref="L97" si="208">L98/L99</f>
        <v>1.2458478746183004</v>
      </c>
      <c r="M97" s="148">
        <f t="shared" ref="M97" si="209">M98/M99</f>
        <v>1.3240113471664094</v>
      </c>
      <c r="N97" s="148">
        <f>N98/N99</f>
        <v>2.0701838502240575</v>
      </c>
      <c r="O97" s="148">
        <f t="shared" ref="O97" si="210">O98/O99</f>
        <v>2.0756278650196487</v>
      </c>
      <c r="P97" s="148">
        <f t="shared" ref="P97" si="211">P98/P99</f>
        <v>2.0570737301477662</v>
      </c>
      <c r="S97" s="67" t="str">
        <f>$B$2</f>
        <v>Cyfrowy Polsat S.A. (Polska)</v>
      </c>
      <c r="T97" s="48">
        <f>B206</f>
        <v>0.99999999082423008</v>
      </c>
      <c r="U97" s="48">
        <f t="shared" ref="U97:V97" si="212">C206</f>
        <v>0.9999999937254247</v>
      </c>
      <c r="V97" s="48">
        <f t="shared" si="212"/>
        <v>0.99999999542502838</v>
      </c>
    </row>
    <row r="98" spans="1:22" x14ac:dyDescent="0.25">
      <c r="A98" t="str">
        <f t="shared" ref="A98:M98" si="213">A9</f>
        <v>aktywa ogółem</v>
      </c>
      <c r="B98" s="67">
        <f t="shared" si="213"/>
        <v>32589600</v>
      </c>
      <c r="C98" s="67">
        <f t="shared" si="213"/>
        <v>30696800</v>
      </c>
      <c r="D98" s="67">
        <f t="shared" si="213"/>
        <v>27756000</v>
      </c>
      <c r="E98" s="67">
        <f t="shared" si="213"/>
        <v>2149271.39</v>
      </c>
      <c r="F98" s="67">
        <f t="shared" si="213"/>
        <v>1481959.03</v>
      </c>
      <c r="G98" s="67">
        <f t="shared" si="213"/>
        <v>1486228.52</v>
      </c>
      <c r="H98" s="67">
        <f t="shared" si="213"/>
        <v>24340000</v>
      </c>
      <c r="I98" s="67">
        <f t="shared" si="213"/>
        <v>23295000</v>
      </c>
      <c r="J98" s="67">
        <f t="shared" si="213"/>
        <v>22933000</v>
      </c>
      <c r="K98" s="67">
        <f t="shared" si="213"/>
        <v>8885641</v>
      </c>
      <c r="L98" s="67">
        <f t="shared" si="213"/>
        <v>8520538</v>
      </c>
      <c r="M98" s="67">
        <f t="shared" si="213"/>
        <v>8830969</v>
      </c>
      <c r="N98" s="149">
        <f t="shared" si="151"/>
        <v>16991128.0975</v>
      </c>
      <c r="O98" s="149">
        <f t="shared" si="152"/>
        <v>15998574.2575</v>
      </c>
      <c r="P98" s="149">
        <f t="shared" si="153"/>
        <v>15251549.379999999</v>
      </c>
      <c r="S98" s="67" t="str">
        <f>$E$2</f>
        <v>Telewizja Polska S.A. (Polska)</v>
      </c>
      <c r="T98" s="48">
        <f>E206</f>
        <v>0.96835510325563323</v>
      </c>
      <c r="U98" s="48">
        <f t="shared" ref="U98:V98" si="214">F206</f>
        <v>0.95634179576721301</v>
      </c>
      <c r="V98" s="48">
        <f t="shared" si="214"/>
        <v>0.98406963576148632</v>
      </c>
    </row>
    <row r="99" spans="1:22" x14ac:dyDescent="0.25">
      <c r="A99" t="str">
        <f t="shared" ref="A99:M99" si="215">A4</f>
        <v>przychody netto ze sprzedaży</v>
      </c>
      <c r="B99" s="67">
        <f t="shared" si="215"/>
        <v>11676100</v>
      </c>
      <c r="C99" s="67">
        <f t="shared" si="215"/>
        <v>10686100</v>
      </c>
      <c r="D99" s="67">
        <f t="shared" si="215"/>
        <v>9828600</v>
      </c>
      <c r="E99" s="67">
        <f t="shared" si="215"/>
        <v>2707328.91</v>
      </c>
      <c r="F99" s="67">
        <f t="shared" si="215"/>
        <v>2205047.9700000002</v>
      </c>
      <c r="G99" s="67">
        <f t="shared" si="215"/>
        <v>1777328.03</v>
      </c>
      <c r="H99" s="67">
        <f t="shared" si="215"/>
        <v>11406000</v>
      </c>
      <c r="I99" s="67">
        <f t="shared" si="215"/>
        <v>11101000</v>
      </c>
      <c r="J99" s="67">
        <f t="shared" si="215"/>
        <v>11381000</v>
      </c>
      <c r="K99" s="67">
        <f t="shared" si="215"/>
        <v>7040753</v>
      </c>
      <c r="L99" s="67">
        <f t="shared" si="215"/>
        <v>6839148</v>
      </c>
      <c r="M99" s="67">
        <f t="shared" si="215"/>
        <v>6669859</v>
      </c>
      <c r="N99" s="149">
        <f t="shared" si="151"/>
        <v>8207545.4775</v>
      </c>
      <c r="O99" s="149">
        <f t="shared" si="152"/>
        <v>7707823.9924999997</v>
      </c>
      <c r="P99" s="149">
        <f t="shared" si="153"/>
        <v>7414196.7575000003</v>
      </c>
      <c r="S99" s="67" t="str">
        <f>$H$2</f>
        <v>Orange Polska S.A. (Polska)</v>
      </c>
      <c r="T99" s="48">
        <f>H206</f>
        <v>0.99999961274704385</v>
      </c>
      <c r="U99" s="48">
        <f t="shared" ref="U99:V99" si="216">I206</f>
        <v>0.99999865695437673</v>
      </c>
      <c r="V99" s="48">
        <f t="shared" si="216"/>
        <v>0.99999813174218222</v>
      </c>
    </row>
    <row r="100" spans="1:22" x14ac:dyDescent="0.25">
      <c r="S100" s="67" t="str">
        <f>$K$2</f>
        <v>Play Communications S.A. (Polska)</v>
      </c>
      <c r="T100" s="48">
        <f>K206</f>
        <v>0.99992655064427705</v>
      </c>
      <c r="U100" s="48">
        <f t="shared" ref="U100:V100" si="217">L206</f>
        <v>0.9998043056</v>
      </c>
      <c r="V100" s="48">
        <f t="shared" si="217"/>
        <v>0.99987515374909308</v>
      </c>
    </row>
    <row r="101" spans="1:22" x14ac:dyDescent="0.25">
      <c r="A101" s="146" t="s">
        <v>923</v>
      </c>
      <c r="S101" s="67" t="str">
        <f>$N$2</f>
        <v>Branża</v>
      </c>
      <c r="T101" s="48">
        <f>N206</f>
        <v>0.99999920628511374</v>
      </c>
      <c r="U101" s="48">
        <f t="shared" ref="U101" si="218">O206</f>
        <v>0.99999876910099972</v>
      </c>
      <c r="V101" s="48">
        <f>P206</f>
        <v>0.99999884047067922</v>
      </c>
    </row>
    <row r="102" spans="1:22" x14ac:dyDescent="0.25">
      <c r="A102" s="151" t="s">
        <v>929</v>
      </c>
      <c r="B102" s="152">
        <f>1.2*B103+1.4*B107+3.3*B111+0.6*B114+B117</f>
        <v>1.3425218373395684</v>
      </c>
      <c r="C102" s="152">
        <f t="shared" ref="C102:P102" si="219">1.2*C103+1.4*C107+3.3*C111+0.6*C114+C117</f>
        <v>1.3433676892734407</v>
      </c>
      <c r="D102" s="152">
        <f t="shared" si="219"/>
        <v>1.4750597699001771</v>
      </c>
      <c r="E102" s="152">
        <f t="shared" si="219"/>
        <v>1.9332409682334253</v>
      </c>
      <c r="F102" s="152">
        <f t="shared" si="219"/>
        <v>1.9729057725705144</v>
      </c>
      <c r="G102" s="152">
        <f t="shared" si="219"/>
        <v>1.8157636565876154</v>
      </c>
      <c r="H102" s="152">
        <f t="shared" si="219"/>
        <v>1.1667461493809563</v>
      </c>
      <c r="I102" s="152">
        <f t="shared" si="219"/>
        <v>0.67815114639957397</v>
      </c>
      <c r="J102" s="152">
        <f t="shared" si="219"/>
        <v>1.0664145862313141</v>
      </c>
      <c r="K102" s="152">
        <f t="shared" si="219"/>
        <v>1.9408746538375792</v>
      </c>
      <c r="L102" s="152">
        <f t="shared" si="219"/>
        <v>1.8355231324594761</v>
      </c>
      <c r="M102" s="152">
        <f t="shared" si="219"/>
        <v>1.6941955633634316</v>
      </c>
      <c r="N102" s="152">
        <f t="shared" si="219"/>
        <v>1.3402843844239811</v>
      </c>
      <c r="O102" s="152">
        <f t="shared" si="219"/>
        <v>1.1431664379298012</v>
      </c>
      <c r="P102" s="152">
        <f t="shared" si="219"/>
        <v>1.318990218257218</v>
      </c>
    </row>
    <row r="103" spans="1:22" x14ac:dyDescent="0.25">
      <c r="A103" s="145" t="s">
        <v>924</v>
      </c>
      <c r="B103" s="127">
        <f>(B104-B105)/B106</f>
        <v>-2.7103738616000198E-2</v>
      </c>
      <c r="C103" s="127">
        <f>(C104-C105)/C106</f>
        <v>1.3164238617706081E-2</v>
      </c>
      <c r="D103" s="127">
        <f t="shared" ref="D103:P103" si="220">(D104-D105)/D106</f>
        <v>5.7645193831964265E-4</v>
      </c>
      <c r="E103" s="127">
        <f t="shared" si="220"/>
        <v>0.10061033288122818</v>
      </c>
      <c r="F103" s="127">
        <f t="shared" si="220"/>
        <v>2.1756883521941859E-2</v>
      </c>
      <c r="G103" s="127">
        <f t="shared" si="220"/>
        <v>0.15542097119761902</v>
      </c>
      <c r="H103" s="127">
        <f t="shared" si="220"/>
        <v>-2.4609695973705836E-2</v>
      </c>
      <c r="I103" s="127">
        <f t="shared" si="220"/>
        <v>-8.486799742433998E-2</v>
      </c>
      <c r="J103" s="127">
        <f t="shared" si="220"/>
        <v>-0.12078663934068809</v>
      </c>
      <c r="K103" s="127">
        <f t="shared" si="220"/>
        <v>9.8656135218607194E-2</v>
      </c>
      <c r="L103" s="127">
        <f t="shared" si="220"/>
        <v>6.1636952971748968E-2</v>
      </c>
      <c r="M103" s="127">
        <f t="shared" si="220"/>
        <v>0.13829988532402276</v>
      </c>
      <c r="N103" s="127">
        <f t="shared" si="220"/>
        <v>-5.7300210993244775E-3</v>
      </c>
      <c r="O103" s="127">
        <f t="shared" si="220"/>
        <v>-1.5868245095714578E-2</v>
      </c>
      <c r="P103" s="127">
        <f t="shared" si="220"/>
        <v>-2.1336962028706389E-2</v>
      </c>
    </row>
    <row r="104" spans="1:22" x14ac:dyDescent="0.25">
      <c r="A104" s="67" t="str">
        <f t="shared" ref="A104:M104" si="221">A23</f>
        <v>aktywa obrotowe</v>
      </c>
      <c r="B104" s="67">
        <f t="shared" si="221"/>
        <v>4984900</v>
      </c>
      <c r="C104" s="67">
        <f t="shared" si="221"/>
        <v>5422700</v>
      </c>
      <c r="D104" s="67">
        <f t="shared" si="221"/>
        <v>3931500</v>
      </c>
      <c r="E104" s="67">
        <f t="shared" si="221"/>
        <v>1134462.04</v>
      </c>
      <c r="F104" s="67">
        <f t="shared" si="221"/>
        <v>604938.98</v>
      </c>
      <c r="G104" s="67">
        <f t="shared" si="221"/>
        <v>733902.97</v>
      </c>
      <c r="H104" s="67">
        <f t="shared" si="221"/>
        <v>3493000</v>
      </c>
      <c r="I104" s="67">
        <f t="shared" si="221"/>
        <v>3969000</v>
      </c>
      <c r="J104" s="67">
        <f t="shared" si="221"/>
        <v>3273000</v>
      </c>
      <c r="K104" s="67">
        <f t="shared" si="221"/>
        <v>2686432</v>
      </c>
      <c r="L104" s="67">
        <f t="shared" si="221"/>
        <v>2802536</v>
      </c>
      <c r="M104" s="67">
        <f t="shared" si="221"/>
        <v>3326442</v>
      </c>
      <c r="N104" s="149">
        <f t="shared" ref="N104:N106" si="222">AVERAGE(B104,E104,H104,K104)</f>
        <v>3074698.51</v>
      </c>
      <c r="O104" s="149">
        <f t="shared" ref="O104:O106" si="223">AVERAGE(C104,F104,I104,L104)</f>
        <v>3199793.7450000001</v>
      </c>
      <c r="P104" s="149">
        <f t="shared" ref="P104:P106" si="224">AVERAGE(D104,G104,J104,M104)</f>
        <v>2816211.2424999997</v>
      </c>
    </row>
    <row r="105" spans="1:22" s="67" customFormat="1" x14ac:dyDescent="0.25">
      <c r="A105" s="67" t="str">
        <f t="shared" ref="A105:M105" si="225">A20</f>
        <v>zobowiązania krótkoterminowe</v>
      </c>
      <c r="B105" s="67">
        <f t="shared" si="225"/>
        <v>5868200</v>
      </c>
      <c r="C105" s="67">
        <f t="shared" si="225"/>
        <v>5018600</v>
      </c>
      <c r="D105" s="67">
        <f t="shared" si="225"/>
        <v>3915500</v>
      </c>
      <c r="E105" s="67">
        <f t="shared" si="225"/>
        <v>918223.13</v>
      </c>
      <c r="F105" s="67">
        <f t="shared" si="225"/>
        <v>572696.17000000004</v>
      </c>
      <c r="G105" s="67">
        <f t="shared" si="225"/>
        <v>502911.89</v>
      </c>
      <c r="H105" s="67">
        <f t="shared" si="225"/>
        <v>4092000</v>
      </c>
      <c r="I105" s="67">
        <f t="shared" si="225"/>
        <v>5946000</v>
      </c>
      <c r="J105" s="67">
        <f t="shared" si="225"/>
        <v>6043000</v>
      </c>
      <c r="K105" s="67">
        <f t="shared" si="225"/>
        <v>1809809</v>
      </c>
      <c r="L105" s="67">
        <f t="shared" si="225"/>
        <v>2277356</v>
      </c>
      <c r="M105" s="67">
        <f t="shared" si="225"/>
        <v>2105120</v>
      </c>
      <c r="N105" s="149">
        <f t="shared" si="222"/>
        <v>3172058.0324999997</v>
      </c>
      <c r="O105" s="149">
        <f t="shared" si="223"/>
        <v>3453663.0425</v>
      </c>
      <c r="P105" s="149">
        <f t="shared" si="224"/>
        <v>3141632.9725000001</v>
      </c>
    </row>
    <row r="106" spans="1:22" x14ac:dyDescent="0.25">
      <c r="A106" s="67" t="str">
        <f>A60</f>
        <v>aktywa ogółem</v>
      </c>
      <c r="B106" s="67">
        <f t="shared" ref="B106:M106" si="226">B60</f>
        <v>32589600</v>
      </c>
      <c r="C106" s="67">
        <f t="shared" si="226"/>
        <v>30696800</v>
      </c>
      <c r="D106" s="67">
        <f t="shared" si="226"/>
        <v>27756000</v>
      </c>
      <c r="E106" s="67">
        <f t="shared" si="226"/>
        <v>2149271.39</v>
      </c>
      <c r="F106" s="67">
        <f t="shared" si="226"/>
        <v>1481959.03</v>
      </c>
      <c r="G106" s="67">
        <f t="shared" si="226"/>
        <v>1486228.52</v>
      </c>
      <c r="H106" s="67">
        <f t="shared" si="226"/>
        <v>24340000</v>
      </c>
      <c r="I106" s="67">
        <f t="shared" si="226"/>
        <v>23295000</v>
      </c>
      <c r="J106" s="67">
        <f t="shared" si="226"/>
        <v>22933000</v>
      </c>
      <c r="K106" s="67">
        <f t="shared" si="226"/>
        <v>8885641</v>
      </c>
      <c r="L106" s="67">
        <f t="shared" si="226"/>
        <v>8520538</v>
      </c>
      <c r="M106" s="67">
        <f t="shared" si="226"/>
        <v>8830969</v>
      </c>
      <c r="N106" s="149">
        <f t="shared" si="222"/>
        <v>16991128.0975</v>
      </c>
      <c r="O106" s="149">
        <f t="shared" si="223"/>
        <v>15998574.2575</v>
      </c>
      <c r="P106" s="149">
        <f t="shared" si="224"/>
        <v>15251549.379999999</v>
      </c>
    </row>
    <row r="107" spans="1:22" x14ac:dyDescent="0.25">
      <c r="A107" s="145" t="s">
        <v>926</v>
      </c>
      <c r="B107" s="127">
        <f>(B108-B109)/B110</f>
        <v>1.4576858875223997E-2</v>
      </c>
      <c r="C107" s="127">
        <f>(C108-C109)/C110</f>
        <v>7.2099371921503222E-3</v>
      </c>
      <c r="D107" s="127">
        <f>(D108-D109)/D110</f>
        <v>3.4053898256232888E-2</v>
      </c>
      <c r="E107" s="127">
        <f>(E108-E109)/E110</f>
        <v>4.1442616513868907E-2</v>
      </c>
      <c r="F107" s="127">
        <f t="shared" ref="F107:P107" si="227">(F108-F109)/F110</f>
        <v>2.3567790534668154E-3</v>
      </c>
      <c r="G107" s="127">
        <f t="shared" si="227"/>
        <v>3.7934946908433698E-4</v>
      </c>
      <c r="H107" s="127">
        <f t="shared" si="227"/>
        <v>3.7387017255546425E-3</v>
      </c>
      <c r="I107" s="127">
        <f t="shared" si="227"/>
        <v>4.2927666881305E-4</v>
      </c>
      <c r="J107" s="127">
        <f t="shared" si="227"/>
        <v>-2.616317097632233E-3</v>
      </c>
      <c r="K107" s="127">
        <f t="shared" si="227"/>
        <v>9.7566061919449595E-2</v>
      </c>
      <c r="L107" s="127">
        <f t="shared" si="227"/>
        <v>8.7389317435119712E-2</v>
      </c>
      <c r="M107" s="127">
        <f t="shared" si="227"/>
        <v>4.3862230747271337E-2</v>
      </c>
      <c r="N107" s="127">
        <f t="shared" si="227"/>
        <v>2.239495843457194E-2</v>
      </c>
      <c r="O107" s="127">
        <f t="shared" si="227"/>
        <v>1.530478019847388E-2</v>
      </c>
      <c r="P107" s="127">
        <f t="shared" si="227"/>
        <v>2.0868532243509021E-2</v>
      </c>
    </row>
    <row r="108" spans="1:22" x14ac:dyDescent="0.25">
      <c r="A108" t="str">
        <f t="shared" ref="A108:M108" si="228">A8</f>
        <v>zysk netto</v>
      </c>
      <c r="B108" s="67">
        <f t="shared" si="228"/>
        <v>1114600</v>
      </c>
      <c r="C108" s="67">
        <f t="shared" si="228"/>
        <v>816100</v>
      </c>
      <c r="D108" s="67">
        <f t="shared" si="228"/>
        <v>945200</v>
      </c>
      <c r="E108" s="67">
        <f t="shared" si="228"/>
        <v>89071.43</v>
      </c>
      <c r="F108" s="67">
        <f t="shared" si="228"/>
        <v>3492.65</v>
      </c>
      <c r="G108" s="67">
        <f t="shared" si="228"/>
        <v>563.79999999999995</v>
      </c>
      <c r="H108" s="67">
        <f t="shared" si="228"/>
        <v>91000</v>
      </c>
      <c r="I108" s="67">
        <f t="shared" si="228"/>
        <v>10000</v>
      </c>
      <c r="J108" s="67">
        <f t="shared" si="228"/>
        <v>-60000</v>
      </c>
      <c r="K108" s="67">
        <f t="shared" si="228"/>
        <v>866937</v>
      </c>
      <c r="L108" s="67">
        <f t="shared" si="228"/>
        <v>744604</v>
      </c>
      <c r="M108" s="67">
        <f t="shared" si="228"/>
        <v>387346</v>
      </c>
      <c r="N108" s="149">
        <f t="shared" ref="N108:N110" si="229">AVERAGE(B108,E108,H108,K108)</f>
        <v>540402.10749999993</v>
      </c>
      <c r="O108" s="149">
        <f t="shared" ref="O108:O110" si="230">AVERAGE(C108,F108,I108,L108)</f>
        <v>393549.16249999998</v>
      </c>
      <c r="P108" s="149">
        <f t="shared" ref="P108:P110" si="231">AVERAGE(D108,G108,J108,M108)</f>
        <v>318277.45</v>
      </c>
    </row>
    <row r="109" spans="1:22" x14ac:dyDescent="0.25">
      <c r="A109" t="str">
        <f t="shared" ref="A109:M109" si="232">A33</f>
        <v>dywidenda</v>
      </c>
      <c r="B109" s="67">
        <f t="shared" si="232"/>
        <v>639546</v>
      </c>
      <c r="C109" s="67">
        <f t="shared" si="232"/>
        <v>594778</v>
      </c>
      <c r="D109" s="67">
        <f t="shared" si="232"/>
        <v>0</v>
      </c>
      <c r="E109" s="67">
        <f t="shared" si="232"/>
        <v>0</v>
      </c>
      <c r="F109" s="67">
        <f t="shared" si="232"/>
        <v>0</v>
      </c>
      <c r="G109" s="67">
        <f t="shared" si="232"/>
        <v>0</v>
      </c>
      <c r="H109" s="67">
        <f t="shared" si="232"/>
        <v>0</v>
      </c>
      <c r="I109" s="67">
        <f t="shared" si="232"/>
        <v>0</v>
      </c>
      <c r="J109" s="67">
        <f t="shared" si="232"/>
        <v>0</v>
      </c>
      <c r="K109" s="67">
        <f t="shared" si="232"/>
        <v>0</v>
      </c>
      <c r="L109" s="67">
        <f t="shared" si="232"/>
        <v>0</v>
      </c>
      <c r="M109" s="67">
        <f t="shared" si="232"/>
        <v>0</v>
      </c>
      <c r="N109" s="149">
        <f t="shared" si="229"/>
        <v>159886.5</v>
      </c>
      <c r="O109" s="149">
        <f t="shared" si="230"/>
        <v>148694.5</v>
      </c>
      <c r="P109" s="149">
        <f t="shared" si="231"/>
        <v>0</v>
      </c>
    </row>
    <row r="110" spans="1:22" x14ac:dyDescent="0.25">
      <c r="A110" t="str">
        <f t="shared" ref="A110:M110" si="233">A9</f>
        <v>aktywa ogółem</v>
      </c>
      <c r="B110" s="67">
        <f t="shared" si="233"/>
        <v>32589600</v>
      </c>
      <c r="C110" s="67">
        <f t="shared" si="233"/>
        <v>30696800</v>
      </c>
      <c r="D110" s="67">
        <f t="shared" si="233"/>
        <v>27756000</v>
      </c>
      <c r="E110" s="67">
        <f t="shared" si="233"/>
        <v>2149271.39</v>
      </c>
      <c r="F110" s="67">
        <f t="shared" si="233"/>
        <v>1481959.03</v>
      </c>
      <c r="G110" s="67">
        <f t="shared" si="233"/>
        <v>1486228.52</v>
      </c>
      <c r="H110" s="67">
        <f t="shared" si="233"/>
        <v>24340000</v>
      </c>
      <c r="I110" s="67">
        <f t="shared" si="233"/>
        <v>23295000</v>
      </c>
      <c r="J110" s="67">
        <f t="shared" si="233"/>
        <v>22933000</v>
      </c>
      <c r="K110" s="67">
        <f t="shared" si="233"/>
        <v>8885641</v>
      </c>
      <c r="L110" s="67">
        <f t="shared" si="233"/>
        <v>8520538</v>
      </c>
      <c r="M110" s="67">
        <f t="shared" si="233"/>
        <v>8830969</v>
      </c>
      <c r="N110" s="149">
        <f t="shared" si="229"/>
        <v>16991128.0975</v>
      </c>
      <c r="O110" s="149">
        <f t="shared" si="230"/>
        <v>15998574.2575</v>
      </c>
      <c r="P110" s="149">
        <f t="shared" si="231"/>
        <v>15251549.379999999</v>
      </c>
    </row>
    <row r="111" spans="1:22" x14ac:dyDescent="0.25">
      <c r="A111" s="145" t="s">
        <v>917</v>
      </c>
      <c r="B111" s="148">
        <f>B112/B113</f>
        <v>0.12877421017747992</v>
      </c>
      <c r="C111" s="148">
        <f t="shared" ref="C111:P111" si="234">C112/C113</f>
        <v>0.13143715305829923</v>
      </c>
      <c r="D111" s="148">
        <f t="shared" si="234"/>
        <v>0.1385502233751261</v>
      </c>
      <c r="E111" s="148">
        <f t="shared" si="234"/>
        <v>0.14995129582030123</v>
      </c>
      <c r="F111" s="148">
        <f t="shared" si="234"/>
        <v>0.13805159647362181</v>
      </c>
      <c r="G111" s="148">
        <f t="shared" si="234"/>
        <v>0.1311705551175939</v>
      </c>
      <c r="H111" s="148">
        <f t="shared" si="234"/>
        <v>0.11290057518488085</v>
      </c>
      <c r="I111" s="148">
        <f t="shared" si="234"/>
        <v>0</v>
      </c>
      <c r="J111" s="148">
        <f t="shared" si="234"/>
        <v>0.12213840317446474</v>
      </c>
      <c r="K111" s="148">
        <f t="shared" si="234"/>
        <v>0.27076380871115546</v>
      </c>
      <c r="L111" s="148">
        <f t="shared" si="234"/>
        <v>0.25349925086890052</v>
      </c>
      <c r="M111" s="148">
        <f t="shared" si="234"/>
        <v>0.21562061875656002</v>
      </c>
      <c r="N111" s="148">
        <f t="shared" si="234"/>
        <v>0.14232274594267857</v>
      </c>
      <c r="O111" s="148">
        <f t="shared" si="234"/>
        <v>9.9996985778280992E-2</v>
      </c>
      <c r="P111" s="148">
        <f t="shared" si="234"/>
        <v>0.14335737639004387</v>
      </c>
    </row>
    <row r="112" spans="1:22" x14ac:dyDescent="0.25">
      <c r="A112" t="str">
        <f t="shared" ref="A112:M112" si="235">A31</f>
        <v>EBIT</v>
      </c>
      <c r="B112" s="67">
        <f t="shared" si="235"/>
        <v>4196700</v>
      </c>
      <c r="C112" s="67">
        <f t="shared" si="235"/>
        <v>4034700</v>
      </c>
      <c r="D112" s="67">
        <f t="shared" si="235"/>
        <v>3845600</v>
      </c>
      <c r="E112" s="67">
        <f t="shared" si="235"/>
        <v>322286.03000000003</v>
      </c>
      <c r="F112" s="67">
        <f t="shared" si="235"/>
        <v>204586.81</v>
      </c>
      <c r="G112" s="67">
        <f t="shared" si="235"/>
        <v>194949.42</v>
      </c>
      <c r="H112" s="67">
        <f t="shared" si="235"/>
        <v>2748000</v>
      </c>
      <c r="I112" s="67">
        <f t="shared" si="235"/>
        <v>0</v>
      </c>
      <c r="J112" s="67">
        <f t="shared" si="235"/>
        <v>2801000</v>
      </c>
      <c r="K112" s="67">
        <f t="shared" si="235"/>
        <v>2405910</v>
      </c>
      <c r="L112" s="67">
        <f t="shared" si="235"/>
        <v>2159950</v>
      </c>
      <c r="M112" s="67">
        <f t="shared" si="235"/>
        <v>1904139</v>
      </c>
      <c r="N112" s="149">
        <f t="shared" ref="N112:N113" si="236">AVERAGE(B112,E112,H112,K112)</f>
        <v>2418224.0075000003</v>
      </c>
      <c r="O112" s="149">
        <f t="shared" ref="O112:O113" si="237">AVERAGE(C112,F112,I112,L112)</f>
        <v>1599809.2024999999</v>
      </c>
      <c r="P112" s="149">
        <f t="shared" ref="P112:P113" si="238">AVERAGE(D112,G112,J112,M112)</f>
        <v>2186422.105</v>
      </c>
    </row>
    <row r="113" spans="1:16" x14ac:dyDescent="0.25">
      <c r="A113" t="str">
        <f>A110</f>
        <v>aktywa ogółem</v>
      </c>
      <c r="B113" s="67">
        <f t="shared" ref="B113:M113" si="239">B110</f>
        <v>32589600</v>
      </c>
      <c r="C113" s="67">
        <f t="shared" si="239"/>
        <v>30696800</v>
      </c>
      <c r="D113" s="67">
        <f t="shared" si="239"/>
        <v>27756000</v>
      </c>
      <c r="E113" s="67">
        <f t="shared" si="239"/>
        <v>2149271.39</v>
      </c>
      <c r="F113" s="67">
        <f t="shared" si="239"/>
        <v>1481959.03</v>
      </c>
      <c r="G113" s="67">
        <f t="shared" si="239"/>
        <v>1486228.52</v>
      </c>
      <c r="H113" s="67">
        <f t="shared" si="239"/>
        <v>24340000</v>
      </c>
      <c r="I113" s="67">
        <f t="shared" si="239"/>
        <v>23295000</v>
      </c>
      <c r="J113" s="67">
        <f t="shared" si="239"/>
        <v>22933000</v>
      </c>
      <c r="K113" s="67">
        <f t="shared" si="239"/>
        <v>8885641</v>
      </c>
      <c r="L113" s="67">
        <f t="shared" si="239"/>
        <v>8520538</v>
      </c>
      <c r="M113" s="67">
        <f t="shared" si="239"/>
        <v>8830969</v>
      </c>
      <c r="N113" s="149">
        <f t="shared" si="236"/>
        <v>16991128.0975</v>
      </c>
      <c r="O113" s="149">
        <f t="shared" si="237"/>
        <v>15998574.2575</v>
      </c>
      <c r="P113" s="149">
        <f t="shared" si="238"/>
        <v>15251549.379999999</v>
      </c>
    </row>
    <row r="114" spans="1:16" x14ac:dyDescent="0.25">
      <c r="A114" s="145" t="s">
        <v>928</v>
      </c>
      <c r="B114" s="148">
        <f>B115/B116</f>
        <v>0.95234492343987076</v>
      </c>
      <c r="C114" s="148">
        <f t="shared" ref="C114:P114" si="240">C115/C116</f>
        <v>0.8926939444333476</v>
      </c>
      <c r="D114" s="148">
        <f t="shared" si="240"/>
        <v>1.0256160213617065</v>
      </c>
      <c r="E114" s="148">
        <f t="shared" si="240"/>
        <v>0</v>
      </c>
      <c r="F114" s="148">
        <f t="shared" si="240"/>
        <v>0</v>
      </c>
      <c r="G114" s="148">
        <f t="shared" si="240"/>
        <v>0</v>
      </c>
      <c r="H114" s="148">
        <f t="shared" si="240"/>
        <v>0.58310060777406714</v>
      </c>
      <c r="I114" s="148">
        <f t="shared" si="240"/>
        <v>0.50475287653846157</v>
      </c>
      <c r="J114" s="148">
        <f t="shared" si="240"/>
        <v>0.52615486460869565</v>
      </c>
      <c r="K114" s="148">
        <f t="shared" si="240"/>
        <v>0</v>
      </c>
      <c r="L114" s="148">
        <f t="shared" si="240"/>
        <v>0</v>
      </c>
      <c r="M114" s="148">
        <f t="shared" si="240"/>
        <v>0</v>
      </c>
      <c r="N114" s="148">
        <f t="shared" si="240"/>
        <v>0.60515586935283527</v>
      </c>
      <c r="O114" s="148">
        <f t="shared" si="240"/>
        <v>0.54834942684388654</v>
      </c>
      <c r="P114" s="148">
        <f t="shared" si="240"/>
        <v>0.59361973136211044</v>
      </c>
    </row>
    <row r="115" spans="1:16" x14ac:dyDescent="0.25">
      <c r="A115" t="str">
        <f t="shared" ref="A115:M115" si="241">A34</f>
        <v>wartość rynkowa</v>
      </c>
      <c r="B115" s="67">
        <f t="shared" si="241"/>
        <v>17261346.971840002</v>
      </c>
      <c r="C115" s="67">
        <f t="shared" si="241"/>
        <v>15016540.45568</v>
      </c>
      <c r="D115" s="67">
        <f t="shared" si="241"/>
        <v>16039814.081279999</v>
      </c>
      <c r="E115" s="67">
        <f t="shared" si="241"/>
        <v>0</v>
      </c>
      <c r="F115" s="67">
        <f t="shared" si="241"/>
        <v>0</v>
      </c>
      <c r="G115" s="67">
        <f t="shared" si="241"/>
        <v>0</v>
      </c>
      <c r="H115" s="67">
        <f t="shared" si="241"/>
        <v>8031627.7714800006</v>
      </c>
      <c r="I115" s="67">
        <f t="shared" si="241"/>
        <v>6456798.7966800006</v>
      </c>
      <c r="J115" s="67">
        <f t="shared" si="241"/>
        <v>6837382.4655900002</v>
      </c>
      <c r="K115" s="67">
        <f t="shared" si="241"/>
        <v>0</v>
      </c>
      <c r="L115" s="67">
        <f t="shared" si="241"/>
        <v>0</v>
      </c>
      <c r="M115" s="67">
        <f t="shared" si="241"/>
        <v>0</v>
      </c>
      <c r="N115" s="149">
        <f t="shared" ref="N115:N116" si="242">AVERAGE(B115,E115,H115,K115)</f>
        <v>6323243.6858300008</v>
      </c>
      <c r="O115" s="149">
        <f t="shared" ref="O115:O116" si="243">AVERAGE(C115,F115,I115,L115)</f>
        <v>5368334.8130900003</v>
      </c>
      <c r="P115" s="149">
        <f t="shared" ref="P115:P116" si="244">AVERAGE(D115,G115,J115,M115)</f>
        <v>5719299.1367175002</v>
      </c>
    </row>
    <row r="116" spans="1:16" x14ac:dyDescent="0.25">
      <c r="A116" t="str">
        <f t="shared" ref="A116:M116" si="245">A22</f>
        <v>zobowiązania ogółem</v>
      </c>
      <c r="B116" s="67">
        <f t="shared" si="245"/>
        <v>18125100</v>
      </c>
      <c r="C116" s="67">
        <f t="shared" si="245"/>
        <v>16821600</v>
      </c>
      <c r="D116" s="67">
        <f t="shared" si="245"/>
        <v>15639200</v>
      </c>
      <c r="E116" s="67">
        <f t="shared" si="245"/>
        <v>1332713.75</v>
      </c>
      <c r="F116" s="67">
        <f t="shared" si="245"/>
        <v>825279.68</v>
      </c>
      <c r="G116" s="67">
        <f t="shared" si="245"/>
        <v>860722.57000000007</v>
      </c>
      <c r="H116" s="67">
        <f t="shared" si="245"/>
        <v>13774000</v>
      </c>
      <c r="I116" s="67">
        <f t="shared" si="245"/>
        <v>12792000</v>
      </c>
      <c r="J116" s="67">
        <f t="shared" si="245"/>
        <v>12995000</v>
      </c>
      <c r="K116" s="67">
        <f t="shared" si="245"/>
        <v>8563988</v>
      </c>
      <c r="L116" s="67">
        <f t="shared" si="245"/>
        <v>8721076</v>
      </c>
      <c r="M116" s="67">
        <f t="shared" si="245"/>
        <v>9043548</v>
      </c>
      <c r="N116" s="149">
        <f t="shared" si="242"/>
        <v>10448950.4375</v>
      </c>
      <c r="O116" s="149">
        <f t="shared" si="243"/>
        <v>9789988.9199999999</v>
      </c>
      <c r="P116" s="149">
        <f t="shared" si="244"/>
        <v>9634617.6425000001</v>
      </c>
    </row>
    <row r="117" spans="1:16" x14ac:dyDescent="0.25">
      <c r="A117" s="145" t="s">
        <v>930</v>
      </c>
      <c r="B117" s="148">
        <f>B118/B119</f>
        <v>0.35827687360384908</v>
      </c>
      <c r="C117" s="148">
        <f t="shared" ref="C117" si="246">C118/C119</f>
        <v>0.34811771911078682</v>
      </c>
      <c r="D117" s="148">
        <f t="shared" ref="D117" si="247">D118/D119</f>
        <v>0.35410722006052747</v>
      </c>
      <c r="E117" s="148">
        <f t="shared" ref="E117" si="248">E118/E119</f>
        <v>1.259649629449541</v>
      </c>
      <c r="F117" s="148">
        <f t="shared" ref="F117" si="249">F118/F119</f>
        <v>1.4879277533063786</v>
      </c>
      <c r="G117" s="148">
        <f t="shared" ref="G117" si="250">G118/G119</f>
        <v>1.1958645700056947</v>
      </c>
      <c r="H117" s="148">
        <f t="shared" ref="H117" si="251">H118/H119</f>
        <v>0.46861133935907973</v>
      </c>
      <c r="I117" s="148">
        <f t="shared" ref="I117" si="252">I118/I119</f>
        <v>0.47654003004936679</v>
      </c>
      <c r="J117" s="148">
        <f t="shared" ref="J117" si="253">J118/J119</f>
        <v>0.49627174813587405</v>
      </c>
      <c r="K117" s="148">
        <f t="shared" ref="K117" si="254">K118/K119</f>
        <v>0.79237423614120805</v>
      </c>
      <c r="L117" s="148">
        <f t="shared" ref="L117" si="255">L118/L119</f>
        <v>0.80266621661683801</v>
      </c>
      <c r="M117" s="148">
        <f t="shared" ref="M117" si="256">M118/M119</f>
        <v>0.75528053603177636</v>
      </c>
      <c r="N117" s="148">
        <f t="shared" ref="N117" si="257">N118/N119</f>
        <v>0.48304888471222945</v>
      </c>
      <c r="O117" s="148">
        <f t="shared" ref="O117" si="258">O118/O119</f>
        <v>0.48178193059213603</v>
      </c>
      <c r="P117" s="148">
        <f t="shared" ref="P117" si="259">P118/P119</f>
        <v>0.486127446646342</v>
      </c>
    </row>
    <row r="118" spans="1:16" x14ac:dyDescent="0.25">
      <c r="A118" t="str">
        <f t="shared" ref="A118:M118" si="260">A4</f>
        <v>przychody netto ze sprzedaży</v>
      </c>
      <c r="B118" s="67">
        <f t="shared" si="260"/>
        <v>11676100</v>
      </c>
      <c r="C118" s="67">
        <f t="shared" si="260"/>
        <v>10686100</v>
      </c>
      <c r="D118" s="67">
        <f t="shared" si="260"/>
        <v>9828600</v>
      </c>
      <c r="E118" s="67">
        <f t="shared" si="260"/>
        <v>2707328.91</v>
      </c>
      <c r="F118" s="67">
        <f t="shared" si="260"/>
        <v>2205047.9700000002</v>
      </c>
      <c r="G118" s="67">
        <f t="shared" si="260"/>
        <v>1777328.03</v>
      </c>
      <c r="H118" s="67">
        <f t="shared" si="260"/>
        <v>11406000</v>
      </c>
      <c r="I118" s="67">
        <f t="shared" si="260"/>
        <v>11101000</v>
      </c>
      <c r="J118" s="67">
        <f t="shared" si="260"/>
        <v>11381000</v>
      </c>
      <c r="K118" s="67">
        <f t="shared" si="260"/>
        <v>7040753</v>
      </c>
      <c r="L118" s="67">
        <f t="shared" si="260"/>
        <v>6839148</v>
      </c>
      <c r="M118" s="67">
        <f t="shared" si="260"/>
        <v>6669859</v>
      </c>
      <c r="N118" s="149">
        <f t="shared" ref="N118:N119" si="261">AVERAGE(B118,E118,H118,K118)</f>
        <v>8207545.4775</v>
      </c>
      <c r="O118" s="149">
        <f t="shared" ref="O118:O119" si="262">AVERAGE(C118,F118,I118,L118)</f>
        <v>7707823.9924999997</v>
      </c>
      <c r="P118" s="149">
        <f t="shared" ref="P118:P119" si="263">AVERAGE(D118,G118,J118,M118)</f>
        <v>7414196.7575000003</v>
      </c>
    </row>
    <row r="119" spans="1:16" x14ac:dyDescent="0.25">
      <c r="A119" t="str">
        <f t="shared" ref="A119:M119" si="264">A9</f>
        <v>aktywa ogółem</v>
      </c>
      <c r="B119" s="67">
        <f t="shared" si="264"/>
        <v>32589600</v>
      </c>
      <c r="C119" s="67">
        <f t="shared" si="264"/>
        <v>30696800</v>
      </c>
      <c r="D119" s="67">
        <f t="shared" si="264"/>
        <v>27756000</v>
      </c>
      <c r="E119" s="67">
        <f t="shared" si="264"/>
        <v>2149271.39</v>
      </c>
      <c r="F119" s="67">
        <f t="shared" si="264"/>
        <v>1481959.03</v>
      </c>
      <c r="G119" s="67">
        <f t="shared" si="264"/>
        <v>1486228.52</v>
      </c>
      <c r="H119" s="67">
        <f t="shared" si="264"/>
        <v>24340000</v>
      </c>
      <c r="I119" s="67">
        <f t="shared" si="264"/>
        <v>23295000</v>
      </c>
      <c r="J119" s="67">
        <f t="shared" si="264"/>
        <v>22933000</v>
      </c>
      <c r="K119" s="67">
        <f t="shared" si="264"/>
        <v>8885641</v>
      </c>
      <c r="L119" s="67">
        <f t="shared" si="264"/>
        <v>8520538</v>
      </c>
      <c r="M119" s="67">
        <f t="shared" si="264"/>
        <v>8830969</v>
      </c>
      <c r="N119" s="149">
        <f t="shared" si="261"/>
        <v>16991128.0975</v>
      </c>
      <c r="O119" s="149">
        <f t="shared" si="262"/>
        <v>15998574.2575</v>
      </c>
      <c r="P119" s="149">
        <f t="shared" si="263"/>
        <v>15251549.379999999</v>
      </c>
    </row>
    <row r="121" spans="1:16" x14ac:dyDescent="0.25">
      <c r="A121" s="146" t="s">
        <v>931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</row>
    <row r="122" spans="1:16" x14ac:dyDescent="0.25">
      <c r="A122" s="151" t="s">
        <v>932</v>
      </c>
      <c r="B122" s="152">
        <f>0.717*B123+0.847*B127+3.107*B131+0.42*B134+0.998*B137</f>
        <v>1.1505598776024599</v>
      </c>
      <c r="C122" s="152">
        <f t="shared" ref="C122:P122" si="265">0.717*C123+0.847*C127+3.107*C131+0.42*C134+0.998*C137</f>
        <v>1.1462737507773535</v>
      </c>
      <c r="D122" s="152">
        <f t="shared" si="265"/>
        <v>1.2438902464816444</v>
      </c>
      <c r="E122" s="152">
        <f t="shared" si="265"/>
        <v>1.8302685111674053</v>
      </c>
      <c r="F122" s="152">
        <f t="shared" si="265"/>
        <v>1.9314740853868275</v>
      </c>
      <c r="G122" s="152">
        <f t="shared" si="265"/>
        <v>1.712777900965055</v>
      </c>
      <c r="H122" s="152">
        <f t="shared" si="265"/>
        <v>1.0488799873932924</v>
      </c>
      <c r="I122" s="152">
        <f t="shared" si="265"/>
        <v>0.62709640132065481</v>
      </c>
      <c r="J122" s="152">
        <f t="shared" si="265"/>
        <v>1.0069282254493486</v>
      </c>
      <c r="K122" s="152">
        <f t="shared" si="265"/>
        <v>1.7854275447320007</v>
      </c>
      <c r="L122" s="152">
        <f t="shared" si="265"/>
        <v>1.7068955037815687</v>
      </c>
      <c r="M122" s="152">
        <f t="shared" si="265"/>
        <v>1.5600155646566081</v>
      </c>
      <c r="N122" s="152">
        <f t="shared" si="265"/>
        <v>1.193305128380765</v>
      </c>
      <c r="O122" s="152">
        <f t="shared" si="265"/>
        <v>1.0234013779129831</v>
      </c>
      <c r="P122" s="152">
        <f t="shared" si="265"/>
        <v>1.1822638924046718</v>
      </c>
    </row>
    <row r="123" spans="1:16" x14ac:dyDescent="0.25">
      <c r="A123" s="145" t="str">
        <f t="shared" ref="A123:P123" si="266">A103</f>
        <v>X1 = kapitał pracujący/aktywa ogółem</v>
      </c>
      <c r="B123" s="127">
        <f t="shared" si="266"/>
        <v>-2.7103738616000198E-2</v>
      </c>
      <c r="C123" s="127">
        <f t="shared" si="266"/>
        <v>1.3164238617706081E-2</v>
      </c>
      <c r="D123" s="127">
        <f t="shared" si="266"/>
        <v>5.7645193831964265E-4</v>
      </c>
      <c r="E123" s="127">
        <f t="shared" si="266"/>
        <v>0.10061033288122818</v>
      </c>
      <c r="F123" s="127">
        <f t="shared" si="266"/>
        <v>2.1756883521941859E-2</v>
      </c>
      <c r="G123" s="127">
        <f t="shared" si="266"/>
        <v>0.15542097119761902</v>
      </c>
      <c r="H123" s="127">
        <f t="shared" si="266"/>
        <v>-2.4609695973705836E-2</v>
      </c>
      <c r="I123" s="127">
        <f t="shared" si="266"/>
        <v>-8.486799742433998E-2</v>
      </c>
      <c r="J123" s="127">
        <f t="shared" si="266"/>
        <v>-0.12078663934068809</v>
      </c>
      <c r="K123" s="127">
        <f t="shared" si="266"/>
        <v>9.8656135218607194E-2</v>
      </c>
      <c r="L123" s="127">
        <f t="shared" si="266"/>
        <v>6.1636952971748968E-2</v>
      </c>
      <c r="M123" s="127">
        <f t="shared" si="266"/>
        <v>0.13829988532402276</v>
      </c>
      <c r="N123" s="127">
        <f t="shared" si="266"/>
        <v>-5.7300210993244775E-3</v>
      </c>
      <c r="O123" s="127">
        <f t="shared" si="266"/>
        <v>-1.5868245095714578E-2</v>
      </c>
      <c r="P123" s="127">
        <f t="shared" si="266"/>
        <v>-2.1336962028706389E-2</v>
      </c>
    </row>
    <row r="124" spans="1:16" x14ac:dyDescent="0.25">
      <c r="A124" s="67" t="str">
        <f t="shared" ref="A124:M124" si="267">A104</f>
        <v>aktywa obrotowe</v>
      </c>
      <c r="B124" s="67">
        <f t="shared" si="267"/>
        <v>4984900</v>
      </c>
      <c r="C124" s="67">
        <f t="shared" si="267"/>
        <v>5422700</v>
      </c>
      <c r="D124" s="67">
        <f t="shared" si="267"/>
        <v>3931500</v>
      </c>
      <c r="E124" s="67">
        <f t="shared" si="267"/>
        <v>1134462.04</v>
      </c>
      <c r="F124" s="67">
        <f t="shared" si="267"/>
        <v>604938.98</v>
      </c>
      <c r="G124" s="67">
        <f t="shared" si="267"/>
        <v>733902.97</v>
      </c>
      <c r="H124" s="67">
        <f t="shared" si="267"/>
        <v>3493000</v>
      </c>
      <c r="I124" s="67">
        <f t="shared" si="267"/>
        <v>3969000</v>
      </c>
      <c r="J124" s="67">
        <f t="shared" si="267"/>
        <v>3273000</v>
      </c>
      <c r="K124" s="67">
        <f t="shared" si="267"/>
        <v>2686432</v>
      </c>
      <c r="L124" s="67">
        <f t="shared" si="267"/>
        <v>2802536</v>
      </c>
      <c r="M124" s="67">
        <f t="shared" si="267"/>
        <v>3326442</v>
      </c>
      <c r="N124" s="149">
        <f t="shared" ref="N124:N126" si="268">AVERAGE(B124,E124,H124,K124)</f>
        <v>3074698.51</v>
      </c>
      <c r="O124" s="149">
        <f t="shared" ref="O124:O126" si="269">AVERAGE(C124,F124,I124,L124)</f>
        <v>3199793.7450000001</v>
      </c>
      <c r="P124" s="149">
        <f t="shared" ref="P124:P126" si="270">AVERAGE(D124,G124,J124,M124)</f>
        <v>2816211.2424999997</v>
      </c>
    </row>
    <row r="125" spans="1:16" x14ac:dyDescent="0.25">
      <c r="A125" s="67" t="str">
        <f t="shared" ref="A125:M125" si="271">A105</f>
        <v>zobowiązania krótkoterminowe</v>
      </c>
      <c r="B125" s="67">
        <f t="shared" si="271"/>
        <v>5868200</v>
      </c>
      <c r="C125" s="67">
        <f t="shared" si="271"/>
        <v>5018600</v>
      </c>
      <c r="D125" s="67">
        <f t="shared" si="271"/>
        <v>3915500</v>
      </c>
      <c r="E125" s="67">
        <f t="shared" si="271"/>
        <v>918223.13</v>
      </c>
      <c r="F125" s="67">
        <f t="shared" si="271"/>
        <v>572696.17000000004</v>
      </c>
      <c r="G125" s="67">
        <f t="shared" si="271"/>
        <v>502911.89</v>
      </c>
      <c r="H125" s="67">
        <f t="shared" si="271"/>
        <v>4092000</v>
      </c>
      <c r="I125" s="67">
        <f t="shared" si="271"/>
        <v>5946000</v>
      </c>
      <c r="J125" s="67">
        <f t="shared" si="271"/>
        <v>6043000</v>
      </c>
      <c r="K125" s="67">
        <f t="shared" si="271"/>
        <v>1809809</v>
      </c>
      <c r="L125" s="67">
        <f t="shared" si="271"/>
        <v>2277356</v>
      </c>
      <c r="M125" s="67">
        <f t="shared" si="271"/>
        <v>2105120</v>
      </c>
      <c r="N125" s="149">
        <f t="shared" si="268"/>
        <v>3172058.0324999997</v>
      </c>
      <c r="O125" s="149">
        <f t="shared" si="269"/>
        <v>3453663.0425</v>
      </c>
      <c r="P125" s="149">
        <f t="shared" si="270"/>
        <v>3141632.9725000001</v>
      </c>
    </row>
    <row r="126" spans="1:16" x14ac:dyDescent="0.25">
      <c r="A126" s="67" t="str">
        <f t="shared" ref="A126:M126" si="272">A106</f>
        <v>aktywa ogółem</v>
      </c>
      <c r="B126" s="67">
        <f t="shared" si="272"/>
        <v>32589600</v>
      </c>
      <c r="C126" s="67">
        <f t="shared" si="272"/>
        <v>30696800</v>
      </c>
      <c r="D126" s="67">
        <f t="shared" si="272"/>
        <v>27756000</v>
      </c>
      <c r="E126" s="67">
        <f t="shared" si="272"/>
        <v>2149271.39</v>
      </c>
      <c r="F126" s="67">
        <f t="shared" si="272"/>
        <v>1481959.03</v>
      </c>
      <c r="G126" s="67">
        <f t="shared" si="272"/>
        <v>1486228.52</v>
      </c>
      <c r="H126" s="67">
        <f t="shared" si="272"/>
        <v>24340000</v>
      </c>
      <c r="I126" s="67">
        <f t="shared" si="272"/>
        <v>23295000</v>
      </c>
      <c r="J126" s="67">
        <f t="shared" si="272"/>
        <v>22933000</v>
      </c>
      <c r="K126" s="67">
        <f t="shared" si="272"/>
        <v>8885641</v>
      </c>
      <c r="L126" s="67">
        <f t="shared" si="272"/>
        <v>8520538</v>
      </c>
      <c r="M126" s="67">
        <f t="shared" si="272"/>
        <v>8830969</v>
      </c>
      <c r="N126" s="149">
        <f t="shared" si="268"/>
        <v>16991128.0975</v>
      </c>
      <c r="O126" s="149">
        <f t="shared" si="269"/>
        <v>15998574.2575</v>
      </c>
      <c r="P126" s="149">
        <f t="shared" si="270"/>
        <v>15251549.379999999</v>
      </c>
    </row>
    <row r="127" spans="1:16" x14ac:dyDescent="0.25">
      <c r="A127" s="145" t="str">
        <f t="shared" ref="A127:P127" si="273">A107</f>
        <v>X2 = zysk zatrzymany/aktywa ogółem</v>
      </c>
      <c r="B127" s="127">
        <f t="shared" si="273"/>
        <v>1.4576858875223997E-2</v>
      </c>
      <c r="C127" s="127">
        <f t="shared" si="273"/>
        <v>7.2099371921503222E-3</v>
      </c>
      <c r="D127" s="127">
        <f t="shared" si="273"/>
        <v>3.4053898256232888E-2</v>
      </c>
      <c r="E127" s="127">
        <f t="shared" si="273"/>
        <v>4.1442616513868907E-2</v>
      </c>
      <c r="F127" s="127">
        <f t="shared" si="273"/>
        <v>2.3567790534668154E-3</v>
      </c>
      <c r="G127" s="127">
        <f t="shared" si="273"/>
        <v>3.7934946908433698E-4</v>
      </c>
      <c r="H127" s="127">
        <f t="shared" si="273"/>
        <v>3.7387017255546425E-3</v>
      </c>
      <c r="I127" s="127">
        <f t="shared" si="273"/>
        <v>4.2927666881305E-4</v>
      </c>
      <c r="J127" s="127">
        <f t="shared" si="273"/>
        <v>-2.616317097632233E-3</v>
      </c>
      <c r="K127" s="127">
        <f t="shared" si="273"/>
        <v>9.7566061919449595E-2</v>
      </c>
      <c r="L127" s="127">
        <f t="shared" si="273"/>
        <v>8.7389317435119712E-2</v>
      </c>
      <c r="M127" s="127">
        <f t="shared" si="273"/>
        <v>4.3862230747271337E-2</v>
      </c>
      <c r="N127" s="127">
        <f t="shared" si="273"/>
        <v>2.239495843457194E-2</v>
      </c>
      <c r="O127" s="127">
        <f t="shared" si="273"/>
        <v>1.530478019847388E-2</v>
      </c>
      <c r="P127" s="127">
        <f t="shared" si="273"/>
        <v>2.0868532243509021E-2</v>
      </c>
    </row>
    <row r="128" spans="1:16" x14ac:dyDescent="0.25">
      <c r="A128" s="67" t="str">
        <f t="shared" ref="A128:M128" si="274">A108</f>
        <v>zysk netto</v>
      </c>
      <c r="B128" s="67">
        <f t="shared" si="274"/>
        <v>1114600</v>
      </c>
      <c r="C128" s="67">
        <f t="shared" si="274"/>
        <v>816100</v>
      </c>
      <c r="D128" s="67">
        <f t="shared" si="274"/>
        <v>945200</v>
      </c>
      <c r="E128" s="67">
        <f t="shared" si="274"/>
        <v>89071.43</v>
      </c>
      <c r="F128" s="67">
        <f t="shared" si="274"/>
        <v>3492.65</v>
      </c>
      <c r="G128" s="67">
        <f t="shared" si="274"/>
        <v>563.79999999999995</v>
      </c>
      <c r="H128" s="67">
        <f t="shared" si="274"/>
        <v>91000</v>
      </c>
      <c r="I128" s="67">
        <f t="shared" si="274"/>
        <v>10000</v>
      </c>
      <c r="J128" s="67">
        <f t="shared" si="274"/>
        <v>-60000</v>
      </c>
      <c r="K128" s="67">
        <f t="shared" si="274"/>
        <v>866937</v>
      </c>
      <c r="L128" s="67">
        <f t="shared" si="274"/>
        <v>744604</v>
      </c>
      <c r="M128" s="67">
        <f t="shared" si="274"/>
        <v>387346</v>
      </c>
      <c r="N128" s="149">
        <f t="shared" ref="N128:N130" si="275">AVERAGE(B128,E128,H128,K128)</f>
        <v>540402.10749999993</v>
      </c>
      <c r="O128" s="149">
        <f t="shared" ref="O128:O130" si="276">AVERAGE(C128,F128,I128,L128)</f>
        <v>393549.16249999998</v>
      </c>
      <c r="P128" s="149">
        <f t="shared" ref="P128:P130" si="277">AVERAGE(D128,G128,J128,M128)</f>
        <v>318277.45</v>
      </c>
    </row>
    <row r="129" spans="1:16" x14ac:dyDescent="0.25">
      <c r="A129" s="67" t="str">
        <f t="shared" ref="A129:M129" si="278">A109</f>
        <v>dywidenda</v>
      </c>
      <c r="B129" s="67">
        <f t="shared" si="278"/>
        <v>639546</v>
      </c>
      <c r="C129" s="67">
        <f t="shared" si="278"/>
        <v>594778</v>
      </c>
      <c r="D129" s="67">
        <f t="shared" si="278"/>
        <v>0</v>
      </c>
      <c r="E129" s="67">
        <f t="shared" si="278"/>
        <v>0</v>
      </c>
      <c r="F129" s="67">
        <f t="shared" si="278"/>
        <v>0</v>
      </c>
      <c r="G129" s="67">
        <f t="shared" si="278"/>
        <v>0</v>
      </c>
      <c r="H129" s="67">
        <f t="shared" si="278"/>
        <v>0</v>
      </c>
      <c r="I129" s="67">
        <f t="shared" si="278"/>
        <v>0</v>
      </c>
      <c r="J129" s="67">
        <f t="shared" si="278"/>
        <v>0</v>
      </c>
      <c r="K129" s="67">
        <f t="shared" si="278"/>
        <v>0</v>
      </c>
      <c r="L129" s="67">
        <f t="shared" si="278"/>
        <v>0</v>
      </c>
      <c r="M129" s="67">
        <f t="shared" si="278"/>
        <v>0</v>
      </c>
      <c r="N129" s="149">
        <f t="shared" si="275"/>
        <v>159886.5</v>
      </c>
      <c r="O129" s="149">
        <f t="shared" si="276"/>
        <v>148694.5</v>
      </c>
      <c r="P129" s="149">
        <f t="shared" si="277"/>
        <v>0</v>
      </c>
    </row>
    <row r="130" spans="1:16" x14ac:dyDescent="0.25">
      <c r="A130" s="67" t="str">
        <f t="shared" ref="A130:M130" si="279">A110</f>
        <v>aktywa ogółem</v>
      </c>
      <c r="B130" s="67">
        <f t="shared" si="279"/>
        <v>32589600</v>
      </c>
      <c r="C130" s="67">
        <f t="shared" si="279"/>
        <v>30696800</v>
      </c>
      <c r="D130" s="67">
        <f t="shared" si="279"/>
        <v>27756000</v>
      </c>
      <c r="E130" s="67">
        <f t="shared" si="279"/>
        <v>2149271.39</v>
      </c>
      <c r="F130" s="67">
        <f t="shared" si="279"/>
        <v>1481959.03</v>
      </c>
      <c r="G130" s="67">
        <f t="shared" si="279"/>
        <v>1486228.52</v>
      </c>
      <c r="H130" s="67">
        <f t="shared" si="279"/>
        <v>24340000</v>
      </c>
      <c r="I130" s="67">
        <f t="shared" si="279"/>
        <v>23295000</v>
      </c>
      <c r="J130" s="67">
        <f t="shared" si="279"/>
        <v>22933000</v>
      </c>
      <c r="K130" s="67">
        <f t="shared" si="279"/>
        <v>8885641</v>
      </c>
      <c r="L130" s="67">
        <f t="shared" si="279"/>
        <v>8520538</v>
      </c>
      <c r="M130" s="67">
        <f t="shared" si="279"/>
        <v>8830969</v>
      </c>
      <c r="N130" s="149">
        <f t="shared" si="275"/>
        <v>16991128.0975</v>
      </c>
      <c r="O130" s="149">
        <f t="shared" si="276"/>
        <v>15998574.2575</v>
      </c>
      <c r="P130" s="149">
        <f t="shared" si="277"/>
        <v>15251549.379999999</v>
      </c>
    </row>
    <row r="131" spans="1:16" x14ac:dyDescent="0.25">
      <c r="A131" s="145" t="str">
        <f t="shared" ref="A131:P131" si="280">A111</f>
        <v>X3 = EBIT/aktywa ogółem</v>
      </c>
      <c r="B131" s="148">
        <f t="shared" si="280"/>
        <v>0.12877421017747992</v>
      </c>
      <c r="C131" s="148">
        <f t="shared" si="280"/>
        <v>0.13143715305829923</v>
      </c>
      <c r="D131" s="148">
        <f t="shared" si="280"/>
        <v>0.1385502233751261</v>
      </c>
      <c r="E131" s="148">
        <f t="shared" si="280"/>
        <v>0.14995129582030123</v>
      </c>
      <c r="F131" s="148">
        <f t="shared" si="280"/>
        <v>0.13805159647362181</v>
      </c>
      <c r="G131" s="148">
        <f t="shared" si="280"/>
        <v>0.1311705551175939</v>
      </c>
      <c r="H131" s="148">
        <f t="shared" si="280"/>
        <v>0.11290057518488085</v>
      </c>
      <c r="I131" s="148">
        <f t="shared" si="280"/>
        <v>0</v>
      </c>
      <c r="J131" s="148">
        <f t="shared" si="280"/>
        <v>0.12213840317446474</v>
      </c>
      <c r="K131" s="148">
        <f t="shared" si="280"/>
        <v>0.27076380871115546</v>
      </c>
      <c r="L131" s="148">
        <f t="shared" si="280"/>
        <v>0.25349925086890052</v>
      </c>
      <c r="M131" s="148">
        <f t="shared" si="280"/>
        <v>0.21562061875656002</v>
      </c>
      <c r="N131" s="148">
        <f t="shared" si="280"/>
        <v>0.14232274594267857</v>
      </c>
      <c r="O131" s="148">
        <f t="shared" si="280"/>
        <v>9.9996985778280992E-2</v>
      </c>
      <c r="P131" s="148">
        <f t="shared" si="280"/>
        <v>0.14335737639004387</v>
      </c>
    </row>
    <row r="132" spans="1:16" x14ac:dyDescent="0.25">
      <c r="A132" s="67" t="str">
        <f t="shared" ref="A132:M132" si="281">A112</f>
        <v>EBIT</v>
      </c>
      <c r="B132" s="67">
        <f t="shared" si="281"/>
        <v>4196700</v>
      </c>
      <c r="C132" s="67">
        <f t="shared" si="281"/>
        <v>4034700</v>
      </c>
      <c r="D132" s="67">
        <f t="shared" si="281"/>
        <v>3845600</v>
      </c>
      <c r="E132" s="67">
        <f t="shared" si="281"/>
        <v>322286.03000000003</v>
      </c>
      <c r="F132" s="67">
        <f t="shared" si="281"/>
        <v>204586.81</v>
      </c>
      <c r="G132" s="67">
        <f t="shared" si="281"/>
        <v>194949.42</v>
      </c>
      <c r="H132" s="67">
        <f t="shared" si="281"/>
        <v>2748000</v>
      </c>
      <c r="I132" s="67">
        <f t="shared" si="281"/>
        <v>0</v>
      </c>
      <c r="J132" s="67">
        <f t="shared" si="281"/>
        <v>2801000</v>
      </c>
      <c r="K132" s="67">
        <f t="shared" si="281"/>
        <v>2405910</v>
      </c>
      <c r="L132" s="67">
        <f t="shared" si="281"/>
        <v>2159950</v>
      </c>
      <c r="M132" s="67">
        <f t="shared" si="281"/>
        <v>1904139</v>
      </c>
      <c r="N132" s="149">
        <f t="shared" ref="N132:N133" si="282">AVERAGE(B132,E132,H132,K132)</f>
        <v>2418224.0075000003</v>
      </c>
      <c r="O132" s="149">
        <f t="shared" ref="O132:O133" si="283">AVERAGE(C132,F132,I132,L132)</f>
        <v>1599809.2024999999</v>
      </c>
      <c r="P132" s="149">
        <f t="shared" ref="P132:P133" si="284">AVERAGE(D132,G132,J132,M132)</f>
        <v>2186422.105</v>
      </c>
    </row>
    <row r="133" spans="1:16" x14ac:dyDescent="0.25">
      <c r="A133" s="67" t="str">
        <f t="shared" ref="A133:M133" si="285">A113</f>
        <v>aktywa ogółem</v>
      </c>
      <c r="B133" s="67">
        <f t="shared" si="285"/>
        <v>32589600</v>
      </c>
      <c r="C133" s="67">
        <f t="shared" si="285"/>
        <v>30696800</v>
      </c>
      <c r="D133" s="67">
        <f t="shared" si="285"/>
        <v>27756000</v>
      </c>
      <c r="E133" s="67">
        <f t="shared" si="285"/>
        <v>2149271.39</v>
      </c>
      <c r="F133" s="67">
        <f t="shared" si="285"/>
        <v>1481959.03</v>
      </c>
      <c r="G133" s="67">
        <f t="shared" si="285"/>
        <v>1486228.52</v>
      </c>
      <c r="H133" s="67">
        <f t="shared" si="285"/>
        <v>24340000</v>
      </c>
      <c r="I133" s="67">
        <f t="shared" si="285"/>
        <v>23295000</v>
      </c>
      <c r="J133" s="67">
        <f t="shared" si="285"/>
        <v>22933000</v>
      </c>
      <c r="K133" s="67">
        <f t="shared" si="285"/>
        <v>8885641</v>
      </c>
      <c r="L133" s="67">
        <f t="shared" si="285"/>
        <v>8520538</v>
      </c>
      <c r="M133" s="67">
        <f t="shared" si="285"/>
        <v>8830969</v>
      </c>
      <c r="N133" s="149">
        <f t="shared" si="282"/>
        <v>16991128.0975</v>
      </c>
      <c r="O133" s="149">
        <f t="shared" si="283"/>
        <v>15998574.2575</v>
      </c>
      <c r="P133" s="149">
        <f t="shared" si="284"/>
        <v>15251549.379999999</v>
      </c>
    </row>
    <row r="134" spans="1:16" x14ac:dyDescent="0.25">
      <c r="A134" s="145" t="str">
        <f t="shared" ref="A134:P134" si="286">A114</f>
        <v>X4 = wartość rynkowa/zobowiązania ogółem</v>
      </c>
      <c r="B134" s="148">
        <f t="shared" si="286"/>
        <v>0.95234492343987076</v>
      </c>
      <c r="C134" s="148">
        <f t="shared" si="286"/>
        <v>0.8926939444333476</v>
      </c>
      <c r="D134" s="148">
        <f t="shared" si="286"/>
        <v>1.0256160213617065</v>
      </c>
      <c r="E134" s="148">
        <f t="shared" si="286"/>
        <v>0</v>
      </c>
      <c r="F134" s="148">
        <f t="shared" si="286"/>
        <v>0</v>
      </c>
      <c r="G134" s="148">
        <f t="shared" si="286"/>
        <v>0</v>
      </c>
      <c r="H134" s="148">
        <f t="shared" si="286"/>
        <v>0.58310060777406714</v>
      </c>
      <c r="I134" s="148">
        <f t="shared" si="286"/>
        <v>0.50475287653846157</v>
      </c>
      <c r="J134" s="148">
        <f t="shared" si="286"/>
        <v>0.52615486460869565</v>
      </c>
      <c r="K134" s="148">
        <f t="shared" si="286"/>
        <v>0</v>
      </c>
      <c r="L134" s="148">
        <f t="shared" si="286"/>
        <v>0</v>
      </c>
      <c r="M134" s="148">
        <f t="shared" si="286"/>
        <v>0</v>
      </c>
      <c r="N134" s="148">
        <f t="shared" si="286"/>
        <v>0.60515586935283527</v>
      </c>
      <c r="O134" s="148">
        <f t="shared" si="286"/>
        <v>0.54834942684388654</v>
      </c>
      <c r="P134" s="148">
        <f t="shared" si="286"/>
        <v>0.59361973136211044</v>
      </c>
    </row>
    <row r="135" spans="1:16" x14ac:dyDescent="0.25">
      <c r="A135" s="67" t="str">
        <f t="shared" ref="A135:M135" si="287">A115</f>
        <v>wartość rynkowa</v>
      </c>
      <c r="B135" s="67">
        <f t="shared" si="287"/>
        <v>17261346.971840002</v>
      </c>
      <c r="C135" s="67">
        <f t="shared" si="287"/>
        <v>15016540.45568</v>
      </c>
      <c r="D135" s="67">
        <f t="shared" si="287"/>
        <v>16039814.081279999</v>
      </c>
      <c r="E135" s="67">
        <f t="shared" si="287"/>
        <v>0</v>
      </c>
      <c r="F135" s="67">
        <f t="shared" si="287"/>
        <v>0</v>
      </c>
      <c r="G135" s="67">
        <f t="shared" si="287"/>
        <v>0</v>
      </c>
      <c r="H135" s="67">
        <f t="shared" si="287"/>
        <v>8031627.7714800006</v>
      </c>
      <c r="I135" s="67">
        <f t="shared" si="287"/>
        <v>6456798.7966800006</v>
      </c>
      <c r="J135" s="67">
        <f t="shared" si="287"/>
        <v>6837382.4655900002</v>
      </c>
      <c r="K135" s="67">
        <f t="shared" si="287"/>
        <v>0</v>
      </c>
      <c r="L135" s="67">
        <f t="shared" si="287"/>
        <v>0</v>
      </c>
      <c r="M135" s="67">
        <f t="shared" si="287"/>
        <v>0</v>
      </c>
      <c r="N135" s="149">
        <f t="shared" ref="N135:N136" si="288">AVERAGE(B135,E135,H135,K135)</f>
        <v>6323243.6858300008</v>
      </c>
      <c r="O135" s="149">
        <f t="shared" ref="O135:O136" si="289">AVERAGE(C135,F135,I135,L135)</f>
        <v>5368334.8130900003</v>
      </c>
      <c r="P135" s="149">
        <f t="shared" ref="P135:P136" si="290">AVERAGE(D135,G135,J135,M135)</f>
        <v>5719299.1367175002</v>
      </c>
    </row>
    <row r="136" spans="1:16" x14ac:dyDescent="0.25">
      <c r="A136" s="67" t="str">
        <f t="shared" ref="A136:M136" si="291">A116</f>
        <v>zobowiązania ogółem</v>
      </c>
      <c r="B136" s="67">
        <f t="shared" si="291"/>
        <v>18125100</v>
      </c>
      <c r="C136" s="67">
        <f t="shared" si="291"/>
        <v>16821600</v>
      </c>
      <c r="D136" s="67">
        <f t="shared" si="291"/>
        <v>15639200</v>
      </c>
      <c r="E136" s="67">
        <f t="shared" si="291"/>
        <v>1332713.75</v>
      </c>
      <c r="F136" s="67">
        <f t="shared" si="291"/>
        <v>825279.68</v>
      </c>
      <c r="G136" s="67">
        <f t="shared" si="291"/>
        <v>860722.57000000007</v>
      </c>
      <c r="H136" s="67">
        <f t="shared" si="291"/>
        <v>13774000</v>
      </c>
      <c r="I136" s="67">
        <f t="shared" si="291"/>
        <v>12792000</v>
      </c>
      <c r="J136" s="67">
        <f t="shared" si="291"/>
        <v>12995000</v>
      </c>
      <c r="K136" s="67">
        <f t="shared" si="291"/>
        <v>8563988</v>
      </c>
      <c r="L136" s="67">
        <f t="shared" si="291"/>
        <v>8721076</v>
      </c>
      <c r="M136" s="67">
        <f t="shared" si="291"/>
        <v>9043548</v>
      </c>
      <c r="N136" s="149">
        <f t="shared" si="288"/>
        <v>10448950.4375</v>
      </c>
      <c r="O136" s="149">
        <f t="shared" si="289"/>
        <v>9789988.9199999999</v>
      </c>
      <c r="P136" s="149">
        <f t="shared" si="290"/>
        <v>9634617.6425000001</v>
      </c>
    </row>
    <row r="137" spans="1:16" x14ac:dyDescent="0.25">
      <c r="A137" s="145" t="str">
        <f t="shared" ref="A137:P137" si="292">A117</f>
        <v>X5 = przychody ze sprzedaży/aktywa ogółem</v>
      </c>
      <c r="B137" s="148">
        <f t="shared" si="292"/>
        <v>0.35827687360384908</v>
      </c>
      <c r="C137" s="148">
        <f t="shared" si="292"/>
        <v>0.34811771911078682</v>
      </c>
      <c r="D137" s="148">
        <f t="shared" si="292"/>
        <v>0.35410722006052747</v>
      </c>
      <c r="E137" s="148">
        <f t="shared" si="292"/>
        <v>1.259649629449541</v>
      </c>
      <c r="F137" s="148">
        <f t="shared" si="292"/>
        <v>1.4879277533063786</v>
      </c>
      <c r="G137" s="148">
        <f t="shared" si="292"/>
        <v>1.1958645700056947</v>
      </c>
      <c r="H137" s="148">
        <f t="shared" si="292"/>
        <v>0.46861133935907973</v>
      </c>
      <c r="I137" s="148">
        <f t="shared" si="292"/>
        <v>0.47654003004936679</v>
      </c>
      <c r="J137" s="148">
        <f t="shared" si="292"/>
        <v>0.49627174813587405</v>
      </c>
      <c r="K137" s="148">
        <f t="shared" si="292"/>
        <v>0.79237423614120805</v>
      </c>
      <c r="L137" s="148">
        <f t="shared" si="292"/>
        <v>0.80266621661683801</v>
      </c>
      <c r="M137" s="148">
        <f t="shared" si="292"/>
        <v>0.75528053603177636</v>
      </c>
      <c r="N137" s="148">
        <f t="shared" si="292"/>
        <v>0.48304888471222945</v>
      </c>
      <c r="O137" s="148">
        <f t="shared" si="292"/>
        <v>0.48178193059213603</v>
      </c>
      <c r="P137" s="148">
        <f t="shared" si="292"/>
        <v>0.486127446646342</v>
      </c>
    </row>
    <row r="138" spans="1:16" x14ac:dyDescent="0.25">
      <c r="A138" s="67" t="str">
        <f t="shared" ref="A138:M138" si="293">A118</f>
        <v>przychody netto ze sprzedaży</v>
      </c>
      <c r="B138" s="67">
        <f t="shared" si="293"/>
        <v>11676100</v>
      </c>
      <c r="C138" s="67">
        <f t="shared" si="293"/>
        <v>10686100</v>
      </c>
      <c r="D138" s="67">
        <f t="shared" si="293"/>
        <v>9828600</v>
      </c>
      <c r="E138" s="67">
        <f t="shared" si="293"/>
        <v>2707328.91</v>
      </c>
      <c r="F138" s="67">
        <f t="shared" si="293"/>
        <v>2205047.9700000002</v>
      </c>
      <c r="G138" s="67">
        <f t="shared" si="293"/>
        <v>1777328.03</v>
      </c>
      <c r="H138" s="67">
        <f t="shared" si="293"/>
        <v>11406000</v>
      </c>
      <c r="I138" s="67">
        <f t="shared" si="293"/>
        <v>11101000</v>
      </c>
      <c r="J138" s="67">
        <f t="shared" si="293"/>
        <v>11381000</v>
      </c>
      <c r="K138" s="67">
        <f t="shared" si="293"/>
        <v>7040753</v>
      </c>
      <c r="L138" s="67">
        <f t="shared" si="293"/>
        <v>6839148</v>
      </c>
      <c r="M138" s="67">
        <f t="shared" si="293"/>
        <v>6669859</v>
      </c>
      <c r="N138" s="149">
        <f t="shared" ref="N138:N139" si="294">AVERAGE(B138,E138,H138,K138)</f>
        <v>8207545.4775</v>
      </c>
      <c r="O138" s="149">
        <f t="shared" ref="O138:O139" si="295">AVERAGE(C138,F138,I138,L138)</f>
        <v>7707823.9924999997</v>
      </c>
      <c r="P138" s="149">
        <f t="shared" ref="P138:P139" si="296">AVERAGE(D138,G138,J138,M138)</f>
        <v>7414196.7575000003</v>
      </c>
    </row>
    <row r="139" spans="1:16" x14ac:dyDescent="0.25">
      <c r="A139" s="67" t="str">
        <f t="shared" ref="A139:M139" si="297">A119</f>
        <v>aktywa ogółem</v>
      </c>
      <c r="B139" s="67">
        <f t="shared" si="297"/>
        <v>32589600</v>
      </c>
      <c r="C139" s="67">
        <f t="shared" si="297"/>
        <v>30696800</v>
      </c>
      <c r="D139" s="67">
        <f t="shared" si="297"/>
        <v>27756000</v>
      </c>
      <c r="E139" s="67">
        <f t="shared" si="297"/>
        <v>2149271.39</v>
      </c>
      <c r="F139" s="67">
        <f t="shared" si="297"/>
        <v>1481959.03</v>
      </c>
      <c r="G139" s="67">
        <f t="shared" si="297"/>
        <v>1486228.52</v>
      </c>
      <c r="H139" s="67">
        <f t="shared" si="297"/>
        <v>24340000</v>
      </c>
      <c r="I139" s="67">
        <f t="shared" si="297"/>
        <v>23295000</v>
      </c>
      <c r="J139" s="67">
        <f t="shared" si="297"/>
        <v>22933000</v>
      </c>
      <c r="K139" s="67">
        <f t="shared" si="297"/>
        <v>8885641</v>
      </c>
      <c r="L139" s="67">
        <f t="shared" si="297"/>
        <v>8520538</v>
      </c>
      <c r="M139" s="67">
        <f t="shared" si="297"/>
        <v>8830969</v>
      </c>
      <c r="N139" s="149">
        <f t="shared" si="294"/>
        <v>16991128.0975</v>
      </c>
      <c r="O139" s="149">
        <f t="shared" si="295"/>
        <v>15998574.2575</v>
      </c>
      <c r="P139" s="149">
        <f t="shared" si="296"/>
        <v>15251549.379999999</v>
      </c>
    </row>
    <row r="141" spans="1:16" x14ac:dyDescent="0.25">
      <c r="A141" s="146" t="s">
        <v>933</v>
      </c>
    </row>
    <row r="142" spans="1:16" x14ac:dyDescent="0.25">
      <c r="A142" s="151" t="s">
        <v>934</v>
      </c>
      <c r="B142" s="152">
        <f>6.56*B143+3.26*B147+6.72*B151+1.05*B154+3.25</f>
        <v>4.9850448966167988</v>
      </c>
      <c r="C142" s="152">
        <f t="shared" ref="C142:P142" si="298">6.56*C143+3.26*C147+6.72*C151+1.05*C154+3.25</f>
        <v>5.1804481107853473</v>
      </c>
      <c r="D142" s="152">
        <f t="shared" si="298"/>
        <v>5.3727515565413348</v>
      </c>
      <c r="E142" s="152">
        <f t="shared" si="298"/>
        <v>5.0527794214484931</v>
      </c>
      <c r="F142" s="152">
        <f t="shared" si="298"/>
        <v>4.3281149839209787</v>
      </c>
      <c r="G142" s="152">
        <f t="shared" si="298"/>
        <v>5.1522643807158266</v>
      </c>
      <c r="H142" s="152">
        <f t="shared" si="298"/>
        <v>4.471696065442968</v>
      </c>
      <c r="I142" s="152">
        <f t="shared" si="298"/>
        <v>3.2246558992020451</v>
      </c>
      <c r="J142" s="152">
        <f t="shared" si="298"/>
        <v>3.8223431293583388</v>
      </c>
      <c r="K142" s="152">
        <f t="shared" si="298"/>
        <v>6.0347824034304338</v>
      </c>
      <c r="L142" s="152">
        <f t="shared" si="298"/>
        <v>5.6427425521721748</v>
      </c>
      <c r="M142" s="152">
        <f t="shared" si="298"/>
        <v>5.7492086780057772</v>
      </c>
      <c r="N142" s="152">
        <f t="shared" si="298"/>
        <v>4.8772411416404129</v>
      </c>
      <c r="O142" s="152">
        <f t="shared" si="298"/>
        <v>4.4435445382352663</v>
      </c>
      <c r="P142" s="152">
        <f t="shared" si="298"/>
        <v>4.764723231476836</v>
      </c>
    </row>
    <row r="143" spans="1:16" x14ac:dyDescent="0.25">
      <c r="A143" s="145" t="str">
        <f t="shared" ref="A143:P143" si="299">A123</f>
        <v>X1 = kapitał pracujący/aktywa ogółem</v>
      </c>
      <c r="B143" s="127">
        <f t="shared" si="299"/>
        <v>-2.7103738616000198E-2</v>
      </c>
      <c r="C143" s="127">
        <f t="shared" si="299"/>
        <v>1.3164238617706081E-2</v>
      </c>
      <c r="D143" s="127">
        <f t="shared" si="299"/>
        <v>5.7645193831964265E-4</v>
      </c>
      <c r="E143" s="127">
        <f t="shared" si="299"/>
        <v>0.10061033288122818</v>
      </c>
      <c r="F143" s="127">
        <f t="shared" si="299"/>
        <v>2.1756883521941859E-2</v>
      </c>
      <c r="G143" s="127">
        <f t="shared" si="299"/>
        <v>0.15542097119761902</v>
      </c>
      <c r="H143" s="127">
        <f t="shared" si="299"/>
        <v>-2.4609695973705836E-2</v>
      </c>
      <c r="I143" s="127">
        <f t="shared" si="299"/>
        <v>-8.486799742433998E-2</v>
      </c>
      <c r="J143" s="127">
        <f t="shared" si="299"/>
        <v>-0.12078663934068809</v>
      </c>
      <c r="K143" s="127">
        <f t="shared" si="299"/>
        <v>9.8656135218607194E-2</v>
      </c>
      <c r="L143" s="127">
        <f t="shared" si="299"/>
        <v>6.1636952971748968E-2</v>
      </c>
      <c r="M143" s="127">
        <f t="shared" si="299"/>
        <v>0.13829988532402276</v>
      </c>
      <c r="N143" s="127">
        <f t="shared" si="299"/>
        <v>-5.7300210993244775E-3</v>
      </c>
      <c r="O143" s="127">
        <f t="shared" si="299"/>
        <v>-1.5868245095714578E-2</v>
      </c>
      <c r="P143" s="127">
        <f t="shared" si="299"/>
        <v>-2.1336962028706389E-2</v>
      </c>
    </row>
    <row r="144" spans="1:16" x14ac:dyDescent="0.25">
      <c r="A144" s="67" t="str">
        <f t="shared" ref="A144:M144" si="300">A124</f>
        <v>aktywa obrotowe</v>
      </c>
      <c r="B144" s="67">
        <f t="shared" si="300"/>
        <v>4984900</v>
      </c>
      <c r="C144" s="67">
        <f t="shared" si="300"/>
        <v>5422700</v>
      </c>
      <c r="D144" s="67">
        <f t="shared" si="300"/>
        <v>3931500</v>
      </c>
      <c r="E144" s="67">
        <f t="shared" si="300"/>
        <v>1134462.04</v>
      </c>
      <c r="F144" s="67">
        <f t="shared" si="300"/>
        <v>604938.98</v>
      </c>
      <c r="G144" s="67">
        <f t="shared" si="300"/>
        <v>733902.97</v>
      </c>
      <c r="H144" s="67">
        <f t="shared" si="300"/>
        <v>3493000</v>
      </c>
      <c r="I144" s="67">
        <f t="shared" si="300"/>
        <v>3969000</v>
      </c>
      <c r="J144" s="67">
        <f t="shared" si="300"/>
        <v>3273000</v>
      </c>
      <c r="K144" s="67">
        <f t="shared" si="300"/>
        <v>2686432</v>
      </c>
      <c r="L144" s="67">
        <f t="shared" si="300"/>
        <v>2802536</v>
      </c>
      <c r="M144" s="67">
        <f t="shared" si="300"/>
        <v>3326442</v>
      </c>
      <c r="N144" s="149">
        <f t="shared" ref="N144:N146" si="301">AVERAGE(B144,E144,H144,K144)</f>
        <v>3074698.51</v>
      </c>
      <c r="O144" s="149">
        <f t="shared" ref="O144:O146" si="302">AVERAGE(C144,F144,I144,L144)</f>
        <v>3199793.7450000001</v>
      </c>
      <c r="P144" s="149">
        <f t="shared" ref="P144:P146" si="303">AVERAGE(D144,G144,J144,M144)</f>
        <v>2816211.2424999997</v>
      </c>
    </row>
    <row r="145" spans="1:16" x14ac:dyDescent="0.25">
      <c r="A145" s="67" t="str">
        <f t="shared" ref="A145:M145" si="304">A125</f>
        <v>zobowiązania krótkoterminowe</v>
      </c>
      <c r="B145" s="67">
        <f t="shared" si="304"/>
        <v>5868200</v>
      </c>
      <c r="C145" s="67">
        <f t="shared" si="304"/>
        <v>5018600</v>
      </c>
      <c r="D145" s="67">
        <f t="shared" si="304"/>
        <v>3915500</v>
      </c>
      <c r="E145" s="67">
        <f t="shared" si="304"/>
        <v>918223.13</v>
      </c>
      <c r="F145" s="67">
        <f t="shared" si="304"/>
        <v>572696.17000000004</v>
      </c>
      <c r="G145" s="67">
        <f t="shared" si="304"/>
        <v>502911.89</v>
      </c>
      <c r="H145" s="67">
        <f t="shared" si="304"/>
        <v>4092000</v>
      </c>
      <c r="I145" s="67">
        <f t="shared" si="304"/>
        <v>5946000</v>
      </c>
      <c r="J145" s="67">
        <f t="shared" si="304"/>
        <v>6043000</v>
      </c>
      <c r="K145" s="67">
        <f t="shared" si="304"/>
        <v>1809809</v>
      </c>
      <c r="L145" s="67">
        <f t="shared" si="304"/>
        <v>2277356</v>
      </c>
      <c r="M145" s="67">
        <f t="shared" si="304"/>
        <v>2105120</v>
      </c>
      <c r="N145" s="149">
        <f t="shared" si="301"/>
        <v>3172058.0324999997</v>
      </c>
      <c r="O145" s="149">
        <f t="shared" si="302"/>
        <v>3453663.0425</v>
      </c>
      <c r="P145" s="149">
        <f t="shared" si="303"/>
        <v>3141632.9725000001</v>
      </c>
    </row>
    <row r="146" spans="1:16" x14ac:dyDescent="0.25">
      <c r="A146" s="67" t="str">
        <f t="shared" ref="A146:M146" si="305">A126</f>
        <v>aktywa ogółem</v>
      </c>
      <c r="B146" s="67">
        <f t="shared" si="305"/>
        <v>32589600</v>
      </c>
      <c r="C146" s="67">
        <f t="shared" si="305"/>
        <v>30696800</v>
      </c>
      <c r="D146" s="67">
        <f t="shared" si="305"/>
        <v>27756000</v>
      </c>
      <c r="E146" s="67">
        <f t="shared" si="305"/>
        <v>2149271.39</v>
      </c>
      <c r="F146" s="67">
        <f t="shared" si="305"/>
        <v>1481959.03</v>
      </c>
      <c r="G146" s="67">
        <f t="shared" si="305"/>
        <v>1486228.52</v>
      </c>
      <c r="H146" s="67">
        <f t="shared" si="305"/>
        <v>24340000</v>
      </c>
      <c r="I146" s="67">
        <f t="shared" si="305"/>
        <v>23295000</v>
      </c>
      <c r="J146" s="67">
        <f t="shared" si="305"/>
        <v>22933000</v>
      </c>
      <c r="K146" s="67">
        <f t="shared" si="305"/>
        <v>8885641</v>
      </c>
      <c r="L146" s="67">
        <f t="shared" si="305"/>
        <v>8520538</v>
      </c>
      <c r="M146" s="67">
        <f t="shared" si="305"/>
        <v>8830969</v>
      </c>
      <c r="N146" s="149">
        <f t="shared" si="301"/>
        <v>16991128.0975</v>
      </c>
      <c r="O146" s="149">
        <f t="shared" si="302"/>
        <v>15998574.2575</v>
      </c>
      <c r="P146" s="149">
        <f t="shared" si="303"/>
        <v>15251549.379999999</v>
      </c>
    </row>
    <row r="147" spans="1:16" x14ac:dyDescent="0.25">
      <c r="A147" s="145" t="str">
        <f t="shared" ref="A147:P147" si="306">A127</f>
        <v>X2 = zysk zatrzymany/aktywa ogółem</v>
      </c>
      <c r="B147" s="127">
        <f t="shared" si="306"/>
        <v>1.4576858875223997E-2</v>
      </c>
      <c r="C147" s="127">
        <f t="shared" si="306"/>
        <v>7.2099371921503222E-3</v>
      </c>
      <c r="D147" s="127">
        <f t="shared" si="306"/>
        <v>3.4053898256232888E-2</v>
      </c>
      <c r="E147" s="127">
        <f t="shared" si="306"/>
        <v>4.1442616513868907E-2</v>
      </c>
      <c r="F147" s="127">
        <f t="shared" si="306"/>
        <v>2.3567790534668154E-3</v>
      </c>
      <c r="G147" s="127">
        <f t="shared" si="306"/>
        <v>3.7934946908433698E-4</v>
      </c>
      <c r="H147" s="127">
        <f t="shared" si="306"/>
        <v>3.7387017255546425E-3</v>
      </c>
      <c r="I147" s="127">
        <f t="shared" si="306"/>
        <v>4.2927666881305E-4</v>
      </c>
      <c r="J147" s="127">
        <f t="shared" si="306"/>
        <v>-2.616317097632233E-3</v>
      </c>
      <c r="K147" s="127">
        <f t="shared" si="306"/>
        <v>9.7566061919449595E-2</v>
      </c>
      <c r="L147" s="127">
        <f t="shared" si="306"/>
        <v>8.7389317435119712E-2</v>
      </c>
      <c r="M147" s="127">
        <f t="shared" si="306"/>
        <v>4.3862230747271337E-2</v>
      </c>
      <c r="N147" s="127">
        <f t="shared" si="306"/>
        <v>2.239495843457194E-2</v>
      </c>
      <c r="O147" s="127">
        <f t="shared" si="306"/>
        <v>1.530478019847388E-2</v>
      </c>
      <c r="P147" s="127">
        <f t="shared" si="306"/>
        <v>2.0868532243509021E-2</v>
      </c>
    </row>
    <row r="148" spans="1:16" x14ac:dyDescent="0.25">
      <c r="A148" s="67" t="str">
        <f t="shared" ref="A148:M148" si="307">A128</f>
        <v>zysk netto</v>
      </c>
      <c r="B148" s="67">
        <f t="shared" si="307"/>
        <v>1114600</v>
      </c>
      <c r="C148" s="67">
        <f t="shared" si="307"/>
        <v>816100</v>
      </c>
      <c r="D148" s="67">
        <f t="shared" si="307"/>
        <v>945200</v>
      </c>
      <c r="E148" s="67">
        <f t="shared" si="307"/>
        <v>89071.43</v>
      </c>
      <c r="F148" s="67">
        <f t="shared" si="307"/>
        <v>3492.65</v>
      </c>
      <c r="G148" s="67">
        <f t="shared" si="307"/>
        <v>563.79999999999995</v>
      </c>
      <c r="H148" s="67">
        <f t="shared" si="307"/>
        <v>91000</v>
      </c>
      <c r="I148" s="67">
        <f t="shared" si="307"/>
        <v>10000</v>
      </c>
      <c r="J148" s="67">
        <f t="shared" si="307"/>
        <v>-60000</v>
      </c>
      <c r="K148" s="67">
        <f t="shared" si="307"/>
        <v>866937</v>
      </c>
      <c r="L148" s="67">
        <f t="shared" si="307"/>
        <v>744604</v>
      </c>
      <c r="M148" s="67">
        <f t="shared" si="307"/>
        <v>387346</v>
      </c>
      <c r="N148" s="149">
        <f t="shared" ref="N148:N150" si="308">AVERAGE(B148,E148,H148,K148)</f>
        <v>540402.10749999993</v>
      </c>
      <c r="O148" s="149">
        <f t="shared" ref="O148:O150" si="309">AVERAGE(C148,F148,I148,L148)</f>
        <v>393549.16249999998</v>
      </c>
      <c r="P148" s="149">
        <f t="shared" ref="P148:P150" si="310">AVERAGE(D148,G148,J148,M148)</f>
        <v>318277.45</v>
      </c>
    </row>
    <row r="149" spans="1:16" x14ac:dyDescent="0.25">
      <c r="A149" s="67" t="str">
        <f t="shared" ref="A149:M149" si="311">A129</f>
        <v>dywidenda</v>
      </c>
      <c r="B149" s="67">
        <f t="shared" si="311"/>
        <v>639546</v>
      </c>
      <c r="C149" s="67">
        <f t="shared" si="311"/>
        <v>594778</v>
      </c>
      <c r="D149" s="67">
        <f t="shared" si="311"/>
        <v>0</v>
      </c>
      <c r="E149" s="67">
        <f t="shared" si="311"/>
        <v>0</v>
      </c>
      <c r="F149" s="67">
        <f t="shared" si="311"/>
        <v>0</v>
      </c>
      <c r="G149" s="67">
        <f t="shared" si="311"/>
        <v>0</v>
      </c>
      <c r="H149" s="67">
        <f t="shared" si="311"/>
        <v>0</v>
      </c>
      <c r="I149" s="67">
        <f t="shared" si="311"/>
        <v>0</v>
      </c>
      <c r="J149" s="67">
        <f t="shared" si="311"/>
        <v>0</v>
      </c>
      <c r="K149" s="67">
        <f t="shared" si="311"/>
        <v>0</v>
      </c>
      <c r="L149" s="67">
        <f t="shared" si="311"/>
        <v>0</v>
      </c>
      <c r="M149" s="67">
        <f t="shared" si="311"/>
        <v>0</v>
      </c>
      <c r="N149" s="149">
        <f t="shared" si="308"/>
        <v>159886.5</v>
      </c>
      <c r="O149" s="149">
        <f t="shared" si="309"/>
        <v>148694.5</v>
      </c>
      <c r="P149" s="149">
        <f t="shared" si="310"/>
        <v>0</v>
      </c>
    </row>
    <row r="150" spans="1:16" x14ac:dyDescent="0.25">
      <c r="A150" s="67" t="str">
        <f t="shared" ref="A150:M150" si="312">A130</f>
        <v>aktywa ogółem</v>
      </c>
      <c r="B150" s="67">
        <f t="shared" si="312"/>
        <v>32589600</v>
      </c>
      <c r="C150" s="67">
        <f t="shared" si="312"/>
        <v>30696800</v>
      </c>
      <c r="D150" s="67">
        <f t="shared" si="312"/>
        <v>27756000</v>
      </c>
      <c r="E150" s="67">
        <f t="shared" si="312"/>
        <v>2149271.39</v>
      </c>
      <c r="F150" s="67">
        <f t="shared" si="312"/>
        <v>1481959.03</v>
      </c>
      <c r="G150" s="67">
        <f t="shared" si="312"/>
        <v>1486228.52</v>
      </c>
      <c r="H150" s="67">
        <f t="shared" si="312"/>
        <v>24340000</v>
      </c>
      <c r="I150" s="67">
        <f t="shared" si="312"/>
        <v>23295000</v>
      </c>
      <c r="J150" s="67">
        <f t="shared" si="312"/>
        <v>22933000</v>
      </c>
      <c r="K150" s="67">
        <f t="shared" si="312"/>
        <v>8885641</v>
      </c>
      <c r="L150" s="67">
        <f t="shared" si="312"/>
        <v>8520538</v>
      </c>
      <c r="M150" s="67">
        <f t="shared" si="312"/>
        <v>8830969</v>
      </c>
      <c r="N150" s="149">
        <f t="shared" si="308"/>
        <v>16991128.0975</v>
      </c>
      <c r="O150" s="149">
        <f t="shared" si="309"/>
        <v>15998574.2575</v>
      </c>
      <c r="P150" s="149">
        <f t="shared" si="310"/>
        <v>15251549.379999999</v>
      </c>
    </row>
    <row r="151" spans="1:16" x14ac:dyDescent="0.25">
      <c r="A151" s="145" t="str">
        <f t="shared" ref="A151:P151" si="313">A131</f>
        <v>X3 = EBIT/aktywa ogółem</v>
      </c>
      <c r="B151" s="148">
        <f t="shared" si="313"/>
        <v>0.12877421017747992</v>
      </c>
      <c r="C151" s="148">
        <f t="shared" si="313"/>
        <v>0.13143715305829923</v>
      </c>
      <c r="D151" s="148">
        <f t="shared" si="313"/>
        <v>0.1385502233751261</v>
      </c>
      <c r="E151" s="148">
        <f t="shared" si="313"/>
        <v>0.14995129582030123</v>
      </c>
      <c r="F151" s="148">
        <f t="shared" si="313"/>
        <v>0.13805159647362181</v>
      </c>
      <c r="G151" s="148">
        <f t="shared" si="313"/>
        <v>0.1311705551175939</v>
      </c>
      <c r="H151" s="148">
        <f t="shared" si="313"/>
        <v>0.11290057518488085</v>
      </c>
      <c r="I151" s="148">
        <f t="shared" si="313"/>
        <v>0</v>
      </c>
      <c r="J151" s="148">
        <f t="shared" si="313"/>
        <v>0.12213840317446474</v>
      </c>
      <c r="K151" s="148">
        <f t="shared" si="313"/>
        <v>0.27076380871115546</v>
      </c>
      <c r="L151" s="148">
        <f t="shared" si="313"/>
        <v>0.25349925086890052</v>
      </c>
      <c r="M151" s="148">
        <f t="shared" si="313"/>
        <v>0.21562061875656002</v>
      </c>
      <c r="N151" s="148">
        <f t="shared" si="313"/>
        <v>0.14232274594267857</v>
      </c>
      <c r="O151" s="148">
        <f t="shared" si="313"/>
        <v>9.9996985778280992E-2</v>
      </c>
      <c r="P151" s="148">
        <f t="shared" si="313"/>
        <v>0.14335737639004387</v>
      </c>
    </row>
    <row r="152" spans="1:16" x14ac:dyDescent="0.25">
      <c r="A152" s="67" t="str">
        <f t="shared" ref="A152:M152" si="314">A132</f>
        <v>EBIT</v>
      </c>
      <c r="B152" s="67">
        <f t="shared" si="314"/>
        <v>4196700</v>
      </c>
      <c r="C152" s="67">
        <f t="shared" si="314"/>
        <v>4034700</v>
      </c>
      <c r="D152" s="67">
        <f t="shared" si="314"/>
        <v>3845600</v>
      </c>
      <c r="E152" s="67">
        <f t="shared" si="314"/>
        <v>322286.03000000003</v>
      </c>
      <c r="F152" s="67">
        <f t="shared" si="314"/>
        <v>204586.81</v>
      </c>
      <c r="G152" s="67">
        <f t="shared" si="314"/>
        <v>194949.42</v>
      </c>
      <c r="H152" s="67">
        <f t="shared" si="314"/>
        <v>2748000</v>
      </c>
      <c r="I152" s="67">
        <f t="shared" si="314"/>
        <v>0</v>
      </c>
      <c r="J152" s="67">
        <f t="shared" si="314"/>
        <v>2801000</v>
      </c>
      <c r="K152" s="67">
        <f t="shared" si="314"/>
        <v>2405910</v>
      </c>
      <c r="L152" s="67">
        <f t="shared" si="314"/>
        <v>2159950</v>
      </c>
      <c r="M152" s="67">
        <f t="shared" si="314"/>
        <v>1904139</v>
      </c>
      <c r="N152" s="149">
        <f t="shared" ref="N152:N153" si="315">AVERAGE(B152,E152,H152,K152)</f>
        <v>2418224.0075000003</v>
      </c>
      <c r="O152" s="149">
        <f t="shared" ref="O152:O153" si="316">AVERAGE(C152,F152,I152,L152)</f>
        <v>1599809.2024999999</v>
      </c>
      <c r="P152" s="149">
        <f t="shared" ref="P152:P153" si="317">AVERAGE(D152,G152,J152,M152)</f>
        <v>2186422.105</v>
      </c>
    </row>
    <row r="153" spans="1:16" x14ac:dyDescent="0.25">
      <c r="A153" s="67" t="str">
        <f t="shared" ref="A153:M153" si="318">A133</f>
        <v>aktywa ogółem</v>
      </c>
      <c r="B153" s="67">
        <f t="shared" si="318"/>
        <v>32589600</v>
      </c>
      <c r="C153" s="67">
        <f t="shared" si="318"/>
        <v>30696800</v>
      </c>
      <c r="D153" s="67">
        <f t="shared" si="318"/>
        <v>27756000</v>
      </c>
      <c r="E153" s="67">
        <f t="shared" si="318"/>
        <v>2149271.39</v>
      </c>
      <c r="F153" s="67">
        <f t="shared" si="318"/>
        <v>1481959.03</v>
      </c>
      <c r="G153" s="67">
        <f t="shared" si="318"/>
        <v>1486228.52</v>
      </c>
      <c r="H153" s="67">
        <f t="shared" si="318"/>
        <v>24340000</v>
      </c>
      <c r="I153" s="67">
        <f t="shared" si="318"/>
        <v>23295000</v>
      </c>
      <c r="J153" s="67">
        <f t="shared" si="318"/>
        <v>22933000</v>
      </c>
      <c r="K153" s="67">
        <f t="shared" si="318"/>
        <v>8885641</v>
      </c>
      <c r="L153" s="67">
        <f t="shared" si="318"/>
        <v>8520538</v>
      </c>
      <c r="M153" s="67">
        <f t="shared" si="318"/>
        <v>8830969</v>
      </c>
      <c r="N153" s="149">
        <f t="shared" si="315"/>
        <v>16991128.0975</v>
      </c>
      <c r="O153" s="149">
        <f t="shared" si="316"/>
        <v>15998574.2575</v>
      </c>
      <c r="P153" s="149">
        <f t="shared" si="317"/>
        <v>15251549.379999999</v>
      </c>
    </row>
    <row r="154" spans="1:16" x14ac:dyDescent="0.25">
      <c r="A154" s="145" t="str">
        <f t="shared" ref="A154:P154" si="319">A134</f>
        <v>X4 = wartość rynkowa/zobowiązania ogółem</v>
      </c>
      <c r="B154" s="148">
        <f t="shared" si="319"/>
        <v>0.95234492343987076</v>
      </c>
      <c r="C154" s="148">
        <f t="shared" si="319"/>
        <v>0.8926939444333476</v>
      </c>
      <c r="D154" s="148">
        <f t="shared" si="319"/>
        <v>1.0256160213617065</v>
      </c>
      <c r="E154" s="148">
        <f t="shared" si="319"/>
        <v>0</v>
      </c>
      <c r="F154" s="148">
        <f t="shared" si="319"/>
        <v>0</v>
      </c>
      <c r="G154" s="148">
        <f t="shared" si="319"/>
        <v>0</v>
      </c>
      <c r="H154" s="148">
        <f t="shared" si="319"/>
        <v>0.58310060777406714</v>
      </c>
      <c r="I154" s="148">
        <f t="shared" si="319"/>
        <v>0.50475287653846157</v>
      </c>
      <c r="J154" s="148">
        <f t="shared" si="319"/>
        <v>0.52615486460869565</v>
      </c>
      <c r="K154" s="148">
        <f t="shared" si="319"/>
        <v>0</v>
      </c>
      <c r="L154" s="148">
        <f t="shared" si="319"/>
        <v>0</v>
      </c>
      <c r="M154" s="148">
        <f t="shared" si="319"/>
        <v>0</v>
      </c>
      <c r="N154" s="148">
        <f t="shared" si="319"/>
        <v>0.60515586935283527</v>
      </c>
      <c r="O154" s="148">
        <f t="shared" si="319"/>
        <v>0.54834942684388654</v>
      </c>
      <c r="P154" s="148">
        <f t="shared" si="319"/>
        <v>0.59361973136211044</v>
      </c>
    </row>
    <row r="155" spans="1:16" x14ac:dyDescent="0.25">
      <c r="A155" s="67" t="str">
        <f t="shared" ref="A155:M155" si="320">A135</f>
        <v>wartość rynkowa</v>
      </c>
      <c r="B155" s="67">
        <f>B135</f>
        <v>17261346.971840002</v>
      </c>
      <c r="C155" s="67">
        <f t="shared" si="320"/>
        <v>15016540.45568</v>
      </c>
      <c r="D155" s="67">
        <f t="shared" si="320"/>
        <v>16039814.081279999</v>
      </c>
      <c r="E155" s="67">
        <f t="shared" si="320"/>
        <v>0</v>
      </c>
      <c r="F155" s="67">
        <f t="shared" si="320"/>
        <v>0</v>
      </c>
      <c r="G155" s="67">
        <f t="shared" si="320"/>
        <v>0</v>
      </c>
      <c r="H155" s="67">
        <f t="shared" si="320"/>
        <v>8031627.7714800006</v>
      </c>
      <c r="I155" s="67">
        <f t="shared" si="320"/>
        <v>6456798.7966800006</v>
      </c>
      <c r="J155" s="67">
        <f t="shared" si="320"/>
        <v>6837382.4655900002</v>
      </c>
      <c r="K155" s="67">
        <f t="shared" si="320"/>
        <v>0</v>
      </c>
      <c r="L155" s="67">
        <f t="shared" si="320"/>
        <v>0</v>
      </c>
      <c r="M155" s="67">
        <f t="shared" si="320"/>
        <v>0</v>
      </c>
      <c r="N155" s="149">
        <f t="shared" ref="N155:N156" si="321">AVERAGE(B155,E155,H155,K155)</f>
        <v>6323243.6858300008</v>
      </c>
      <c r="O155" s="149">
        <f t="shared" ref="O155:O156" si="322">AVERAGE(C155,F155,I155,L155)</f>
        <v>5368334.8130900003</v>
      </c>
      <c r="P155" s="149">
        <f t="shared" ref="P155:P156" si="323">AVERAGE(D155,G155,J155,M155)</f>
        <v>5719299.1367175002</v>
      </c>
    </row>
    <row r="156" spans="1:16" x14ac:dyDescent="0.25">
      <c r="A156" s="67" t="str">
        <f>A136</f>
        <v>zobowiązania ogółem</v>
      </c>
      <c r="B156" s="67">
        <f t="shared" ref="B156:M156" si="324">B136</f>
        <v>18125100</v>
      </c>
      <c r="C156" s="67">
        <f t="shared" si="324"/>
        <v>16821600</v>
      </c>
      <c r="D156" s="67">
        <f t="shared" si="324"/>
        <v>15639200</v>
      </c>
      <c r="E156" s="67">
        <f t="shared" si="324"/>
        <v>1332713.75</v>
      </c>
      <c r="F156" s="67">
        <f t="shared" si="324"/>
        <v>825279.68</v>
      </c>
      <c r="G156" s="67">
        <f t="shared" si="324"/>
        <v>860722.57000000007</v>
      </c>
      <c r="H156" s="67">
        <f t="shared" si="324"/>
        <v>13774000</v>
      </c>
      <c r="I156" s="67">
        <f t="shared" si="324"/>
        <v>12792000</v>
      </c>
      <c r="J156" s="67">
        <f t="shared" si="324"/>
        <v>12995000</v>
      </c>
      <c r="K156" s="67">
        <f t="shared" si="324"/>
        <v>8563988</v>
      </c>
      <c r="L156" s="67">
        <f t="shared" si="324"/>
        <v>8721076</v>
      </c>
      <c r="M156" s="67">
        <f t="shared" si="324"/>
        <v>9043548</v>
      </c>
      <c r="N156" s="149">
        <f t="shared" si="321"/>
        <v>10448950.4375</v>
      </c>
      <c r="O156" s="149">
        <f t="shared" si="322"/>
        <v>9789988.9199999999</v>
      </c>
      <c r="P156" s="149">
        <f t="shared" si="323"/>
        <v>9634617.6425000001</v>
      </c>
    </row>
    <row r="158" spans="1:16" s="67" customFormat="1" x14ac:dyDescent="0.25">
      <c r="A158" s="146" t="s">
        <v>950</v>
      </c>
    </row>
    <row r="159" spans="1:16" s="67" customFormat="1" x14ac:dyDescent="0.25">
      <c r="A159" s="146" t="s">
        <v>963</v>
      </c>
      <c r="B159" s="127">
        <f>EXP(B160)/(1+EXP(B160))</f>
        <v>0.30858976821723949</v>
      </c>
      <c r="C159" s="127">
        <f t="shared" ref="C159:P159" si="325">EXP(C160)/(1+EXP(C160))</f>
        <v>0.3184720565471818</v>
      </c>
      <c r="D159" s="127">
        <f t="shared" si="325"/>
        <v>0.33832304792369772</v>
      </c>
      <c r="E159" s="127">
        <f t="shared" si="325"/>
        <v>0.37148207153304341</v>
      </c>
      <c r="F159" s="127">
        <f t="shared" si="325"/>
        <v>0.36332462440506175</v>
      </c>
      <c r="G159" s="127">
        <f t="shared" si="325"/>
        <v>7.7980418722670905E-2</v>
      </c>
      <c r="H159" s="127">
        <f t="shared" si="325"/>
        <v>0.26632537562725567</v>
      </c>
      <c r="I159" s="127">
        <f t="shared" si="325"/>
        <v>5.7399105375141604E-2</v>
      </c>
      <c r="J159" s="127">
        <f t="shared" si="325"/>
        <v>0.28849640518921449</v>
      </c>
      <c r="K159" s="127">
        <f t="shared" si="325"/>
        <v>0.83848777192195634</v>
      </c>
      <c r="L159" s="127">
        <f t="shared" si="325"/>
        <v>0.4021425693090141</v>
      </c>
      <c r="M159" s="127">
        <f t="shared" si="325"/>
        <v>0.46676927842394722</v>
      </c>
      <c r="N159" s="127">
        <f t="shared" si="325"/>
        <v>0.40839928592357888</v>
      </c>
      <c r="O159" s="127">
        <f t="shared" si="325"/>
        <v>0.4229080665798533</v>
      </c>
      <c r="P159" s="127">
        <f t="shared" si="325"/>
        <v>0.34438145176897161</v>
      </c>
    </row>
    <row r="160" spans="1:16" x14ac:dyDescent="0.25">
      <c r="A160" s="151" t="s">
        <v>962</v>
      </c>
      <c r="B160" s="154">
        <f xml:space="preserve"> -1.32 - 0.407*B161 + 6.03 * B164 - 1.43 * B167 + 0.0757 * B171 - 2.37 * B174 - 1.83 * B177 + 0.285 * B180 -  1.7 * B183 - 0.521 * B184</f>
        <v>-0.80672054212834221</v>
      </c>
      <c r="C160" s="154">
        <f t="shared" ref="C160:D160" si="326" xml:space="preserve"> -1.32 - 0.407*C161 + 6.03 * C164 - 1.43 * C167 + 0.0757 * C171 - 2.37 * C174 - 1.83 * C177 + 0.285 * C180 -  1.7 * C183 - 0.521 * C184</f>
        <v>-0.76080251654388575</v>
      </c>
      <c r="D160" s="154">
        <f t="shared" si="326"/>
        <v>-0.67077624691190685</v>
      </c>
      <c r="E160" s="154">
        <f xml:space="preserve"> -1.32 - 0.407*E161 + 6.03 * E164 - 1.43 * E167 + 0.0757 * E171 - 2.37 * E174 - 1.83 * E177 + 0.285 * E180 -  1.7 * E183 - 0.521 * E184</f>
        <v>-0.52586395010159925</v>
      </c>
      <c r="F160" s="154">
        <f t="shared" ref="F160" si="327" xml:space="preserve"> -1.32 - 0.407*F161 + 6.03 * F164 - 1.43 * F167 + 0.0757 * F171 - 2.37 * F174 - 1.83 * F177 + 0.285 * F180 -  1.7 * F183 - 0.521 * F184</f>
        <v>-0.5609631944834863</v>
      </c>
      <c r="G160" s="154">
        <f t="shared" ref="G160" si="328" xml:space="preserve"> -1.32 - 0.407*G161 + 6.03 * G164 - 1.43 * G167 + 0.0757 * G171 - 2.37 * G174 - 1.83 * G177 + 0.285 * G180 -  1.7 * G183 - 0.521 * G184</f>
        <v>-2.47010870800275</v>
      </c>
      <c r="H160" s="154">
        <f t="shared" ref="H160" si="329" xml:space="preserve"> -1.32 - 0.407*H161 + 6.03 * H164 - 1.43 * H167 + 0.0757 * H171 - 2.37 * H174 - 1.83 * H177 + 0.285 * H180 -  1.7 * H183 - 0.521 * H184</f>
        <v>-1.0133468613811243</v>
      </c>
      <c r="I160" s="154">
        <f t="shared" ref="I160" si="330" xml:space="preserve"> -1.32 - 0.407*I161 + 6.03 * I164 - 1.43 * I167 + 0.0757 * I171 - 2.37 * I174 - 1.83 * I177 + 0.285 * I180 -  1.7 * I183 - 0.521 * I184</f>
        <v>-2.798614246187439</v>
      </c>
      <c r="J160" s="154">
        <f t="shared" ref="J160" si="331" xml:space="preserve"> -1.32 - 0.407*J161 + 6.03 * J164 - 1.43 * J167 + 0.0757 * J171 - 2.37 * J174 - 1.83 * J177 + 0.285 * J180 -  1.7 * J183 - 0.521 * J184</f>
        <v>-0.90269784443557755</v>
      </c>
      <c r="K160" s="154">
        <f t="shared" ref="K160" si="332" xml:space="preserve"> -1.32 - 0.407*K161 + 6.03 * K164 - 1.43 * K167 + 0.0757 * K171 - 2.37 * K174 - 1.83 * K177 + 0.285 * K180 -  1.7 * K183 - 0.521 * K184</f>
        <v>1.6470191424296463</v>
      </c>
      <c r="L160" s="154">
        <f t="shared" ref="L160" si="333" xml:space="preserve"> -1.32 - 0.407*L161 + 6.03 * L164 - 1.43 * L167 + 0.0757 * L171 - 2.37 * L174 - 1.83 * L177 + 0.285 * L180 -  1.7 * L183 - 0.521 * L184</f>
        <v>-0.39654563954266586</v>
      </c>
      <c r="M160" s="154">
        <f t="shared" ref="M160" si="334" xml:space="preserve"> -1.32 - 0.407*M161 + 6.03 * M164 - 1.43 * M167 + 0.0757 * M171 - 2.37 * M174 - 1.83 * M177 + 0.285 * M180 -  1.7 * M183 - 0.521 * M184</f>
        <v>-0.13311911890248415</v>
      </c>
      <c r="N160" s="154">
        <f t="shared" ref="N160" si="335" xml:space="preserve"> -1.32 - 0.407*N161 + 6.03 * N164 - 1.43 * N167 + 0.0757 * N171 - 2.37 * N174 - 1.83 * N177 + 0.285 * N180 -  1.7 * N183 - 0.521 * N184</f>
        <v>-0.37058660004578048</v>
      </c>
      <c r="O160" s="154">
        <f t="shared" ref="O160" si="336" xml:space="preserve"> -1.32 - 0.407*O161 + 6.03 * O164 - 1.43 * O167 + 0.0757 * O171 - 2.37 * O174 - 1.83 * O177 + 0.285 * O180 -  1.7 * O183 - 0.521 * O184</f>
        <v>-0.31084676509942288</v>
      </c>
      <c r="P160" s="154">
        <f t="shared" ref="P160" si="337" xml:space="preserve"> -1.32 - 0.407*P161 + 6.03 * P164 - 1.43 * P167 + 0.0757 * P171 - 2.37 * P174 - 1.83 * P177 + 0.285 * P180 -  1.7 * P183 - 0.521 * P184</f>
        <v>-0.64382922401207754</v>
      </c>
    </row>
    <row r="161" spans="1:16" x14ac:dyDescent="0.25">
      <c r="A161" s="30" t="s">
        <v>951</v>
      </c>
      <c r="B161" s="127">
        <f>LOG10(B162/B163)</f>
        <v>6.8318377926551035</v>
      </c>
      <c r="C161" s="127">
        <f t="shared" ref="C161:P161" si="338">LOG10(C162/C163)</f>
        <v>6.7752858755963636</v>
      </c>
      <c r="D161" s="127">
        <f t="shared" si="338"/>
        <v>6.7553822587836887</v>
      </c>
      <c r="E161" s="127">
        <f t="shared" si="338"/>
        <v>5.6510500202460552</v>
      </c>
      <c r="F161" s="127">
        <f t="shared" si="338"/>
        <v>5.4590289683329729</v>
      </c>
      <c r="G161" s="127">
        <f t="shared" si="338"/>
        <v>5.4841109709140543</v>
      </c>
      <c r="H161" s="127">
        <f t="shared" si="338"/>
        <v>6.7050793365184589</v>
      </c>
      <c r="I161" s="127">
        <f t="shared" si="338"/>
        <v>6.6554554857430483</v>
      </c>
      <c r="J161" s="127">
        <f t="shared" si="338"/>
        <v>6.6724862510156226</v>
      </c>
      <c r="K161" s="127">
        <f t="shared" si="338"/>
        <v>6.2674475254040622</v>
      </c>
      <c r="L161" s="127">
        <f t="shared" si="338"/>
        <v>6.2186597886192398</v>
      </c>
      <c r="M161" s="127">
        <f t="shared" si="338"/>
        <v>6.2580337401980231</v>
      </c>
      <c r="N161" s="127">
        <f t="shared" si="338"/>
        <v>6.5489809767056428</v>
      </c>
      <c r="O161" s="127">
        <f t="shared" si="338"/>
        <v>6.4922740523841229</v>
      </c>
      <c r="P161" s="127">
        <f t="shared" si="338"/>
        <v>6.4953393451567383</v>
      </c>
    </row>
    <row r="162" spans="1:16" x14ac:dyDescent="0.25">
      <c r="A162" t="str">
        <f>A153</f>
        <v>aktywa ogółem</v>
      </c>
      <c r="B162" s="67">
        <f t="shared" ref="B162:M162" si="339">B153</f>
        <v>32589600</v>
      </c>
      <c r="C162" s="67">
        <f t="shared" si="339"/>
        <v>30696800</v>
      </c>
      <c r="D162" s="67">
        <f t="shared" si="339"/>
        <v>27756000</v>
      </c>
      <c r="E162" s="67">
        <f t="shared" si="339"/>
        <v>2149271.39</v>
      </c>
      <c r="F162" s="67">
        <f t="shared" si="339"/>
        <v>1481959.03</v>
      </c>
      <c r="G162" s="67">
        <f t="shared" si="339"/>
        <v>1486228.52</v>
      </c>
      <c r="H162" s="67">
        <f t="shared" si="339"/>
        <v>24340000</v>
      </c>
      <c r="I162" s="67">
        <f t="shared" si="339"/>
        <v>23295000</v>
      </c>
      <c r="J162" s="67">
        <f t="shared" si="339"/>
        <v>22933000</v>
      </c>
      <c r="K162" s="67">
        <f t="shared" si="339"/>
        <v>8885641</v>
      </c>
      <c r="L162" s="67">
        <f t="shared" si="339"/>
        <v>8520538</v>
      </c>
      <c r="M162" s="67">
        <f t="shared" si="339"/>
        <v>8830969</v>
      </c>
      <c r="N162" s="149">
        <f t="shared" ref="N162:N163" si="340">AVERAGE(B162,E162,H162,K162)</f>
        <v>16991128.0975</v>
      </c>
      <c r="O162" s="149">
        <f t="shared" ref="O162:O163" si="341">AVERAGE(C162,F162,I162,L162)</f>
        <v>15998574.2575</v>
      </c>
      <c r="P162" s="149">
        <f t="shared" ref="P162:P163" si="342">AVERAGE(D162,G162,J162,M162)</f>
        <v>15251549.379999999</v>
      </c>
    </row>
    <row r="163" spans="1:16" x14ac:dyDescent="0.25">
      <c r="A163" t="str">
        <f>A36</f>
        <v>PKB</v>
      </c>
      <c r="B163" s="67">
        <f t="shared" ref="B163:M163" si="343">B36</f>
        <v>4.8</v>
      </c>
      <c r="C163" s="67">
        <f t="shared" si="343"/>
        <v>5.15</v>
      </c>
      <c r="D163" s="67">
        <f t="shared" si="343"/>
        <v>4.875</v>
      </c>
      <c r="E163" s="67">
        <f t="shared" si="343"/>
        <v>4.8</v>
      </c>
      <c r="F163" s="67">
        <f t="shared" si="343"/>
        <v>5.15</v>
      </c>
      <c r="G163" s="67">
        <f t="shared" si="343"/>
        <v>4.875</v>
      </c>
      <c r="H163" s="67">
        <f t="shared" si="343"/>
        <v>4.8</v>
      </c>
      <c r="I163" s="67">
        <f t="shared" si="343"/>
        <v>5.15</v>
      </c>
      <c r="J163" s="67">
        <f t="shared" si="343"/>
        <v>4.875</v>
      </c>
      <c r="K163" s="67">
        <f t="shared" si="343"/>
        <v>4.8</v>
      </c>
      <c r="L163" s="67">
        <f t="shared" si="343"/>
        <v>5.15</v>
      </c>
      <c r="M163" s="67">
        <f t="shared" si="343"/>
        <v>4.875</v>
      </c>
      <c r="N163" s="149">
        <f t="shared" si="340"/>
        <v>4.8</v>
      </c>
      <c r="O163" s="149">
        <f t="shared" si="341"/>
        <v>5.15</v>
      </c>
      <c r="P163" s="149">
        <f t="shared" si="342"/>
        <v>4.875</v>
      </c>
    </row>
    <row r="164" spans="1:16" x14ac:dyDescent="0.25">
      <c r="A164" s="30" t="s">
        <v>953</v>
      </c>
      <c r="B164" s="127">
        <f>B165/B166</f>
        <v>0.5561620885190367</v>
      </c>
      <c r="C164" s="127">
        <f t="shared" ref="C164:P164" si="344">C165/C166</f>
        <v>0.54799197310468839</v>
      </c>
      <c r="D164" s="127">
        <f t="shared" si="344"/>
        <v>0.56345294711053462</v>
      </c>
      <c r="E164" s="127">
        <f t="shared" si="344"/>
        <v>0.62007699734932031</v>
      </c>
      <c r="F164" s="127">
        <f t="shared" si="344"/>
        <v>0.55688427499915438</v>
      </c>
      <c r="G164" s="127">
        <f t="shared" si="344"/>
        <v>0.57913205029869841</v>
      </c>
      <c r="H164" s="127">
        <f t="shared" si="344"/>
        <v>0.5658997534921939</v>
      </c>
      <c r="I164" s="127">
        <f t="shared" si="344"/>
        <v>0.54913071474565356</v>
      </c>
      <c r="J164" s="127">
        <f t="shared" si="344"/>
        <v>0.56665067806218117</v>
      </c>
      <c r="K164" s="127">
        <f t="shared" si="344"/>
        <v>0.9638008107687448</v>
      </c>
      <c r="L164" s="127">
        <f t="shared" si="344"/>
        <v>1.0235358377604795</v>
      </c>
      <c r="M164" s="127">
        <f t="shared" si="344"/>
        <v>1.0240719902878155</v>
      </c>
      <c r="N164" s="127">
        <f t="shared" si="344"/>
        <v>0.61496507927789756</v>
      </c>
      <c r="O164" s="127">
        <f t="shared" si="344"/>
        <v>0.61192883580926183</v>
      </c>
      <c r="P164" s="127">
        <f t="shared" si="344"/>
        <v>0.63171402474913674</v>
      </c>
    </row>
    <row r="165" spans="1:16" x14ac:dyDescent="0.25">
      <c r="A165" t="str">
        <f t="shared" ref="A165:M165" si="345">A156</f>
        <v>zobowiązania ogółem</v>
      </c>
      <c r="B165" s="67">
        <f t="shared" si="345"/>
        <v>18125100</v>
      </c>
      <c r="C165" s="67">
        <f t="shared" si="345"/>
        <v>16821600</v>
      </c>
      <c r="D165" s="67">
        <f t="shared" si="345"/>
        <v>15639200</v>
      </c>
      <c r="E165" s="67">
        <f t="shared" si="345"/>
        <v>1332713.75</v>
      </c>
      <c r="F165" s="67">
        <f t="shared" si="345"/>
        <v>825279.68</v>
      </c>
      <c r="G165" s="67">
        <f t="shared" si="345"/>
        <v>860722.57000000007</v>
      </c>
      <c r="H165" s="67">
        <f t="shared" si="345"/>
        <v>13774000</v>
      </c>
      <c r="I165" s="67">
        <f t="shared" si="345"/>
        <v>12792000</v>
      </c>
      <c r="J165" s="67">
        <f t="shared" si="345"/>
        <v>12995000</v>
      </c>
      <c r="K165" s="67">
        <f t="shared" si="345"/>
        <v>8563988</v>
      </c>
      <c r="L165" s="67">
        <f t="shared" si="345"/>
        <v>8721076</v>
      </c>
      <c r="M165" s="67">
        <f t="shared" si="345"/>
        <v>9043548</v>
      </c>
      <c r="N165" s="149">
        <f t="shared" ref="N165:N166" si="346">AVERAGE(B165,E165,H165,K165)</f>
        <v>10448950.4375</v>
      </c>
      <c r="O165" s="149">
        <f t="shared" ref="O165:O166" si="347">AVERAGE(C165,F165,I165,L165)</f>
        <v>9789988.9199999999</v>
      </c>
      <c r="P165" s="149">
        <f t="shared" ref="P165:P166" si="348">AVERAGE(D165,G165,J165,M165)</f>
        <v>9634617.6425000001</v>
      </c>
    </row>
    <row r="166" spans="1:16" x14ac:dyDescent="0.25">
      <c r="A166" t="str">
        <f t="shared" ref="A166:M166" si="349">A150</f>
        <v>aktywa ogółem</v>
      </c>
      <c r="B166" s="67">
        <f t="shared" si="349"/>
        <v>32589600</v>
      </c>
      <c r="C166" s="67">
        <f t="shared" si="349"/>
        <v>30696800</v>
      </c>
      <c r="D166" s="67">
        <f t="shared" si="349"/>
        <v>27756000</v>
      </c>
      <c r="E166" s="67">
        <f t="shared" si="349"/>
        <v>2149271.39</v>
      </c>
      <c r="F166" s="67">
        <f t="shared" si="349"/>
        <v>1481959.03</v>
      </c>
      <c r="G166" s="67">
        <f t="shared" si="349"/>
        <v>1486228.52</v>
      </c>
      <c r="H166" s="67">
        <f t="shared" si="349"/>
        <v>24340000</v>
      </c>
      <c r="I166" s="67">
        <f t="shared" si="349"/>
        <v>23295000</v>
      </c>
      <c r="J166" s="67">
        <f t="shared" si="349"/>
        <v>22933000</v>
      </c>
      <c r="K166" s="67">
        <f t="shared" si="349"/>
        <v>8885641</v>
      </c>
      <c r="L166" s="67">
        <f t="shared" si="349"/>
        <v>8520538</v>
      </c>
      <c r="M166" s="67">
        <f t="shared" si="349"/>
        <v>8830969</v>
      </c>
      <c r="N166" s="149">
        <f t="shared" si="346"/>
        <v>16991128.0975</v>
      </c>
      <c r="O166" s="149">
        <f t="shared" si="347"/>
        <v>15998574.2575</v>
      </c>
      <c r="P166" s="149">
        <f t="shared" si="348"/>
        <v>15251549.379999999</v>
      </c>
    </row>
    <row r="167" spans="1:16" x14ac:dyDescent="0.25">
      <c r="A167" s="145" t="s">
        <v>954</v>
      </c>
      <c r="B167" s="148">
        <f>(B168-B169)/B170</f>
        <v>-2.7103738616000198E-2</v>
      </c>
      <c r="C167" s="148">
        <f t="shared" ref="C167:P167" si="350">(C168-C169)/C170</f>
        <v>1.3164238617706081E-2</v>
      </c>
      <c r="D167" s="148">
        <f t="shared" si="350"/>
        <v>5.7645193831964265E-4</v>
      </c>
      <c r="E167" s="148">
        <f t="shared" si="350"/>
        <v>0.10061033288122818</v>
      </c>
      <c r="F167" s="148">
        <f t="shared" si="350"/>
        <v>2.1756883521941859E-2</v>
      </c>
      <c r="G167" s="148">
        <f t="shared" si="350"/>
        <v>0.15542097119761902</v>
      </c>
      <c r="H167" s="148">
        <f t="shared" si="350"/>
        <v>-2.4609695973705836E-2</v>
      </c>
      <c r="I167" s="148">
        <f t="shared" si="350"/>
        <v>-8.486799742433998E-2</v>
      </c>
      <c r="J167" s="148">
        <f t="shared" si="350"/>
        <v>-0.12078663934068809</v>
      </c>
      <c r="K167" s="148">
        <f t="shared" si="350"/>
        <v>9.8656135218607194E-2</v>
      </c>
      <c r="L167" s="148">
        <f t="shared" si="350"/>
        <v>6.1636952971748968E-2</v>
      </c>
      <c r="M167" s="148">
        <f t="shared" si="350"/>
        <v>0.13829988532402276</v>
      </c>
      <c r="N167" s="148">
        <f t="shared" si="350"/>
        <v>-5.7300210993244775E-3</v>
      </c>
      <c r="O167" s="148">
        <f t="shared" si="350"/>
        <v>-1.5868245095714578E-2</v>
      </c>
      <c r="P167" s="148">
        <f t="shared" si="350"/>
        <v>-2.1336962028706389E-2</v>
      </c>
    </row>
    <row r="168" spans="1:16" x14ac:dyDescent="0.25">
      <c r="A168" s="67" t="str">
        <f t="shared" ref="A168:M168" si="351">A23</f>
        <v>aktywa obrotowe</v>
      </c>
      <c r="B168" s="67">
        <f t="shared" si="351"/>
        <v>4984900</v>
      </c>
      <c r="C168" s="67">
        <f t="shared" si="351"/>
        <v>5422700</v>
      </c>
      <c r="D168" s="67">
        <f t="shared" si="351"/>
        <v>3931500</v>
      </c>
      <c r="E168" s="67">
        <f t="shared" si="351"/>
        <v>1134462.04</v>
      </c>
      <c r="F168" s="67">
        <f t="shared" si="351"/>
        <v>604938.98</v>
      </c>
      <c r="G168" s="67">
        <f t="shared" si="351"/>
        <v>733902.97</v>
      </c>
      <c r="H168" s="67">
        <f t="shared" si="351"/>
        <v>3493000</v>
      </c>
      <c r="I168" s="67">
        <f t="shared" si="351"/>
        <v>3969000</v>
      </c>
      <c r="J168" s="67">
        <f t="shared" si="351"/>
        <v>3273000</v>
      </c>
      <c r="K168" s="67">
        <f t="shared" si="351"/>
        <v>2686432</v>
      </c>
      <c r="L168" s="67">
        <f t="shared" si="351"/>
        <v>2802536</v>
      </c>
      <c r="M168" s="67">
        <f t="shared" si="351"/>
        <v>3326442</v>
      </c>
      <c r="N168" s="149">
        <f t="shared" ref="N168:N170" si="352">AVERAGE(B168,E168,H168,K168)</f>
        <v>3074698.51</v>
      </c>
      <c r="O168" s="149">
        <f t="shared" ref="O168:O170" si="353">AVERAGE(C168,F168,I168,L168)</f>
        <v>3199793.7450000001</v>
      </c>
      <c r="P168" s="149">
        <f t="shared" ref="P168:P170" si="354">AVERAGE(D168,G168,J168,M168)</f>
        <v>2816211.2424999997</v>
      </c>
    </row>
    <row r="169" spans="1:16" x14ac:dyDescent="0.25">
      <c r="A169" s="67" t="str">
        <f t="shared" ref="A169:M169" si="355">A20</f>
        <v>zobowiązania krótkoterminowe</v>
      </c>
      <c r="B169" s="67">
        <f t="shared" si="355"/>
        <v>5868200</v>
      </c>
      <c r="C169" s="67">
        <f t="shared" si="355"/>
        <v>5018600</v>
      </c>
      <c r="D169" s="67">
        <f t="shared" si="355"/>
        <v>3915500</v>
      </c>
      <c r="E169" s="67">
        <f t="shared" si="355"/>
        <v>918223.13</v>
      </c>
      <c r="F169" s="67">
        <f t="shared" si="355"/>
        <v>572696.17000000004</v>
      </c>
      <c r="G169" s="67">
        <f t="shared" si="355"/>
        <v>502911.89</v>
      </c>
      <c r="H169" s="67">
        <f t="shared" si="355"/>
        <v>4092000</v>
      </c>
      <c r="I169" s="67">
        <f t="shared" si="355"/>
        <v>5946000</v>
      </c>
      <c r="J169" s="67">
        <f t="shared" si="355"/>
        <v>6043000</v>
      </c>
      <c r="K169" s="67">
        <f t="shared" si="355"/>
        <v>1809809</v>
      </c>
      <c r="L169" s="67">
        <f t="shared" si="355"/>
        <v>2277356</v>
      </c>
      <c r="M169" s="67">
        <f t="shared" si="355"/>
        <v>2105120</v>
      </c>
      <c r="N169" s="149">
        <f t="shared" si="352"/>
        <v>3172058.0324999997</v>
      </c>
      <c r="O169" s="149">
        <f t="shared" si="353"/>
        <v>3453663.0425</v>
      </c>
      <c r="P169" s="149">
        <f t="shared" si="354"/>
        <v>3141632.9725000001</v>
      </c>
    </row>
    <row r="170" spans="1:16" x14ac:dyDescent="0.25">
      <c r="A170" s="67" t="str">
        <f t="shared" ref="A170:M170" si="356">A9</f>
        <v>aktywa ogółem</v>
      </c>
      <c r="B170" s="67">
        <f t="shared" si="356"/>
        <v>32589600</v>
      </c>
      <c r="C170" s="67">
        <f t="shared" si="356"/>
        <v>30696800</v>
      </c>
      <c r="D170" s="67">
        <f t="shared" si="356"/>
        <v>27756000</v>
      </c>
      <c r="E170" s="67">
        <f t="shared" si="356"/>
        <v>2149271.39</v>
      </c>
      <c r="F170" s="67">
        <f t="shared" si="356"/>
        <v>1481959.03</v>
      </c>
      <c r="G170" s="67">
        <f t="shared" si="356"/>
        <v>1486228.52</v>
      </c>
      <c r="H170" s="67">
        <f t="shared" si="356"/>
        <v>24340000</v>
      </c>
      <c r="I170" s="67">
        <f t="shared" si="356"/>
        <v>23295000</v>
      </c>
      <c r="J170" s="67">
        <f t="shared" si="356"/>
        <v>22933000</v>
      </c>
      <c r="K170" s="67">
        <f t="shared" si="356"/>
        <v>8885641</v>
      </c>
      <c r="L170" s="67">
        <f t="shared" si="356"/>
        <v>8520538</v>
      </c>
      <c r="M170" s="67">
        <f t="shared" si="356"/>
        <v>8830969</v>
      </c>
      <c r="N170" s="149">
        <f t="shared" si="352"/>
        <v>16991128.0975</v>
      </c>
      <c r="O170" s="149">
        <f t="shared" si="353"/>
        <v>15998574.2575</v>
      </c>
      <c r="P170" s="149">
        <f t="shared" si="354"/>
        <v>15251549.379999999</v>
      </c>
    </row>
    <row r="171" spans="1:16" x14ac:dyDescent="0.25">
      <c r="A171" s="30" t="s">
        <v>955</v>
      </c>
      <c r="B171" s="127">
        <f>B172/B173</f>
        <v>0.18006357856494096</v>
      </c>
      <c r="C171" s="127">
        <f t="shared" ref="C171:P171" si="357">C172/C173</f>
        <v>0.1634893539391728</v>
      </c>
      <c r="D171" s="127">
        <f t="shared" si="357"/>
        <v>0.14106859778066003</v>
      </c>
      <c r="E171" s="127">
        <f t="shared" si="357"/>
        <v>0.42722530727029312</v>
      </c>
      <c r="F171" s="127">
        <f t="shared" si="357"/>
        <v>0.38644534592835539</v>
      </c>
      <c r="G171" s="127">
        <f t="shared" si="357"/>
        <v>0.33838126723607753</v>
      </c>
      <c r="H171" s="127">
        <f t="shared" si="357"/>
        <v>0.16811832374691865</v>
      </c>
      <c r="I171" s="127">
        <f t="shared" si="357"/>
        <v>0.25524790727623953</v>
      </c>
      <c r="J171" s="127">
        <f t="shared" si="357"/>
        <v>0.26350673701652638</v>
      </c>
      <c r="K171" s="127">
        <f t="shared" si="357"/>
        <v>0.20367793387106231</v>
      </c>
      <c r="L171" s="127">
        <f t="shared" si="357"/>
        <v>0.26727842772369537</v>
      </c>
      <c r="M171" s="127">
        <f t="shared" si="357"/>
        <v>0.23837927638518491</v>
      </c>
      <c r="N171" s="127">
        <f t="shared" si="357"/>
        <v>0.186689077634976</v>
      </c>
      <c r="O171" s="127">
        <f t="shared" si="357"/>
        <v>0.21587317637888584</v>
      </c>
      <c r="P171" s="127">
        <f t="shared" si="357"/>
        <v>0.20598779141873652</v>
      </c>
    </row>
    <row r="172" spans="1:16" x14ac:dyDescent="0.25">
      <c r="A172" t="str">
        <f>A20</f>
        <v>zobowiązania krótkoterminowe</v>
      </c>
      <c r="B172" s="67">
        <f t="shared" ref="B172:H172" si="358">B20</f>
        <v>5868200</v>
      </c>
      <c r="C172" s="67">
        <f t="shared" si="358"/>
        <v>5018600</v>
      </c>
      <c r="D172" s="67">
        <f t="shared" si="358"/>
        <v>3915500</v>
      </c>
      <c r="E172" s="67">
        <f t="shared" si="358"/>
        <v>918223.13</v>
      </c>
      <c r="F172" s="67">
        <f t="shared" si="358"/>
        <v>572696.17000000004</v>
      </c>
      <c r="G172" s="67">
        <f t="shared" si="358"/>
        <v>502911.89</v>
      </c>
      <c r="H172" s="67">
        <f t="shared" si="358"/>
        <v>4092000</v>
      </c>
      <c r="I172" s="67">
        <f>I20</f>
        <v>5946000</v>
      </c>
      <c r="J172" s="67">
        <f>J20</f>
        <v>6043000</v>
      </c>
      <c r="K172" s="67">
        <f>K20</f>
        <v>1809809</v>
      </c>
      <c r="L172" s="67">
        <f>L20</f>
        <v>2277356</v>
      </c>
      <c r="M172" s="67">
        <f>M20</f>
        <v>2105120</v>
      </c>
      <c r="N172" s="149">
        <f t="shared" ref="N172:N173" si="359">AVERAGE(B172,E172,H172,K172)</f>
        <v>3172058.0324999997</v>
      </c>
      <c r="O172" s="149">
        <f t="shared" ref="O172:O173" si="360">AVERAGE(C172,F172,I172,L172)</f>
        <v>3453663.0425</v>
      </c>
      <c r="P172" s="149">
        <f t="shared" ref="P172:P173" si="361">AVERAGE(D172,G172,J172,M172)</f>
        <v>3141632.9725000001</v>
      </c>
    </row>
    <row r="173" spans="1:16" x14ac:dyDescent="0.25">
      <c r="A173" t="str">
        <f>A9</f>
        <v>aktywa ogółem</v>
      </c>
      <c r="B173" s="67">
        <f t="shared" ref="B173:H173" si="362">B9</f>
        <v>32589600</v>
      </c>
      <c r="C173" s="67">
        <f t="shared" si="362"/>
        <v>30696800</v>
      </c>
      <c r="D173" s="67">
        <f t="shared" si="362"/>
        <v>27756000</v>
      </c>
      <c r="E173" s="67">
        <f t="shared" si="362"/>
        <v>2149271.39</v>
      </c>
      <c r="F173" s="67">
        <f t="shared" si="362"/>
        <v>1481959.03</v>
      </c>
      <c r="G173" s="67">
        <f t="shared" si="362"/>
        <v>1486228.52</v>
      </c>
      <c r="H173" s="67">
        <f t="shared" si="362"/>
        <v>24340000</v>
      </c>
      <c r="I173" s="67">
        <f>I9</f>
        <v>23295000</v>
      </c>
      <c r="J173" s="67">
        <f>J9</f>
        <v>22933000</v>
      </c>
      <c r="K173" s="67">
        <f>K9</f>
        <v>8885641</v>
      </c>
      <c r="L173" s="67">
        <f>L9</f>
        <v>8520538</v>
      </c>
      <c r="M173" s="67">
        <f>M9</f>
        <v>8830969</v>
      </c>
      <c r="N173" s="149">
        <f t="shared" si="359"/>
        <v>16991128.0975</v>
      </c>
      <c r="O173" s="149">
        <f t="shared" si="360"/>
        <v>15998574.2575</v>
      </c>
      <c r="P173" s="149">
        <f t="shared" si="361"/>
        <v>15251549.379999999</v>
      </c>
    </row>
    <row r="174" spans="1:16" x14ac:dyDescent="0.25">
      <c r="A174" s="30" t="s">
        <v>956</v>
      </c>
      <c r="B174" s="30">
        <f>IF(B175&gt;B176,1,0)</f>
        <v>0</v>
      </c>
      <c r="C174" s="30">
        <f t="shared" ref="C174:P174" si="363">IF(C175&gt;C176,1,0)</f>
        <v>0</v>
      </c>
      <c r="D174" s="30">
        <f t="shared" si="363"/>
        <v>0</v>
      </c>
      <c r="E174" s="30">
        <f t="shared" si="363"/>
        <v>0</v>
      </c>
      <c r="F174" s="30">
        <f t="shared" si="363"/>
        <v>0</v>
      </c>
      <c r="G174" s="30">
        <f t="shared" si="363"/>
        <v>0</v>
      </c>
      <c r="H174" s="30">
        <f t="shared" si="363"/>
        <v>0</v>
      </c>
      <c r="I174" s="30">
        <f t="shared" si="363"/>
        <v>0</v>
      </c>
      <c r="J174" s="30">
        <f t="shared" si="363"/>
        <v>0</v>
      </c>
      <c r="K174" s="30">
        <f t="shared" si="363"/>
        <v>0</v>
      </c>
      <c r="L174" s="30">
        <f t="shared" si="363"/>
        <v>1</v>
      </c>
      <c r="M174" s="30">
        <f t="shared" si="363"/>
        <v>1</v>
      </c>
      <c r="N174" s="30">
        <f t="shared" si="363"/>
        <v>0</v>
      </c>
      <c r="O174" s="30">
        <f t="shared" si="363"/>
        <v>0</v>
      </c>
      <c r="P174" s="30">
        <f t="shared" si="363"/>
        <v>0</v>
      </c>
    </row>
    <row r="175" spans="1:16" x14ac:dyDescent="0.25">
      <c r="A175" t="str">
        <f>A165</f>
        <v>zobowiązania ogółem</v>
      </c>
      <c r="B175" s="67">
        <f t="shared" ref="B175:M175" si="364">B165</f>
        <v>18125100</v>
      </c>
      <c r="C175" s="67">
        <f t="shared" si="364"/>
        <v>16821600</v>
      </c>
      <c r="D175" s="67">
        <f t="shared" si="364"/>
        <v>15639200</v>
      </c>
      <c r="E175" s="67">
        <f t="shared" si="364"/>
        <v>1332713.75</v>
      </c>
      <c r="F175" s="67">
        <f t="shared" si="364"/>
        <v>825279.68</v>
      </c>
      <c r="G175" s="67">
        <f t="shared" si="364"/>
        <v>860722.57000000007</v>
      </c>
      <c r="H175" s="67">
        <f t="shared" si="364"/>
        <v>13774000</v>
      </c>
      <c r="I175" s="67">
        <f t="shared" si="364"/>
        <v>12792000</v>
      </c>
      <c r="J175" s="67">
        <f t="shared" si="364"/>
        <v>12995000</v>
      </c>
      <c r="K175" s="67">
        <f t="shared" si="364"/>
        <v>8563988</v>
      </c>
      <c r="L175" s="67">
        <f t="shared" si="364"/>
        <v>8721076</v>
      </c>
      <c r="M175" s="67">
        <f t="shared" si="364"/>
        <v>9043548</v>
      </c>
      <c r="N175" s="149">
        <f t="shared" ref="N175:N176" si="365">AVERAGE(B175,E175,H175,K175)</f>
        <v>10448950.4375</v>
      </c>
      <c r="O175" s="149">
        <f t="shared" ref="O175:O176" si="366">AVERAGE(C175,F175,I175,L175)</f>
        <v>9789988.9199999999</v>
      </c>
      <c r="P175" s="149">
        <f t="shared" ref="P175:P176" si="367">AVERAGE(D175,G175,J175,M175)</f>
        <v>9634617.6425000001</v>
      </c>
    </row>
    <row r="176" spans="1:16" x14ac:dyDescent="0.25">
      <c r="A176" t="str">
        <f t="shared" ref="A176:M176" si="368">A9</f>
        <v>aktywa ogółem</v>
      </c>
      <c r="B176" s="67">
        <f t="shared" si="368"/>
        <v>32589600</v>
      </c>
      <c r="C176" s="67">
        <f t="shared" si="368"/>
        <v>30696800</v>
      </c>
      <c r="D176" s="67">
        <f t="shared" si="368"/>
        <v>27756000</v>
      </c>
      <c r="E176" s="67">
        <f t="shared" si="368"/>
        <v>2149271.39</v>
      </c>
      <c r="F176" s="67">
        <f t="shared" si="368"/>
        <v>1481959.03</v>
      </c>
      <c r="G176" s="67">
        <f t="shared" si="368"/>
        <v>1486228.52</v>
      </c>
      <c r="H176" s="67">
        <f t="shared" si="368"/>
        <v>24340000</v>
      </c>
      <c r="I176" s="67">
        <f t="shared" si="368"/>
        <v>23295000</v>
      </c>
      <c r="J176" s="67">
        <f t="shared" si="368"/>
        <v>22933000</v>
      </c>
      <c r="K176" s="67">
        <f t="shared" si="368"/>
        <v>8885641</v>
      </c>
      <c r="L176" s="67">
        <f t="shared" si="368"/>
        <v>8520538</v>
      </c>
      <c r="M176" s="67">
        <f t="shared" si="368"/>
        <v>8830969</v>
      </c>
      <c r="N176" s="149">
        <f t="shared" si="365"/>
        <v>16991128.0975</v>
      </c>
      <c r="O176" s="149">
        <f t="shared" si="366"/>
        <v>15998574.2575</v>
      </c>
      <c r="P176" s="149">
        <f t="shared" si="367"/>
        <v>15251549.379999999</v>
      </c>
    </row>
    <row r="177" spans="1:16" x14ac:dyDescent="0.25">
      <c r="A177" s="30" t="s">
        <v>957</v>
      </c>
      <c r="B177" s="127">
        <f>B178/B179</f>
        <v>3.4201094827797825E-2</v>
      </c>
      <c r="C177" s="127">
        <f t="shared" ref="C177:P177" si="369">C178/C179</f>
        <v>2.658583305100206E-2</v>
      </c>
      <c r="D177" s="127">
        <f t="shared" si="369"/>
        <v>3.4053898256232888E-2</v>
      </c>
      <c r="E177" s="127">
        <f t="shared" si="369"/>
        <v>4.1442616513868907E-2</v>
      </c>
      <c r="F177" s="127">
        <f t="shared" si="369"/>
        <v>2.3567790534668154E-3</v>
      </c>
      <c r="G177" s="127">
        <f t="shared" si="369"/>
        <v>3.7934946908433698E-4</v>
      </c>
      <c r="H177" s="127">
        <f t="shared" si="369"/>
        <v>3.7387017255546425E-3</v>
      </c>
      <c r="I177" s="127">
        <f t="shared" si="369"/>
        <v>4.2927666881305E-4</v>
      </c>
      <c r="J177" s="127">
        <f t="shared" si="369"/>
        <v>-2.616317097632233E-3</v>
      </c>
      <c r="K177" s="127">
        <f t="shared" si="369"/>
        <v>9.7566061919449595E-2</v>
      </c>
      <c r="L177" s="127">
        <f t="shared" si="369"/>
        <v>8.7389317435119712E-2</v>
      </c>
      <c r="M177" s="127">
        <f t="shared" si="369"/>
        <v>4.3862230747271337E-2</v>
      </c>
      <c r="N177" s="127">
        <f t="shared" si="369"/>
        <v>3.1804957528365187E-2</v>
      </c>
      <c r="O177" s="127">
        <f t="shared" si="369"/>
        <v>2.4599014647540069E-2</v>
      </c>
      <c r="P177" s="127">
        <f t="shared" si="369"/>
        <v>2.0868532243509021E-2</v>
      </c>
    </row>
    <row r="178" spans="1:16" x14ac:dyDescent="0.25">
      <c r="A178" t="str">
        <f t="shared" ref="A178:M178" si="370">A8</f>
        <v>zysk netto</v>
      </c>
      <c r="B178" s="67">
        <f t="shared" si="370"/>
        <v>1114600</v>
      </c>
      <c r="C178" s="67">
        <f t="shared" si="370"/>
        <v>816100</v>
      </c>
      <c r="D178" s="67">
        <f t="shared" si="370"/>
        <v>945200</v>
      </c>
      <c r="E178" s="67">
        <f t="shared" si="370"/>
        <v>89071.43</v>
      </c>
      <c r="F178" s="67">
        <f t="shared" si="370"/>
        <v>3492.65</v>
      </c>
      <c r="G178" s="67">
        <f t="shared" si="370"/>
        <v>563.79999999999995</v>
      </c>
      <c r="H178" s="67">
        <f t="shared" si="370"/>
        <v>91000</v>
      </c>
      <c r="I178" s="67">
        <f t="shared" si="370"/>
        <v>10000</v>
      </c>
      <c r="J178" s="67">
        <f t="shared" si="370"/>
        <v>-60000</v>
      </c>
      <c r="K178" s="67">
        <f t="shared" si="370"/>
        <v>866937</v>
      </c>
      <c r="L178" s="67">
        <f t="shared" si="370"/>
        <v>744604</v>
      </c>
      <c r="M178" s="67">
        <f t="shared" si="370"/>
        <v>387346</v>
      </c>
      <c r="N178" s="149">
        <f t="shared" ref="N178:N179" si="371">AVERAGE(B178,E178,H178,K178)</f>
        <v>540402.10749999993</v>
      </c>
      <c r="O178" s="149">
        <f t="shared" ref="O178:O179" si="372">AVERAGE(C178,F178,I178,L178)</f>
        <v>393549.16249999998</v>
      </c>
      <c r="P178" s="149">
        <f t="shared" ref="P178:P179" si="373">AVERAGE(D178,G178,J178,M178)</f>
        <v>318277.45</v>
      </c>
    </row>
    <row r="179" spans="1:16" x14ac:dyDescent="0.25">
      <c r="A179" t="str">
        <f t="shared" ref="A179:M179" si="374">A9</f>
        <v>aktywa ogółem</v>
      </c>
      <c r="B179" s="67">
        <f t="shared" si="374"/>
        <v>32589600</v>
      </c>
      <c r="C179" s="67">
        <f t="shared" si="374"/>
        <v>30696800</v>
      </c>
      <c r="D179" s="67">
        <f t="shared" si="374"/>
        <v>27756000</v>
      </c>
      <c r="E179" s="67">
        <f t="shared" si="374"/>
        <v>2149271.39</v>
      </c>
      <c r="F179" s="67">
        <f t="shared" si="374"/>
        <v>1481959.03</v>
      </c>
      <c r="G179" s="67">
        <f t="shared" si="374"/>
        <v>1486228.52</v>
      </c>
      <c r="H179" s="67">
        <f t="shared" si="374"/>
        <v>24340000</v>
      </c>
      <c r="I179" s="67">
        <f t="shared" si="374"/>
        <v>23295000</v>
      </c>
      <c r="J179" s="67">
        <f t="shared" si="374"/>
        <v>22933000</v>
      </c>
      <c r="K179" s="67">
        <f t="shared" si="374"/>
        <v>8885641</v>
      </c>
      <c r="L179" s="67">
        <f t="shared" si="374"/>
        <v>8520538</v>
      </c>
      <c r="M179" s="67">
        <f t="shared" si="374"/>
        <v>8830969</v>
      </c>
      <c r="N179" s="149">
        <f t="shared" si="371"/>
        <v>16991128.0975</v>
      </c>
      <c r="O179" s="149">
        <f t="shared" si="372"/>
        <v>15998574.2575</v>
      </c>
      <c r="P179" s="149">
        <f t="shared" si="373"/>
        <v>15251549.379999999</v>
      </c>
    </row>
    <row r="180" spans="1:16" x14ac:dyDescent="0.25">
      <c r="A180" s="30" t="s">
        <v>958</v>
      </c>
      <c r="B180" s="127">
        <f>B181/B182</f>
        <v>0.10852353918047349</v>
      </c>
      <c r="C180" s="127">
        <f t="shared" ref="C180:P180" si="375">C181/C182</f>
        <v>0.10266562039282827</v>
      </c>
      <c r="D180" s="127">
        <f t="shared" si="375"/>
        <v>0.11726942554606373</v>
      </c>
      <c r="E180" s="127">
        <f t="shared" si="375"/>
        <v>8.457519103408366E-2</v>
      </c>
      <c r="F180" s="127">
        <f t="shared" si="375"/>
        <v>1.8227057280751174E-2</v>
      </c>
      <c r="G180" s="127">
        <f t="shared" si="375"/>
        <v>2.83822114714617E-2</v>
      </c>
      <c r="H180" s="127">
        <f t="shared" si="375"/>
        <v>0</v>
      </c>
      <c r="I180" s="127">
        <f t="shared" si="375"/>
        <v>0</v>
      </c>
      <c r="J180" s="127">
        <f t="shared" si="375"/>
        <v>1.7622162370142361E-2</v>
      </c>
      <c r="K180" s="127">
        <f t="shared" si="375"/>
        <v>0.17511070776839013</v>
      </c>
      <c r="L180" s="127">
        <f t="shared" si="375"/>
        <v>0.15716638634957431</v>
      </c>
      <c r="M180" s="127">
        <f t="shared" si="375"/>
        <v>0.12239477249415827</v>
      </c>
      <c r="N180" s="127">
        <f t="shared" si="375"/>
        <v>8.5639235763673327E-2</v>
      </c>
      <c r="O180" s="127">
        <f t="shared" si="375"/>
        <v>7.9486872902405692E-2</v>
      </c>
      <c r="P180" s="127">
        <f t="shared" si="375"/>
        <v>8.2886325345941203E-2</v>
      </c>
    </row>
    <row r="181" spans="1:16" x14ac:dyDescent="0.25">
      <c r="A181" t="str">
        <f t="shared" ref="A181:M181" si="376">A12</f>
        <v>zysk na działalności operacyjnej</v>
      </c>
      <c r="B181" s="67">
        <f t="shared" si="376"/>
        <v>1967000</v>
      </c>
      <c r="C181" s="67">
        <f t="shared" si="376"/>
        <v>1727000</v>
      </c>
      <c r="D181" s="67">
        <f t="shared" si="376"/>
        <v>1834000</v>
      </c>
      <c r="E181" s="67">
        <f t="shared" si="376"/>
        <v>112714.52</v>
      </c>
      <c r="F181" s="67">
        <f t="shared" si="376"/>
        <v>15042.42</v>
      </c>
      <c r="G181" s="67">
        <f t="shared" si="376"/>
        <v>24429.21</v>
      </c>
      <c r="H181" s="67">
        <f t="shared" si="376"/>
        <v>0</v>
      </c>
      <c r="I181" s="67">
        <f t="shared" si="376"/>
        <v>0</v>
      </c>
      <c r="J181" s="67">
        <f t="shared" si="376"/>
        <v>229000</v>
      </c>
      <c r="K181" s="67">
        <f t="shared" si="376"/>
        <v>1499646</v>
      </c>
      <c r="L181" s="67">
        <f t="shared" si="376"/>
        <v>1370660</v>
      </c>
      <c r="M181" s="67">
        <f t="shared" si="376"/>
        <v>1106883</v>
      </c>
      <c r="N181" s="149">
        <f>AVERAGE(B181,E181,H181,K181)</f>
        <v>894840.13</v>
      </c>
      <c r="O181" s="149">
        <f t="shared" ref="O181:O182" si="377">AVERAGE(C181,F181,I181,L181)</f>
        <v>778175.60499999998</v>
      </c>
      <c r="P181" s="149">
        <f t="shared" ref="P181:P182" si="378">AVERAGE(D181,G181,J181,M181)</f>
        <v>798578.05249999999</v>
      </c>
    </row>
    <row r="182" spans="1:16" x14ac:dyDescent="0.25">
      <c r="A182" t="str">
        <f>A175</f>
        <v>zobowiązania ogółem</v>
      </c>
      <c r="B182" s="67">
        <f t="shared" ref="B182:M182" si="379">B175</f>
        <v>18125100</v>
      </c>
      <c r="C182" s="67">
        <f t="shared" si="379"/>
        <v>16821600</v>
      </c>
      <c r="D182" s="67">
        <f t="shared" si="379"/>
        <v>15639200</v>
      </c>
      <c r="E182" s="67">
        <f t="shared" si="379"/>
        <v>1332713.75</v>
      </c>
      <c r="F182" s="67">
        <f t="shared" si="379"/>
        <v>825279.68</v>
      </c>
      <c r="G182" s="67">
        <f t="shared" si="379"/>
        <v>860722.57000000007</v>
      </c>
      <c r="H182" s="67">
        <f t="shared" si="379"/>
        <v>13774000</v>
      </c>
      <c r="I182" s="67">
        <f t="shared" si="379"/>
        <v>12792000</v>
      </c>
      <c r="J182" s="67">
        <f t="shared" si="379"/>
        <v>12995000</v>
      </c>
      <c r="K182" s="67">
        <f t="shared" si="379"/>
        <v>8563988</v>
      </c>
      <c r="L182" s="67">
        <f t="shared" si="379"/>
        <v>8721076</v>
      </c>
      <c r="M182" s="67">
        <f t="shared" si="379"/>
        <v>9043548</v>
      </c>
      <c r="N182" s="149">
        <f t="shared" ref="N182" si="380">AVERAGE(B182,E182,H182,K182)</f>
        <v>10448950.4375</v>
      </c>
      <c r="O182" s="149">
        <f t="shared" si="377"/>
        <v>9789988.9199999999</v>
      </c>
      <c r="P182" s="149">
        <f t="shared" si="378"/>
        <v>9634617.6425000001</v>
      </c>
    </row>
    <row r="183" spans="1:16" x14ac:dyDescent="0.25">
      <c r="A183" s="30" t="s">
        <v>959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1</v>
      </c>
      <c r="H183" s="30">
        <v>0</v>
      </c>
      <c r="I183" s="30">
        <v>1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</row>
    <row r="184" spans="1:16" x14ac:dyDescent="0.25">
      <c r="A184" s="30" t="s">
        <v>960</v>
      </c>
      <c r="B184" s="127">
        <f>(B185-B186)/(ABS(B185)+ABS(B186))</f>
        <v>0.15460713730771222</v>
      </c>
      <c r="C184" s="127">
        <f t="shared" ref="C184:O184" si="381">(C185-C186)/(ABS(C185)+ABS(C186))</f>
        <v>-7.3298132061545451E-2</v>
      </c>
      <c r="D184" s="127">
        <f t="shared" si="381"/>
        <v>-3.8551520699827077E-2</v>
      </c>
      <c r="E184" s="127">
        <f t="shared" si="381"/>
        <v>0.92453552177043197</v>
      </c>
      <c r="F184" s="127">
        <f t="shared" si="381"/>
        <v>0.7220229511025652</v>
      </c>
      <c r="G184" s="127">
        <f t="shared" si="381"/>
        <v>1</v>
      </c>
      <c r="H184" s="127">
        <f t="shared" si="381"/>
        <v>0.80198019801980203</v>
      </c>
      <c r="I184" s="127">
        <f t="shared" si="381"/>
        <v>1</v>
      </c>
      <c r="J184" s="127">
        <f t="shared" si="381"/>
        <v>0.93355481727574752</v>
      </c>
      <c r="K184" s="127">
        <f t="shared" si="381"/>
        <v>7.5910572551365435E-2</v>
      </c>
      <c r="L184" s="127">
        <f t="shared" si="381"/>
        <v>0.31561288042758073</v>
      </c>
      <c r="M184" s="127">
        <f t="shared" si="381"/>
        <v>-0.29530788641122718</v>
      </c>
      <c r="N184" s="127">
        <f t="shared" si="381"/>
        <v>0.1572383374991288</v>
      </c>
      <c r="O184" s="127">
        <f t="shared" si="381"/>
        <v>0.10574444840666863</v>
      </c>
      <c r="P184" s="127">
        <f>(P185-P186)/(ABS(P185)+ABS(P186))</f>
        <v>1</v>
      </c>
    </row>
    <row r="185" spans="1:16" x14ac:dyDescent="0.25">
      <c r="A185" t="str">
        <f t="shared" ref="A185:M185" si="382">A8</f>
        <v>zysk netto</v>
      </c>
      <c r="B185" s="67">
        <f t="shared" si="382"/>
        <v>1114600</v>
      </c>
      <c r="C185" s="67">
        <f t="shared" si="382"/>
        <v>816100</v>
      </c>
      <c r="D185" s="67">
        <f t="shared" si="382"/>
        <v>945200</v>
      </c>
      <c r="E185" s="67">
        <f t="shared" si="382"/>
        <v>89071.43</v>
      </c>
      <c r="F185" s="67">
        <f t="shared" si="382"/>
        <v>3492.65</v>
      </c>
      <c r="G185" s="67">
        <f t="shared" si="382"/>
        <v>563.79999999999995</v>
      </c>
      <c r="H185" s="67">
        <f t="shared" si="382"/>
        <v>91000</v>
      </c>
      <c r="I185" s="67">
        <f t="shared" si="382"/>
        <v>10000</v>
      </c>
      <c r="J185" s="67">
        <f t="shared" si="382"/>
        <v>-60000</v>
      </c>
      <c r="K185" s="67">
        <f t="shared" si="382"/>
        <v>866937</v>
      </c>
      <c r="L185" s="67">
        <f t="shared" si="382"/>
        <v>744604</v>
      </c>
      <c r="M185" s="67">
        <f t="shared" si="382"/>
        <v>387346</v>
      </c>
      <c r="N185" s="149">
        <f>AVERAGE(B185,E185,H185,K185)</f>
        <v>540402.10749999993</v>
      </c>
      <c r="O185" s="149">
        <f t="shared" ref="O185:O186" si="383">AVERAGE(C185,F185,I185,L185)</f>
        <v>393549.16249999998</v>
      </c>
      <c r="P185" s="149">
        <f t="shared" ref="P185:P186" si="384">AVERAGE(D185,G185,J185,M185)</f>
        <v>318277.45</v>
      </c>
    </row>
    <row r="186" spans="1:16" x14ac:dyDescent="0.25">
      <c r="A186" t="str">
        <f t="shared" ref="A186:M186" si="385">A37</f>
        <v>zysk netto za rok poprzedni</v>
      </c>
      <c r="B186" s="67">
        <f t="shared" si="385"/>
        <v>816100</v>
      </c>
      <c r="C186" s="67">
        <f t="shared" si="385"/>
        <v>945200</v>
      </c>
      <c r="D186" s="67">
        <f t="shared" si="385"/>
        <v>1021000</v>
      </c>
      <c r="E186" s="67">
        <f t="shared" si="385"/>
        <v>3492.65</v>
      </c>
      <c r="F186" s="67">
        <f t="shared" si="385"/>
        <v>563.79999999999995</v>
      </c>
      <c r="G186" s="67">
        <f t="shared" si="385"/>
        <v>-176746.74</v>
      </c>
      <c r="H186" s="67">
        <f t="shared" si="385"/>
        <v>10000</v>
      </c>
      <c r="I186" s="67">
        <f t="shared" si="385"/>
        <v>-60000</v>
      </c>
      <c r="J186" s="67">
        <f t="shared" si="385"/>
        <v>-1746000</v>
      </c>
      <c r="K186" s="67">
        <f t="shared" si="385"/>
        <v>744604</v>
      </c>
      <c r="L186" s="67">
        <f t="shared" si="385"/>
        <v>387346</v>
      </c>
      <c r="M186" s="67">
        <f t="shared" si="385"/>
        <v>711988</v>
      </c>
      <c r="N186" s="149">
        <f t="shared" ref="N186" si="386">AVERAGE(B186,E186,H186,K186)</f>
        <v>393549.16249999998</v>
      </c>
      <c r="O186" s="149">
        <f t="shared" si="383"/>
        <v>318277.45</v>
      </c>
      <c r="P186" s="149">
        <f t="shared" si="384"/>
        <v>-47439.684999999998</v>
      </c>
    </row>
    <row r="188" spans="1:16" x14ac:dyDescent="0.25">
      <c r="A188" s="146" t="s">
        <v>964</v>
      </c>
    </row>
    <row r="189" spans="1:16" x14ac:dyDescent="0.25">
      <c r="A189" s="30" t="s">
        <v>963</v>
      </c>
      <c r="B189" s="127">
        <f>EXP(B190)/(1+EXP(B190))</f>
        <v>0.99999999962222774</v>
      </c>
      <c r="C189" s="127">
        <f t="shared" ref="C189:G189" si="387">EXP(C190)/(1+EXP(C190))</f>
        <v>0.99999997542859187</v>
      </c>
      <c r="D189" s="127">
        <f t="shared" si="387"/>
        <v>0.9999999823532385</v>
      </c>
      <c r="E189" s="127">
        <f t="shared" si="387"/>
        <v>1</v>
      </c>
      <c r="F189" s="127">
        <f t="shared" si="387"/>
        <v>1</v>
      </c>
      <c r="G189" s="127">
        <f t="shared" si="387"/>
        <v>1</v>
      </c>
      <c r="H189" s="127">
        <f t="shared" ref="H189" si="388">EXP(H190)/(1+EXP(H190))</f>
        <v>0.99999999660024597</v>
      </c>
      <c r="I189" s="127">
        <f t="shared" ref="I189" si="389">EXP(I190)/(1+EXP(I190))</f>
        <v>0.99999998200845208</v>
      </c>
      <c r="J189" s="127">
        <f t="shared" ref="J189" si="390">EXP(J190)/(1+EXP(J190))</f>
        <v>0.99999997501470506</v>
      </c>
      <c r="K189" s="127">
        <f t="shared" ref="K189" si="391">EXP(K190)/(1+EXP(K190))</f>
        <v>0.9999999999999627</v>
      </c>
      <c r="L189" s="127">
        <f t="shared" ref="L189" si="392">EXP(L190)/(1+EXP(L190))</f>
        <v>0.99999999999994449</v>
      </c>
      <c r="M189" s="127">
        <f t="shared" ref="M189" si="393">EXP(M190)/(1+EXP(M190))</f>
        <v>0.99999999999998279</v>
      </c>
      <c r="N189" s="127">
        <f t="shared" ref="N189" si="394">EXP(N190)/(1+EXP(N190))</f>
        <v>0.99999999989224109</v>
      </c>
      <c r="O189" s="127">
        <f t="shared" ref="O189" si="395">EXP(O190)/(1+EXP(O190))</f>
        <v>0.9999999991041798</v>
      </c>
      <c r="P189" s="127">
        <f t="shared" ref="P189" si="396">EXP(P190)/(1+EXP(P190))</f>
        <v>0.99999999903243109</v>
      </c>
    </row>
    <row r="190" spans="1:16" x14ac:dyDescent="0.25">
      <c r="A190" s="53" t="s">
        <v>966</v>
      </c>
      <c r="B190" s="127">
        <f xml:space="preserve"> -19 - 11 * B191+6*B194+40*B198+19*B201</f>
        <v>21.69672948427835</v>
      </c>
      <c r="C190" s="127">
        <f t="shared" ref="C190:P190" si="397" xml:space="preserve"> -19 - 11 * C191+6*C194+40*C198+19*C201</f>
        <v>17.521682316058776</v>
      </c>
      <c r="D190" s="127">
        <f t="shared" si="397"/>
        <v>17.852713537104144</v>
      </c>
      <c r="E190" s="127">
        <f t="shared" si="397"/>
        <v>76.247519288719403</v>
      </c>
      <c r="F190" s="127">
        <f t="shared" si="397"/>
        <v>85.381515113513728</v>
      </c>
      <c r="G190" s="127">
        <f t="shared" si="397"/>
        <v>74.096548602700025</v>
      </c>
      <c r="H190" s="127">
        <f t="shared" si="397"/>
        <v>19.499562751145749</v>
      </c>
      <c r="I190" s="127">
        <f t="shared" si="397"/>
        <v>17.8333637326621</v>
      </c>
      <c r="J190" s="127">
        <f t="shared" si="397"/>
        <v>17.504978360603022</v>
      </c>
      <c r="K190" s="127">
        <f t="shared" si="397"/>
        <v>30.91840215923801</v>
      </c>
      <c r="L190" s="127">
        <f t="shared" si="397"/>
        <v>30.521861298154228</v>
      </c>
      <c r="M190" s="127">
        <f t="shared" si="397"/>
        <v>31.692350116989449</v>
      </c>
      <c r="N190" s="127">
        <f t="shared" si="397"/>
        <v>22.95112518527446</v>
      </c>
      <c r="O190" s="127">
        <f t="shared" si="397"/>
        <v>20.833281421001626</v>
      </c>
      <c r="P190" s="127">
        <f t="shared" si="397"/>
        <v>20.756234440295014</v>
      </c>
    </row>
    <row r="191" spans="1:16" x14ac:dyDescent="0.25">
      <c r="A191" s="30" t="s">
        <v>965</v>
      </c>
      <c r="B191" s="127">
        <f>B192/B193</f>
        <v>0.5561620885190367</v>
      </c>
      <c r="C191" s="127">
        <f t="shared" ref="C191:P191" si="398">C192/C193</f>
        <v>0.54799197310468839</v>
      </c>
      <c r="D191" s="127">
        <f t="shared" si="398"/>
        <v>0.56345294711053462</v>
      </c>
      <c r="E191" s="127">
        <f t="shared" si="398"/>
        <v>0.62007699734932031</v>
      </c>
      <c r="F191" s="127">
        <f t="shared" si="398"/>
        <v>0.55688427499915438</v>
      </c>
      <c r="G191" s="127">
        <f t="shared" si="398"/>
        <v>0.57913205029869841</v>
      </c>
      <c r="H191" s="127">
        <f t="shared" si="398"/>
        <v>0.5658997534921939</v>
      </c>
      <c r="I191" s="127">
        <f t="shared" si="398"/>
        <v>0.54913071474565356</v>
      </c>
      <c r="J191" s="127">
        <f t="shared" si="398"/>
        <v>0.56665067806218117</v>
      </c>
      <c r="K191" s="127">
        <f t="shared" si="398"/>
        <v>0.9638008107687448</v>
      </c>
      <c r="L191" s="127">
        <f t="shared" si="398"/>
        <v>1.0235358377604795</v>
      </c>
      <c r="M191" s="127">
        <f t="shared" si="398"/>
        <v>1.0240719902878155</v>
      </c>
      <c r="N191" s="127">
        <f t="shared" si="398"/>
        <v>0.61496507927789756</v>
      </c>
      <c r="O191" s="127">
        <f t="shared" si="398"/>
        <v>0.61192883580926183</v>
      </c>
      <c r="P191" s="127">
        <f t="shared" si="398"/>
        <v>0.63171402474913674</v>
      </c>
    </row>
    <row r="192" spans="1:16" x14ac:dyDescent="0.25">
      <c r="A192" s="67" t="str">
        <f>A182</f>
        <v>zobowiązania ogółem</v>
      </c>
      <c r="B192" s="67">
        <f t="shared" ref="B192:M192" si="399">B182</f>
        <v>18125100</v>
      </c>
      <c r="C192" s="67">
        <f t="shared" si="399"/>
        <v>16821600</v>
      </c>
      <c r="D192" s="67">
        <f t="shared" si="399"/>
        <v>15639200</v>
      </c>
      <c r="E192" s="67">
        <f t="shared" si="399"/>
        <v>1332713.75</v>
      </c>
      <c r="F192" s="67">
        <f t="shared" si="399"/>
        <v>825279.68</v>
      </c>
      <c r="G192" s="67">
        <f t="shared" si="399"/>
        <v>860722.57000000007</v>
      </c>
      <c r="H192" s="67">
        <f t="shared" si="399"/>
        <v>13774000</v>
      </c>
      <c r="I192" s="67">
        <f t="shared" si="399"/>
        <v>12792000</v>
      </c>
      <c r="J192" s="67">
        <f t="shared" si="399"/>
        <v>12995000</v>
      </c>
      <c r="K192" s="67">
        <f t="shared" si="399"/>
        <v>8563988</v>
      </c>
      <c r="L192" s="67">
        <f t="shared" si="399"/>
        <v>8721076</v>
      </c>
      <c r="M192" s="67">
        <f t="shared" si="399"/>
        <v>9043548</v>
      </c>
      <c r="N192" s="149">
        <f>AVERAGE(B192,E192,H192,K192)</f>
        <v>10448950.4375</v>
      </c>
      <c r="O192" s="149">
        <f t="shared" ref="O192:O193" si="400">AVERAGE(C192,F192,I192,L192)</f>
        <v>9789988.9199999999</v>
      </c>
      <c r="P192" s="149">
        <f t="shared" ref="P192:P193" si="401">AVERAGE(D192,G192,J192,M192)</f>
        <v>9634617.6425000001</v>
      </c>
    </row>
    <row r="193" spans="1:18" x14ac:dyDescent="0.25">
      <c r="A193" s="67" t="str">
        <f>A9</f>
        <v>aktywa ogółem</v>
      </c>
      <c r="B193" s="67">
        <f t="shared" ref="B193:M193" si="402">B9</f>
        <v>32589600</v>
      </c>
      <c r="C193" s="67">
        <f t="shared" si="402"/>
        <v>30696800</v>
      </c>
      <c r="D193" s="67">
        <f t="shared" si="402"/>
        <v>27756000</v>
      </c>
      <c r="E193" s="67">
        <f t="shared" si="402"/>
        <v>2149271.39</v>
      </c>
      <c r="F193" s="67">
        <f t="shared" si="402"/>
        <v>1481959.03</v>
      </c>
      <c r="G193" s="67">
        <f t="shared" si="402"/>
        <v>1486228.52</v>
      </c>
      <c r="H193" s="67">
        <f t="shared" si="402"/>
        <v>24340000</v>
      </c>
      <c r="I193" s="67">
        <f t="shared" si="402"/>
        <v>23295000</v>
      </c>
      <c r="J193" s="67">
        <f t="shared" si="402"/>
        <v>22933000</v>
      </c>
      <c r="K193" s="67">
        <f t="shared" si="402"/>
        <v>8885641</v>
      </c>
      <c r="L193" s="67">
        <f t="shared" si="402"/>
        <v>8520538</v>
      </c>
      <c r="M193" s="67">
        <f t="shared" si="402"/>
        <v>8830969</v>
      </c>
      <c r="N193" s="149">
        <f t="shared" ref="N193" si="403">AVERAGE(B193,E193,H193,K193)</f>
        <v>16991128.0975</v>
      </c>
      <c r="O193" s="149">
        <f t="shared" si="400"/>
        <v>15998574.2575</v>
      </c>
      <c r="P193" s="149">
        <f t="shared" si="401"/>
        <v>15251549.379999999</v>
      </c>
    </row>
    <row r="194" spans="1:18" x14ac:dyDescent="0.25">
      <c r="A194" s="30" t="s">
        <v>967</v>
      </c>
      <c r="B194" s="127">
        <f>(B195-B196)/B197</f>
        <v>0.79719505129341195</v>
      </c>
      <c r="C194" s="127">
        <f t="shared" ref="C194:P194" si="404">(C195-C196)/C197</f>
        <v>1.0020125134499662</v>
      </c>
      <c r="D194" s="127">
        <f t="shared" si="404"/>
        <v>0.93163069850593794</v>
      </c>
      <c r="E194" s="127">
        <f t="shared" si="404"/>
        <v>0.74837332838696835</v>
      </c>
      <c r="F194" s="127">
        <f t="shared" si="404"/>
        <v>0.43743330778691952</v>
      </c>
      <c r="G194" s="127">
        <f t="shared" si="404"/>
        <v>0.80552068474658645</v>
      </c>
      <c r="H194" s="127">
        <f t="shared" si="404"/>
        <v>0.80034213098729223</v>
      </c>
      <c r="I194" s="127">
        <f t="shared" si="404"/>
        <v>0.62714429868819377</v>
      </c>
      <c r="J194" s="127">
        <f t="shared" si="404"/>
        <v>0.50570908489161015</v>
      </c>
      <c r="K194" s="127">
        <f t="shared" si="404"/>
        <v>1.3909119691635967</v>
      </c>
      <c r="L194" s="127">
        <f t="shared" si="404"/>
        <v>1.1561837499275476</v>
      </c>
      <c r="M194" s="127">
        <f t="shared" si="404"/>
        <v>1.5045047313217299</v>
      </c>
      <c r="N194" s="127">
        <f t="shared" si="404"/>
        <v>0.87936275012017773</v>
      </c>
      <c r="O194" s="127">
        <f t="shared" si="404"/>
        <v>0.84267473670312476</v>
      </c>
      <c r="P194" s="127">
        <f t="shared" si="404"/>
        <v>0.81773308817027957</v>
      </c>
    </row>
    <row r="195" spans="1:18" x14ac:dyDescent="0.25">
      <c r="A195" t="str">
        <f>A23</f>
        <v>aktywa obrotowe</v>
      </c>
      <c r="B195" s="67">
        <f t="shared" ref="B195:M195" si="405">B23</f>
        <v>4984900</v>
      </c>
      <c r="C195" s="67">
        <f t="shared" si="405"/>
        <v>5422700</v>
      </c>
      <c r="D195" s="67">
        <f t="shared" si="405"/>
        <v>3931500</v>
      </c>
      <c r="E195" s="67">
        <f t="shared" si="405"/>
        <v>1134462.04</v>
      </c>
      <c r="F195" s="67">
        <f t="shared" si="405"/>
        <v>604938.98</v>
      </c>
      <c r="G195" s="67">
        <f t="shared" si="405"/>
        <v>733902.97</v>
      </c>
      <c r="H195" s="67">
        <f t="shared" si="405"/>
        <v>3493000</v>
      </c>
      <c r="I195" s="67">
        <f t="shared" si="405"/>
        <v>3969000</v>
      </c>
      <c r="J195" s="67">
        <f t="shared" si="405"/>
        <v>3273000</v>
      </c>
      <c r="K195" s="67">
        <f t="shared" si="405"/>
        <v>2686432</v>
      </c>
      <c r="L195" s="67">
        <f t="shared" si="405"/>
        <v>2802536</v>
      </c>
      <c r="M195" s="67">
        <f t="shared" si="405"/>
        <v>3326442</v>
      </c>
      <c r="N195" s="149">
        <f>AVERAGE(B195,E195,H195,K195)</f>
        <v>3074698.51</v>
      </c>
      <c r="O195" s="149">
        <f t="shared" ref="O195:O197" si="406">AVERAGE(C195,F195,I195,L195)</f>
        <v>3199793.7450000001</v>
      </c>
      <c r="P195" s="149">
        <f t="shared" ref="P195:P197" si="407">AVERAGE(D195,G195,J195,M195)</f>
        <v>2816211.2424999997</v>
      </c>
    </row>
    <row r="196" spans="1:18" x14ac:dyDescent="0.25">
      <c r="A196" t="str">
        <f>A32</f>
        <v>zapasy</v>
      </c>
      <c r="B196" s="67">
        <f t="shared" ref="B196:M196" si="408">B32</f>
        <v>306800</v>
      </c>
      <c r="C196" s="67">
        <f t="shared" si="408"/>
        <v>394000</v>
      </c>
      <c r="D196" s="67">
        <f t="shared" si="408"/>
        <v>283700</v>
      </c>
      <c r="E196" s="67">
        <f t="shared" si="408"/>
        <v>447288.34</v>
      </c>
      <c r="F196" s="67">
        <f t="shared" si="408"/>
        <v>354422.6</v>
      </c>
      <c r="G196" s="67">
        <f t="shared" si="408"/>
        <v>328797.03999999998</v>
      </c>
      <c r="H196" s="67">
        <f t="shared" si="408"/>
        <v>218000</v>
      </c>
      <c r="I196" s="67">
        <f t="shared" si="408"/>
        <v>240000</v>
      </c>
      <c r="J196" s="67">
        <f t="shared" si="408"/>
        <v>217000</v>
      </c>
      <c r="K196" s="67">
        <f t="shared" si="408"/>
        <v>169147</v>
      </c>
      <c r="L196" s="67">
        <f t="shared" si="408"/>
        <v>169494</v>
      </c>
      <c r="M196" s="67">
        <f t="shared" si="408"/>
        <v>159279</v>
      </c>
      <c r="N196" s="149">
        <f>AVERAGE(B196,E196,H196,K196)</f>
        <v>285308.83500000002</v>
      </c>
      <c r="O196" s="149">
        <f t="shared" si="406"/>
        <v>289479.15000000002</v>
      </c>
      <c r="P196" s="149">
        <f t="shared" si="407"/>
        <v>247194.01</v>
      </c>
    </row>
    <row r="197" spans="1:18" x14ac:dyDescent="0.25">
      <c r="A197" t="str">
        <f>A20</f>
        <v>zobowiązania krótkoterminowe</v>
      </c>
      <c r="B197" s="67">
        <f t="shared" ref="B197:M197" si="409">B20</f>
        <v>5868200</v>
      </c>
      <c r="C197" s="67">
        <f t="shared" si="409"/>
        <v>5018600</v>
      </c>
      <c r="D197" s="67">
        <f t="shared" si="409"/>
        <v>3915500</v>
      </c>
      <c r="E197" s="67">
        <f t="shared" si="409"/>
        <v>918223.13</v>
      </c>
      <c r="F197" s="67">
        <f t="shared" si="409"/>
        <v>572696.17000000004</v>
      </c>
      <c r="G197" s="67">
        <f t="shared" si="409"/>
        <v>502911.89</v>
      </c>
      <c r="H197" s="67">
        <f t="shared" si="409"/>
        <v>4092000</v>
      </c>
      <c r="I197" s="67">
        <f t="shared" si="409"/>
        <v>5946000</v>
      </c>
      <c r="J197" s="67">
        <f t="shared" si="409"/>
        <v>6043000</v>
      </c>
      <c r="K197" s="67">
        <f t="shared" si="409"/>
        <v>1809809</v>
      </c>
      <c r="L197" s="67">
        <f t="shared" si="409"/>
        <v>2277356</v>
      </c>
      <c r="M197" s="67">
        <f t="shared" si="409"/>
        <v>2105120</v>
      </c>
      <c r="N197" s="149">
        <f t="shared" ref="N197" si="410">AVERAGE(B197,E197,H197,K197)</f>
        <v>3172058.0324999997</v>
      </c>
      <c r="O197" s="149">
        <f t="shared" si="406"/>
        <v>3453663.0425</v>
      </c>
      <c r="P197" s="149">
        <f t="shared" si="407"/>
        <v>3141632.9725000001</v>
      </c>
    </row>
    <row r="198" spans="1:18" x14ac:dyDescent="0.25">
      <c r="A198" s="30" t="s">
        <v>968</v>
      </c>
      <c r="B198" s="127">
        <f>B199/B200</f>
        <v>0.35827687360384908</v>
      </c>
      <c r="C198" s="127">
        <f t="shared" ref="C198:P198" si="411">C199/C200</f>
        <v>0.34811771911078682</v>
      </c>
      <c r="D198" s="127">
        <f t="shared" si="411"/>
        <v>0.35410722006052747</v>
      </c>
      <c r="E198" s="127">
        <f t="shared" si="411"/>
        <v>1.259649629449541</v>
      </c>
      <c r="F198" s="127">
        <f t="shared" si="411"/>
        <v>1.4879277533063786</v>
      </c>
      <c r="G198" s="127">
        <f t="shared" si="411"/>
        <v>1.1958645700056947</v>
      </c>
      <c r="H198" s="127">
        <f t="shared" si="411"/>
        <v>0.46861133935907973</v>
      </c>
      <c r="I198" s="127">
        <f t="shared" si="411"/>
        <v>0.47654003004936679</v>
      </c>
      <c r="J198" s="127">
        <f t="shared" si="411"/>
        <v>0.49627174813587405</v>
      </c>
      <c r="K198" s="127">
        <f t="shared" si="411"/>
        <v>0.79237423614120805</v>
      </c>
      <c r="L198" s="127">
        <f t="shared" si="411"/>
        <v>0.80266621661683801</v>
      </c>
      <c r="M198" s="127">
        <f t="shared" si="411"/>
        <v>0.75528053603177636</v>
      </c>
      <c r="N198" s="127">
        <f t="shared" si="411"/>
        <v>0.48304888471222945</v>
      </c>
      <c r="O198" s="127">
        <f t="shared" si="411"/>
        <v>0.48178193059213603</v>
      </c>
      <c r="P198" s="127">
        <f t="shared" si="411"/>
        <v>0.486127446646342</v>
      </c>
    </row>
    <row r="199" spans="1:18" x14ac:dyDescent="0.25">
      <c r="A199" s="53" t="s">
        <v>970</v>
      </c>
      <c r="B199" s="67">
        <f>B4</f>
        <v>11676100</v>
      </c>
      <c r="C199" s="67">
        <f t="shared" ref="C199:M199" si="412">C4</f>
        <v>10686100</v>
      </c>
      <c r="D199" s="67">
        <f t="shared" si="412"/>
        <v>9828600</v>
      </c>
      <c r="E199" s="67">
        <f t="shared" si="412"/>
        <v>2707328.91</v>
      </c>
      <c r="F199" s="67">
        <f t="shared" si="412"/>
        <v>2205047.9700000002</v>
      </c>
      <c r="G199" s="67">
        <f t="shared" si="412"/>
        <v>1777328.03</v>
      </c>
      <c r="H199" s="67">
        <f t="shared" si="412"/>
        <v>11406000</v>
      </c>
      <c r="I199" s="67">
        <f t="shared" si="412"/>
        <v>11101000</v>
      </c>
      <c r="J199" s="67">
        <f t="shared" si="412"/>
        <v>11381000</v>
      </c>
      <c r="K199" s="67">
        <f t="shared" si="412"/>
        <v>7040753</v>
      </c>
      <c r="L199" s="67">
        <f t="shared" si="412"/>
        <v>6839148</v>
      </c>
      <c r="M199" s="67">
        <f t="shared" si="412"/>
        <v>6669859</v>
      </c>
      <c r="N199" s="149">
        <f>AVERAGE(B199,E199,H199,K199)</f>
        <v>8207545.4775</v>
      </c>
      <c r="O199" s="149">
        <f t="shared" ref="O199:O200" si="413">AVERAGE(C199,F199,I199,L199)</f>
        <v>7707823.9924999997</v>
      </c>
      <c r="P199" s="149">
        <f t="shared" ref="P199:P200" si="414">AVERAGE(D199,G199,J199,M199)</f>
        <v>7414196.7575000003</v>
      </c>
      <c r="Q199" s="67"/>
      <c r="R199" s="67"/>
    </row>
    <row r="200" spans="1:18" x14ac:dyDescent="0.25">
      <c r="A200" t="str">
        <f>A9</f>
        <v>aktywa ogółem</v>
      </c>
      <c r="B200" s="67">
        <f>B9</f>
        <v>32589600</v>
      </c>
      <c r="C200" s="67">
        <f t="shared" ref="C200:M200" si="415">C9</f>
        <v>30696800</v>
      </c>
      <c r="D200" s="67">
        <f t="shared" si="415"/>
        <v>27756000</v>
      </c>
      <c r="E200" s="67">
        <f t="shared" si="415"/>
        <v>2149271.39</v>
      </c>
      <c r="F200" s="67">
        <f t="shared" si="415"/>
        <v>1481959.03</v>
      </c>
      <c r="G200" s="67">
        <f t="shared" si="415"/>
        <v>1486228.52</v>
      </c>
      <c r="H200" s="67">
        <f t="shared" si="415"/>
        <v>24340000</v>
      </c>
      <c r="I200" s="67">
        <f t="shared" si="415"/>
        <v>23295000</v>
      </c>
      <c r="J200" s="67">
        <f t="shared" si="415"/>
        <v>22933000</v>
      </c>
      <c r="K200" s="67">
        <f t="shared" si="415"/>
        <v>8885641</v>
      </c>
      <c r="L200" s="67">
        <f t="shared" si="415"/>
        <v>8520538</v>
      </c>
      <c r="M200" s="67">
        <f t="shared" si="415"/>
        <v>8830969</v>
      </c>
      <c r="N200" s="149">
        <f>AVERAGE(B200,E200,H200,K200)</f>
        <v>16991128.0975</v>
      </c>
      <c r="O200" s="149">
        <f t="shared" si="413"/>
        <v>15998574.2575</v>
      </c>
      <c r="P200" s="149">
        <f t="shared" si="414"/>
        <v>15251549.379999999</v>
      </c>
      <c r="Q200" s="67"/>
      <c r="R200" s="67"/>
    </row>
    <row r="201" spans="1:18" x14ac:dyDescent="0.25">
      <c r="A201" s="30" t="s">
        <v>969</v>
      </c>
      <c r="B201" s="127">
        <f>B202/-B203</f>
        <v>1.4579088003196483</v>
      </c>
      <c r="C201" s="127">
        <f>C202/-C203</f>
        <v>1.1901479039515304</v>
      </c>
      <c r="D201" s="127">
        <f t="shared" ref="D201" si="416">D202/-D203</f>
        <v>1.226138050624384</v>
      </c>
      <c r="E201" s="127">
        <f t="shared" ref="E201" si="417">E202/-E203</f>
        <v>2.4837969005925515</v>
      </c>
      <c r="F201" s="127">
        <f t="shared" ref="F201" si="418">F202/-F203</f>
        <v>2.5455543241856722</v>
      </c>
      <c r="G201" s="127">
        <f t="shared" ref="G201" si="419">G202/-G203</f>
        <v>2.463120749856758</v>
      </c>
      <c r="H201" s="127">
        <f t="shared" ref="H201" si="420">H202/-H203</f>
        <v>1.1146291410143654</v>
      </c>
      <c r="I201" s="127">
        <f t="shared" ref="I201" si="421">I202/-I203</f>
        <v>1.0552281368821292</v>
      </c>
      <c r="J201" s="127">
        <f t="shared" ref="J201" si="422">J202/-J203</f>
        <v>1.0448953360264415</v>
      </c>
      <c r="K201" s="127">
        <f t="shared" ref="K201" si="423">K202/-K203</f>
        <v>1.0778826219507527</v>
      </c>
      <c r="L201" s="127">
        <f t="shared" ref="L201" si="424">L202/-L203</f>
        <v>1.1440528604884577</v>
      </c>
      <c r="M201" s="127">
        <f t="shared" ref="M201" si="425">M202/-M203</f>
        <v>1.1957311674186308</v>
      </c>
      <c r="N201" s="127">
        <f t="shared" ref="N201" si="426">N202/-N203</f>
        <v>1.2693478509537415</v>
      </c>
      <c r="O201" s="127">
        <f t="shared" ref="O201" si="427">O202/-O203</f>
        <v>1.1703775247894377</v>
      </c>
      <c r="P201" s="127">
        <f t="shared" ref="P201" si="428">P202/-P203</f>
        <v>1.1765048588242188</v>
      </c>
    </row>
    <row r="202" spans="1:18" x14ac:dyDescent="0.25">
      <c r="A202" s="53" t="s">
        <v>276</v>
      </c>
      <c r="B202" s="67">
        <f>B4</f>
        <v>11676100</v>
      </c>
      <c r="C202" s="67">
        <f t="shared" ref="C202:M202" si="429">C4</f>
        <v>10686100</v>
      </c>
      <c r="D202" s="67">
        <f t="shared" si="429"/>
        <v>9828600</v>
      </c>
      <c r="E202" s="67">
        <f t="shared" si="429"/>
        <v>2707328.91</v>
      </c>
      <c r="F202" s="67">
        <f t="shared" si="429"/>
        <v>2205047.9700000002</v>
      </c>
      <c r="G202" s="67">
        <f t="shared" si="429"/>
        <v>1777328.03</v>
      </c>
      <c r="H202" s="67">
        <f t="shared" si="429"/>
        <v>11406000</v>
      </c>
      <c r="I202" s="67">
        <f t="shared" si="429"/>
        <v>11101000</v>
      </c>
      <c r="J202" s="67">
        <f t="shared" si="429"/>
        <v>11381000</v>
      </c>
      <c r="K202" s="67">
        <f t="shared" si="429"/>
        <v>7040753</v>
      </c>
      <c r="L202" s="67">
        <f t="shared" si="429"/>
        <v>6839148</v>
      </c>
      <c r="M202" s="67">
        <f t="shared" si="429"/>
        <v>6669859</v>
      </c>
      <c r="N202" s="149">
        <f>AVERAGE(B202,E202,H202,K202)</f>
        <v>8207545.4775</v>
      </c>
      <c r="O202" s="149">
        <f t="shared" ref="O202:O203" si="430">AVERAGE(C202,F202,I202,L202)</f>
        <v>7707823.9924999997</v>
      </c>
      <c r="P202" s="149">
        <f t="shared" ref="P202:P203" si="431">AVERAGE(D202,G202,J202,M202)</f>
        <v>7414196.7575000003</v>
      </c>
    </row>
    <row r="203" spans="1:18" x14ac:dyDescent="0.25">
      <c r="A203" t="str">
        <f>A30</f>
        <v>koszty operacyjne</v>
      </c>
      <c r="B203" s="67">
        <f>B30</f>
        <v>-8008800</v>
      </c>
      <c r="C203" s="67">
        <f t="shared" ref="C203:M203" si="432">C30</f>
        <v>-8978800</v>
      </c>
      <c r="D203" s="67">
        <f>D30</f>
        <v>-8015900</v>
      </c>
      <c r="E203" s="67">
        <f t="shared" si="432"/>
        <v>-1089996.0900000001</v>
      </c>
      <c r="F203" s="67">
        <f t="shared" si="432"/>
        <v>-866234.89</v>
      </c>
      <c r="G203" s="67">
        <f t="shared" si="432"/>
        <v>-721575.68</v>
      </c>
      <c r="H203" s="67">
        <f t="shared" si="432"/>
        <v>-10233000</v>
      </c>
      <c r="I203" s="67">
        <f t="shared" si="432"/>
        <v>-10520000</v>
      </c>
      <c r="J203" s="67">
        <f t="shared" si="432"/>
        <v>-10892000</v>
      </c>
      <c r="K203" s="67">
        <f t="shared" si="432"/>
        <v>-6532022</v>
      </c>
      <c r="L203" s="67">
        <f t="shared" si="432"/>
        <v>-5978000</v>
      </c>
      <c r="M203" s="67">
        <f t="shared" si="432"/>
        <v>-5578059</v>
      </c>
      <c r="N203" s="149">
        <f>AVERAGE(B203,E203,H203,K203)</f>
        <v>-6465954.5225</v>
      </c>
      <c r="O203" s="149">
        <f t="shared" si="430"/>
        <v>-6585758.7225000001</v>
      </c>
      <c r="P203" s="149">
        <f t="shared" si="431"/>
        <v>-6301883.6699999999</v>
      </c>
    </row>
    <row r="205" spans="1:18" x14ac:dyDescent="0.25">
      <c r="A205" s="146" t="s">
        <v>971</v>
      </c>
    </row>
    <row r="206" spans="1:18" x14ac:dyDescent="0.25">
      <c r="A206" s="30" t="s">
        <v>963</v>
      </c>
      <c r="B206" s="127">
        <f>EXP(B207)/(1+EXP(B207))</f>
        <v>0.99999999082423008</v>
      </c>
      <c r="C206" s="127">
        <f t="shared" ref="C206:L206" si="433">EXP(C207)/(1+EXP(C207))</f>
        <v>0.9999999937254247</v>
      </c>
      <c r="D206" s="127">
        <f t="shared" si="433"/>
        <v>0.99999999542502838</v>
      </c>
      <c r="E206" s="127">
        <f t="shared" si="433"/>
        <v>0.96835510325563323</v>
      </c>
      <c r="F206" s="127">
        <f t="shared" si="433"/>
        <v>0.95634179576721301</v>
      </c>
      <c r="G206" s="127">
        <f t="shared" si="433"/>
        <v>0.98406963576148632</v>
      </c>
      <c r="H206" s="127">
        <f t="shared" si="433"/>
        <v>0.99999961274704385</v>
      </c>
      <c r="I206" s="127">
        <f t="shared" si="433"/>
        <v>0.99999865695437673</v>
      </c>
      <c r="J206" s="127">
        <f t="shared" si="433"/>
        <v>0.99999813174218222</v>
      </c>
      <c r="K206" s="127">
        <f t="shared" si="433"/>
        <v>0.99992655064427705</v>
      </c>
      <c r="L206" s="127">
        <f t="shared" si="433"/>
        <v>0.9998043056</v>
      </c>
      <c r="M206" s="127">
        <f t="shared" ref="M206" si="434">EXP(M207)/(1+EXP(M207))</f>
        <v>0.99987515374909308</v>
      </c>
      <c r="N206" s="127">
        <f t="shared" ref="N206" si="435">EXP(N207)/(1+EXP(N207))</f>
        <v>0.99999920628511374</v>
      </c>
      <c r="O206" s="127">
        <f t="shared" ref="O206" si="436">EXP(O207)/(1+EXP(O207))</f>
        <v>0.99999876910099972</v>
      </c>
      <c r="P206" s="127">
        <f t="shared" ref="P206" si="437">EXP(P207)/(1+EXP(P207))</f>
        <v>0.99999884047067922</v>
      </c>
    </row>
    <row r="207" spans="1:18" x14ac:dyDescent="0.25">
      <c r="A207" s="53" t="s">
        <v>975</v>
      </c>
      <c r="B207" s="154">
        <f xml:space="preserve"> - 2.368 + 3.562 * B208 + 1.588 * B211 + 4.288 * B215 + 6.719 * B219</f>
        <v>18.506699522360435</v>
      </c>
      <c r="C207" s="154">
        <f t="shared" ref="C207:P207" si="438" xml:space="preserve"> - 2.368 + 3.562 * C208 + 1.588 * C211 + 4.288 * C215 + 6.719 * C219</f>
        <v>18.886760035911074</v>
      </c>
      <c r="D207" s="154">
        <f t="shared" si="438"/>
        <v>19.202665340038614</v>
      </c>
      <c r="E207" s="154">
        <f t="shared" si="438"/>
        <v>3.4210219669274577</v>
      </c>
      <c r="F207" s="154">
        <f t="shared" si="438"/>
        <v>3.0867241565506069</v>
      </c>
      <c r="G207" s="154">
        <f t="shared" si="438"/>
        <v>4.1234696739968193</v>
      </c>
      <c r="H207" s="154">
        <f t="shared" si="438"/>
        <v>14.764187336621369</v>
      </c>
      <c r="I207" s="154">
        <f t="shared" si="438"/>
        <v>13.52056932675969</v>
      </c>
      <c r="J207" s="154">
        <f t="shared" si="438"/>
        <v>13.19050234136199</v>
      </c>
      <c r="K207" s="154">
        <f t="shared" si="438"/>
        <v>9.5188409749711802</v>
      </c>
      <c r="L207" s="154">
        <f t="shared" si="438"/>
        <v>8.5387605856483795</v>
      </c>
      <c r="M207" s="154">
        <f t="shared" si="438"/>
        <v>8.9883027164239664</v>
      </c>
      <c r="N207" s="154">
        <f t="shared" si="438"/>
        <v>14.04654073172556</v>
      </c>
      <c r="O207" s="154">
        <f t="shared" si="438"/>
        <v>13.607764530113837</v>
      </c>
      <c r="P207" s="154">
        <f t="shared" si="438"/>
        <v>13.667495233596727</v>
      </c>
    </row>
    <row r="208" spans="1:18" x14ac:dyDescent="0.25">
      <c r="A208" s="30" t="s">
        <v>972</v>
      </c>
      <c r="B208" s="127">
        <f>B209/B210</f>
        <v>3.4201094827797825E-2</v>
      </c>
      <c r="C208" s="127">
        <f t="shared" ref="C208:P208" si="439">C209/C210</f>
        <v>2.658583305100206E-2</v>
      </c>
      <c r="D208" s="127">
        <f t="shared" si="439"/>
        <v>3.4053898256232888E-2</v>
      </c>
      <c r="E208" s="127">
        <f t="shared" si="439"/>
        <v>4.1442616513868907E-2</v>
      </c>
      <c r="F208" s="127">
        <f t="shared" si="439"/>
        <v>2.3567790534668154E-3</v>
      </c>
      <c r="G208" s="127">
        <f t="shared" si="439"/>
        <v>3.7934946908433698E-4</v>
      </c>
      <c r="H208" s="127">
        <f t="shared" si="439"/>
        <v>3.7387017255546425E-3</v>
      </c>
      <c r="I208" s="127">
        <f t="shared" si="439"/>
        <v>4.2927666881305E-4</v>
      </c>
      <c r="J208" s="127">
        <f t="shared" si="439"/>
        <v>-2.616317097632233E-3</v>
      </c>
      <c r="K208" s="127">
        <f t="shared" si="439"/>
        <v>9.7566061919449595E-2</v>
      </c>
      <c r="L208" s="127">
        <f t="shared" si="439"/>
        <v>8.7389317435119712E-2</v>
      </c>
      <c r="M208" s="127">
        <f t="shared" si="439"/>
        <v>4.3862230747271337E-2</v>
      </c>
      <c r="N208" s="127">
        <f t="shared" si="439"/>
        <v>3.1804957528365187E-2</v>
      </c>
      <c r="O208" s="127">
        <f t="shared" si="439"/>
        <v>2.4599014647540069E-2</v>
      </c>
      <c r="P208" s="127">
        <f t="shared" si="439"/>
        <v>2.0868532243509021E-2</v>
      </c>
    </row>
    <row r="209" spans="1:17" x14ac:dyDescent="0.25">
      <c r="A209" t="str">
        <f>A8</f>
        <v>zysk netto</v>
      </c>
      <c r="B209" s="67">
        <f t="shared" ref="B209:M209" si="440">B8</f>
        <v>1114600</v>
      </c>
      <c r="C209" s="67">
        <f t="shared" si="440"/>
        <v>816100</v>
      </c>
      <c r="D209" s="67">
        <f t="shared" si="440"/>
        <v>945200</v>
      </c>
      <c r="E209" s="67">
        <f t="shared" si="440"/>
        <v>89071.43</v>
      </c>
      <c r="F209" s="67">
        <f t="shared" si="440"/>
        <v>3492.65</v>
      </c>
      <c r="G209" s="67">
        <f t="shared" si="440"/>
        <v>563.79999999999995</v>
      </c>
      <c r="H209" s="67">
        <f t="shared" si="440"/>
        <v>91000</v>
      </c>
      <c r="I209" s="67">
        <f t="shared" si="440"/>
        <v>10000</v>
      </c>
      <c r="J209" s="67">
        <f t="shared" si="440"/>
        <v>-60000</v>
      </c>
      <c r="K209" s="67">
        <f t="shared" si="440"/>
        <v>866937</v>
      </c>
      <c r="L209" s="67">
        <f t="shared" si="440"/>
        <v>744604</v>
      </c>
      <c r="M209" s="67">
        <f t="shared" si="440"/>
        <v>387346</v>
      </c>
      <c r="N209" s="149">
        <f>AVERAGE(B209,E209,H209,K209)</f>
        <v>540402.10749999993</v>
      </c>
      <c r="O209" s="149">
        <f t="shared" ref="O209:O210" si="441">AVERAGE(C209,F209,I209,L209)</f>
        <v>393549.16249999998</v>
      </c>
      <c r="P209" s="149">
        <f t="shared" ref="P209:P210" si="442">AVERAGE(D209,G209,J209,M209)</f>
        <v>318277.45</v>
      </c>
    </row>
    <row r="210" spans="1:17" x14ac:dyDescent="0.25">
      <c r="A210" t="str">
        <f>A9</f>
        <v>aktywa ogółem</v>
      </c>
      <c r="B210" s="67">
        <f t="shared" ref="B210:M210" si="443">B9</f>
        <v>32589600</v>
      </c>
      <c r="C210" s="67">
        <f t="shared" si="443"/>
        <v>30696800</v>
      </c>
      <c r="D210" s="67">
        <f t="shared" si="443"/>
        <v>27756000</v>
      </c>
      <c r="E210" s="67">
        <f t="shared" si="443"/>
        <v>2149271.39</v>
      </c>
      <c r="F210" s="67">
        <f t="shared" si="443"/>
        <v>1481959.03</v>
      </c>
      <c r="G210" s="67">
        <f t="shared" si="443"/>
        <v>1486228.52</v>
      </c>
      <c r="H210" s="67">
        <f t="shared" si="443"/>
        <v>24340000</v>
      </c>
      <c r="I210" s="67">
        <f t="shared" si="443"/>
        <v>23295000</v>
      </c>
      <c r="J210" s="67">
        <f t="shared" si="443"/>
        <v>22933000</v>
      </c>
      <c r="K210" s="67">
        <f t="shared" si="443"/>
        <v>8885641</v>
      </c>
      <c r="L210" s="67">
        <f t="shared" si="443"/>
        <v>8520538</v>
      </c>
      <c r="M210" s="67">
        <f t="shared" si="443"/>
        <v>8830969</v>
      </c>
      <c r="N210" s="149">
        <f>AVERAGE(B210,E210,H210,K210)</f>
        <v>16991128.0975</v>
      </c>
      <c r="O210" s="149">
        <f t="shared" si="441"/>
        <v>15998574.2575</v>
      </c>
      <c r="P210" s="149">
        <f t="shared" si="442"/>
        <v>15251549.379999999</v>
      </c>
    </row>
    <row r="211" spans="1:17" x14ac:dyDescent="0.25">
      <c r="A211" s="30" t="s">
        <v>967</v>
      </c>
      <c r="B211" s="127">
        <f>(B212-B213)/B214</f>
        <v>0.79719505129341195</v>
      </c>
      <c r="C211" s="127">
        <f t="shared" ref="C211:P211" si="444">(C212-C213)/C214</f>
        <v>1.0020125134499662</v>
      </c>
      <c r="D211" s="127">
        <f t="shared" si="444"/>
        <v>0.93163069850593794</v>
      </c>
      <c r="E211" s="127">
        <f t="shared" si="444"/>
        <v>0.74837332838696835</v>
      </c>
      <c r="F211" s="127">
        <f t="shared" si="444"/>
        <v>0.43743330778691952</v>
      </c>
      <c r="G211" s="127">
        <f t="shared" si="444"/>
        <v>0.80552068474658645</v>
      </c>
      <c r="H211" s="127">
        <f t="shared" si="444"/>
        <v>0.80034213098729223</v>
      </c>
      <c r="I211" s="127">
        <f t="shared" si="444"/>
        <v>0.62714429868819377</v>
      </c>
      <c r="J211" s="127">
        <f t="shared" si="444"/>
        <v>0.50570908489161015</v>
      </c>
      <c r="K211" s="127">
        <f t="shared" si="444"/>
        <v>1.3909119691635967</v>
      </c>
      <c r="L211" s="127">
        <f t="shared" si="444"/>
        <v>1.1561837499275476</v>
      </c>
      <c r="M211" s="127">
        <f t="shared" si="444"/>
        <v>1.5045047313217299</v>
      </c>
      <c r="N211" s="127">
        <f t="shared" si="444"/>
        <v>0.87936275012017773</v>
      </c>
      <c r="O211" s="127">
        <f t="shared" si="444"/>
        <v>0.84267473670312476</v>
      </c>
      <c r="P211" s="127">
        <f t="shared" si="444"/>
        <v>0.81773308817027957</v>
      </c>
      <c r="Q211" s="127"/>
    </row>
    <row r="212" spans="1:17" x14ac:dyDescent="0.25">
      <c r="A212" t="str">
        <f>A23</f>
        <v>aktywa obrotowe</v>
      </c>
      <c r="B212" s="67">
        <f>B23</f>
        <v>4984900</v>
      </c>
      <c r="C212" s="67">
        <f t="shared" ref="C212:M212" si="445">C23</f>
        <v>5422700</v>
      </c>
      <c r="D212" s="67">
        <f t="shared" si="445"/>
        <v>3931500</v>
      </c>
      <c r="E212" s="67">
        <f t="shared" si="445"/>
        <v>1134462.04</v>
      </c>
      <c r="F212" s="67">
        <f t="shared" si="445"/>
        <v>604938.98</v>
      </c>
      <c r="G212" s="67">
        <f t="shared" si="445"/>
        <v>733902.97</v>
      </c>
      <c r="H212" s="67">
        <f t="shared" si="445"/>
        <v>3493000</v>
      </c>
      <c r="I212" s="67">
        <f t="shared" si="445"/>
        <v>3969000</v>
      </c>
      <c r="J212" s="67">
        <f t="shared" si="445"/>
        <v>3273000</v>
      </c>
      <c r="K212" s="67">
        <f t="shared" si="445"/>
        <v>2686432</v>
      </c>
      <c r="L212" s="67">
        <f t="shared" si="445"/>
        <v>2802536</v>
      </c>
      <c r="M212" s="67">
        <f t="shared" si="445"/>
        <v>3326442</v>
      </c>
      <c r="N212" s="149">
        <f>AVERAGE(B212,E212,H212,K212)</f>
        <v>3074698.51</v>
      </c>
      <c r="O212" s="149">
        <f t="shared" ref="O212:O214" si="446">AVERAGE(C212,F212,I212,L212)</f>
        <v>3199793.7450000001</v>
      </c>
      <c r="P212" s="149">
        <f t="shared" ref="P212:P214" si="447">AVERAGE(D212,G212,J212,M212)</f>
        <v>2816211.2424999997</v>
      </c>
    </row>
    <row r="213" spans="1:17" x14ac:dyDescent="0.25">
      <c r="A213" t="str">
        <f>A32</f>
        <v>zapasy</v>
      </c>
      <c r="B213" s="67">
        <f>B32</f>
        <v>306800</v>
      </c>
      <c r="C213" s="67">
        <f t="shared" ref="C213:M213" si="448">C32</f>
        <v>394000</v>
      </c>
      <c r="D213" s="67">
        <f t="shared" si="448"/>
        <v>283700</v>
      </c>
      <c r="E213" s="67">
        <f t="shared" si="448"/>
        <v>447288.34</v>
      </c>
      <c r="F213" s="67">
        <f t="shared" si="448"/>
        <v>354422.6</v>
      </c>
      <c r="G213" s="67">
        <f t="shared" si="448"/>
        <v>328797.03999999998</v>
      </c>
      <c r="H213" s="67">
        <f t="shared" si="448"/>
        <v>218000</v>
      </c>
      <c r="I213" s="67">
        <f t="shared" si="448"/>
        <v>240000</v>
      </c>
      <c r="J213" s="67">
        <f t="shared" si="448"/>
        <v>217000</v>
      </c>
      <c r="K213" s="67">
        <f t="shared" si="448"/>
        <v>169147</v>
      </c>
      <c r="L213" s="67">
        <f t="shared" si="448"/>
        <v>169494</v>
      </c>
      <c r="M213" s="67">
        <f t="shared" si="448"/>
        <v>159279</v>
      </c>
      <c r="N213" s="149">
        <f>AVERAGE(B213,E213,H213,K213)</f>
        <v>285308.83500000002</v>
      </c>
      <c r="O213" s="149">
        <f t="shared" si="446"/>
        <v>289479.15000000002</v>
      </c>
      <c r="P213" s="149">
        <f t="shared" si="447"/>
        <v>247194.01</v>
      </c>
    </row>
    <row r="214" spans="1:17" x14ac:dyDescent="0.25">
      <c r="A214" t="str">
        <f>A20</f>
        <v>zobowiązania krótkoterminowe</v>
      </c>
      <c r="B214" s="67">
        <f>B20</f>
        <v>5868200</v>
      </c>
      <c r="C214" s="67">
        <f t="shared" ref="C214:M214" si="449">C20</f>
        <v>5018600</v>
      </c>
      <c r="D214" s="67">
        <f t="shared" si="449"/>
        <v>3915500</v>
      </c>
      <c r="E214" s="67">
        <f t="shared" si="449"/>
        <v>918223.13</v>
      </c>
      <c r="F214" s="67">
        <f t="shared" si="449"/>
        <v>572696.17000000004</v>
      </c>
      <c r="G214" s="67">
        <f t="shared" si="449"/>
        <v>502911.89</v>
      </c>
      <c r="H214" s="67">
        <f t="shared" si="449"/>
        <v>4092000</v>
      </c>
      <c r="I214" s="67">
        <f t="shared" si="449"/>
        <v>5946000</v>
      </c>
      <c r="J214" s="67">
        <f t="shared" si="449"/>
        <v>6043000</v>
      </c>
      <c r="K214" s="67">
        <f t="shared" si="449"/>
        <v>1809809</v>
      </c>
      <c r="L214" s="67">
        <f t="shared" si="449"/>
        <v>2277356</v>
      </c>
      <c r="M214" s="67">
        <f t="shared" si="449"/>
        <v>2105120</v>
      </c>
      <c r="N214" s="149">
        <f>AVERAGE(B214,E214,H214,K214)</f>
        <v>3172058.0324999997</v>
      </c>
      <c r="O214" s="149">
        <f t="shared" si="446"/>
        <v>3453663.0425</v>
      </c>
      <c r="P214" s="149">
        <f t="shared" si="447"/>
        <v>3141632.9725000001</v>
      </c>
    </row>
    <row r="215" spans="1:17" x14ac:dyDescent="0.25">
      <c r="A215" s="30" t="s">
        <v>973</v>
      </c>
      <c r="B215" s="127">
        <f>(B216+B217)/B218</f>
        <v>0.83997962540196869</v>
      </c>
      <c r="C215" s="127">
        <f t="shared" ref="C215:P215" si="450">(C216+C217)/C218</f>
        <v>0.85762685361340596</v>
      </c>
      <c r="D215" s="127">
        <f t="shared" si="450"/>
        <v>0.85893140221933995</v>
      </c>
      <c r="E215" s="127">
        <f t="shared" si="450"/>
        <v>0.45113129710436423</v>
      </c>
      <c r="F215" s="127">
        <f t="shared" si="450"/>
        <v>0.48491559851016935</v>
      </c>
      <c r="G215" s="127">
        <f t="shared" si="450"/>
        <v>0.55197403963153668</v>
      </c>
      <c r="H215" s="127">
        <f t="shared" si="450"/>
        <v>0.83196384552177483</v>
      </c>
      <c r="I215" s="127">
        <f t="shared" si="450"/>
        <v>0.74483794805752312</v>
      </c>
      <c r="J215" s="127">
        <f t="shared" si="450"/>
        <v>0.73649326298347362</v>
      </c>
      <c r="K215" s="127">
        <f t="shared" si="450"/>
        <v>0.79632206612893763</v>
      </c>
      <c r="L215" s="127">
        <f t="shared" si="450"/>
        <v>0.73272157227630463</v>
      </c>
      <c r="M215" s="127">
        <f t="shared" si="450"/>
        <v>0.76162072361481514</v>
      </c>
      <c r="N215" s="127">
        <f t="shared" si="450"/>
        <v>0.81910446543851079</v>
      </c>
      <c r="O215" s="127">
        <f t="shared" si="450"/>
        <v>0.79130812275757556</v>
      </c>
      <c r="P215" s="127">
        <f t="shared" si="450"/>
        <v>0.79134105259015997</v>
      </c>
    </row>
    <row r="216" spans="1:17" x14ac:dyDescent="0.25">
      <c r="A216" t="str">
        <f>A11</f>
        <v>kapitał własny</v>
      </c>
      <c r="B216" s="67">
        <f t="shared" ref="B216:M216" si="451">B11</f>
        <v>15117700</v>
      </c>
      <c r="C216" s="67">
        <f t="shared" si="451"/>
        <v>14523400</v>
      </c>
      <c r="D216" s="67">
        <f t="shared" si="451"/>
        <v>12116800</v>
      </c>
      <c r="E216" s="67">
        <f t="shared" si="451"/>
        <v>555112.97</v>
      </c>
      <c r="F216" s="67">
        <f t="shared" si="451"/>
        <v>466041.54</v>
      </c>
      <c r="G216" s="67">
        <f t="shared" si="451"/>
        <v>462548.88</v>
      </c>
      <c r="H216" s="67">
        <f t="shared" si="451"/>
        <v>10568000</v>
      </c>
      <c r="I216" s="67">
        <f t="shared" si="451"/>
        <v>10505000</v>
      </c>
      <c r="J216" s="67">
        <f t="shared" si="451"/>
        <v>9938000</v>
      </c>
      <c r="K216" s="67">
        <f t="shared" si="451"/>
        <v>321653</v>
      </c>
      <c r="L216" s="67">
        <f t="shared" si="451"/>
        <v>-200538</v>
      </c>
      <c r="M216" s="67">
        <f t="shared" si="451"/>
        <v>-212579</v>
      </c>
      <c r="N216" s="149">
        <f>AVERAGE(B216,E216,H216,K216)</f>
        <v>6640616.4924999997</v>
      </c>
      <c r="O216" s="149">
        <f t="shared" ref="O216:O218" si="452">AVERAGE(C216,F216,I216,L216)</f>
        <v>6323475.8849999998</v>
      </c>
      <c r="P216" s="149">
        <f t="shared" ref="P216:P218" si="453">AVERAGE(D216,G216,J216,M216)</f>
        <v>5576192.4700000007</v>
      </c>
    </row>
    <row r="217" spans="1:17" x14ac:dyDescent="0.25">
      <c r="A217" t="str">
        <f>A21</f>
        <v>zobowiązania długoterminowe</v>
      </c>
      <c r="B217" s="67">
        <f t="shared" ref="B217:M217" si="454">B21</f>
        <v>12256900</v>
      </c>
      <c r="C217" s="67">
        <f t="shared" si="454"/>
        <v>11803000</v>
      </c>
      <c r="D217" s="67">
        <f t="shared" si="454"/>
        <v>11723700</v>
      </c>
      <c r="E217" s="67">
        <f t="shared" si="454"/>
        <v>414490.62</v>
      </c>
      <c r="F217" s="67">
        <f t="shared" si="454"/>
        <v>252583.51</v>
      </c>
      <c r="G217" s="67">
        <f t="shared" si="454"/>
        <v>357810.68</v>
      </c>
      <c r="H217" s="67">
        <f t="shared" si="454"/>
        <v>9682000</v>
      </c>
      <c r="I217" s="67">
        <f t="shared" si="454"/>
        <v>6846000</v>
      </c>
      <c r="J217" s="67">
        <f t="shared" si="454"/>
        <v>6952000</v>
      </c>
      <c r="K217" s="67">
        <f t="shared" si="454"/>
        <v>6754179</v>
      </c>
      <c r="L217" s="67">
        <f t="shared" si="454"/>
        <v>6443720</v>
      </c>
      <c r="M217" s="67">
        <f t="shared" si="454"/>
        <v>6938428</v>
      </c>
      <c r="N217" s="149">
        <f>AVERAGE(B217,E217,H217,K217)</f>
        <v>7276892.4049999993</v>
      </c>
      <c r="O217" s="149">
        <f t="shared" si="452"/>
        <v>6336325.8774999995</v>
      </c>
      <c r="P217" s="149">
        <f t="shared" si="453"/>
        <v>6492984.6699999999</v>
      </c>
    </row>
    <row r="218" spans="1:17" x14ac:dyDescent="0.25">
      <c r="A218" t="str">
        <f>A9</f>
        <v>aktywa ogółem</v>
      </c>
      <c r="B218" s="67">
        <f t="shared" ref="B218:M218" si="455">B9</f>
        <v>32589600</v>
      </c>
      <c r="C218" s="67">
        <f t="shared" si="455"/>
        <v>30696800</v>
      </c>
      <c r="D218" s="67">
        <f t="shared" si="455"/>
        <v>27756000</v>
      </c>
      <c r="E218" s="67">
        <f t="shared" si="455"/>
        <v>2149271.39</v>
      </c>
      <c r="F218" s="67">
        <f t="shared" si="455"/>
        <v>1481959.03</v>
      </c>
      <c r="G218" s="67">
        <f t="shared" si="455"/>
        <v>1486228.52</v>
      </c>
      <c r="H218" s="67">
        <f t="shared" si="455"/>
        <v>24340000</v>
      </c>
      <c r="I218" s="67">
        <f t="shared" si="455"/>
        <v>23295000</v>
      </c>
      <c r="J218" s="67">
        <f t="shared" si="455"/>
        <v>22933000</v>
      </c>
      <c r="K218" s="67">
        <f t="shared" si="455"/>
        <v>8885641</v>
      </c>
      <c r="L218" s="67">
        <f t="shared" si="455"/>
        <v>8520538</v>
      </c>
      <c r="M218" s="67">
        <f t="shared" si="455"/>
        <v>8830969</v>
      </c>
      <c r="N218" s="149">
        <f>AVERAGE(B218,E218,H218,K218)</f>
        <v>16991128.0975</v>
      </c>
      <c r="O218" s="149">
        <f t="shared" si="452"/>
        <v>15998574.2575</v>
      </c>
      <c r="P218" s="149">
        <f t="shared" si="453"/>
        <v>15251549.379999999</v>
      </c>
    </row>
    <row r="219" spans="1:17" x14ac:dyDescent="0.25">
      <c r="A219" s="30" t="s">
        <v>974</v>
      </c>
      <c r="B219" s="127">
        <f>B220/B221</f>
        <v>2.364205513827391</v>
      </c>
      <c r="C219" s="127">
        <f t="shared" ref="C219:P219" si="456">C220/C221</f>
        <v>2.3651378894077353</v>
      </c>
      <c r="D219" s="127">
        <f t="shared" si="456"/>
        <v>2.4239973139612965</v>
      </c>
      <c r="E219" s="127">
        <f t="shared" si="456"/>
        <v>0.37483785078777143</v>
      </c>
      <c r="F219" s="127">
        <f t="shared" si="456"/>
        <v>0.39773286655527951</v>
      </c>
      <c r="G219" s="127">
        <f t="shared" si="456"/>
        <v>0.42329020715438781</v>
      </c>
      <c r="H219" s="127">
        <f t="shared" si="456"/>
        <v>1.8277222514466069</v>
      </c>
      <c r="I219" s="127">
        <f t="shared" si="456"/>
        <v>1.7409242410593639</v>
      </c>
      <c r="J219" s="127">
        <f t="shared" si="456"/>
        <v>1.7274404709603726</v>
      </c>
      <c r="K219" s="127">
        <f t="shared" si="456"/>
        <v>0.88047528439074629</v>
      </c>
      <c r="L219" s="127">
        <f t="shared" si="456"/>
        <v>0.83606934664961186</v>
      </c>
      <c r="M219" s="127">
        <f t="shared" si="456"/>
        <v>0.8252838628222875</v>
      </c>
      <c r="N219" s="127">
        <f t="shared" si="456"/>
        <v>1.6955653338321695</v>
      </c>
      <c r="O219" s="127">
        <f t="shared" si="456"/>
        <v>1.6604920565069583</v>
      </c>
      <c r="P219" s="127">
        <f t="shared" si="456"/>
        <v>1.6772333597595381</v>
      </c>
    </row>
    <row r="220" spans="1:17" x14ac:dyDescent="0.25">
      <c r="A220" t="str">
        <f>A6</f>
        <v>zysk brutto ze sprzedaży</v>
      </c>
      <c r="B220" s="67">
        <f t="shared" ref="B220:C220" si="457">B6</f>
        <v>27604700</v>
      </c>
      <c r="C220" s="67">
        <f t="shared" si="457"/>
        <v>25274100</v>
      </c>
      <c r="D220" s="67">
        <f t="shared" ref="D220:M220" si="458">D6</f>
        <v>23824500</v>
      </c>
      <c r="E220" s="67">
        <f t="shared" si="458"/>
        <v>1014809.35</v>
      </c>
      <c r="F220" s="67">
        <f t="shared" si="458"/>
        <v>877020.05</v>
      </c>
      <c r="G220" s="67">
        <f t="shared" si="458"/>
        <v>752325.55</v>
      </c>
      <c r="H220" s="67">
        <f t="shared" si="458"/>
        <v>20847000</v>
      </c>
      <c r="I220" s="67">
        <f t="shared" si="458"/>
        <v>19326000</v>
      </c>
      <c r="J220" s="67">
        <f t="shared" si="458"/>
        <v>19660000</v>
      </c>
      <c r="K220" s="67">
        <f t="shared" si="458"/>
        <v>6199209</v>
      </c>
      <c r="L220" s="67">
        <f t="shared" si="458"/>
        <v>5718002</v>
      </c>
      <c r="M220" s="67">
        <f t="shared" si="458"/>
        <v>5504527</v>
      </c>
      <c r="N220" s="149">
        <f>AVERAGE(B220,E220,H220,K220)</f>
        <v>13916429.5875</v>
      </c>
      <c r="O220" s="149">
        <f t="shared" ref="O220:O221" si="459">AVERAGE(C220,F220,I220,L220)</f>
        <v>12798780.512499999</v>
      </c>
      <c r="P220" s="149">
        <f t="shared" ref="P220:P221" si="460">AVERAGE(D220,G220,J220,M220)</f>
        <v>12435338.137499999</v>
      </c>
    </row>
    <row r="221" spans="1:17" x14ac:dyDescent="0.25">
      <c r="A221" t="str">
        <f>A4</f>
        <v>przychody netto ze sprzedaży</v>
      </c>
      <c r="B221" s="67">
        <f t="shared" ref="B221:C221" si="461">B4</f>
        <v>11676100</v>
      </c>
      <c r="C221" s="67">
        <f t="shared" si="461"/>
        <v>10686100</v>
      </c>
      <c r="D221" s="67">
        <f t="shared" ref="D221:M221" si="462">D4</f>
        <v>9828600</v>
      </c>
      <c r="E221" s="67">
        <f t="shared" si="462"/>
        <v>2707328.91</v>
      </c>
      <c r="F221" s="67">
        <f t="shared" si="462"/>
        <v>2205047.9700000002</v>
      </c>
      <c r="G221" s="67">
        <f t="shared" si="462"/>
        <v>1777328.03</v>
      </c>
      <c r="H221" s="67">
        <f t="shared" si="462"/>
        <v>11406000</v>
      </c>
      <c r="I221" s="67">
        <f t="shared" si="462"/>
        <v>11101000</v>
      </c>
      <c r="J221" s="67">
        <f t="shared" si="462"/>
        <v>11381000</v>
      </c>
      <c r="K221" s="67">
        <f t="shared" si="462"/>
        <v>7040753</v>
      </c>
      <c r="L221" s="67">
        <f t="shared" si="462"/>
        <v>6839148</v>
      </c>
      <c r="M221" s="67">
        <f t="shared" si="462"/>
        <v>6669859</v>
      </c>
      <c r="N221" s="149">
        <f>AVERAGE(B221,E221,H221,K221)</f>
        <v>8207545.4775</v>
      </c>
      <c r="O221" s="149">
        <f t="shared" si="459"/>
        <v>7707823.9924999997</v>
      </c>
      <c r="P221" s="149">
        <f t="shared" si="460"/>
        <v>7414196.7575000003</v>
      </c>
    </row>
  </sheetData>
  <mergeCells count="12">
    <mergeCell ref="AA1:AD1"/>
    <mergeCell ref="AE1:AH1"/>
    <mergeCell ref="AI1:AL1"/>
    <mergeCell ref="Z1:Z2"/>
    <mergeCell ref="B1:D1"/>
    <mergeCell ref="E1:M1"/>
    <mergeCell ref="N1:P1"/>
    <mergeCell ref="B2:D2"/>
    <mergeCell ref="E2:G2"/>
    <mergeCell ref="H2:J2"/>
    <mergeCell ref="K2:M2"/>
    <mergeCell ref="N2:P2"/>
  </mergeCells>
  <phoneticPr fontId="10" type="noConversion"/>
  <conditionalFormatting sqref="T42:V46">
    <cfRule type="cellIs" dxfId="19" priority="21" operator="greaterThan">
      <formula>2</formula>
    </cfRule>
  </conditionalFormatting>
  <conditionalFormatting sqref="T48:V52">
    <cfRule type="cellIs" dxfId="18" priority="19" operator="between">
      <formula>1.81</formula>
      <formula>2.99</formula>
    </cfRule>
    <cfRule type="cellIs" dxfId="17" priority="20" operator="lessThan">
      <formula>1.81</formula>
    </cfRule>
  </conditionalFormatting>
  <conditionalFormatting sqref="T54:V58">
    <cfRule type="cellIs" dxfId="16" priority="17" operator="between">
      <formula>1.23</formula>
      <formula>2.9</formula>
    </cfRule>
    <cfRule type="cellIs" dxfId="15" priority="18" operator="lessThan">
      <formula>1.23</formula>
    </cfRule>
  </conditionalFormatting>
  <conditionalFormatting sqref="T60:V64">
    <cfRule type="cellIs" dxfId="14" priority="14" operator="between">
      <formula>4.5</formula>
      <formula>5.85</formula>
    </cfRule>
    <cfRule type="cellIs" dxfId="13" priority="15" operator="greaterThan">
      <formula>5.58</formula>
    </cfRule>
    <cfRule type="cellIs" dxfId="12" priority="16" operator="lessThan">
      <formula>4.5</formula>
    </cfRule>
  </conditionalFormatting>
  <conditionalFormatting sqref="T67:V71"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T79:V83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T91:V95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67C1-C509-490F-B0BB-7F91AA8094AC}">
  <sheetPr>
    <tabColor theme="8"/>
  </sheetPr>
  <dimension ref="A1:CM70"/>
  <sheetViews>
    <sheetView tabSelected="1" topLeftCell="A4" zoomScale="69" zoomScaleNormal="69" workbookViewId="0">
      <selection activeCell="N54" sqref="N54:P56"/>
    </sheetView>
  </sheetViews>
  <sheetFormatPr defaultRowHeight="15" x14ac:dyDescent="0.25"/>
  <cols>
    <col min="1" max="1" width="55" style="32" bestFit="1" customWidth="1"/>
    <col min="2" max="4" width="9.7109375" style="32" bestFit="1" customWidth="1"/>
    <col min="5" max="7" width="12.140625" style="32" bestFit="1" customWidth="1"/>
    <col min="8" max="13" width="13.7109375" style="32" bestFit="1" customWidth="1"/>
    <col min="14" max="14" width="11.28515625" bestFit="1" customWidth="1"/>
    <col min="15" max="16" width="11.28515625" style="32" bestFit="1" customWidth="1"/>
    <col min="18" max="18" width="32.140625" style="46" bestFit="1" customWidth="1"/>
    <col min="19" max="20" width="9.140625" style="46"/>
    <col min="22" max="29" width="9.140625" style="46"/>
    <col min="30" max="30" width="44" bestFit="1" customWidth="1"/>
    <col min="31" max="32" width="9.28515625" bestFit="1" customWidth="1"/>
    <col min="33" max="33" width="9" customWidth="1"/>
    <col min="34" max="35" width="7.140625" bestFit="1" customWidth="1"/>
    <col min="36" max="36" width="7.85546875" bestFit="1" customWidth="1"/>
    <col min="37" max="39" width="7.140625" bestFit="1" customWidth="1"/>
    <col min="40" max="40" width="8" bestFit="1" customWidth="1"/>
    <col min="47" max="47" width="32.5703125" bestFit="1" customWidth="1"/>
    <col min="48" max="50" width="10.28515625" bestFit="1" customWidth="1"/>
  </cols>
  <sheetData>
    <row r="1" spans="1:91" s="11" customFormat="1" x14ac:dyDescent="0.25">
      <c r="A1" s="36"/>
      <c r="B1" s="184" t="s">
        <v>255</v>
      </c>
      <c r="C1" s="184"/>
      <c r="D1" s="184"/>
      <c r="E1" s="185" t="s">
        <v>254</v>
      </c>
      <c r="F1" s="185"/>
      <c r="G1" s="185"/>
      <c r="H1" s="185"/>
      <c r="I1" s="185"/>
      <c r="J1" s="185"/>
      <c r="K1" s="185"/>
      <c r="L1" s="185"/>
      <c r="M1" s="185"/>
      <c r="N1" s="186" t="s">
        <v>301</v>
      </c>
      <c r="O1" s="179"/>
      <c r="P1" s="179"/>
      <c r="R1" s="193" t="s">
        <v>300</v>
      </c>
      <c r="S1" s="193"/>
      <c r="T1" s="193"/>
      <c r="U1" s="193"/>
      <c r="V1" s="49"/>
      <c r="W1" s="49"/>
      <c r="X1" s="49"/>
      <c r="Y1" s="49"/>
      <c r="Z1" s="49"/>
      <c r="AA1" s="49"/>
      <c r="AB1" s="49"/>
      <c r="AC1" s="46"/>
      <c r="AD1" s="32"/>
      <c r="AE1" s="185" t="s">
        <v>254</v>
      </c>
      <c r="AF1" s="185"/>
      <c r="AG1" s="185"/>
      <c r="AH1" s="185"/>
      <c r="AI1" s="185"/>
      <c r="AJ1" s="185"/>
      <c r="AK1" s="185"/>
      <c r="AL1" s="185"/>
      <c r="AM1" s="185"/>
      <c r="AN1" s="32"/>
      <c r="AO1" s="32"/>
      <c r="AT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</row>
    <row r="2" spans="1:91" ht="15" customHeight="1" x14ac:dyDescent="0.25">
      <c r="A2" s="37" t="s">
        <v>256</v>
      </c>
      <c r="B2" s="187" t="s">
        <v>4</v>
      </c>
      <c r="C2" s="187"/>
      <c r="D2" s="187"/>
      <c r="E2" s="188" t="s">
        <v>248</v>
      </c>
      <c r="F2" s="188"/>
      <c r="G2" s="188"/>
      <c r="H2" s="189" t="s">
        <v>246</v>
      </c>
      <c r="I2" s="189"/>
      <c r="J2" s="189"/>
      <c r="K2" s="190" t="s">
        <v>247</v>
      </c>
      <c r="L2" s="190"/>
      <c r="M2" s="190"/>
      <c r="N2" s="191" t="s">
        <v>298</v>
      </c>
      <c r="O2" s="191"/>
      <c r="P2" s="191"/>
      <c r="R2" s="32" t="str">
        <f>A8</f>
        <v>WPB</v>
      </c>
      <c r="S2" s="33">
        <v>2019</v>
      </c>
      <c r="T2" s="33">
        <v>2018</v>
      </c>
      <c r="U2" s="33">
        <v>2017</v>
      </c>
      <c r="V2" s="33"/>
      <c r="W2" s="33"/>
      <c r="X2" s="33"/>
      <c r="Y2" s="33"/>
      <c r="Z2" s="33"/>
      <c r="AA2" s="33"/>
      <c r="AB2" s="33"/>
      <c r="AC2" s="33"/>
      <c r="AD2" s="32"/>
      <c r="AE2" s="188" t="s">
        <v>248</v>
      </c>
      <c r="AF2" s="188"/>
      <c r="AG2" s="188"/>
      <c r="AH2" s="189" t="s">
        <v>246</v>
      </c>
      <c r="AI2" s="189"/>
      <c r="AJ2" s="189"/>
      <c r="AK2" s="190" t="s">
        <v>247</v>
      </c>
      <c r="AL2" s="190"/>
      <c r="AM2" s="190"/>
      <c r="AN2" s="32"/>
      <c r="AO2" s="32"/>
      <c r="AT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</row>
    <row r="3" spans="1:91" x14ac:dyDescent="0.25">
      <c r="A3" s="37" t="s">
        <v>257</v>
      </c>
      <c r="B3" s="33">
        <v>2019</v>
      </c>
      <c r="C3" s="33">
        <v>2018</v>
      </c>
      <c r="D3" s="33">
        <v>2017</v>
      </c>
      <c r="E3" s="33">
        <v>2019</v>
      </c>
      <c r="F3" s="33">
        <v>2018</v>
      </c>
      <c r="G3" s="33">
        <v>2017</v>
      </c>
      <c r="H3" s="33">
        <v>2019</v>
      </c>
      <c r="I3" s="33">
        <v>2018</v>
      </c>
      <c r="J3" s="33">
        <v>2017</v>
      </c>
      <c r="K3" s="33">
        <v>2019</v>
      </c>
      <c r="L3" s="33">
        <v>2018</v>
      </c>
      <c r="M3" s="33">
        <v>2017</v>
      </c>
      <c r="N3" s="33">
        <v>2019</v>
      </c>
      <c r="O3" s="33">
        <v>2018</v>
      </c>
      <c r="P3" s="33">
        <v>2017</v>
      </c>
      <c r="R3" s="32" t="s">
        <v>4</v>
      </c>
      <c r="S3" s="48">
        <f>B8</f>
        <v>0.84947684128012002</v>
      </c>
      <c r="T3" s="48">
        <f>C8</f>
        <v>1.0805204638743873</v>
      </c>
      <c r="U3" s="48">
        <f>D8</f>
        <v>1.0040863235857489</v>
      </c>
      <c r="V3" s="48"/>
      <c r="W3" s="48"/>
      <c r="X3" s="48"/>
      <c r="Y3" s="48"/>
      <c r="Z3" s="48"/>
      <c r="AA3" s="48"/>
      <c r="AB3" s="48"/>
      <c r="AC3" s="48"/>
      <c r="AD3" s="39" t="s">
        <v>287</v>
      </c>
      <c r="AE3" s="33">
        <v>2019</v>
      </c>
      <c r="AF3" s="33">
        <v>2018</v>
      </c>
      <c r="AG3" s="33">
        <v>2017</v>
      </c>
      <c r="AH3" s="33">
        <v>2019</v>
      </c>
      <c r="AI3" s="33">
        <v>2018</v>
      </c>
      <c r="AJ3" s="33">
        <v>2017</v>
      </c>
      <c r="AK3" s="33">
        <v>2019</v>
      </c>
      <c r="AL3" s="33">
        <v>2018</v>
      </c>
      <c r="AM3" s="33">
        <v>2017</v>
      </c>
      <c r="AN3" s="32"/>
      <c r="AO3" s="32"/>
      <c r="AT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</row>
    <row r="4" spans="1:91" x14ac:dyDescent="0.25">
      <c r="A4" s="38" t="s">
        <v>284</v>
      </c>
      <c r="R4" s="32" t="s">
        <v>248</v>
      </c>
      <c r="S4" s="43">
        <f>E8</f>
        <v>1.1230721467478841</v>
      </c>
      <c r="T4" s="43">
        <f>F8</f>
        <v>0.9225319654876023</v>
      </c>
      <c r="U4" s="43">
        <f>G8</f>
        <v>1.2841014829746138</v>
      </c>
      <c r="V4" s="43"/>
      <c r="W4" s="43"/>
      <c r="X4" s="43"/>
      <c r="Y4" s="43"/>
      <c r="Z4" s="43"/>
      <c r="AA4" s="43"/>
      <c r="AB4" s="43"/>
      <c r="AC4" s="43"/>
      <c r="AD4" s="40" t="s">
        <v>288</v>
      </c>
      <c r="AE4" s="44">
        <v>4.0925276173161142E-2</v>
      </c>
      <c r="AF4" s="44">
        <v>5.0247516081626704E-2</v>
      </c>
      <c r="AG4" s="44">
        <v>6.2339749029521205E-2</v>
      </c>
      <c r="AH4" s="44">
        <v>16.416359810625984</v>
      </c>
      <c r="AI4" s="44">
        <v>16.86739933339339</v>
      </c>
      <c r="AJ4" s="44">
        <v>16.452420701168613</v>
      </c>
      <c r="AK4" s="44">
        <v>26.59445658724287</v>
      </c>
      <c r="AL4" s="44">
        <v>27.37841029321196</v>
      </c>
      <c r="AM4" s="44">
        <v>28.073307096896652</v>
      </c>
      <c r="AN4" s="46"/>
      <c r="AO4" s="32"/>
      <c r="AT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</row>
    <row r="5" spans="1:91" x14ac:dyDescent="0.25">
      <c r="A5" s="39" t="s">
        <v>258</v>
      </c>
      <c r="R5" s="32" t="s">
        <v>246</v>
      </c>
      <c r="S5" s="43">
        <f>H8</f>
        <v>0.85361681329423267</v>
      </c>
      <c r="T5" s="43">
        <f>I8</f>
        <v>0.66750756811301715</v>
      </c>
      <c r="U5" s="43">
        <f>J8</f>
        <v>0.5416184014562303</v>
      </c>
      <c r="V5" s="43"/>
      <c r="W5" s="43"/>
      <c r="X5" s="43"/>
      <c r="Y5" s="43"/>
      <c r="Z5" s="43"/>
      <c r="AA5" s="43"/>
      <c r="AB5" s="43"/>
      <c r="AC5" s="43"/>
      <c r="AD5" s="40" t="s">
        <v>289</v>
      </c>
      <c r="AE5" s="44">
        <v>50.804738596267072</v>
      </c>
      <c r="AF5" s="44">
        <v>62.377390169279025</v>
      </c>
      <c r="AG5" s="44">
        <v>77.388717920949389</v>
      </c>
      <c r="AH5" s="44">
        <v>7.2001578116780642</v>
      </c>
      <c r="AI5" s="44">
        <v>7.3979821637690302</v>
      </c>
      <c r="AJ5" s="44">
        <v>7.2159739917406212</v>
      </c>
      <c r="AK5" s="44">
        <v>11.664235345281961</v>
      </c>
      <c r="AL5" s="44">
        <v>12.008074690005246</v>
      </c>
      <c r="AM5" s="44">
        <v>12.312853989866953</v>
      </c>
      <c r="AN5" s="46"/>
      <c r="AO5" s="32"/>
      <c r="AT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</row>
    <row r="6" spans="1:91" x14ac:dyDescent="0.25">
      <c r="A6" s="40" t="s">
        <v>260</v>
      </c>
      <c r="B6" s="32">
        <f>'CYFROWY POLSAT SA'!B117</f>
        <v>4984900</v>
      </c>
      <c r="C6" s="32">
        <f>'CYFROWY POLSAT SA'!C117</f>
        <v>5422700</v>
      </c>
      <c r="D6" s="32">
        <f>'CYFROWY POLSAT SA'!D117</f>
        <v>3931500</v>
      </c>
      <c r="E6" s="32">
        <f>'KONKURENCJA R.N.TV'!B117</f>
        <v>1134462.03</v>
      </c>
      <c r="F6" s="32">
        <f>'KONKURENCJA R.N.TV'!C117</f>
        <v>604938.98</v>
      </c>
      <c r="G6" s="32">
        <f>'KONKURENCJA R.N.TV'!D117</f>
        <v>733902.97</v>
      </c>
      <c r="H6" s="32">
        <f>'KONKURENCJA R.O.KOM.'!B117</f>
        <v>3493000</v>
      </c>
      <c r="I6" s="32">
        <f>'KONKURENCJA R.O.KOM.'!C117</f>
        <v>3969000</v>
      </c>
      <c r="J6" s="32">
        <f>'KONKURENCJA R.O.KOM.'!D117</f>
        <v>3273000</v>
      </c>
      <c r="K6" s="32">
        <f>'KONKURENCJA R.O.KOM.'!E117</f>
        <v>2686432</v>
      </c>
      <c r="L6" s="32">
        <f>'KONKURENCJA R.O.KOM.'!F117</f>
        <v>2802536</v>
      </c>
      <c r="M6" s="32">
        <f>'KONKURENCJA R.O.KOM.'!G117</f>
        <v>3326442</v>
      </c>
      <c r="N6" s="32"/>
      <c r="R6" s="32" t="s">
        <v>247</v>
      </c>
      <c r="S6" s="43">
        <f>K8</f>
        <v>1.4843732128638989</v>
      </c>
      <c r="T6" s="43">
        <f>L8</f>
        <v>1.2306095314039613</v>
      </c>
      <c r="U6" s="43">
        <f>M8</f>
        <v>1.580167401383294</v>
      </c>
      <c r="V6" s="43"/>
      <c r="W6" s="43"/>
      <c r="X6" s="43"/>
      <c r="Y6" s="43"/>
      <c r="Z6" s="43"/>
      <c r="AA6" s="43"/>
      <c r="AB6" s="43"/>
      <c r="AC6" s="43"/>
      <c r="AD6" s="40" t="s">
        <v>290</v>
      </c>
      <c r="AE6" s="44">
        <v>100.5486206205609</v>
      </c>
      <c r="AF6" s="44">
        <v>123.45227458551237</v>
      </c>
      <c r="AG6" s="44">
        <v>153.16147771926302</v>
      </c>
      <c r="AH6" s="44">
        <v>171.53442632532585</v>
      </c>
      <c r="AI6" s="44">
        <v>176.24733507491817</v>
      </c>
      <c r="AJ6" s="44">
        <v>171.91122631286061</v>
      </c>
      <c r="AK6" s="44">
        <v>277.88528679626546</v>
      </c>
      <c r="AL6" s="44">
        <v>286.07681346662866</v>
      </c>
      <c r="AM6" s="44">
        <v>293.33778520155619</v>
      </c>
      <c r="AN6" s="46"/>
      <c r="AO6" s="32"/>
      <c r="AT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</row>
    <row r="7" spans="1:91" x14ac:dyDescent="0.25">
      <c r="A7" s="40" t="s">
        <v>261</v>
      </c>
      <c r="B7" s="32">
        <f>'CYFROWY POLSAT SA'!B172</f>
        <v>5868200</v>
      </c>
      <c r="C7" s="32">
        <f>'CYFROWY POLSAT SA'!C172</f>
        <v>5018600</v>
      </c>
      <c r="D7" s="32">
        <f>'CYFROWY POLSAT SA'!D172</f>
        <v>3915500</v>
      </c>
      <c r="E7" s="32">
        <f>'KONKURENCJA R.N.TV'!B172</f>
        <v>1010141.72</v>
      </c>
      <c r="F7" s="32">
        <f>'KONKURENCJA R.N.TV'!C172</f>
        <v>655737.68999999994</v>
      </c>
      <c r="G7" s="32">
        <f>'KONKURENCJA R.N.TV'!D172</f>
        <v>571530.35</v>
      </c>
      <c r="H7" s="32">
        <f>'KONKURENCJA R.O.KOM.'!B172</f>
        <v>4092000</v>
      </c>
      <c r="I7" s="32">
        <f>'KONKURENCJA R.O.KOM.'!C172</f>
        <v>5946000</v>
      </c>
      <c r="J7" s="32">
        <f>'KONKURENCJA R.O.KOM.'!D172</f>
        <v>6043000</v>
      </c>
      <c r="K7" s="32">
        <f>'KONKURENCJA R.O.KOM.'!E172</f>
        <v>1809809</v>
      </c>
      <c r="L7" s="32">
        <f>'KONKURENCJA R.O.KOM.'!F172</f>
        <v>2277356</v>
      </c>
      <c r="M7" s="32">
        <f>'KONKURENCJA R.O.KOM.'!G172</f>
        <v>2105120</v>
      </c>
      <c r="N7" s="32"/>
      <c r="Q7" s="32"/>
      <c r="R7" s="50" t="s">
        <v>298</v>
      </c>
      <c r="S7" s="51">
        <f>N8</f>
        <v>1.077634753546534</v>
      </c>
      <c r="T7" s="51">
        <f>O8</f>
        <v>0.97529238221974202</v>
      </c>
      <c r="U7" s="51">
        <f>P8</f>
        <v>1.1024934023499717</v>
      </c>
      <c r="V7" s="43"/>
      <c r="W7" s="43"/>
      <c r="X7" s="43"/>
      <c r="Y7" s="43"/>
      <c r="Z7" s="43"/>
      <c r="AA7" s="43"/>
      <c r="AB7" s="43"/>
      <c r="AC7" s="43"/>
      <c r="AD7" s="40" t="s">
        <v>291</v>
      </c>
      <c r="AE7" s="45">
        <v>-49.702956748120663</v>
      </c>
      <c r="AF7" s="45">
        <v>-61.024636900151719</v>
      </c>
      <c r="AG7" s="45">
        <v>-75.71042004928411</v>
      </c>
      <c r="AH7" s="45">
        <v>-147.91790870302179</v>
      </c>
      <c r="AI7" s="45">
        <v>-151.98195357775575</v>
      </c>
      <c r="AJ7" s="45">
        <v>-148.24283161995137</v>
      </c>
      <c r="AK7" s="45">
        <v>-239.62659486374062</v>
      </c>
      <c r="AL7" s="45">
        <v>-246.69032848341146</v>
      </c>
      <c r="AM7" s="45">
        <v>-252.95162411479259</v>
      </c>
      <c r="AN7" s="46"/>
      <c r="AO7" s="32"/>
      <c r="AT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</row>
    <row r="8" spans="1:91" s="30" customFormat="1" x14ac:dyDescent="0.25">
      <c r="A8" s="33" t="s">
        <v>259</v>
      </c>
      <c r="B8" s="34">
        <f>B6/B7</f>
        <v>0.84947684128012002</v>
      </c>
      <c r="C8" s="34">
        <f t="shared" ref="C8:M8" si="0">C6/C7</f>
        <v>1.0805204638743873</v>
      </c>
      <c r="D8" s="34">
        <f t="shared" si="0"/>
        <v>1.0040863235857489</v>
      </c>
      <c r="E8" s="34">
        <f t="shared" si="0"/>
        <v>1.1230721467478841</v>
      </c>
      <c r="F8" s="34">
        <f t="shared" si="0"/>
        <v>0.9225319654876023</v>
      </c>
      <c r="G8" s="34">
        <f t="shared" si="0"/>
        <v>1.2841014829746138</v>
      </c>
      <c r="H8" s="34">
        <f t="shared" si="0"/>
        <v>0.85361681329423267</v>
      </c>
      <c r="I8" s="34">
        <f t="shared" si="0"/>
        <v>0.66750756811301715</v>
      </c>
      <c r="J8" s="34">
        <f t="shared" si="0"/>
        <v>0.5416184014562303</v>
      </c>
      <c r="K8" s="34">
        <f t="shared" si="0"/>
        <v>1.4843732128638989</v>
      </c>
      <c r="L8" s="34">
        <f t="shared" si="0"/>
        <v>1.2306095314039613</v>
      </c>
      <c r="M8" s="34">
        <f t="shared" si="0"/>
        <v>1.580167401383294</v>
      </c>
      <c r="N8" s="34">
        <f>AVERAGE(K8,H8,E8,B8)</f>
        <v>1.077634753546534</v>
      </c>
      <c r="O8" s="34">
        <f>AVERAGE(L8,I8,F8,C8)</f>
        <v>0.97529238221974202</v>
      </c>
      <c r="P8" s="34">
        <f>AVERAGE(M8,J8,G8,D8)</f>
        <v>1.1024934023499717</v>
      </c>
      <c r="Q8" s="33"/>
      <c r="R8" s="32" t="str">
        <f>A13</f>
        <v>WPS</v>
      </c>
      <c r="S8" s="33">
        <v>2019</v>
      </c>
      <c r="T8" s="33">
        <v>2018</v>
      </c>
      <c r="U8" s="33">
        <v>2017</v>
      </c>
      <c r="V8" s="33"/>
      <c r="W8" s="33"/>
      <c r="X8" s="33"/>
      <c r="Y8" s="33"/>
      <c r="Z8" s="33"/>
      <c r="AA8" s="33"/>
      <c r="AB8" s="33"/>
      <c r="AC8" s="33"/>
      <c r="AO8" s="33"/>
      <c r="AP8" s="33"/>
      <c r="AQ8" s="33"/>
      <c r="AR8" s="33"/>
      <c r="AS8" s="33"/>
      <c r="AT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</row>
    <row r="9" spans="1:91" s="31" customFormat="1" x14ac:dyDescent="0.25">
      <c r="A9" s="39" t="s">
        <v>262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 t="s">
        <v>4</v>
      </c>
      <c r="S9" s="48">
        <f>B13</f>
        <v>0.26147711393613032</v>
      </c>
      <c r="T9" s="48">
        <f t="shared" ref="T9:U9" si="1">C13</f>
        <v>0.24176065038058422</v>
      </c>
      <c r="U9" s="48">
        <f t="shared" si="1"/>
        <v>0.29932320265611034</v>
      </c>
      <c r="V9" s="32"/>
      <c r="W9" s="32"/>
      <c r="X9" s="32"/>
      <c r="Y9" s="32"/>
      <c r="Z9" s="32"/>
      <c r="AA9" s="32"/>
      <c r="AB9" s="32"/>
      <c r="AC9" s="32"/>
      <c r="AD9" s="32"/>
      <c r="AE9" s="185" t="s">
        <v>254</v>
      </c>
      <c r="AF9" s="185"/>
      <c r="AG9" s="185"/>
      <c r="AH9" s="185"/>
      <c r="AI9" s="185"/>
      <c r="AJ9" s="185"/>
      <c r="AK9" s="185"/>
      <c r="AL9" s="185"/>
      <c r="AM9" s="185"/>
      <c r="AN9" s="32"/>
      <c r="AO9" s="32"/>
      <c r="AP9" s="32"/>
      <c r="AQ9" s="32"/>
      <c r="AR9" s="32"/>
      <c r="AS9" s="32"/>
      <c r="AT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</row>
    <row r="10" spans="1:91" ht="15" customHeight="1" x14ac:dyDescent="0.25">
      <c r="A10" s="40" t="s">
        <v>263</v>
      </c>
      <c r="B10" s="32">
        <f>'CYFROWY POLSAT SA'!B99+'CYFROWY POLSAT SA'!B127</f>
        <v>781300</v>
      </c>
      <c r="C10" s="32">
        <f>'CYFROWY POLSAT SA'!C99+'CYFROWY POLSAT SA'!C127</f>
        <v>34600</v>
      </c>
      <c r="D10" s="32">
        <f>'CYFROWY POLSAT SA'!D99+'CYFROWY POLSAT SA'!D127</f>
        <v>0</v>
      </c>
      <c r="E10" s="35">
        <f>'KONKURENCJA R.N.TV'!B99+'KONKURENCJA R.N.TV'!B127</f>
        <v>5260.71</v>
      </c>
      <c r="F10" s="35">
        <f>'KONKURENCJA R.N.TV'!C99+'KONKURENCJA R.N.TV'!C127</f>
        <v>3948.3900000000003</v>
      </c>
      <c r="G10" s="35">
        <f>'KONKURENCJA R.N.TV'!D99+'KONKURENCJA R.N.TV'!D127</f>
        <v>4372.97</v>
      </c>
      <c r="H10" s="35">
        <f>'KONKURENCJA R.O.KOM.'!B99+'KONKURENCJA R.O.KOM.'!B127</f>
        <v>455000</v>
      </c>
      <c r="I10" s="35">
        <f>'KONKURENCJA R.O.KOM.'!C99+'KONKURENCJA R.O.KOM.'!C127</f>
        <v>552000</v>
      </c>
      <c r="J10" s="35">
        <f>'KONKURENCJA R.O.KOM.'!D99+'KONKURENCJA R.O.KOM.'!D127</f>
        <v>532000</v>
      </c>
      <c r="K10" s="35">
        <f>'KONKURENCJA R.O.KOM.'!E99+'KONKURENCJA R.O.KOM.'!E127</f>
        <v>15391</v>
      </c>
      <c r="L10" s="35">
        <f>'KONKURENCJA R.O.KOM.'!F99+'KONKURENCJA R.O.KOM.'!F127</f>
        <v>14362</v>
      </c>
      <c r="M10" s="35">
        <f>'KONKURENCJA R.O.KOM.'!G99+'KONKURENCJA R.O.KOM.'!G127</f>
        <v>13835</v>
      </c>
      <c r="N10" s="32"/>
      <c r="O10" s="35"/>
      <c r="P10" s="35"/>
      <c r="Q10" s="32"/>
      <c r="R10" s="32" t="s">
        <v>248</v>
      </c>
      <c r="S10" s="43">
        <f>E13</f>
        <v>0.41996954645136331</v>
      </c>
      <c r="T10" s="43">
        <f t="shared" ref="T10:U10" si="2">F13</f>
        <v>3.9893695907581586E-2</v>
      </c>
      <c r="U10" s="43">
        <f t="shared" si="2"/>
        <v>0.32833628170402501</v>
      </c>
      <c r="V10" s="32"/>
      <c r="W10" s="32"/>
      <c r="X10" s="32"/>
      <c r="Y10" s="32"/>
      <c r="Z10" s="32"/>
      <c r="AA10" s="32"/>
      <c r="AB10" s="32"/>
      <c r="AC10" s="32"/>
      <c r="AD10" s="32"/>
      <c r="AE10" s="188" t="s">
        <v>248</v>
      </c>
      <c r="AF10" s="188"/>
      <c r="AG10" s="188"/>
      <c r="AH10" s="189" t="s">
        <v>246</v>
      </c>
      <c r="AI10" s="189"/>
      <c r="AJ10" s="189"/>
      <c r="AK10" s="190" t="s">
        <v>247</v>
      </c>
      <c r="AL10" s="190"/>
      <c r="AM10" s="190"/>
      <c r="AN10" s="32"/>
      <c r="AO10" s="32"/>
      <c r="AP10" s="32"/>
      <c r="AQ10" s="32"/>
      <c r="AR10" s="32"/>
      <c r="AS10" s="32"/>
      <c r="AT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</row>
    <row r="11" spans="1:91" x14ac:dyDescent="0.25">
      <c r="A11" s="40" t="s">
        <v>283</v>
      </c>
      <c r="B11" s="32">
        <f>'CYFROWY POLSAT SA'!B137</f>
        <v>753100</v>
      </c>
      <c r="C11" s="32">
        <f>'CYFROWY POLSAT SA'!C137</f>
        <v>1178700</v>
      </c>
      <c r="D11" s="32">
        <f>'CYFROWY POLSAT SA'!D137</f>
        <v>1172000</v>
      </c>
      <c r="E11" s="35">
        <f>'KONKURENCJA R.N.TV'!B137</f>
        <v>418968.05</v>
      </c>
      <c r="F11" s="35">
        <f>'KONKURENCJA R.N.TV'!C137</f>
        <v>22211.41</v>
      </c>
      <c r="G11" s="35">
        <f>'KONKURENCJA R.N.TV'!D137</f>
        <v>183281.18</v>
      </c>
      <c r="H11" s="35">
        <f>'KONKURENCJA R.O.KOM.'!B137</f>
        <v>404000</v>
      </c>
      <c r="I11" s="35">
        <f>'KONKURENCJA R.O.KOM.'!C137</f>
        <v>611000</v>
      </c>
      <c r="J11" s="35">
        <f>'KONKURENCJA R.O.KOM.'!D137</f>
        <v>646000</v>
      </c>
      <c r="K11" s="35">
        <f>'KONKURENCJA R.O.KOM.'!E137</f>
        <v>294317</v>
      </c>
      <c r="L11" s="35">
        <f>'KONKURENCJA R.O.KOM.'!F137</f>
        <v>353690</v>
      </c>
      <c r="M11" s="35">
        <f>'KONKURENCJA R.O.KOM.'!G137</f>
        <v>628725</v>
      </c>
      <c r="N11" s="32"/>
      <c r="O11" s="35"/>
      <c r="P11" s="35"/>
      <c r="Q11" s="32"/>
      <c r="R11" s="32" t="s">
        <v>246</v>
      </c>
      <c r="S11" s="43">
        <f>H13</f>
        <v>0.20992179863147606</v>
      </c>
      <c r="T11" s="43">
        <f t="shared" ref="T11:U11" si="3">I13</f>
        <v>0.19559367642112344</v>
      </c>
      <c r="U11" s="43">
        <f t="shared" si="3"/>
        <v>0.19493628992222406</v>
      </c>
      <c r="V11" s="32"/>
      <c r="W11" s="32"/>
      <c r="X11" s="32"/>
      <c r="Y11" s="32"/>
      <c r="Z11" s="32"/>
      <c r="AA11" s="32"/>
      <c r="AB11" s="32"/>
      <c r="AC11" s="32"/>
      <c r="AD11" s="39" t="s">
        <v>292</v>
      </c>
      <c r="AE11" s="33">
        <v>2019</v>
      </c>
      <c r="AF11" s="33">
        <v>2018</v>
      </c>
      <c r="AG11" s="33">
        <v>2017</v>
      </c>
      <c r="AH11" s="33">
        <v>2019</v>
      </c>
      <c r="AI11" s="33">
        <v>2018</v>
      </c>
      <c r="AJ11" s="33">
        <v>2017</v>
      </c>
      <c r="AK11" s="33">
        <v>2019</v>
      </c>
      <c r="AL11" s="33">
        <v>2018</v>
      </c>
      <c r="AM11" s="33">
        <v>2017</v>
      </c>
      <c r="AN11" s="32"/>
      <c r="AO11" s="32"/>
      <c r="AP11" s="32"/>
      <c r="AQ11" s="32"/>
      <c r="AR11" s="32"/>
      <c r="AS11" s="32"/>
      <c r="AT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</row>
    <row r="12" spans="1:91" x14ac:dyDescent="0.25">
      <c r="A12" s="41" t="s">
        <v>264</v>
      </c>
      <c r="B12" s="32">
        <f>'CYFROWY POLSAT SA'!B172</f>
        <v>5868200</v>
      </c>
      <c r="C12" s="32">
        <f>'CYFROWY POLSAT SA'!C172</f>
        <v>5018600</v>
      </c>
      <c r="D12" s="32">
        <f>'CYFROWY POLSAT SA'!D172</f>
        <v>3915500</v>
      </c>
      <c r="E12" s="32">
        <f>'KONKURENCJA R.N.TV'!B172</f>
        <v>1010141.72</v>
      </c>
      <c r="F12" s="32">
        <f>'KONKURENCJA R.N.TV'!C172</f>
        <v>655737.68999999994</v>
      </c>
      <c r="G12" s="32">
        <f>'KONKURENCJA R.N.TV'!D172</f>
        <v>571530.35</v>
      </c>
      <c r="H12" s="32">
        <f>'KONKURENCJA R.O.KOM.'!B172</f>
        <v>4092000</v>
      </c>
      <c r="I12" s="32">
        <f>'KONKURENCJA R.O.KOM.'!C172</f>
        <v>5946000</v>
      </c>
      <c r="J12" s="32">
        <f>'KONKURENCJA R.O.KOM.'!D172</f>
        <v>6043000</v>
      </c>
      <c r="K12" s="32">
        <f>'KONKURENCJA R.O.KOM.'!E172</f>
        <v>1809809</v>
      </c>
      <c r="L12" s="32">
        <f>'KONKURENCJA R.O.KOM.'!F172</f>
        <v>2277356</v>
      </c>
      <c r="M12" s="32">
        <f>'KONKURENCJA R.O.KOM.'!G172</f>
        <v>2105120</v>
      </c>
      <c r="N12" s="32"/>
      <c r="Q12" s="32"/>
      <c r="R12" s="32" t="s">
        <v>247</v>
      </c>
      <c r="S12" s="43">
        <f>K13</f>
        <v>0.17112745046576738</v>
      </c>
      <c r="T12" s="43">
        <f t="shared" ref="T12:U12" si="4">L13</f>
        <v>0.16161373101087401</v>
      </c>
      <c r="U12" s="43">
        <f t="shared" si="4"/>
        <v>0.30523675609941475</v>
      </c>
      <c r="V12" s="32"/>
      <c r="W12" s="32"/>
      <c r="X12" s="32"/>
      <c r="Y12" s="32"/>
      <c r="Z12" s="32"/>
      <c r="AA12" s="32"/>
      <c r="AB12" s="32"/>
      <c r="AC12" s="32"/>
      <c r="AD12" s="40" t="s">
        <v>295</v>
      </c>
      <c r="AE12" s="43">
        <v>8918.6936321609373</v>
      </c>
      <c r="AF12" s="43">
        <v>7264.0406623694644</v>
      </c>
      <c r="AG12" s="43">
        <v>5855.0123425609718</v>
      </c>
      <c r="AH12" s="43">
        <v>22.23391812865497</v>
      </c>
      <c r="AI12" s="43">
        <v>21.639376218323587</v>
      </c>
      <c r="AJ12" s="43">
        <v>22.185185185185187</v>
      </c>
      <c r="AK12" s="43">
        <v>13.724664717348928</v>
      </c>
      <c r="AL12" s="43">
        <v>13.331672514619884</v>
      </c>
      <c r="AM12" s="43">
        <v>13.001674463937622</v>
      </c>
      <c r="AN12" s="32"/>
      <c r="AO12" s="32"/>
      <c r="AP12" s="32"/>
      <c r="AQ12" s="32"/>
      <c r="AR12" s="32"/>
      <c r="AS12" s="32"/>
      <c r="AT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</row>
    <row r="13" spans="1:91" x14ac:dyDescent="0.25">
      <c r="A13" s="33" t="s">
        <v>265</v>
      </c>
      <c r="B13" s="34">
        <f>(B10+B11)/B12</f>
        <v>0.26147711393613032</v>
      </c>
      <c r="C13" s="34">
        <f t="shared" ref="C13:M13" si="5">(C10+C11)/C12</f>
        <v>0.24176065038058422</v>
      </c>
      <c r="D13" s="34">
        <f t="shared" si="5"/>
        <v>0.29932320265611034</v>
      </c>
      <c r="E13" s="34">
        <f t="shared" si="5"/>
        <v>0.41996954645136331</v>
      </c>
      <c r="F13" s="34">
        <f t="shared" si="5"/>
        <v>3.9893695907581586E-2</v>
      </c>
      <c r="G13" s="34">
        <f t="shared" si="5"/>
        <v>0.32833628170402501</v>
      </c>
      <c r="H13" s="34">
        <f t="shared" si="5"/>
        <v>0.20992179863147606</v>
      </c>
      <c r="I13" s="34">
        <f t="shared" si="5"/>
        <v>0.19559367642112344</v>
      </c>
      <c r="J13" s="34">
        <f t="shared" si="5"/>
        <v>0.19493628992222406</v>
      </c>
      <c r="K13" s="34">
        <f t="shared" si="5"/>
        <v>0.17112745046576738</v>
      </c>
      <c r="L13" s="34">
        <f t="shared" si="5"/>
        <v>0.16161373101087401</v>
      </c>
      <c r="M13" s="34">
        <f t="shared" si="5"/>
        <v>0.30523675609941475</v>
      </c>
      <c r="N13" s="34">
        <f>AVERAGE(K13,H13,E13,B13)</f>
        <v>0.26562397737118426</v>
      </c>
      <c r="O13" s="34">
        <f t="shared" ref="O13:P13" si="6">AVERAGE(L13,I13,F13,C13)</f>
        <v>0.1597154384300408</v>
      </c>
      <c r="P13" s="34">
        <f t="shared" si="6"/>
        <v>0.28195813259544356</v>
      </c>
      <c r="Q13" s="32"/>
      <c r="R13" s="50" t="s">
        <v>298</v>
      </c>
      <c r="S13" s="51">
        <f>N13</f>
        <v>0.26562397737118426</v>
      </c>
      <c r="T13" s="51">
        <f t="shared" ref="T13:U13" si="7">O13</f>
        <v>0.1597154384300408</v>
      </c>
      <c r="U13" s="51">
        <f t="shared" si="7"/>
        <v>0.28195813259544356</v>
      </c>
      <c r="V13" s="32"/>
      <c r="W13" s="32"/>
      <c r="X13" s="32"/>
      <c r="Y13" s="32"/>
      <c r="Z13" s="32"/>
      <c r="AA13" s="32"/>
      <c r="AB13" s="32"/>
      <c r="AC13" s="32"/>
      <c r="AD13" s="40" t="s">
        <v>296</v>
      </c>
      <c r="AE13" s="43">
        <v>7.1843692160403858</v>
      </c>
      <c r="AF13" s="43">
        <v>5.8514791819514622</v>
      </c>
      <c r="AG13" s="43">
        <v>4.7164497591604793</v>
      </c>
      <c r="AH13" s="43">
        <v>50.693333333333335</v>
      </c>
      <c r="AI13" s="43">
        <v>49.337777777777781</v>
      </c>
      <c r="AJ13" s="43">
        <v>50.582222222222221</v>
      </c>
      <c r="AK13" s="43">
        <v>31.292235555555557</v>
      </c>
      <c r="AL13" s="43">
        <v>30.396213333333332</v>
      </c>
      <c r="AM13" s="43">
        <v>29.643817777777777</v>
      </c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</row>
    <row r="14" spans="1:91" s="31" customFormat="1" x14ac:dyDescent="0.25">
      <c r="A14" s="39" t="s">
        <v>266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tr">
        <f>A17</f>
        <v>WPN</v>
      </c>
      <c r="S14" s="33">
        <v>2019</v>
      </c>
      <c r="T14" s="33">
        <v>2018</v>
      </c>
      <c r="U14" s="33">
        <v>2017</v>
      </c>
      <c r="V14" s="32"/>
      <c r="W14" s="32"/>
      <c r="X14" s="32"/>
      <c r="Y14" s="32"/>
      <c r="Z14" s="32"/>
      <c r="AA14" s="32"/>
      <c r="AB14" s="32"/>
      <c r="AC14" s="32"/>
      <c r="AD14" s="40" t="s">
        <v>297</v>
      </c>
      <c r="AE14" s="43">
        <v>3.6300846073005424</v>
      </c>
      <c r="AF14" s="43">
        <v>2.9566081404775857</v>
      </c>
      <c r="AG14" s="43">
        <v>2.3831057615481219</v>
      </c>
      <c r="AH14" s="43">
        <v>2.1278527454760279</v>
      </c>
      <c r="AI14" s="43">
        <v>2.0709532989241963</v>
      </c>
      <c r="AJ14" s="43">
        <v>2.1231888564144024</v>
      </c>
      <c r="AK14" s="43">
        <v>1.3134916360922828</v>
      </c>
      <c r="AL14" s="43">
        <v>1.2758811019215224</v>
      </c>
      <c r="AM14" s="43">
        <v>1.2442992973073814</v>
      </c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</row>
    <row r="15" spans="1:91" x14ac:dyDescent="0.25">
      <c r="A15" s="40" t="s">
        <v>267</v>
      </c>
      <c r="B15" s="32">
        <f>'CYFROWY POLSAT SA'!B131+'CYFROWY POLSAT SA'!B137</f>
        <v>753100</v>
      </c>
      <c r="C15" s="32">
        <f>'CYFROWY POLSAT SA'!C131+'CYFROWY POLSAT SA'!C137</f>
        <v>1178700</v>
      </c>
      <c r="D15" s="32">
        <f>'CYFROWY POLSAT SA'!D131+'CYFROWY POLSAT SA'!D137</f>
        <v>1177100</v>
      </c>
      <c r="E15" s="35">
        <f>'KONKURENCJA R.N.TV'!B131+'KONKURENCJA R.N.TV'!B137</f>
        <v>418968.05</v>
      </c>
      <c r="F15" s="35">
        <f>'KONKURENCJA R.N.TV'!C131+'KONKURENCJA R.N.TV'!C137</f>
        <v>22456.98</v>
      </c>
      <c r="G15" s="35">
        <f>'KONKURENCJA R.N.TV'!D131+'KONKURENCJA R.N.TV'!D137</f>
        <v>183281.18</v>
      </c>
      <c r="H15" s="32">
        <f>'KONKURENCJA R.O.KOM.'!B131+'KONKURENCJA R.O.KOM.'!B137</f>
        <v>405000</v>
      </c>
      <c r="I15" s="32">
        <f>'KONKURENCJA R.O.KOM.'!C131+'KONKURENCJA R.O.KOM.'!C137</f>
        <v>663000</v>
      </c>
      <c r="J15" s="32">
        <f>'KONKURENCJA R.O.KOM.'!D131+'KONKURENCJA R.O.KOM.'!D137</f>
        <v>646000</v>
      </c>
      <c r="K15" s="32">
        <f>'KONKURENCJA R.O.KOM.'!E131+'KONKURENCJA R.O.KOM.'!E137</f>
        <v>300577</v>
      </c>
      <c r="L15" s="32">
        <f>'KONKURENCJA R.O.KOM.'!F131+'KONKURENCJA R.O.KOM.'!F137</f>
        <v>353690</v>
      </c>
      <c r="M15" s="32">
        <f>'KONKURENCJA R.O.KOM.'!G131+'KONKURENCJA R.O.KOM.'!G137</f>
        <v>628725</v>
      </c>
      <c r="N15" s="32"/>
      <c r="Q15" s="32"/>
      <c r="R15" s="32" t="s">
        <v>4</v>
      </c>
      <c r="S15" s="48">
        <f>B17</f>
        <v>0.12833577587675948</v>
      </c>
      <c r="T15" s="48">
        <f t="shared" ref="T15:U15" si="8">C17</f>
        <v>0.23486629737376957</v>
      </c>
      <c r="U15" s="48">
        <f t="shared" si="8"/>
        <v>0.30062571829906781</v>
      </c>
      <c r="V15" s="32"/>
      <c r="W15" s="32"/>
      <c r="X15" s="32"/>
      <c r="Y15" s="32"/>
      <c r="Z15" s="32"/>
      <c r="AA15" s="32"/>
      <c r="AB15" s="32"/>
      <c r="AC15" s="3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</row>
    <row r="16" spans="1:91" x14ac:dyDescent="0.25">
      <c r="A16" s="40" t="s">
        <v>264</v>
      </c>
      <c r="B16" s="32">
        <f>'CYFROWY POLSAT SA'!B172</f>
        <v>5868200</v>
      </c>
      <c r="C16" s="32">
        <f>'CYFROWY POLSAT SA'!C172</f>
        <v>5018600</v>
      </c>
      <c r="D16" s="32">
        <f>'CYFROWY POLSAT SA'!D172</f>
        <v>3915500</v>
      </c>
      <c r="E16" s="32">
        <f>'KONKURENCJA R.N.TV'!B172</f>
        <v>1010141.72</v>
      </c>
      <c r="F16" s="32">
        <f>'KONKURENCJA R.N.TV'!C172</f>
        <v>655737.68999999994</v>
      </c>
      <c r="G16" s="32">
        <f>'KONKURENCJA R.N.TV'!D172</f>
        <v>571530.35</v>
      </c>
      <c r="H16" s="32">
        <f>'KONKURENCJA R.O.KOM.'!B172</f>
        <v>4092000</v>
      </c>
      <c r="I16" s="32">
        <f>'KONKURENCJA R.O.KOM.'!C172</f>
        <v>5946000</v>
      </c>
      <c r="J16" s="32">
        <f>'KONKURENCJA R.O.KOM.'!D172</f>
        <v>6043000</v>
      </c>
      <c r="K16" s="32">
        <f>'KONKURENCJA R.O.KOM.'!E172</f>
        <v>1809809</v>
      </c>
      <c r="L16" s="32">
        <f>'KONKURENCJA R.O.KOM.'!F172</f>
        <v>2277356</v>
      </c>
      <c r="M16" s="32">
        <f>'KONKURENCJA R.O.KOM.'!G172</f>
        <v>2105120</v>
      </c>
      <c r="N16" s="32"/>
      <c r="Q16" s="32"/>
      <c r="R16" s="32" t="s">
        <v>248</v>
      </c>
      <c r="S16" s="43">
        <f>E17</f>
        <v>0.4147616534440336</v>
      </c>
      <c r="T16" s="43">
        <f t="shared" ref="T16:U16" si="9">F17</f>
        <v>3.4246895279116868E-2</v>
      </c>
      <c r="U16" s="43">
        <f t="shared" si="9"/>
        <v>0.32068494700237704</v>
      </c>
      <c r="V16" s="32"/>
      <c r="W16" s="32"/>
      <c r="X16" s="32"/>
      <c r="Y16" s="32"/>
      <c r="Z16" s="32"/>
      <c r="AA16" s="32"/>
      <c r="AB16" s="32"/>
      <c r="AC16" s="32"/>
      <c r="AD16" s="32"/>
      <c r="AE16" s="187" t="s">
        <v>4</v>
      </c>
      <c r="AF16" s="187"/>
      <c r="AG16" s="187"/>
      <c r="AH16" s="32"/>
      <c r="AI16" s="32"/>
      <c r="AJ16" s="32"/>
      <c r="AK16" s="187" t="s">
        <v>4</v>
      </c>
      <c r="AL16" s="187"/>
      <c r="AM16" s="187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</row>
    <row r="17" spans="1:91" x14ac:dyDescent="0.25">
      <c r="A17" s="33" t="s">
        <v>268</v>
      </c>
      <c r="B17" s="34">
        <f t="shared" ref="B17:M17" si="10">B15/B16</f>
        <v>0.12833577587675948</v>
      </c>
      <c r="C17" s="34">
        <f t="shared" si="10"/>
        <v>0.23486629737376957</v>
      </c>
      <c r="D17" s="34">
        <f t="shared" si="10"/>
        <v>0.30062571829906781</v>
      </c>
      <c r="E17" s="34">
        <f t="shared" si="10"/>
        <v>0.4147616534440336</v>
      </c>
      <c r="F17" s="34">
        <f t="shared" si="10"/>
        <v>3.4246895279116868E-2</v>
      </c>
      <c r="G17" s="34">
        <f t="shared" si="10"/>
        <v>0.32068494700237704</v>
      </c>
      <c r="H17" s="34">
        <f t="shared" si="10"/>
        <v>9.8973607038123163E-2</v>
      </c>
      <c r="I17" s="34">
        <f t="shared" si="10"/>
        <v>0.11150353178607467</v>
      </c>
      <c r="J17" s="34">
        <f t="shared" si="10"/>
        <v>0.10690054608638094</v>
      </c>
      <c r="K17" s="34">
        <f t="shared" si="10"/>
        <v>0.16608216668167747</v>
      </c>
      <c r="L17" s="34">
        <f t="shared" si="10"/>
        <v>0.15530729495081139</v>
      </c>
      <c r="M17" s="34">
        <f t="shared" si="10"/>
        <v>0.29866468419852549</v>
      </c>
      <c r="N17" s="34">
        <f>AVERAGE(K17,H17,E17,B17)</f>
        <v>0.20203830076014842</v>
      </c>
      <c r="O17" s="34">
        <f t="shared" ref="O17:P17" si="11">AVERAGE(L17,I17,F17,C17)</f>
        <v>0.13398100484744313</v>
      </c>
      <c r="P17" s="34">
        <f t="shared" si="11"/>
        <v>0.25671897389658782</v>
      </c>
      <c r="Q17" s="32"/>
      <c r="R17" s="32" t="s">
        <v>246</v>
      </c>
      <c r="S17" s="43">
        <f>H17</f>
        <v>9.8973607038123163E-2</v>
      </c>
      <c r="T17" s="43">
        <f t="shared" ref="T17:U17" si="12">I17</f>
        <v>0.11150353178607467</v>
      </c>
      <c r="U17" s="43">
        <f t="shared" si="12"/>
        <v>0.10690054608638094</v>
      </c>
      <c r="V17" s="32"/>
      <c r="W17" s="32"/>
      <c r="X17" s="32"/>
      <c r="Y17" s="32"/>
      <c r="Z17" s="32"/>
      <c r="AA17" s="32"/>
      <c r="AB17" s="32"/>
      <c r="AC17" s="32"/>
      <c r="AD17" s="32"/>
      <c r="AE17" s="33">
        <v>2019</v>
      </c>
      <c r="AF17" s="33">
        <v>2018</v>
      </c>
      <c r="AG17" s="33">
        <v>2017</v>
      </c>
      <c r="AH17" s="32"/>
      <c r="AI17" s="32"/>
      <c r="AJ17" s="32"/>
      <c r="AK17" s="33">
        <v>2019</v>
      </c>
      <c r="AL17" s="33">
        <v>2018</v>
      </c>
      <c r="AM17" s="33">
        <v>2017</v>
      </c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</row>
    <row r="18" spans="1:91" s="31" customFormat="1" x14ac:dyDescent="0.25">
      <c r="A18" s="39" t="s">
        <v>269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 t="s">
        <v>247</v>
      </c>
      <c r="S18" s="43">
        <f>K17</f>
        <v>0.16608216668167747</v>
      </c>
      <c r="T18" s="43">
        <f t="shared" ref="T18:U18" si="13">L17</f>
        <v>0.15530729495081139</v>
      </c>
      <c r="U18" s="43">
        <f t="shared" si="13"/>
        <v>0.29866468419852549</v>
      </c>
      <c r="V18" s="32"/>
      <c r="W18" s="32"/>
      <c r="X18" s="32"/>
      <c r="Y18" s="32"/>
      <c r="Z18" s="32"/>
      <c r="AA18" s="32"/>
      <c r="AB18" s="32"/>
      <c r="AC18" s="32"/>
      <c r="AD18" s="32" t="s">
        <v>277</v>
      </c>
      <c r="AE18" s="43">
        <v>0.2974794666027184</v>
      </c>
      <c r="AF18" s="43">
        <v>0.27279362910697075</v>
      </c>
      <c r="AG18" s="43">
        <v>0.29926947886779398</v>
      </c>
      <c r="AH18" s="32" t="s">
        <v>299</v>
      </c>
      <c r="AI18" s="32"/>
      <c r="AJ18" s="32" t="s">
        <v>259</v>
      </c>
      <c r="AK18" s="43">
        <v>0.84947684128012002</v>
      </c>
      <c r="AL18" s="43">
        <v>1.0805204638743873</v>
      </c>
      <c r="AM18" s="43">
        <v>1.0040863235857489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</row>
    <row r="19" spans="1:91" x14ac:dyDescent="0.25">
      <c r="A19" s="40" t="s">
        <v>263</v>
      </c>
      <c r="B19" s="32">
        <f>'CYFROWY POLSAT SA'!B99+'CYFROWY POLSAT SA'!B127</f>
        <v>781300</v>
      </c>
      <c r="C19" s="32">
        <f>'CYFROWY POLSAT SA'!C99+'CYFROWY POLSAT SA'!C127</f>
        <v>34600</v>
      </c>
      <c r="D19" s="32">
        <f>'CYFROWY POLSAT SA'!D99+'CYFROWY POLSAT SA'!D127</f>
        <v>0</v>
      </c>
      <c r="E19" s="35">
        <f>'KONKURENCJA R.N.TV'!B99+'KONKURENCJA R.N.TV'!B127</f>
        <v>5260.71</v>
      </c>
      <c r="F19" s="35">
        <f>'KONKURENCJA R.N.TV'!C99+'KONKURENCJA R.N.TV'!C127</f>
        <v>3948.3900000000003</v>
      </c>
      <c r="G19" s="35">
        <f>'KONKURENCJA R.N.TV'!D99+'KONKURENCJA R.N.TV'!D127</f>
        <v>4372.97</v>
      </c>
      <c r="H19" s="35">
        <f>'KONKURENCJA R.O.KOM.'!B99+'KONKURENCJA R.O.KOM.'!B127</f>
        <v>455000</v>
      </c>
      <c r="I19" s="35">
        <f>'KONKURENCJA R.O.KOM.'!C99+'KONKURENCJA R.O.KOM.'!C127</f>
        <v>552000</v>
      </c>
      <c r="J19" s="35">
        <f>'KONKURENCJA R.O.KOM.'!D99+'KONKURENCJA R.O.KOM.'!D127</f>
        <v>532000</v>
      </c>
      <c r="K19" s="35">
        <f>'KONKURENCJA R.O.KOM.'!E99+'KONKURENCJA R.O.KOM.'!E127</f>
        <v>15391</v>
      </c>
      <c r="L19" s="35">
        <f>'KONKURENCJA R.O.KOM.'!F99+'KONKURENCJA R.O.KOM.'!F127</f>
        <v>14362</v>
      </c>
      <c r="M19" s="35">
        <f>'KONKURENCJA R.O.KOM.'!G99+'KONKURENCJA R.O.KOM.'!G127</f>
        <v>13835</v>
      </c>
      <c r="N19" s="32"/>
      <c r="O19" s="35"/>
      <c r="P19" s="35"/>
      <c r="Q19" s="32"/>
      <c r="R19" s="50" t="s">
        <v>298</v>
      </c>
      <c r="S19" s="51">
        <f>N17</f>
        <v>0.20203830076014842</v>
      </c>
      <c r="T19" s="51">
        <f t="shared" ref="T19:U19" si="14">O17</f>
        <v>0.13398100484744313</v>
      </c>
      <c r="U19" s="51">
        <f t="shared" si="14"/>
        <v>0.25671897389658782</v>
      </c>
      <c r="V19" s="32"/>
      <c r="W19" s="32"/>
      <c r="X19" s="32"/>
      <c r="Y19" s="32"/>
      <c r="Z19" s="32"/>
      <c r="AA19" s="32"/>
      <c r="AB19" s="32"/>
      <c r="AC19" s="32"/>
      <c r="AD19" s="32" t="s">
        <v>279</v>
      </c>
      <c r="AE19" s="43">
        <v>0.10658001325576258</v>
      </c>
      <c r="AF19" s="43">
        <v>9.4964295952672598E-2</v>
      </c>
      <c r="AG19" s="43">
        <v>0.1059734832108373</v>
      </c>
      <c r="AH19" s="32"/>
      <c r="AI19" s="32"/>
      <c r="AJ19" s="32" t="s">
        <v>265</v>
      </c>
      <c r="AK19" s="43">
        <v>0.26147711393613032</v>
      </c>
      <c r="AL19" s="43">
        <v>0.24176065038058422</v>
      </c>
      <c r="AM19" s="43">
        <v>0.29932320265611034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</row>
    <row r="20" spans="1:91" x14ac:dyDescent="0.25">
      <c r="A20" s="40" t="s">
        <v>264</v>
      </c>
      <c r="B20" s="32">
        <f>'CYFROWY POLSAT SA'!B172</f>
        <v>5868200</v>
      </c>
      <c r="C20" s="32">
        <f>'CYFROWY POLSAT SA'!C172</f>
        <v>5018600</v>
      </c>
      <c r="D20" s="32">
        <f>'CYFROWY POLSAT SA'!D172</f>
        <v>3915500</v>
      </c>
      <c r="E20" s="32">
        <f>'KONKURENCJA R.N.TV'!B172</f>
        <v>1010141.72</v>
      </c>
      <c r="F20" s="32">
        <f>'KONKURENCJA R.N.TV'!C172</f>
        <v>655737.68999999994</v>
      </c>
      <c r="G20" s="32">
        <f>'KONKURENCJA R.N.TV'!D172</f>
        <v>571530.35</v>
      </c>
      <c r="H20" s="32">
        <f>'KONKURENCJA R.O.KOM.'!B172</f>
        <v>4092000</v>
      </c>
      <c r="I20" s="32">
        <f>'KONKURENCJA R.O.KOM.'!C172</f>
        <v>5946000</v>
      </c>
      <c r="J20" s="32">
        <f>'KONKURENCJA R.O.KOM.'!D172</f>
        <v>6043000</v>
      </c>
      <c r="K20" s="32">
        <f>'KONKURENCJA R.O.KOM.'!E172</f>
        <v>1809809</v>
      </c>
      <c r="L20" s="32">
        <f>'KONKURENCJA R.O.KOM.'!F172</f>
        <v>2277356</v>
      </c>
      <c r="M20" s="32">
        <f>'KONKURENCJA R.O.KOM.'!G172</f>
        <v>2105120</v>
      </c>
      <c r="N20" s="32"/>
      <c r="Q20" s="32"/>
      <c r="R20" s="32" t="str">
        <f>A21</f>
        <v>WPZN</v>
      </c>
      <c r="S20" s="33">
        <v>2019</v>
      </c>
      <c r="T20" s="33">
        <v>2018</v>
      </c>
      <c r="U20" s="33">
        <v>2017</v>
      </c>
      <c r="V20" s="32"/>
      <c r="W20" s="32"/>
      <c r="X20" s="32"/>
      <c r="Y20" s="32"/>
      <c r="Z20" s="32"/>
      <c r="AA20" s="32"/>
      <c r="AB20" s="32"/>
      <c r="AC20" s="32"/>
      <c r="AD20" s="32" t="s">
        <v>282</v>
      </c>
      <c r="AE20" s="43">
        <v>0.82765029666166279</v>
      </c>
      <c r="AF20" s="43">
        <v>0.72250724960963641</v>
      </c>
      <c r="AG20" s="43">
        <v>0.76487414187643021</v>
      </c>
      <c r="AH20" s="32"/>
      <c r="AI20" s="32"/>
      <c r="AJ20" s="32" t="s">
        <v>268</v>
      </c>
      <c r="AK20" s="43">
        <v>0.12833577587675948</v>
      </c>
      <c r="AL20" s="43">
        <v>0.23486629737376957</v>
      </c>
      <c r="AM20" s="43">
        <v>0.30062571829906781</v>
      </c>
      <c r="AN20" s="32"/>
      <c r="AO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</row>
    <row r="21" spans="1:91" x14ac:dyDescent="0.25">
      <c r="A21" s="33" t="s">
        <v>270</v>
      </c>
      <c r="B21" s="34">
        <f>B19/B20</f>
        <v>0.13314133805937084</v>
      </c>
      <c r="C21" s="34">
        <f t="shared" ref="C21:M21" si="15">C19/C20</f>
        <v>6.8943530068146493E-3</v>
      </c>
      <c r="D21" s="34">
        <f t="shared" si="15"/>
        <v>0</v>
      </c>
      <c r="E21" s="34">
        <f t="shared" si="15"/>
        <v>5.2078930073297044E-3</v>
      </c>
      <c r="F21" s="34">
        <f t="shared" si="15"/>
        <v>6.0212948869844598E-3</v>
      </c>
      <c r="G21" s="34">
        <f t="shared" si="15"/>
        <v>7.6513347016479534E-3</v>
      </c>
      <c r="H21" s="34">
        <f t="shared" si="15"/>
        <v>0.11119257086999022</v>
      </c>
      <c r="I21" s="34">
        <f t="shared" si="15"/>
        <v>9.2835519677093845E-2</v>
      </c>
      <c r="J21" s="34">
        <f t="shared" si="15"/>
        <v>8.803574383584313E-2</v>
      </c>
      <c r="K21" s="34">
        <f t="shared" si="15"/>
        <v>8.5042123229578364E-3</v>
      </c>
      <c r="L21" s="34">
        <f t="shared" si="15"/>
        <v>6.306436060062634E-3</v>
      </c>
      <c r="M21" s="34">
        <f t="shared" si="15"/>
        <v>6.5720719008892604E-3</v>
      </c>
      <c r="N21" s="34">
        <f>AVERAGE(K21,H21,E21,B21)</f>
        <v>6.4511503564912143E-2</v>
      </c>
      <c r="O21" s="34">
        <f t="shared" ref="O21:P21" si="16">AVERAGE(L21,I21,F21,C21)</f>
        <v>2.8014400907738896E-2</v>
      </c>
      <c r="P21" s="34">
        <f t="shared" si="16"/>
        <v>2.5564787609595088E-2</v>
      </c>
      <c r="Q21" s="32"/>
      <c r="R21" s="32" t="s">
        <v>4</v>
      </c>
      <c r="S21" s="48">
        <f>B21</f>
        <v>0.13314133805937084</v>
      </c>
      <c r="T21" s="48">
        <f t="shared" ref="T21:U21" si="17">C21</f>
        <v>6.8943530068146493E-3</v>
      </c>
      <c r="U21" s="48">
        <f t="shared" si="17"/>
        <v>0</v>
      </c>
      <c r="V21" s="32"/>
      <c r="W21" s="32"/>
      <c r="X21" s="32"/>
      <c r="Y21" s="32"/>
      <c r="Z21" s="32"/>
      <c r="AA21" s="32"/>
      <c r="AB21" s="32"/>
      <c r="AC21" s="32"/>
      <c r="AD21" s="32" t="s">
        <v>288</v>
      </c>
      <c r="AE21" s="44">
        <v>8.0912433660782845</v>
      </c>
      <c r="AF21" s="44">
        <v>8.840846208314229</v>
      </c>
      <c r="AG21" s="44">
        <v>9.6121692475700176</v>
      </c>
      <c r="AH21" s="32"/>
      <c r="AI21" s="32"/>
      <c r="AJ21" s="32" t="s">
        <v>270</v>
      </c>
      <c r="AK21" s="43">
        <v>0.13314133805937084</v>
      </c>
      <c r="AL21" s="43">
        <v>6.8943530068146493E-3</v>
      </c>
      <c r="AM21" s="43">
        <v>0</v>
      </c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</row>
    <row r="22" spans="1:91" s="31" customFormat="1" x14ac:dyDescent="0.25">
      <c r="A22" s="39" t="s">
        <v>271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 t="s">
        <v>248</v>
      </c>
      <c r="S22" s="43">
        <f>E21</f>
        <v>5.2078930073297044E-3</v>
      </c>
      <c r="T22" s="43">
        <f t="shared" ref="T22:U22" si="18">F21</f>
        <v>6.0212948869844598E-3</v>
      </c>
      <c r="U22" s="43">
        <f t="shared" si="18"/>
        <v>7.6513347016479534E-3</v>
      </c>
      <c r="V22" s="32"/>
      <c r="W22" s="32"/>
      <c r="X22" s="32"/>
      <c r="Y22" s="32"/>
      <c r="Z22" s="32"/>
      <c r="AA22" s="32"/>
      <c r="AB22" s="32"/>
      <c r="AC22" s="32"/>
      <c r="AD22" s="32" t="s">
        <v>289</v>
      </c>
      <c r="AE22" s="44">
        <v>10.258633733295651</v>
      </c>
      <c r="AF22" s="44">
        <v>11.209031670425444</v>
      </c>
      <c r="AG22" s="44">
        <v>12.186967964240415</v>
      </c>
      <c r="AH22" s="32"/>
      <c r="AI22" s="32"/>
      <c r="AJ22" s="32" t="s">
        <v>273</v>
      </c>
      <c r="AK22" s="43">
        <v>-2.7103738616000198E-2</v>
      </c>
      <c r="AL22" s="43">
        <v>1.3164238617706081E-2</v>
      </c>
      <c r="AM22" s="43">
        <v>5.7645193831964265E-4</v>
      </c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</row>
    <row r="23" spans="1:91" x14ac:dyDescent="0.25">
      <c r="A23" s="40" t="s">
        <v>260</v>
      </c>
      <c r="B23" s="32">
        <f>'CYFROWY POLSAT SA'!B117</f>
        <v>4984900</v>
      </c>
      <c r="C23" s="32">
        <f>'CYFROWY POLSAT SA'!C117</f>
        <v>5422700</v>
      </c>
      <c r="D23" s="32">
        <f>'CYFROWY POLSAT SA'!D117</f>
        <v>3931500</v>
      </c>
      <c r="E23" s="32">
        <f>'KONKURENCJA R.N.TV'!B117</f>
        <v>1134462.03</v>
      </c>
      <c r="F23" s="32">
        <f>'KONKURENCJA R.N.TV'!C117</f>
        <v>604938.98</v>
      </c>
      <c r="G23" s="32">
        <f>'KONKURENCJA R.N.TV'!D117</f>
        <v>733902.97</v>
      </c>
      <c r="H23" s="32">
        <f>'KONKURENCJA R.O.KOM.'!B117</f>
        <v>3493000</v>
      </c>
      <c r="I23" s="32">
        <f>'KONKURENCJA R.O.KOM.'!C117</f>
        <v>3969000</v>
      </c>
      <c r="J23" s="32">
        <f>'KONKURENCJA R.O.KOM.'!D117</f>
        <v>3273000</v>
      </c>
      <c r="K23" s="32">
        <f>'KONKURENCJA R.O.KOM.'!E117</f>
        <v>2686432</v>
      </c>
      <c r="L23" s="32">
        <f>'KONKURENCJA R.O.KOM.'!F117</f>
        <v>2802536</v>
      </c>
      <c r="M23" s="32">
        <f>'KONKURENCJA R.O.KOM.'!G117</f>
        <v>3326442</v>
      </c>
      <c r="N23" s="32"/>
      <c r="Q23" s="32"/>
      <c r="R23" s="32" t="s">
        <v>246</v>
      </c>
      <c r="S23" s="43">
        <f>H21</f>
        <v>0.11119257086999022</v>
      </c>
      <c r="T23" s="43">
        <f t="shared" ref="T23:U23" si="19">I21</f>
        <v>9.2835519677093845E-2</v>
      </c>
      <c r="U23" s="43">
        <f t="shared" si="19"/>
        <v>8.803574383584313E-2</v>
      </c>
      <c r="V23" s="32"/>
      <c r="W23" s="32"/>
      <c r="X23" s="32"/>
      <c r="Y23" s="32"/>
      <c r="Z23" s="32"/>
      <c r="AA23" s="32"/>
      <c r="AB23" s="32"/>
      <c r="AC23" s="32"/>
      <c r="AD23" s="32" t="s">
        <v>290</v>
      </c>
      <c r="AE23" s="44">
        <v>154.24212708010378</v>
      </c>
      <c r="AF23" s="44">
        <v>168.53169070100412</v>
      </c>
      <c r="AG23" s="44">
        <v>183.23530309504912</v>
      </c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</row>
    <row r="24" spans="1:91" x14ac:dyDescent="0.25">
      <c r="A24" s="40" t="s">
        <v>264</v>
      </c>
      <c r="B24" s="32">
        <f>'CYFROWY POLSAT SA'!B172</f>
        <v>5868200</v>
      </c>
      <c r="C24" s="32">
        <f>'CYFROWY POLSAT SA'!C172</f>
        <v>5018600</v>
      </c>
      <c r="D24" s="32">
        <f>'CYFROWY POLSAT SA'!D172</f>
        <v>3915500</v>
      </c>
      <c r="E24" s="32">
        <f>'KONKURENCJA R.N.TV'!B172</f>
        <v>1010141.72</v>
      </c>
      <c r="F24" s="32">
        <f>'KONKURENCJA R.N.TV'!C172</f>
        <v>655737.68999999994</v>
      </c>
      <c r="G24" s="32">
        <f>'KONKURENCJA R.N.TV'!D172</f>
        <v>571530.35</v>
      </c>
      <c r="H24" s="32">
        <f>'KONKURENCJA R.O.KOM.'!B172</f>
        <v>4092000</v>
      </c>
      <c r="I24" s="32">
        <f>'KONKURENCJA R.O.KOM.'!C172</f>
        <v>5946000</v>
      </c>
      <c r="J24" s="32">
        <f>'KONKURENCJA R.O.KOM.'!D172</f>
        <v>6043000</v>
      </c>
      <c r="K24" s="32">
        <f>'KONKURENCJA R.O.KOM.'!E172</f>
        <v>1809809</v>
      </c>
      <c r="L24" s="32">
        <f>'KONKURENCJA R.O.KOM.'!F172</f>
        <v>2277356</v>
      </c>
      <c r="M24" s="32">
        <f>'KONKURENCJA R.O.KOM.'!G172</f>
        <v>2105120</v>
      </c>
      <c r="R24" s="32" t="s">
        <v>247</v>
      </c>
      <c r="S24" s="43">
        <f>K21</f>
        <v>8.5042123229578364E-3</v>
      </c>
      <c r="T24" s="43">
        <f t="shared" ref="T24:U24" si="20">L21</f>
        <v>6.306436060062634E-3</v>
      </c>
      <c r="U24" s="43">
        <f t="shared" si="20"/>
        <v>6.5720719008892604E-3</v>
      </c>
      <c r="AD24" s="32" t="s">
        <v>291</v>
      </c>
      <c r="AE24" s="44">
        <v>-135.89224998072984</v>
      </c>
      <c r="AF24" s="44">
        <v>-148.48181282226446</v>
      </c>
      <c r="AG24" s="44">
        <v>-161.43616588323869</v>
      </c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</row>
    <row r="25" spans="1:91" x14ac:dyDescent="0.25">
      <c r="A25" s="40" t="s">
        <v>272</v>
      </c>
      <c r="B25" s="32">
        <f>'CYFROWY POLSAT SA'!B84</f>
        <v>32589600</v>
      </c>
      <c r="C25" s="32">
        <f>'CYFROWY POLSAT SA'!C84</f>
        <v>30696800</v>
      </c>
      <c r="D25" s="32">
        <f>'CYFROWY POLSAT SA'!D84</f>
        <v>27756000</v>
      </c>
      <c r="E25" s="32">
        <f>'KONKURENCJA R.N.TV'!B84</f>
        <v>2149271.39</v>
      </c>
      <c r="F25" s="32">
        <f>'KONKURENCJA R.N.TV'!C84</f>
        <v>1481959.03</v>
      </c>
      <c r="G25" s="32">
        <f>'KONKURENCJA R.N.TV'!D84</f>
        <v>1486228.52</v>
      </c>
      <c r="H25" s="32">
        <f>'KONKURENCJA R.O.KOM.'!B84</f>
        <v>24340000</v>
      </c>
      <c r="I25" s="32">
        <f>'KONKURENCJA R.O.KOM.'!C84</f>
        <v>23295000</v>
      </c>
      <c r="J25" s="32">
        <f>'KONKURENCJA R.O.KOM.'!D84</f>
        <v>22933000</v>
      </c>
      <c r="K25" s="32">
        <f>'KONKURENCJA R.O.KOM.'!E84</f>
        <v>8885641</v>
      </c>
      <c r="L25" s="32">
        <f>'KONKURENCJA R.O.KOM.'!F84</f>
        <v>8520538</v>
      </c>
      <c r="M25" s="32">
        <f>'KONKURENCJA R.O.KOM.'!G84</f>
        <v>8830969</v>
      </c>
      <c r="R25" s="50" t="s">
        <v>298</v>
      </c>
      <c r="S25" s="51">
        <f>N21</f>
        <v>6.4511503564912143E-2</v>
      </c>
      <c r="T25" s="51">
        <f t="shared" ref="T25:U25" si="21">O21</f>
        <v>2.8014400907738896E-2</v>
      </c>
      <c r="U25" s="51">
        <f t="shared" si="21"/>
        <v>2.5564787609595088E-2</v>
      </c>
      <c r="AD25" s="32" t="s">
        <v>295</v>
      </c>
      <c r="AE25" s="43">
        <v>45.110495814552479</v>
      </c>
      <c r="AF25" s="43">
        <v>41.285640695428199</v>
      </c>
      <c r="AG25" s="43">
        <v>37.972698003863492</v>
      </c>
    </row>
    <row r="26" spans="1:91" x14ac:dyDescent="0.25">
      <c r="A26" s="33" t="s">
        <v>273</v>
      </c>
      <c r="B26" s="34">
        <f>(B23-B24)/B25</f>
        <v>-2.7103738616000198E-2</v>
      </c>
      <c r="C26" s="34">
        <f t="shared" ref="C26:M26" si="22">(C23-C24)/C25</f>
        <v>1.3164238617706081E-2</v>
      </c>
      <c r="D26" s="34">
        <f t="shared" si="22"/>
        <v>5.7645193831964265E-4</v>
      </c>
      <c r="E26" s="34">
        <f>(E23-E24)/E25</f>
        <v>5.7843002320893525E-2</v>
      </c>
      <c r="F26" s="34">
        <f t="shared" si="22"/>
        <v>-3.4278079873773543E-2</v>
      </c>
      <c r="G26" s="34">
        <f t="shared" si="22"/>
        <v>0.10925144943389997</v>
      </c>
      <c r="H26" s="34">
        <f t="shared" si="22"/>
        <v>-2.4609695973705836E-2</v>
      </c>
      <c r="I26" s="34">
        <f t="shared" si="22"/>
        <v>-8.486799742433998E-2</v>
      </c>
      <c r="J26" s="34">
        <f t="shared" si="22"/>
        <v>-0.12078663934068809</v>
      </c>
      <c r="K26" s="34">
        <f t="shared" si="22"/>
        <v>9.8656135218607194E-2</v>
      </c>
      <c r="L26" s="34">
        <f t="shared" si="22"/>
        <v>6.1636952971748968E-2</v>
      </c>
      <c r="M26" s="34">
        <f t="shared" si="22"/>
        <v>0.13829988532402276</v>
      </c>
      <c r="N26" s="34">
        <f>AVERAGE(K26,H26,E26,B26)</f>
        <v>2.619642573744867E-2</v>
      </c>
      <c r="O26" s="34">
        <f t="shared" ref="O26:P26" si="23">AVERAGE(L26,I26,F26,C26)</f>
        <v>-1.1086221427164618E-2</v>
      </c>
      <c r="P26" s="34">
        <f t="shared" si="23"/>
        <v>3.1835286838888574E-2</v>
      </c>
      <c r="R26" s="32" t="str">
        <f>A26</f>
        <v>UKPWA</v>
      </c>
      <c r="S26" s="33">
        <v>2019</v>
      </c>
      <c r="T26" s="33">
        <v>2018</v>
      </c>
      <c r="U26" s="33">
        <v>2017</v>
      </c>
      <c r="AD26" s="32" t="s">
        <v>296</v>
      </c>
      <c r="AE26" s="43">
        <v>35.579786693753171</v>
      </c>
      <c r="AF26" s="43">
        <v>32.56302691721686</v>
      </c>
      <c r="AG26" s="43">
        <v>29.950025393600811</v>
      </c>
    </row>
    <row r="27" spans="1:91" x14ac:dyDescent="0.25">
      <c r="A27" s="39" t="s">
        <v>286</v>
      </c>
      <c r="R27" s="32" t="s">
        <v>4</v>
      </c>
      <c r="S27" s="48">
        <f>B26</f>
        <v>-2.7103738616000198E-2</v>
      </c>
      <c r="T27" s="48">
        <f t="shared" ref="T27:U27" si="24">C26</f>
        <v>1.3164238617706081E-2</v>
      </c>
      <c r="U27" s="48">
        <f t="shared" si="24"/>
        <v>5.7645193831964265E-4</v>
      </c>
      <c r="AD27" s="32" t="s">
        <v>297</v>
      </c>
      <c r="AE27" s="43">
        <v>2.3664092742344094</v>
      </c>
      <c r="AF27" s="43">
        <v>2.1657647797977342</v>
      </c>
      <c r="AG27" s="43">
        <v>1.991974220222533</v>
      </c>
    </row>
    <row r="28" spans="1:91" x14ac:dyDescent="0.25">
      <c r="A28" s="40" t="s">
        <v>260</v>
      </c>
      <c r="B28" s="32">
        <f>'CYFROWY POLSAT SA'!B117</f>
        <v>4984900</v>
      </c>
      <c r="C28" s="32">
        <f>'CYFROWY POLSAT SA'!C117</f>
        <v>5422700</v>
      </c>
      <c r="D28" s="32">
        <f>'CYFROWY POLSAT SA'!D117</f>
        <v>3931500</v>
      </c>
      <c r="E28" s="32">
        <f>'KONKURENCJA R.N.TV'!B117</f>
        <v>1134462.03</v>
      </c>
      <c r="F28" s="32">
        <f>'KONKURENCJA R.N.TV'!C117</f>
        <v>604938.98</v>
      </c>
      <c r="G28" s="32">
        <f>'KONKURENCJA R.N.TV'!D117</f>
        <v>733902.97</v>
      </c>
      <c r="H28" s="32">
        <f>'KONKURENCJA R.O.KOM.'!B117</f>
        <v>3493000</v>
      </c>
      <c r="I28" s="32">
        <f>'KONKURENCJA R.O.KOM.'!C117</f>
        <v>3969000</v>
      </c>
      <c r="J28" s="32">
        <f>'KONKURENCJA R.O.KOM.'!D117</f>
        <v>3273000</v>
      </c>
      <c r="K28" s="32">
        <f>'KONKURENCJA R.O.KOM.'!E117</f>
        <v>2686432</v>
      </c>
      <c r="L28" s="32">
        <f>'KONKURENCJA R.O.KOM.'!F117</f>
        <v>2802536</v>
      </c>
      <c r="M28" s="32">
        <f>'KONKURENCJA R.O.KOM.'!G117</f>
        <v>3326442</v>
      </c>
      <c r="R28" s="32" t="s">
        <v>248</v>
      </c>
      <c r="S28" s="43">
        <f>E26</f>
        <v>5.7843002320893525E-2</v>
      </c>
      <c r="T28" s="43">
        <f t="shared" ref="T28:U28" si="25">F26</f>
        <v>-3.4278079873773543E-2</v>
      </c>
      <c r="U28" s="43">
        <f t="shared" si="25"/>
        <v>0.10925144943389997</v>
      </c>
    </row>
    <row r="29" spans="1:91" x14ac:dyDescent="0.25">
      <c r="A29" s="40" t="s">
        <v>264</v>
      </c>
      <c r="B29" s="32">
        <f>'CYFROWY POLSAT SA'!B172</f>
        <v>5868200</v>
      </c>
      <c r="C29" s="32">
        <f>'CYFROWY POLSAT SA'!C172</f>
        <v>5018600</v>
      </c>
      <c r="D29" s="32">
        <f>'CYFROWY POLSAT SA'!D172</f>
        <v>3915500</v>
      </c>
      <c r="E29" s="32">
        <f>'KONKURENCJA R.N.TV'!B172</f>
        <v>1010141.72</v>
      </c>
      <c r="F29" s="32">
        <f>'KONKURENCJA R.N.TV'!C172</f>
        <v>655737.68999999994</v>
      </c>
      <c r="G29" s="32">
        <f>'KONKURENCJA R.N.TV'!D172</f>
        <v>571530.35</v>
      </c>
      <c r="H29" s="32">
        <f>'KONKURENCJA R.O.KOM.'!B172</f>
        <v>4092000</v>
      </c>
      <c r="I29" s="32">
        <f>'KONKURENCJA R.O.KOM.'!C172</f>
        <v>5946000</v>
      </c>
      <c r="J29" s="32">
        <f>'KONKURENCJA R.O.KOM.'!D172</f>
        <v>6043000</v>
      </c>
      <c r="K29" s="32">
        <f>'KONKURENCJA R.O.KOM.'!E172</f>
        <v>1809809</v>
      </c>
      <c r="L29" s="32">
        <f>'KONKURENCJA R.O.KOM.'!F172</f>
        <v>2277356</v>
      </c>
      <c r="M29" s="32">
        <f>'KONKURENCJA R.O.KOM.'!G172</f>
        <v>2105120</v>
      </c>
      <c r="R29" s="32" t="s">
        <v>246</v>
      </c>
      <c r="S29" s="43">
        <f>H26</f>
        <v>-2.4609695973705836E-2</v>
      </c>
      <c r="T29" s="43">
        <f t="shared" ref="T29:U29" si="26">I26</f>
        <v>-8.486799742433998E-2</v>
      </c>
      <c r="U29" s="43">
        <f t="shared" si="26"/>
        <v>-0.12078663934068809</v>
      </c>
    </row>
    <row r="30" spans="1:91" x14ac:dyDescent="0.25">
      <c r="A30" s="33" t="s">
        <v>285</v>
      </c>
      <c r="B30" s="33">
        <f>B28-B29</f>
        <v>-883300</v>
      </c>
      <c r="C30" s="33">
        <f t="shared" ref="C30:M30" si="27">C28-C29</f>
        <v>404100</v>
      </c>
      <c r="D30" s="33">
        <f t="shared" si="27"/>
        <v>16000</v>
      </c>
      <c r="E30" s="33">
        <f t="shared" si="27"/>
        <v>124320.31000000006</v>
      </c>
      <c r="F30" s="33">
        <f t="shared" si="27"/>
        <v>-50798.709999999963</v>
      </c>
      <c r="G30" s="33">
        <f t="shared" si="27"/>
        <v>162372.62</v>
      </c>
      <c r="H30" s="33">
        <f t="shared" si="27"/>
        <v>-599000</v>
      </c>
      <c r="I30" s="33">
        <f t="shared" si="27"/>
        <v>-1977000</v>
      </c>
      <c r="J30" s="33">
        <f t="shared" si="27"/>
        <v>-2770000</v>
      </c>
      <c r="K30" s="33">
        <f t="shared" si="27"/>
        <v>876623</v>
      </c>
      <c r="L30" s="33">
        <f t="shared" si="27"/>
        <v>525180</v>
      </c>
      <c r="M30" s="33">
        <f t="shared" si="27"/>
        <v>1221322</v>
      </c>
      <c r="N30" s="34"/>
      <c r="O30" s="33"/>
      <c r="P30" s="33"/>
      <c r="R30" s="32" t="s">
        <v>247</v>
      </c>
      <c r="S30" s="43">
        <f>K26</f>
        <v>9.8656135218607194E-2</v>
      </c>
      <c r="T30" s="43">
        <f t="shared" ref="T30:U30" si="28">L26</f>
        <v>6.1636952971748968E-2</v>
      </c>
      <c r="U30" s="43">
        <f t="shared" si="28"/>
        <v>0.13829988532402276</v>
      </c>
    </row>
    <row r="31" spans="1:91" x14ac:dyDescent="0.25">
      <c r="R31" s="50" t="s">
        <v>298</v>
      </c>
      <c r="S31" s="51">
        <f>N26</f>
        <v>2.619642573744867E-2</v>
      </c>
      <c r="T31" s="51">
        <f t="shared" ref="T31:U31" si="29">O26</f>
        <v>-1.1086221427164618E-2</v>
      </c>
      <c r="U31" s="51">
        <f t="shared" si="29"/>
        <v>3.1835286838888574E-2</v>
      </c>
    </row>
    <row r="32" spans="1:91" x14ac:dyDescent="0.25">
      <c r="R32" s="32" t="str">
        <f>A37</f>
        <v>WWGS</v>
      </c>
      <c r="S32" s="33">
        <v>2019</v>
      </c>
      <c r="T32" s="33">
        <v>2018</v>
      </c>
      <c r="U32" s="33">
        <v>2017</v>
      </c>
    </row>
    <row r="33" spans="1:30" x14ac:dyDescent="0.25">
      <c r="A33" s="38" t="s">
        <v>293</v>
      </c>
      <c r="R33" s="32" t="s">
        <v>4</v>
      </c>
      <c r="S33" s="48">
        <f>B37</f>
        <v>0.2974794666027184</v>
      </c>
      <c r="T33" s="48">
        <f t="shared" ref="T33:U33" si="30">C37</f>
        <v>0.27279362910697075</v>
      </c>
      <c r="U33" s="48">
        <f t="shared" si="30"/>
        <v>0.29926947886779398</v>
      </c>
    </row>
    <row r="34" spans="1:30" x14ac:dyDescent="0.25">
      <c r="A34" s="39" t="s">
        <v>274</v>
      </c>
      <c r="R34" s="32" t="s">
        <v>248</v>
      </c>
      <c r="S34" s="43">
        <f>E37</f>
        <v>0.10145650164094763</v>
      </c>
      <c r="T34" s="43">
        <f t="shared" ref="T34:U34" si="31">F37</f>
        <v>9.2543932275541377E-2</v>
      </c>
      <c r="U34" s="43">
        <f t="shared" si="31"/>
        <v>3.874674164678537E-2</v>
      </c>
    </row>
    <row r="35" spans="1:30" x14ac:dyDescent="0.25">
      <c r="A35" s="40" t="s">
        <v>275</v>
      </c>
      <c r="B35" s="32">
        <f>'CYFROWY POLSAT SA'!B189</f>
        <v>3473400</v>
      </c>
      <c r="C35" s="32">
        <f>'CYFROWY POLSAT SA'!C189</f>
        <v>2915100</v>
      </c>
      <c r="D35" s="32">
        <f>'CYFROWY POLSAT SA'!D189</f>
        <v>2941400</v>
      </c>
      <c r="E35" s="32">
        <f>'KONKURENCJA R.N.TV'!B189</f>
        <v>274676.12</v>
      </c>
      <c r="F35" s="32">
        <f>'KONKURENCJA R.N.TV'!C189</f>
        <v>204063.81</v>
      </c>
      <c r="G35" s="32">
        <f>'KONKURENCJA R.N.TV'!D189</f>
        <v>68865.67</v>
      </c>
      <c r="H35" s="32">
        <f>'KONKURENCJA R.O.KOM.'!B189</f>
        <v>2776000</v>
      </c>
      <c r="I35" s="32">
        <f>'KONKURENCJA R.O.KOM.'!C189</f>
        <v>1812000</v>
      </c>
      <c r="J35" s="32">
        <f>'KONKURENCJA R.O.KOM.'!D189</f>
        <v>2064000</v>
      </c>
      <c r="K35" s="32">
        <f>'KONKURENCJA R.O.KOM.'!E189</f>
        <v>2229725</v>
      </c>
      <c r="L35" s="32">
        <f>'KONKURENCJA R.O.KOM.'!F189</f>
        <v>2037397</v>
      </c>
      <c r="M35" s="32">
        <f>'KONKURENCJA R.O.KOM.'!G189</f>
        <v>1389338</v>
      </c>
      <c r="R35" s="32" t="s">
        <v>246</v>
      </c>
      <c r="S35" s="43">
        <f>H37</f>
        <v>0.24338067683675257</v>
      </c>
      <c r="T35" s="43">
        <f t="shared" ref="T35:U35" si="32">I37</f>
        <v>0.16322853796955231</v>
      </c>
      <c r="U35" s="43">
        <f t="shared" si="32"/>
        <v>0.18135488972849487</v>
      </c>
    </row>
    <row r="36" spans="1:30" x14ac:dyDescent="0.25">
      <c r="A36" s="40" t="s">
        <v>276</v>
      </c>
      <c r="B36" s="32">
        <f>'CYFROWY POLSAT SA'!B14</f>
        <v>11676100</v>
      </c>
      <c r="C36" s="32">
        <f>'CYFROWY POLSAT SA'!C14</f>
        <v>10686100</v>
      </c>
      <c r="D36" s="32">
        <f>'CYFROWY POLSAT SA'!D14</f>
        <v>9828600</v>
      </c>
      <c r="E36" s="32">
        <f>'KONKURENCJA R.N.TV'!B14</f>
        <v>2707328.91</v>
      </c>
      <c r="F36" s="32">
        <f>'KONKURENCJA R.N.TV'!C14</f>
        <v>2205047.9700000002</v>
      </c>
      <c r="G36" s="32">
        <f>'KONKURENCJA R.N.TV'!D14</f>
        <v>1777328.03</v>
      </c>
      <c r="H36" s="32">
        <f>'KONKURENCJA R.O.KOM.'!B14</f>
        <v>11406000</v>
      </c>
      <c r="I36" s="32">
        <f>'KONKURENCJA R.O.KOM.'!C14</f>
        <v>11101000</v>
      </c>
      <c r="J36" s="32">
        <f>'KONKURENCJA R.O.KOM.'!D14</f>
        <v>11381000</v>
      </c>
      <c r="K36" s="32">
        <f>'KONKURENCJA R.O.KOM.'!E14</f>
        <v>7040753</v>
      </c>
      <c r="L36" s="32">
        <f>'KONKURENCJA R.O.KOM.'!F14</f>
        <v>6839148</v>
      </c>
      <c r="M36" s="32">
        <f>'KONKURENCJA R.O.KOM.'!G14</f>
        <v>6669859</v>
      </c>
      <c r="R36" s="32" t="s">
        <v>247</v>
      </c>
      <c r="S36" s="43">
        <f>K37</f>
        <v>0.3166884280701226</v>
      </c>
      <c r="T36" s="43">
        <f t="shared" ref="T36:U36" si="33">L37</f>
        <v>0.29790216559138655</v>
      </c>
      <c r="U36" s="43">
        <f t="shared" si="33"/>
        <v>0.20830095508765628</v>
      </c>
    </row>
    <row r="37" spans="1:30" x14ac:dyDescent="0.25">
      <c r="A37" s="33" t="s">
        <v>277</v>
      </c>
      <c r="B37" s="34">
        <f>B35/B36</f>
        <v>0.2974794666027184</v>
      </c>
      <c r="C37" s="34">
        <f t="shared" ref="C37:M37" si="34">C35/C36</f>
        <v>0.27279362910697075</v>
      </c>
      <c r="D37" s="34">
        <f t="shared" si="34"/>
        <v>0.29926947886779398</v>
      </c>
      <c r="E37" s="34">
        <f t="shared" si="34"/>
        <v>0.10145650164094763</v>
      </c>
      <c r="F37" s="34">
        <f t="shared" si="34"/>
        <v>9.2543932275541377E-2</v>
      </c>
      <c r="G37" s="34">
        <f t="shared" si="34"/>
        <v>3.874674164678537E-2</v>
      </c>
      <c r="H37" s="34">
        <f t="shared" si="34"/>
        <v>0.24338067683675257</v>
      </c>
      <c r="I37" s="34">
        <f t="shared" si="34"/>
        <v>0.16322853796955231</v>
      </c>
      <c r="J37" s="34">
        <f t="shared" si="34"/>
        <v>0.18135488972849487</v>
      </c>
      <c r="K37" s="34">
        <f t="shared" si="34"/>
        <v>0.3166884280701226</v>
      </c>
      <c r="L37" s="34">
        <f t="shared" si="34"/>
        <v>0.29790216559138655</v>
      </c>
      <c r="M37" s="34">
        <f t="shared" si="34"/>
        <v>0.20830095508765628</v>
      </c>
      <c r="N37" s="34">
        <f>AVERAGE(K37,H37,E37,B37)</f>
        <v>0.23975126828763529</v>
      </c>
      <c r="O37" s="34">
        <f t="shared" ref="O37:P37" si="35">AVERAGE(L37,I37,F37,C37)</f>
        <v>0.20661706623586273</v>
      </c>
      <c r="P37" s="34">
        <f t="shared" si="35"/>
        <v>0.18191801633268262</v>
      </c>
      <c r="R37" s="50" t="s">
        <v>298</v>
      </c>
      <c r="S37" s="51">
        <f>N37</f>
        <v>0.23975126828763529</v>
      </c>
      <c r="T37" s="51">
        <f t="shared" ref="T37:U37" si="36">O37</f>
        <v>0.20661706623586273</v>
      </c>
      <c r="U37" s="51">
        <f t="shared" si="36"/>
        <v>0.18191801633268262</v>
      </c>
    </row>
    <row r="38" spans="1:30" x14ac:dyDescent="0.25">
      <c r="A38" s="42" t="s">
        <v>278</v>
      </c>
      <c r="R38" s="32" t="str">
        <f>A41</f>
        <v>WWGA</v>
      </c>
      <c r="S38" s="33">
        <v>2019</v>
      </c>
      <c r="T38" s="33">
        <v>2018</v>
      </c>
      <c r="U38" s="33">
        <v>2017</v>
      </c>
    </row>
    <row r="39" spans="1:30" x14ac:dyDescent="0.25">
      <c r="A39" s="40" t="s">
        <v>275</v>
      </c>
      <c r="B39" s="32">
        <f>'CYFROWY POLSAT SA'!B189</f>
        <v>3473400</v>
      </c>
      <c r="C39" s="32">
        <f>'CYFROWY POLSAT SA'!C189</f>
        <v>2915100</v>
      </c>
      <c r="D39" s="32">
        <f>'CYFROWY POLSAT SA'!D189</f>
        <v>2941400</v>
      </c>
      <c r="E39" s="32">
        <f>'KONKURENCJA R.N.TV'!B189</f>
        <v>274676.12</v>
      </c>
      <c r="F39" s="32">
        <f>'KONKURENCJA R.N.TV'!C189</f>
        <v>204063.81</v>
      </c>
      <c r="G39" s="32">
        <f>'KONKURENCJA R.N.TV'!D189</f>
        <v>68865.67</v>
      </c>
      <c r="H39" s="32">
        <f>'KONKURENCJA R.O.KOM.'!B189</f>
        <v>2776000</v>
      </c>
      <c r="I39" s="32">
        <f>'KONKURENCJA R.O.KOM.'!C189</f>
        <v>1812000</v>
      </c>
      <c r="J39" s="32">
        <f>'KONKURENCJA R.O.KOM.'!D189</f>
        <v>2064000</v>
      </c>
      <c r="K39" s="32">
        <f>'KONKURENCJA R.O.KOM.'!E189</f>
        <v>2229725</v>
      </c>
      <c r="L39" s="32">
        <f>'KONKURENCJA R.O.KOM.'!F189</f>
        <v>2037397</v>
      </c>
      <c r="M39" s="32">
        <f>'KONKURENCJA R.O.KOM.'!G189</f>
        <v>1389338</v>
      </c>
      <c r="R39" s="32" t="s">
        <v>4</v>
      </c>
      <c r="S39" s="48">
        <f>B41</f>
        <v>0.10658001325576258</v>
      </c>
      <c r="T39" s="48">
        <f t="shared" ref="T39:U39" si="37">C41</f>
        <v>9.4964295952672598E-2</v>
      </c>
      <c r="U39" s="48">
        <f t="shared" si="37"/>
        <v>0.1059734832108373</v>
      </c>
    </row>
    <row r="40" spans="1:30" x14ac:dyDescent="0.25">
      <c r="A40" s="40" t="s">
        <v>272</v>
      </c>
      <c r="B40" s="32">
        <f>'CYFROWY POLSAT SA'!B84</f>
        <v>32589600</v>
      </c>
      <c r="C40" s="32">
        <f>'CYFROWY POLSAT SA'!C84</f>
        <v>30696800</v>
      </c>
      <c r="D40" s="32">
        <f>'CYFROWY POLSAT SA'!D84</f>
        <v>27756000</v>
      </c>
      <c r="E40" s="35">
        <f>'KONKURENCJA R.N.TV'!B84</f>
        <v>2149271.39</v>
      </c>
      <c r="F40" s="35">
        <f>'KONKURENCJA R.N.TV'!C84</f>
        <v>1481959.03</v>
      </c>
      <c r="G40" s="35">
        <f>'KONKURENCJA R.N.TV'!D84</f>
        <v>1486228.52</v>
      </c>
      <c r="H40" s="32">
        <f>'KONKURENCJA R.O.KOM.'!B84</f>
        <v>24340000</v>
      </c>
      <c r="I40" s="32">
        <f>'KONKURENCJA R.O.KOM.'!C84</f>
        <v>23295000</v>
      </c>
      <c r="J40" s="32">
        <f>'KONKURENCJA R.O.KOM.'!D84</f>
        <v>22933000</v>
      </c>
      <c r="K40" s="32">
        <f>'KONKURENCJA R.O.KOM.'!E84</f>
        <v>8885641</v>
      </c>
      <c r="L40" s="32">
        <f>'KONKURENCJA R.O.KOM.'!F84</f>
        <v>8520538</v>
      </c>
      <c r="M40" s="32">
        <f>'KONKURENCJA R.O.KOM.'!G84</f>
        <v>8830969</v>
      </c>
      <c r="R40" s="32" t="s">
        <v>248</v>
      </c>
      <c r="S40" s="43">
        <f>E41</f>
        <v>0.12779964469726646</v>
      </c>
      <c r="T40" s="43">
        <f t="shared" ref="T40:U40" si="38">F41</f>
        <v>0.13769868523288392</v>
      </c>
      <c r="U40" s="43">
        <f t="shared" si="38"/>
        <v>4.6335855538554731E-2</v>
      </c>
    </row>
    <row r="41" spans="1:30" x14ac:dyDescent="0.25">
      <c r="A41" s="33" t="s">
        <v>279</v>
      </c>
      <c r="B41" s="34">
        <f>B39/B40</f>
        <v>0.10658001325576258</v>
      </c>
      <c r="C41" s="34">
        <f t="shared" ref="C41:M41" si="39">C39/C40</f>
        <v>9.4964295952672598E-2</v>
      </c>
      <c r="D41" s="34">
        <f t="shared" si="39"/>
        <v>0.1059734832108373</v>
      </c>
      <c r="E41" s="34">
        <f t="shared" si="39"/>
        <v>0.12779964469726646</v>
      </c>
      <c r="F41" s="34">
        <f t="shared" si="39"/>
        <v>0.13769868523288392</v>
      </c>
      <c r="G41" s="34">
        <f t="shared" si="39"/>
        <v>4.6335855538554731E-2</v>
      </c>
      <c r="H41" s="34">
        <f t="shared" si="39"/>
        <v>0.11405094494658997</v>
      </c>
      <c r="I41" s="34">
        <f t="shared" si="39"/>
        <v>7.7784932388924657E-2</v>
      </c>
      <c r="J41" s="34">
        <f t="shared" si="39"/>
        <v>9.0001308158548815E-2</v>
      </c>
      <c r="K41" s="34">
        <f t="shared" si="39"/>
        <v>0.25093575128682333</v>
      </c>
      <c r="L41" s="34">
        <f t="shared" si="39"/>
        <v>0.23911600417720102</v>
      </c>
      <c r="M41" s="34">
        <f t="shared" si="39"/>
        <v>0.15732565701453599</v>
      </c>
      <c r="N41" s="34">
        <f>AVERAGE(K41,H41,E41,B41)</f>
        <v>0.14984158854661059</v>
      </c>
      <c r="O41" s="34">
        <f t="shared" ref="O41:P41" si="40">AVERAGE(L41,I41,F41,C41)</f>
        <v>0.13739097943792056</v>
      </c>
      <c r="P41" s="34">
        <f t="shared" si="40"/>
        <v>9.9909075980619211E-2</v>
      </c>
      <c r="R41" s="32" t="s">
        <v>246</v>
      </c>
      <c r="S41" s="43">
        <f>H41</f>
        <v>0.11405094494658997</v>
      </c>
      <c r="T41" s="43">
        <f t="shared" ref="T41:U41" si="41">I41</f>
        <v>7.7784932388924657E-2</v>
      </c>
      <c r="U41" s="43">
        <f t="shared" si="41"/>
        <v>9.0001308158548815E-2</v>
      </c>
    </row>
    <row r="42" spans="1:30" x14ac:dyDescent="0.25">
      <c r="A42" s="39" t="s">
        <v>280</v>
      </c>
      <c r="R42" s="32" t="s">
        <v>247</v>
      </c>
      <c r="S42" s="43">
        <f>K41</f>
        <v>0.25093575128682333</v>
      </c>
      <c r="T42" s="43">
        <f t="shared" ref="T42:U42" si="42">L41</f>
        <v>0.23911600417720102</v>
      </c>
      <c r="U42" s="43">
        <f t="shared" si="42"/>
        <v>0.15732565701453599</v>
      </c>
    </row>
    <row r="43" spans="1:30" x14ac:dyDescent="0.25">
      <c r="A43" s="40" t="s">
        <v>275</v>
      </c>
      <c r="B43" s="32">
        <f>'CYFROWY POLSAT SA'!B189</f>
        <v>3473400</v>
      </c>
      <c r="C43" s="32">
        <f>'CYFROWY POLSAT SA'!C189</f>
        <v>2915100</v>
      </c>
      <c r="D43" s="32">
        <f>'CYFROWY POLSAT SA'!D189</f>
        <v>2941400</v>
      </c>
      <c r="E43" s="32">
        <f>'KONKURENCJA R.N.TV'!B189</f>
        <v>274676.12</v>
      </c>
      <c r="F43" s="32">
        <f>'KONKURENCJA R.N.TV'!C189</f>
        <v>204063.81</v>
      </c>
      <c r="G43" s="32">
        <f>'KONKURENCJA R.N.TV'!D189</f>
        <v>68865.67</v>
      </c>
      <c r="H43" s="32">
        <f>'KONKURENCJA R.O.KOM.'!B189</f>
        <v>2776000</v>
      </c>
      <c r="I43" s="32">
        <f>'KONKURENCJA R.O.KOM.'!C189</f>
        <v>1812000</v>
      </c>
      <c r="J43" s="32">
        <f>'KONKURENCJA R.O.KOM.'!D189</f>
        <v>2064000</v>
      </c>
      <c r="K43" s="32">
        <f>'KONKURENCJA R.O.KOM.'!E189</f>
        <v>2229725</v>
      </c>
      <c r="L43" s="32">
        <f>'KONKURENCJA R.O.KOM.'!F189</f>
        <v>2037397</v>
      </c>
      <c r="M43" s="32">
        <f>'KONKURENCJA R.O.KOM.'!G189</f>
        <v>1389338</v>
      </c>
      <c r="R43" s="50" t="s">
        <v>298</v>
      </c>
      <c r="S43" s="51">
        <f>N41</f>
        <v>0.14984158854661059</v>
      </c>
      <c r="T43" s="51">
        <f t="shared" ref="T43:U43" si="43">O41</f>
        <v>0.13739097943792056</v>
      </c>
      <c r="U43" s="51">
        <f t="shared" si="43"/>
        <v>9.9909075980619211E-2</v>
      </c>
    </row>
    <row r="44" spans="1:30" x14ac:dyDescent="0.25">
      <c r="A44" s="40" t="s">
        <v>281</v>
      </c>
      <c r="B44" s="32">
        <f>'CYFROWY POLSAT SA'!B40</f>
        <v>4196700</v>
      </c>
      <c r="C44" s="32">
        <f>'CYFROWY POLSAT SA'!C40</f>
        <v>4034700</v>
      </c>
      <c r="D44" s="32">
        <f>'CYFROWY POLSAT SA'!D40</f>
        <v>3845600</v>
      </c>
      <c r="E44" s="32">
        <f>'KONKURENCJA R.N.TV'!B40</f>
        <v>322286.03000000003</v>
      </c>
      <c r="F44" s="32">
        <f>'KONKURENCJA R.N.TV'!C40</f>
        <v>204586.81</v>
      </c>
      <c r="G44" s="32">
        <f>'KONKURENCJA R.N.TV'!D40</f>
        <v>194949.42</v>
      </c>
      <c r="H44" s="32">
        <f>'KONKURENCJA R.O.KOM.'!B40</f>
        <v>2748000</v>
      </c>
      <c r="I44" s="35">
        <f>'KONKURENCJA R.O.KOM.'!C40</f>
        <v>0</v>
      </c>
      <c r="J44" s="32">
        <f>'KONKURENCJA R.O.KOM.'!D40</f>
        <v>2801000</v>
      </c>
      <c r="K44" s="32">
        <f>'KONKURENCJA R.O.KOM.'!E40</f>
        <v>2405910</v>
      </c>
      <c r="L44" s="32">
        <f>'KONKURENCJA R.O.KOM.'!F40</f>
        <v>2159950</v>
      </c>
      <c r="M44" s="32">
        <f>'KONKURENCJA R.O.KOM.'!G40</f>
        <v>1904139</v>
      </c>
      <c r="R44" s="32" t="str">
        <f>A45</f>
        <v>WWGZ</v>
      </c>
      <c r="S44" s="33">
        <v>2019</v>
      </c>
      <c r="T44" s="33">
        <v>2018</v>
      </c>
      <c r="U44" s="33">
        <v>2017</v>
      </c>
    </row>
    <row r="45" spans="1:30" x14ac:dyDescent="0.25">
      <c r="A45" s="33" t="s">
        <v>282</v>
      </c>
      <c r="B45" s="34">
        <f>B43/B44</f>
        <v>0.82765029666166279</v>
      </c>
      <c r="C45" s="34">
        <f t="shared" ref="C45:M45" si="44">C43/C44</f>
        <v>0.72250724960963641</v>
      </c>
      <c r="D45" s="34">
        <f t="shared" si="44"/>
        <v>0.76487414187643021</v>
      </c>
      <c r="E45" s="34">
        <f t="shared" si="44"/>
        <v>0.85227436013903546</v>
      </c>
      <c r="F45" s="34">
        <f t="shared" si="44"/>
        <v>0.99744362796409014</v>
      </c>
      <c r="G45" s="34">
        <f t="shared" si="44"/>
        <v>0.35324890938377757</v>
      </c>
      <c r="H45" s="34">
        <f t="shared" si="44"/>
        <v>1.0101892285298399</v>
      </c>
      <c r="I45" s="34">
        <v>0</v>
      </c>
      <c r="J45" s="34">
        <f t="shared" si="44"/>
        <v>0.73687968582649055</v>
      </c>
      <c r="K45" s="34">
        <f t="shared" si="44"/>
        <v>0.92676991242398921</v>
      </c>
      <c r="L45" s="34">
        <f t="shared" si="44"/>
        <v>0.94326118660154168</v>
      </c>
      <c r="M45" s="34">
        <f t="shared" si="44"/>
        <v>0.72964106086793035</v>
      </c>
      <c r="N45" s="34">
        <f>AVERAGE(K45,H45,E45,B45)</f>
        <v>0.90422094943863174</v>
      </c>
      <c r="O45" s="34">
        <f t="shared" ref="O45:P45" si="45">AVERAGE(L45,I45,F45,C45)</f>
        <v>0.66580301604381709</v>
      </c>
      <c r="P45" s="34">
        <f t="shared" si="45"/>
        <v>0.64616094948865721</v>
      </c>
      <c r="R45" s="32" t="s">
        <v>4</v>
      </c>
      <c r="S45" s="48">
        <f>B45</f>
        <v>0.82765029666166279</v>
      </c>
      <c r="T45" s="48">
        <f t="shared" ref="T45:U45" si="46">C45</f>
        <v>0.72250724960963641</v>
      </c>
      <c r="U45" s="48">
        <f t="shared" si="46"/>
        <v>0.76487414187643021</v>
      </c>
      <c r="AD45" s="34"/>
    </row>
    <row r="46" spans="1:30" x14ac:dyDescent="0.25">
      <c r="A46" s="39" t="s">
        <v>287</v>
      </c>
      <c r="R46" s="32" t="s">
        <v>248</v>
      </c>
      <c r="S46" s="43">
        <f>E45</f>
        <v>0.85227436013903546</v>
      </c>
      <c r="T46" s="43">
        <f t="shared" ref="T46:U46" si="47">F45</f>
        <v>0.99744362796409014</v>
      </c>
      <c r="U46" s="43">
        <f t="shared" si="47"/>
        <v>0.35324890938377757</v>
      </c>
    </row>
    <row r="47" spans="1:30" s="11" customFormat="1" x14ac:dyDescent="0.25">
      <c r="A47" s="40" t="s">
        <v>294</v>
      </c>
      <c r="B47" s="32">
        <f>'CYFROWY POLSAT SA'!B14</f>
        <v>11676100</v>
      </c>
      <c r="C47" s="32">
        <f>'CYFROWY POLSAT SA'!C14</f>
        <v>10686100</v>
      </c>
      <c r="D47" s="32">
        <f>'CYFROWY POLSAT SA'!D14</f>
        <v>9828600</v>
      </c>
      <c r="E47" s="32">
        <f>'KONKURENCJA R.N.TV'!B14</f>
        <v>2707328.91</v>
      </c>
      <c r="F47" s="32">
        <f>'KONKURENCJA R.N.TV'!C14</f>
        <v>2205047.9700000002</v>
      </c>
      <c r="G47" s="32">
        <f>'KONKURENCJA R.N.TV'!D14</f>
        <v>1777328.03</v>
      </c>
      <c r="H47" s="32">
        <f>'KONKURENCJA R.O.KOM.'!B14</f>
        <v>11406000</v>
      </c>
      <c r="I47" s="32">
        <f>'KONKURENCJA R.O.KOM.'!C14</f>
        <v>11101000</v>
      </c>
      <c r="J47" s="32">
        <f>'KONKURENCJA R.O.KOM.'!D14</f>
        <v>11381000</v>
      </c>
      <c r="K47" s="32">
        <f>'KONKURENCJA R.O.KOM.'!E14</f>
        <v>7040753</v>
      </c>
      <c r="L47" s="32">
        <f>'KONKURENCJA R.O.KOM.'!F14</f>
        <v>6839148</v>
      </c>
      <c r="M47" s="32">
        <f>'KONKURENCJA R.O.KOM.'!G14</f>
        <v>6669859</v>
      </c>
      <c r="O47" s="32"/>
      <c r="P47" s="32"/>
      <c r="R47" s="32" t="s">
        <v>246</v>
      </c>
      <c r="S47" s="43">
        <f>H45</f>
        <v>1.0101892285298399</v>
      </c>
      <c r="T47" s="43">
        <f t="shared" ref="T47:U47" si="48">I45</f>
        <v>0</v>
      </c>
      <c r="U47" s="43">
        <f t="shared" si="48"/>
        <v>0.73687968582649055</v>
      </c>
      <c r="V47" s="46"/>
      <c r="W47" s="46"/>
      <c r="X47" s="46"/>
      <c r="Y47" s="46"/>
      <c r="Z47" s="46"/>
      <c r="AA47" s="46"/>
      <c r="AB47" s="46"/>
      <c r="AC47" s="46"/>
    </row>
    <row r="48" spans="1:30" x14ac:dyDescent="0.25">
      <c r="A48" s="40" t="s">
        <v>288</v>
      </c>
      <c r="B48" s="44">
        <f>AVERAGE('CYFROWY POLSAT SA'!$B$99,'CYFROWY POLSAT SA'!$C$99,'CYFROWY POLSAT SA'!$D$99)/B47*365</f>
        <v>8.0912433660782845</v>
      </c>
      <c r="C48" s="44">
        <f>AVERAGE('CYFROWY POLSAT SA'!$B$99,'CYFROWY POLSAT SA'!$C$99,'CYFROWY POLSAT SA'!$D$99)/C47*365</f>
        <v>8.840846208314229</v>
      </c>
      <c r="D48" s="44">
        <f>AVERAGE('CYFROWY POLSAT SA'!$B$99,'CYFROWY POLSAT SA'!$C$99,'CYFROWY POLSAT SA'!$D$99)/D47*365</f>
        <v>9.6121692475700176</v>
      </c>
      <c r="E48" s="44">
        <f>AVERAGE('KONKURENCJA R.N.TV'!$B$99,'KONKURENCJA R.N.TV'!$C$99,'KONKURENCJA R.N.TV'!$D$99)/E47*365</f>
        <v>4.0925276173161142E-2</v>
      </c>
      <c r="F48" s="44">
        <f>AVERAGE('KONKURENCJA R.N.TV'!$B$99,'KONKURENCJA R.N.TV'!$C$99,'KONKURENCJA R.N.TV'!$D$99)/F47*365</f>
        <v>5.0247516081626704E-2</v>
      </c>
      <c r="G48" s="44">
        <f>AVERAGE('KONKURENCJA R.N.TV'!$B$99,'KONKURENCJA R.N.TV'!$C$99,'KONKURENCJA R.N.TV'!$D$99)/G47*365</f>
        <v>6.2339749029521205E-2</v>
      </c>
      <c r="H48" s="44">
        <f>AVERAGE('KONKURENCJA R.O.KOM.'!$B$99,'KONKURENCJA R.O.KOM.'!$C$99,'KONKURENCJA R.O.KOM.'!$D$99)/H47*365</f>
        <v>16.416359810625984</v>
      </c>
      <c r="I48" s="44">
        <f>AVERAGE('KONKURENCJA R.O.KOM.'!$B$99,'KONKURENCJA R.O.KOM.'!$C$99,'KONKURENCJA R.O.KOM.'!$D$99)/I47*365</f>
        <v>16.86739933339339</v>
      </c>
      <c r="J48" s="44">
        <f>AVERAGE('KONKURENCJA R.O.KOM.'!$B$99,'KONKURENCJA R.O.KOM.'!$C$99,'KONKURENCJA R.O.KOM.'!$D$99)/J47*365</f>
        <v>16.452420701168613</v>
      </c>
      <c r="K48" s="44">
        <f>AVERAGE('KONKURENCJA R.O.KOM.'!$B$99,'KONKURENCJA R.O.KOM.'!$C$99,'KONKURENCJA R.O.KOM.'!$D$99)/K47*365</f>
        <v>26.59445658724287</v>
      </c>
      <c r="L48" s="44">
        <f>AVERAGE('KONKURENCJA R.O.KOM.'!$B$99,'KONKURENCJA R.O.KOM.'!$C$99,'KONKURENCJA R.O.KOM.'!$D$99)/L47*365</f>
        <v>27.37841029321196</v>
      </c>
      <c r="M48" s="44">
        <f>AVERAGE('KONKURENCJA R.O.KOM.'!$B$99,'KONKURENCJA R.O.KOM.'!$C$99,'KONKURENCJA R.O.KOM.'!$D$99)/M47*365</f>
        <v>28.073307096896652</v>
      </c>
      <c r="N48" s="45">
        <f>AVERAGE(K48,H48,E48,B48)</f>
        <v>12.785746260030074</v>
      </c>
      <c r="O48" s="45">
        <f t="shared" ref="O48:P51" si="49">AVERAGE(L48,I48,F48,C48)</f>
        <v>13.284225837750302</v>
      </c>
      <c r="P48" s="45">
        <f t="shared" si="49"/>
        <v>13.550059198666199</v>
      </c>
      <c r="R48" s="32" t="s">
        <v>247</v>
      </c>
      <c r="S48" s="43">
        <f>K45</f>
        <v>0.92676991242398921</v>
      </c>
      <c r="T48" s="43">
        <f t="shared" ref="T48:U48" si="50">L45</f>
        <v>0.94326118660154168</v>
      </c>
      <c r="U48" s="43">
        <f t="shared" si="50"/>
        <v>0.72964106086793035</v>
      </c>
    </row>
    <row r="49" spans="1:29" x14ac:dyDescent="0.25">
      <c r="A49" s="40" t="s">
        <v>289</v>
      </c>
      <c r="B49" s="44">
        <f>AVERAGE('CYFROWY POLSAT SA'!$B$118,'CYFROWY POLSAT SA'!$C$118,'CYFROWY POLSAT SA'!$D$118)/B47*365</f>
        <v>10.258633733295651</v>
      </c>
      <c r="C49" s="44">
        <f>AVERAGE('CYFROWY POLSAT SA'!$B$118,'CYFROWY POLSAT SA'!$C$118,'CYFROWY POLSAT SA'!$D$118)/C47*365</f>
        <v>11.209031670425444</v>
      </c>
      <c r="D49" s="44">
        <f>AVERAGE('CYFROWY POLSAT SA'!$B$118,'CYFROWY POLSAT SA'!$C$118,'CYFROWY POLSAT SA'!$D$118)/D47*365</f>
        <v>12.186967964240415</v>
      </c>
      <c r="E49" s="44">
        <f>AVERAGE('KONKURENCJA R.N.TV'!$B$118,'KONKURENCJA R.N.TV'!$C$118,'KONKURENCJA R.N.TV'!$D$118)/E47*365</f>
        <v>50.804738596267072</v>
      </c>
      <c r="F49" s="44">
        <f>AVERAGE('KONKURENCJA R.N.TV'!$B$118,'KONKURENCJA R.N.TV'!$C$118,'KONKURENCJA R.N.TV'!$D$118)/F47*365</f>
        <v>62.377390169279025</v>
      </c>
      <c r="G49" s="44">
        <f>AVERAGE('KONKURENCJA R.N.TV'!$B$118,'KONKURENCJA R.N.TV'!$C$118,'KONKURENCJA R.N.TV'!$D$118)/G47*365</f>
        <v>77.388717920949389</v>
      </c>
      <c r="H49" s="44">
        <f>AVERAGE('KONKURENCJA R.O.KOM.'!$B$118,'KONKURENCJA R.O.KOM.'!$C$118,'KONKURENCJA R.O.KOM.'!$D$118)/H47*365</f>
        <v>7.2001578116780642</v>
      </c>
      <c r="I49" s="44">
        <f>AVERAGE('KONKURENCJA R.O.KOM.'!$B$118,'KONKURENCJA R.O.KOM.'!$C$118,'KONKURENCJA R.O.KOM.'!$D$118)/I47*365</f>
        <v>7.3979821637690302</v>
      </c>
      <c r="J49" s="44">
        <f>AVERAGE('KONKURENCJA R.O.KOM.'!$B$118,'KONKURENCJA R.O.KOM.'!$C$118,'KONKURENCJA R.O.KOM.'!$D$118)/J47*365</f>
        <v>7.2159739917406212</v>
      </c>
      <c r="K49" s="44">
        <f>AVERAGE('KONKURENCJA R.O.KOM.'!$B$118,'KONKURENCJA R.O.KOM.'!$C$118,'KONKURENCJA R.O.KOM.'!$D$118)/K47*365</f>
        <v>11.664235345281961</v>
      </c>
      <c r="L49" s="44">
        <f>AVERAGE('KONKURENCJA R.O.KOM.'!$B$118,'KONKURENCJA R.O.KOM.'!$C$118,'KONKURENCJA R.O.KOM.'!$D$118)/L47*365</f>
        <v>12.008074690005246</v>
      </c>
      <c r="M49" s="44">
        <f>AVERAGE('KONKURENCJA R.O.KOM.'!$B$118,'KONKURENCJA R.O.KOM.'!$C$118,'KONKURENCJA R.O.KOM.'!$D$118)/M47*365</f>
        <v>12.312853989866953</v>
      </c>
      <c r="N49" s="45">
        <f>AVERAGE(K49,H49,E49,B49)</f>
        <v>19.98194137163069</v>
      </c>
      <c r="O49" s="45">
        <f t="shared" si="49"/>
        <v>23.248119673369686</v>
      </c>
      <c r="P49" s="45">
        <f t="shared" si="49"/>
        <v>27.276128466699344</v>
      </c>
      <c r="R49" s="50" t="s">
        <v>298</v>
      </c>
      <c r="S49" s="51">
        <f>N45</f>
        <v>0.90422094943863174</v>
      </c>
      <c r="T49" s="51">
        <f t="shared" ref="T49:U49" si="51">O45</f>
        <v>0.66580301604381709</v>
      </c>
      <c r="U49" s="51">
        <f t="shared" si="51"/>
        <v>0.64616094948865721</v>
      </c>
    </row>
    <row r="50" spans="1:29" x14ac:dyDescent="0.25">
      <c r="A50" s="40" t="s">
        <v>290</v>
      </c>
      <c r="B50" s="44">
        <f>AVERAGE('CYFROWY POLSAT SA'!$B$172,'CYFROWY POLSAT SA'!$C$172,'CYFROWY POLSAT SA'!$D$172)/B47*365</f>
        <v>154.24212708010378</v>
      </c>
      <c r="C50" s="44">
        <f>AVERAGE('CYFROWY POLSAT SA'!$B$172,'CYFROWY POLSAT SA'!$C$172,'CYFROWY POLSAT SA'!$D$172)/C47*365</f>
        <v>168.53169070100412</v>
      </c>
      <c r="D50" s="44">
        <f>AVERAGE('CYFROWY POLSAT SA'!$B$172,'CYFROWY POLSAT SA'!$C$172,'CYFROWY POLSAT SA'!$D$172)/D47*365</f>
        <v>183.23530309504912</v>
      </c>
      <c r="E50" s="44">
        <f>AVERAGE('KONKURENCJA R.N.TV'!$B$172,'KONKURENCJA R.N.TV'!$C$172,'KONKURENCJA R.N.TV'!$D$172)/E47*365</f>
        <v>100.5486206205609</v>
      </c>
      <c r="F50" s="44">
        <f>AVERAGE('KONKURENCJA R.N.TV'!$B$172,'KONKURENCJA R.N.TV'!$C$172,'KONKURENCJA R.N.TV'!$D$172)/F47*365</f>
        <v>123.45227458551237</v>
      </c>
      <c r="G50" s="44">
        <f>AVERAGE('KONKURENCJA R.N.TV'!$B$172,'KONKURENCJA R.N.TV'!$C$172,'KONKURENCJA R.N.TV'!$D$172)/G47*365</f>
        <v>153.16147771926302</v>
      </c>
      <c r="H50" s="44">
        <f>AVERAGE('KONKURENCJA R.O.KOM.'!$B$172,'KONKURENCJA R.O.KOM.'!$C$172,'KONKURENCJA R.O.KOM.'!$D$172)/H47*365</f>
        <v>171.53442632532585</v>
      </c>
      <c r="I50" s="44">
        <f>AVERAGE('KONKURENCJA R.O.KOM.'!$B$172,'KONKURENCJA R.O.KOM.'!$C$172,'KONKURENCJA R.O.KOM.'!$D$172)/I47*365</f>
        <v>176.24733507491817</v>
      </c>
      <c r="J50" s="44">
        <f>AVERAGE('KONKURENCJA R.O.KOM.'!$B$172,'KONKURENCJA R.O.KOM.'!$C$172,'KONKURENCJA R.O.KOM.'!$D$172)/J47*365</f>
        <v>171.91122631286061</v>
      </c>
      <c r="K50" s="44">
        <f>AVERAGE('KONKURENCJA R.O.KOM.'!$B$172,'KONKURENCJA R.O.KOM.'!$C$172,'KONKURENCJA R.O.KOM.'!$D$172)/K47*365</f>
        <v>277.88528679626546</v>
      </c>
      <c r="L50" s="44">
        <f>AVERAGE('KONKURENCJA R.O.KOM.'!$B$172,'KONKURENCJA R.O.KOM.'!$C$172,'KONKURENCJA R.O.KOM.'!$D$172)/L47*365</f>
        <v>286.07681346662866</v>
      </c>
      <c r="M50" s="44">
        <f>AVERAGE('KONKURENCJA R.O.KOM.'!$B$172,'KONKURENCJA R.O.KOM.'!$C$172,'KONKURENCJA R.O.KOM.'!$D$172)/M47*365</f>
        <v>293.33778520155619</v>
      </c>
      <c r="N50" s="45">
        <f>AVERAGE(K50,H50,E50,B50)</f>
        <v>176.052615205564</v>
      </c>
      <c r="O50" s="45">
        <f t="shared" si="49"/>
        <v>188.57702845701581</v>
      </c>
      <c r="P50" s="45">
        <f t="shared" si="49"/>
        <v>200.41144808218223</v>
      </c>
    </row>
    <row r="51" spans="1:29" x14ac:dyDescent="0.25">
      <c r="A51" s="40" t="s">
        <v>291</v>
      </c>
      <c r="B51" s="44">
        <f>B48+B49-B50</f>
        <v>-135.89224998072984</v>
      </c>
      <c r="C51" s="44">
        <f t="shared" ref="C51:M51" si="52">C48+C49-C50</f>
        <v>-148.48181282226446</v>
      </c>
      <c r="D51" s="44">
        <f t="shared" si="52"/>
        <v>-161.43616588323869</v>
      </c>
      <c r="E51" s="44">
        <f t="shared" si="52"/>
        <v>-49.702956748120663</v>
      </c>
      <c r="F51" s="44">
        <f t="shared" si="52"/>
        <v>-61.024636900151719</v>
      </c>
      <c r="G51" s="44">
        <f t="shared" si="52"/>
        <v>-75.71042004928411</v>
      </c>
      <c r="H51" s="44">
        <f t="shared" si="52"/>
        <v>-147.91790870302179</v>
      </c>
      <c r="I51" s="44">
        <f t="shared" si="52"/>
        <v>-151.98195357775575</v>
      </c>
      <c r="J51" s="44">
        <f t="shared" si="52"/>
        <v>-148.24283161995137</v>
      </c>
      <c r="K51" s="44">
        <f t="shared" si="52"/>
        <v>-239.62659486374062</v>
      </c>
      <c r="L51" s="44">
        <f t="shared" si="52"/>
        <v>-246.69032848341146</v>
      </c>
      <c r="M51" s="44">
        <f t="shared" si="52"/>
        <v>-252.95162411479259</v>
      </c>
      <c r="N51" s="45">
        <f>AVERAGE(K51,H51,E51,B51)</f>
        <v>-143.28492757390322</v>
      </c>
      <c r="O51" s="45">
        <f t="shared" si="49"/>
        <v>-152.04468294589586</v>
      </c>
      <c r="P51" s="45">
        <f t="shared" si="49"/>
        <v>-159.58526041681671</v>
      </c>
    </row>
    <row r="52" spans="1:29" x14ac:dyDescent="0.25">
      <c r="A52" s="39" t="s">
        <v>292</v>
      </c>
    </row>
    <row r="53" spans="1:29" s="11" customFormat="1" x14ac:dyDescent="0.25">
      <c r="A53" s="40" t="s">
        <v>294</v>
      </c>
      <c r="B53" s="32">
        <f>'CYFROWY POLSAT SA'!B14</f>
        <v>11676100</v>
      </c>
      <c r="C53" s="32">
        <f>'CYFROWY POLSAT SA'!C14</f>
        <v>10686100</v>
      </c>
      <c r="D53" s="32">
        <f>'CYFROWY POLSAT SA'!D14</f>
        <v>9828600</v>
      </c>
      <c r="E53" s="32">
        <f>'KONKURENCJA R.N.TV'!B14</f>
        <v>2707328.91</v>
      </c>
      <c r="F53" s="32">
        <f>'KONKURENCJA R.N.TV'!C14</f>
        <v>2205047.9700000002</v>
      </c>
      <c r="G53" s="32">
        <f>'KONKURENCJA R.N.TV'!D14</f>
        <v>1777328.03</v>
      </c>
      <c r="H53" s="32">
        <f>'KONKURENCJA R.O.KOM.'!B14</f>
        <v>11406000</v>
      </c>
      <c r="I53" s="32">
        <f>'KONKURENCJA R.O.KOM.'!C14</f>
        <v>11101000</v>
      </c>
      <c r="J53" s="32">
        <f>'KONKURENCJA R.O.KOM.'!D14</f>
        <v>11381000</v>
      </c>
      <c r="K53" s="32">
        <f>'KONKURENCJA R.O.KOM.'!E14</f>
        <v>7040753</v>
      </c>
      <c r="L53" s="32">
        <f>'KONKURENCJA R.O.KOM.'!F14</f>
        <v>6839148</v>
      </c>
      <c r="M53" s="32">
        <f>'KONKURENCJA R.O.KOM.'!G14</f>
        <v>6669859</v>
      </c>
      <c r="O53" s="32"/>
      <c r="P53" s="32"/>
      <c r="R53" s="46"/>
      <c r="S53" s="46"/>
      <c r="T53" s="46"/>
      <c r="V53" s="46"/>
      <c r="W53" s="46"/>
      <c r="X53" s="46"/>
      <c r="Y53" s="46"/>
      <c r="Z53" s="46"/>
      <c r="AA53" s="46"/>
      <c r="AB53" s="46"/>
      <c r="AC53" s="46"/>
    </row>
    <row r="54" spans="1:29" x14ac:dyDescent="0.25">
      <c r="A54" s="40" t="s">
        <v>295</v>
      </c>
      <c r="B54" s="43">
        <f>B53/AVERAGE('CYFROWY POLSAT SA'!$B$99,'CYFROWY POLSAT SA'!$C$99,'CYFROWY POLSAT SA'!$D$99)</f>
        <v>45.110495814552479</v>
      </c>
      <c r="C54" s="43">
        <f>C53/AVERAGE('CYFROWY POLSAT SA'!$B$99,'CYFROWY POLSAT SA'!$C$99,'CYFROWY POLSAT SA'!$D$99)</f>
        <v>41.285640695428199</v>
      </c>
      <c r="D54" s="43">
        <f>D53/AVERAGE('CYFROWY POLSAT SA'!$B$99,'CYFROWY POLSAT SA'!$C$99,'CYFROWY POLSAT SA'!$D$99)</f>
        <v>37.972698003863492</v>
      </c>
      <c r="E54" s="43">
        <f>E53/AVERAGE('KONKURENCJA R.N.TV'!$B$99,'KONKURENCJA R.N.TV'!$C$99,'KONKURENCJA R.N.TV'!$D$99)</f>
        <v>8918.6936321609373</v>
      </c>
      <c r="F54" s="43">
        <f>F53/AVERAGE('KONKURENCJA R.N.TV'!$B$99,'KONKURENCJA R.N.TV'!$C$99,'KONKURENCJA R.N.TV'!$D$99)</f>
        <v>7264.0406623694644</v>
      </c>
      <c r="G54" s="43">
        <f>G53/AVERAGE('KONKURENCJA R.N.TV'!$B$99,'KONKURENCJA R.N.TV'!$C$99,'KONKURENCJA R.N.TV'!$D$99)</f>
        <v>5855.0123425609718</v>
      </c>
      <c r="H54" s="43">
        <f>H53/AVERAGE('KONKURENCJA R.O.KOM.'!$B$99,'KONKURENCJA R.O.KOM.'!$C$99,'KONKURENCJA R.O.KOM.'!$D$99)</f>
        <v>22.23391812865497</v>
      </c>
      <c r="I54" s="43">
        <f>I53/AVERAGE('KONKURENCJA R.O.KOM.'!$B$99,'KONKURENCJA R.O.KOM.'!$C$99,'KONKURENCJA R.O.KOM.'!$D$99)</f>
        <v>21.639376218323587</v>
      </c>
      <c r="J54" s="43">
        <f>J53/AVERAGE('KONKURENCJA R.O.KOM.'!$B$99,'KONKURENCJA R.O.KOM.'!$C$99,'KONKURENCJA R.O.KOM.'!$D$99)</f>
        <v>22.185185185185187</v>
      </c>
      <c r="K54" s="43">
        <f>K53/AVERAGE('KONKURENCJA R.O.KOM.'!$B$99,'KONKURENCJA R.O.KOM.'!$C$99,'KONKURENCJA R.O.KOM.'!$D$99)</f>
        <v>13.724664717348928</v>
      </c>
      <c r="L54" s="43">
        <f>L53/AVERAGE('KONKURENCJA R.O.KOM.'!$B$99,'KONKURENCJA R.O.KOM.'!$C$99,'KONKURENCJA R.O.KOM.'!$D$99)</f>
        <v>13.331672514619884</v>
      </c>
      <c r="M54" s="43">
        <f>M53/AVERAGE('KONKURENCJA R.O.KOM.'!$B$99,'KONKURENCJA R.O.KOM.'!$C$99,'KONKURENCJA R.O.KOM.'!$D$99)</f>
        <v>13.001674463937622</v>
      </c>
      <c r="N54" s="34">
        <f>AVERAGE(K54,H54,E54,B54)</f>
        <v>2249.9406777053737</v>
      </c>
      <c r="O54" s="34">
        <f t="shared" ref="O54:P56" si="53">AVERAGE(L54,I54,F54,C54)</f>
        <v>1835.074337949459</v>
      </c>
      <c r="P54" s="34">
        <f t="shared" si="53"/>
        <v>1482.0429750534895</v>
      </c>
      <c r="S54" s="179" t="str">
        <f>R3</f>
        <v>Cyfrowy Polsat S.A. (Polska)</v>
      </c>
      <c r="T54" s="179"/>
      <c r="U54" s="179"/>
      <c r="V54" s="192" t="s">
        <v>298</v>
      </c>
      <c r="W54" s="192"/>
      <c r="X54" s="192"/>
    </row>
    <row r="55" spans="1:29" x14ac:dyDescent="0.25">
      <c r="A55" s="40" t="s">
        <v>296</v>
      </c>
      <c r="B55" s="43">
        <f>B53/AVERAGE('CYFROWY POLSAT SA'!$B$118,'CYFROWY POLSAT SA'!$C$118,'CYFROWY POLSAT SA'!$D$118)</f>
        <v>35.579786693753171</v>
      </c>
      <c r="C55" s="43">
        <f>C53/AVERAGE('CYFROWY POLSAT SA'!$B$118,'CYFROWY POLSAT SA'!$C$118,'CYFROWY POLSAT SA'!$D$118)</f>
        <v>32.56302691721686</v>
      </c>
      <c r="D55" s="43">
        <f>D53/AVERAGE('CYFROWY POLSAT SA'!$B$118,'CYFROWY POLSAT SA'!$C$118,'CYFROWY POLSAT SA'!$D$118)</f>
        <v>29.950025393600811</v>
      </c>
      <c r="E55" s="43">
        <f>E53/AVERAGE('KONKURENCJA R.N.TV'!$B$118,'KONKURENCJA R.N.TV'!$C$118,'KONKURENCJA R.N.TV'!$D$118)</f>
        <v>7.1843692160403858</v>
      </c>
      <c r="F55" s="43">
        <f>F53/AVERAGE('KONKURENCJA R.N.TV'!$B$118,'KONKURENCJA R.N.TV'!$C$118,'KONKURENCJA R.N.TV'!$D$118)</f>
        <v>5.8514791819514622</v>
      </c>
      <c r="G55" s="43">
        <f>G53/AVERAGE('KONKURENCJA R.N.TV'!$B$118,'KONKURENCJA R.N.TV'!$C$118,'KONKURENCJA R.N.TV'!$D$118)</f>
        <v>4.7164497591604793</v>
      </c>
      <c r="H55" s="43">
        <f>H53/AVERAGE('KONKURENCJA R.O.KOM.'!$B$118,'KONKURENCJA R.O.KOM.'!$C$118,'KONKURENCJA R.O.KOM.'!$D$118)</f>
        <v>50.693333333333335</v>
      </c>
      <c r="I55" s="43">
        <f>I53/AVERAGE('KONKURENCJA R.O.KOM.'!$B$118,'KONKURENCJA R.O.KOM.'!$C$118,'KONKURENCJA R.O.KOM.'!$D$118)</f>
        <v>49.337777777777781</v>
      </c>
      <c r="J55" s="43">
        <f>J53/AVERAGE('KONKURENCJA R.O.KOM.'!$B$118,'KONKURENCJA R.O.KOM.'!$C$118,'KONKURENCJA R.O.KOM.'!$D$118)</f>
        <v>50.582222222222221</v>
      </c>
      <c r="K55" s="43">
        <f>K53/AVERAGE('KONKURENCJA R.O.KOM.'!$B$118,'KONKURENCJA R.O.KOM.'!$C$118,'KONKURENCJA R.O.KOM.'!$D$118)</f>
        <v>31.292235555555557</v>
      </c>
      <c r="L55" s="43">
        <f>L53/AVERAGE('KONKURENCJA R.O.KOM.'!$B$118,'KONKURENCJA R.O.KOM.'!$C$118,'KONKURENCJA R.O.KOM.'!$D$118)</f>
        <v>30.396213333333332</v>
      </c>
      <c r="M55" s="43">
        <f>M53/AVERAGE('KONKURENCJA R.O.KOM.'!$B$118,'KONKURENCJA R.O.KOM.'!$C$118,'KONKURENCJA R.O.KOM.'!$D$118)</f>
        <v>29.643817777777777</v>
      </c>
      <c r="N55" s="34">
        <f>AVERAGE(K55,H55,E55,B55)</f>
        <v>31.187431199670613</v>
      </c>
      <c r="O55" s="34">
        <f t="shared" si="53"/>
        <v>29.537124302569858</v>
      </c>
      <c r="P55" s="34">
        <f t="shared" si="53"/>
        <v>28.723128788190323</v>
      </c>
      <c r="R55" s="46" t="s">
        <v>873</v>
      </c>
      <c r="S55" s="46">
        <f>S2</f>
        <v>2019</v>
      </c>
      <c r="T55" s="67">
        <f>T2</f>
        <v>2018</v>
      </c>
      <c r="U55" s="67">
        <f>U2</f>
        <v>2017</v>
      </c>
      <c r="V55" s="67">
        <f>S20</f>
        <v>2019</v>
      </c>
      <c r="W55" s="67">
        <f t="shared" ref="W55:X55" si="54">T20</f>
        <v>2018</v>
      </c>
      <c r="X55" s="67">
        <f t="shared" si="54"/>
        <v>2017</v>
      </c>
    </row>
    <row r="56" spans="1:29" x14ac:dyDescent="0.25">
      <c r="A56" s="40" t="s">
        <v>297</v>
      </c>
      <c r="B56" s="43">
        <f>B53/AVERAGE('CYFROWY POLSAT SA'!$B$172,'CYFROWY POLSAT SA'!$C$172,'CYFROWY POLSAT SA'!$D$172)</f>
        <v>2.3664092742344094</v>
      </c>
      <c r="C56" s="43">
        <f>C53/AVERAGE('CYFROWY POLSAT SA'!$B$172,'CYFROWY POLSAT SA'!$C$172,'CYFROWY POLSAT SA'!$D$172)</f>
        <v>2.1657647797977342</v>
      </c>
      <c r="D56" s="43">
        <f>D53/AVERAGE('CYFROWY POLSAT SA'!$B$172,'CYFROWY POLSAT SA'!$C$172,'CYFROWY POLSAT SA'!$D$172)</f>
        <v>1.991974220222533</v>
      </c>
      <c r="E56" s="43">
        <f>E53/AVERAGE('KONKURENCJA R.N.TV'!$B$172,'KONKURENCJA R.N.TV'!$C$172,'KONKURENCJA R.N.TV'!$D$172)</f>
        <v>3.6300846073005424</v>
      </c>
      <c r="F56" s="43">
        <f>F53/AVERAGE('KONKURENCJA R.N.TV'!$B$172,'KONKURENCJA R.N.TV'!$C$172,'KONKURENCJA R.N.TV'!$D$172)</f>
        <v>2.9566081404775857</v>
      </c>
      <c r="G56" s="43">
        <f>G53/AVERAGE('KONKURENCJA R.N.TV'!$B$172,'KONKURENCJA R.N.TV'!$C$172,'KONKURENCJA R.N.TV'!$D$172)</f>
        <v>2.3831057615481219</v>
      </c>
      <c r="H56" s="43">
        <f>H53/AVERAGE('KONKURENCJA R.O.KOM.'!$B$172,'KONKURENCJA R.O.KOM.'!$C$172,'KONKURENCJA R.O.KOM.'!$D$172)</f>
        <v>2.1278527454760279</v>
      </c>
      <c r="I56" s="43">
        <f>I53/AVERAGE('KONKURENCJA R.O.KOM.'!$B$172,'KONKURENCJA R.O.KOM.'!$C$172,'KONKURENCJA R.O.KOM.'!$D$172)</f>
        <v>2.0709532989241963</v>
      </c>
      <c r="J56" s="43">
        <f>J53/AVERAGE('KONKURENCJA R.O.KOM.'!$B$172,'KONKURENCJA R.O.KOM.'!$C$172,'KONKURENCJA R.O.KOM.'!$D$172)</f>
        <v>2.1231888564144024</v>
      </c>
      <c r="K56" s="43">
        <f>K53/AVERAGE('KONKURENCJA R.O.KOM.'!$B$172,'KONKURENCJA R.O.KOM.'!$C$172,'KONKURENCJA R.O.KOM.'!$D$172)</f>
        <v>1.3134916360922828</v>
      </c>
      <c r="L56" s="43">
        <f>L53/AVERAGE('KONKURENCJA R.O.KOM.'!$B$172,'KONKURENCJA R.O.KOM.'!$C$172,'KONKURENCJA R.O.KOM.'!$D$172)</f>
        <v>1.2758811019215224</v>
      </c>
      <c r="M56" s="43">
        <f>M53/AVERAGE('KONKURENCJA R.O.KOM.'!$B$172,'KONKURENCJA R.O.KOM.'!$C$172,'KONKURENCJA R.O.KOM.'!$D$172)</f>
        <v>1.2442992973073814</v>
      </c>
      <c r="N56" s="34">
        <f>AVERAGE(K56,H56,E56,B56)</f>
        <v>2.3594595657758157</v>
      </c>
      <c r="O56" s="34">
        <f t="shared" si="53"/>
        <v>2.11730183028026</v>
      </c>
      <c r="P56" s="34">
        <f t="shared" si="53"/>
        <v>1.9356420338731097</v>
      </c>
      <c r="R56" s="46" t="str">
        <f>A8</f>
        <v>WPB</v>
      </c>
      <c r="S56" s="48">
        <f t="shared" ref="S56:U56" si="55">B8</f>
        <v>0.84947684128012002</v>
      </c>
      <c r="T56" s="48">
        <f t="shared" si="55"/>
        <v>1.0805204638743873</v>
      </c>
      <c r="U56" s="48">
        <f t="shared" si="55"/>
        <v>1.0040863235857489</v>
      </c>
      <c r="V56" s="48">
        <f>N8</f>
        <v>1.077634753546534</v>
      </c>
      <c r="W56" s="48">
        <f t="shared" ref="W56:X56" si="56">O8</f>
        <v>0.97529238221974202</v>
      </c>
      <c r="X56" s="48">
        <f t="shared" si="56"/>
        <v>1.1024934023499717</v>
      </c>
    </row>
    <row r="57" spans="1:29" x14ac:dyDescent="0.25">
      <c r="R57" s="46" t="str">
        <f>A13</f>
        <v>WPS</v>
      </c>
      <c r="S57" s="48">
        <f t="shared" ref="S57:U57" si="57">B13</f>
        <v>0.26147711393613032</v>
      </c>
      <c r="T57" s="48">
        <f t="shared" si="57"/>
        <v>0.24176065038058422</v>
      </c>
      <c r="U57" s="48">
        <f t="shared" si="57"/>
        <v>0.29932320265611034</v>
      </c>
      <c r="V57" s="48">
        <f>N13</f>
        <v>0.26562397737118426</v>
      </c>
      <c r="W57" s="48">
        <f t="shared" ref="W57:X57" si="58">O13</f>
        <v>0.1597154384300408</v>
      </c>
      <c r="X57" s="48">
        <f t="shared" si="58"/>
        <v>0.28195813259544356</v>
      </c>
    </row>
    <row r="58" spans="1:29" x14ac:dyDescent="0.25">
      <c r="R58" s="46" t="str">
        <f>A17</f>
        <v>WPN</v>
      </c>
      <c r="S58" s="48">
        <f t="shared" ref="S58:U58" si="59">B17</f>
        <v>0.12833577587675948</v>
      </c>
      <c r="T58" s="48">
        <f t="shared" si="59"/>
        <v>0.23486629737376957</v>
      </c>
      <c r="U58" s="48">
        <f t="shared" si="59"/>
        <v>0.30062571829906781</v>
      </c>
      <c r="V58" s="48">
        <f>N13</f>
        <v>0.26562397737118426</v>
      </c>
      <c r="W58" s="48">
        <f t="shared" ref="W58:X58" si="60">O13</f>
        <v>0.1597154384300408</v>
      </c>
      <c r="X58" s="48">
        <f t="shared" si="60"/>
        <v>0.28195813259544356</v>
      </c>
    </row>
    <row r="59" spans="1:29" x14ac:dyDescent="0.25">
      <c r="R59" s="46" t="str">
        <f>A21</f>
        <v>WPZN</v>
      </c>
      <c r="S59" s="48">
        <f t="shared" ref="S59:U59" si="61">B21</f>
        <v>0.13314133805937084</v>
      </c>
      <c r="T59" s="48">
        <f t="shared" si="61"/>
        <v>6.8943530068146493E-3</v>
      </c>
      <c r="U59" s="48">
        <f t="shared" si="61"/>
        <v>0</v>
      </c>
      <c r="V59" s="48">
        <f>N21</f>
        <v>6.4511503564912143E-2</v>
      </c>
      <c r="W59" s="48">
        <f t="shared" ref="W59:X59" si="62">O21</f>
        <v>2.8014400907738896E-2</v>
      </c>
      <c r="X59" s="48">
        <f t="shared" si="62"/>
        <v>2.5564787609595088E-2</v>
      </c>
    </row>
    <row r="60" spans="1:29" x14ac:dyDescent="0.25">
      <c r="R60" s="46" t="str">
        <f>A26</f>
        <v>UKPWA</v>
      </c>
      <c r="S60" s="48">
        <f t="shared" ref="S60:U60" si="63">B26</f>
        <v>-2.7103738616000198E-2</v>
      </c>
      <c r="T60" s="48">
        <f t="shared" si="63"/>
        <v>1.3164238617706081E-2</v>
      </c>
      <c r="U60" s="48">
        <f t="shared" si="63"/>
        <v>5.7645193831964265E-4</v>
      </c>
      <c r="V60" s="48">
        <f>N26</f>
        <v>2.619642573744867E-2</v>
      </c>
      <c r="W60" s="48">
        <f t="shared" ref="W60:X60" si="64">O26</f>
        <v>-1.1086221427164618E-2</v>
      </c>
      <c r="X60" s="48">
        <f t="shared" si="64"/>
        <v>3.1835286838888574E-2</v>
      </c>
    </row>
    <row r="61" spans="1:29" x14ac:dyDescent="0.25">
      <c r="R61" s="46" t="str">
        <f>A37</f>
        <v>WWGS</v>
      </c>
      <c r="S61" s="48">
        <f t="shared" ref="S61:U61" si="65">B37</f>
        <v>0.2974794666027184</v>
      </c>
      <c r="T61" s="48">
        <f t="shared" si="65"/>
        <v>0.27279362910697075</v>
      </c>
      <c r="U61" s="48">
        <f t="shared" si="65"/>
        <v>0.29926947886779398</v>
      </c>
      <c r="V61" s="48">
        <f>N37</f>
        <v>0.23975126828763529</v>
      </c>
      <c r="W61" s="48">
        <f t="shared" ref="W61:X61" si="66">O37</f>
        <v>0.20661706623586273</v>
      </c>
      <c r="X61" s="48">
        <f t="shared" si="66"/>
        <v>0.18191801633268262</v>
      </c>
    </row>
    <row r="62" spans="1:29" x14ac:dyDescent="0.25">
      <c r="R62" s="46" t="str">
        <f>A41</f>
        <v>WWGA</v>
      </c>
      <c r="S62" s="48">
        <f t="shared" ref="S62:U62" si="67">B41</f>
        <v>0.10658001325576258</v>
      </c>
      <c r="T62" s="48">
        <f t="shared" si="67"/>
        <v>9.4964295952672598E-2</v>
      </c>
      <c r="U62" s="48">
        <f t="shared" si="67"/>
        <v>0.1059734832108373</v>
      </c>
      <c r="V62" s="48">
        <f>N41</f>
        <v>0.14984158854661059</v>
      </c>
      <c r="W62" s="48">
        <f t="shared" ref="W62:X62" si="68">O41</f>
        <v>0.13739097943792056</v>
      </c>
      <c r="X62" s="48">
        <f t="shared" si="68"/>
        <v>9.9909075980619211E-2</v>
      </c>
    </row>
    <row r="63" spans="1:29" x14ac:dyDescent="0.25">
      <c r="R63" s="46" t="str">
        <f>A.PŁYNNOŚCI!A45</f>
        <v>WWGZ</v>
      </c>
      <c r="S63" s="48">
        <f>A.PŁYNNOŚCI!B45</f>
        <v>0.82765029666166279</v>
      </c>
      <c r="T63" s="48">
        <f>A.PŁYNNOŚCI!C45</f>
        <v>0.72250724960963641</v>
      </c>
      <c r="U63" s="48">
        <f>A.PŁYNNOŚCI!D45</f>
        <v>0.76487414187643021</v>
      </c>
      <c r="V63" s="48">
        <f>N45</f>
        <v>0.90422094943863174</v>
      </c>
      <c r="W63" s="48">
        <f t="shared" ref="W63:X63" si="69">O45</f>
        <v>0.66580301604381709</v>
      </c>
      <c r="X63" s="48">
        <f t="shared" si="69"/>
        <v>0.64616094948865721</v>
      </c>
    </row>
    <row r="64" spans="1:29" x14ac:dyDescent="0.25">
      <c r="R64" s="46" t="str">
        <f>A48</f>
        <v>Rotacja należności</v>
      </c>
      <c r="S64" s="66">
        <f t="shared" ref="S64:U64" si="70">B48</f>
        <v>8.0912433660782845</v>
      </c>
      <c r="T64" s="66">
        <f t="shared" si="70"/>
        <v>8.840846208314229</v>
      </c>
      <c r="U64" s="66">
        <f t="shared" si="70"/>
        <v>9.6121692475700176</v>
      </c>
      <c r="V64" s="66">
        <f>N48</f>
        <v>12.785746260030074</v>
      </c>
      <c r="W64" s="66">
        <f t="shared" ref="W64:X64" si="71">O48</f>
        <v>13.284225837750302</v>
      </c>
      <c r="X64" s="66">
        <f t="shared" si="71"/>
        <v>13.550059198666199</v>
      </c>
    </row>
    <row r="65" spans="18:24" x14ac:dyDescent="0.25">
      <c r="R65" s="46" t="str">
        <f>A49</f>
        <v>Rotacja zapasów</v>
      </c>
      <c r="S65" s="66">
        <f t="shared" ref="S65:U65" si="72">B49</f>
        <v>10.258633733295651</v>
      </c>
      <c r="T65" s="66">
        <f t="shared" si="72"/>
        <v>11.209031670425444</v>
      </c>
      <c r="U65" s="66">
        <f t="shared" si="72"/>
        <v>12.186967964240415</v>
      </c>
      <c r="V65" s="66">
        <f>N49</f>
        <v>19.98194137163069</v>
      </c>
      <c r="W65" s="66">
        <f t="shared" ref="W65:X65" si="73">O49</f>
        <v>23.248119673369686</v>
      </c>
      <c r="X65" s="66">
        <f t="shared" si="73"/>
        <v>27.276128466699344</v>
      </c>
    </row>
    <row r="66" spans="18:24" x14ac:dyDescent="0.25">
      <c r="R66" s="46" t="str">
        <f>A50</f>
        <v>Rotacja zobowiązań</v>
      </c>
      <c r="S66" s="66">
        <f t="shared" ref="S66:U66" si="74">B50</f>
        <v>154.24212708010378</v>
      </c>
      <c r="T66" s="66">
        <f t="shared" si="74"/>
        <v>168.53169070100412</v>
      </c>
      <c r="U66" s="66">
        <f t="shared" si="74"/>
        <v>183.23530309504912</v>
      </c>
      <c r="V66" s="66">
        <f>N50</f>
        <v>176.052615205564</v>
      </c>
      <c r="W66" s="66">
        <f t="shared" ref="W66:X66" si="75">O50</f>
        <v>188.57702845701581</v>
      </c>
      <c r="X66" s="66">
        <f t="shared" si="75"/>
        <v>200.41144808218223</v>
      </c>
    </row>
    <row r="67" spans="18:24" x14ac:dyDescent="0.25">
      <c r="R67" s="46" t="str">
        <f>A51</f>
        <v>Długość cyklu środków pieniężnych</v>
      </c>
      <c r="S67" s="66">
        <f t="shared" ref="S67:U67" si="76">B51</f>
        <v>-135.89224998072984</v>
      </c>
      <c r="T67" s="66">
        <f t="shared" si="76"/>
        <v>-148.48181282226446</v>
      </c>
      <c r="U67" s="66">
        <f t="shared" si="76"/>
        <v>-161.43616588323869</v>
      </c>
      <c r="V67" s="66">
        <f>N51</f>
        <v>-143.28492757390322</v>
      </c>
      <c r="W67" s="66">
        <f t="shared" ref="W67:X67" si="77">O51</f>
        <v>-152.04468294589586</v>
      </c>
      <c r="X67" s="66">
        <f t="shared" si="77"/>
        <v>-159.58526041681671</v>
      </c>
    </row>
    <row r="68" spans="18:24" x14ac:dyDescent="0.25">
      <c r="S68" s="67"/>
      <c r="T68" s="67"/>
      <c r="U68" s="67"/>
    </row>
    <row r="69" spans="18:24" x14ac:dyDescent="0.25">
      <c r="S69" s="67"/>
      <c r="T69" s="67"/>
      <c r="U69" s="67"/>
    </row>
    <row r="70" spans="18:24" x14ac:dyDescent="0.25">
      <c r="S70" s="67"/>
      <c r="T70" s="67"/>
      <c r="U70" s="67"/>
    </row>
  </sheetData>
  <mergeCells count="21">
    <mergeCell ref="AK16:AM16"/>
    <mergeCell ref="AE16:AG16"/>
    <mergeCell ref="AK10:AM10"/>
    <mergeCell ref="AH10:AJ10"/>
    <mergeCell ref="AE10:AG10"/>
    <mergeCell ref="S54:U54"/>
    <mergeCell ref="V54:X54"/>
    <mergeCell ref="AE1:AM1"/>
    <mergeCell ref="B1:D1"/>
    <mergeCell ref="E1:M1"/>
    <mergeCell ref="B2:D2"/>
    <mergeCell ref="E2:G2"/>
    <mergeCell ref="H2:J2"/>
    <mergeCell ref="K2:M2"/>
    <mergeCell ref="N2:P2"/>
    <mergeCell ref="N1:P1"/>
    <mergeCell ref="R1:U1"/>
    <mergeCell ref="AK2:AM2"/>
    <mergeCell ref="AH2:AJ2"/>
    <mergeCell ref="AE2:AG2"/>
    <mergeCell ref="AE9:AM9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70F4-E8F8-4B70-B94A-DA8ACD1D5303}">
  <sheetPr>
    <tabColor theme="7"/>
  </sheetPr>
  <dimension ref="A1:AL106"/>
  <sheetViews>
    <sheetView topLeftCell="AG1" zoomScale="70" zoomScaleNormal="70" workbookViewId="0">
      <selection activeCell="R1" sqref="R1:U6"/>
    </sheetView>
  </sheetViews>
  <sheetFormatPr defaultRowHeight="15" x14ac:dyDescent="0.25"/>
  <cols>
    <col min="1" max="1" width="63" bestFit="1" customWidth="1"/>
    <col min="2" max="4" width="9.85546875" bestFit="1" customWidth="1"/>
    <col min="5" max="7" width="12" bestFit="1" customWidth="1"/>
    <col min="8" max="10" width="12.42578125" bestFit="1" customWidth="1"/>
    <col min="11" max="13" width="11.42578125" bestFit="1" customWidth="1"/>
    <col min="18" max="18" width="44.140625" bestFit="1" customWidth="1"/>
    <col min="19" max="19" width="12.42578125" bestFit="1" customWidth="1"/>
    <col min="20" max="21" width="13" bestFit="1" customWidth="1"/>
    <col min="22" max="23" width="20.7109375" style="52" bestFit="1" customWidth="1"/>
    <col min="24" max="24" width="13" style="52" customWidth="1"/>
    <col min="33" max="33" width="63" bestFit="1" customWidth="1"/>
    <col min="37" max="38" width="19.5703125" bestFit="1" customWidth="1"/>
  </cols>
  <sheetData>
    <row r="1" spans="1:38" x14ac:dyDescent="0.25">
      <c r="A1" s="36"/>
      <c r="B1" s="184" t="s">
        <v>255</v>
      </c>
      <c r="C1" s="184"/>
      <c r="D1" s="184"/>
      <c r="E1" s="185" t="s">
        <v>254</v>
      </c>
      <c r="F1" s="185"/>
      <c r="G1" s="185"/>
      <c r="H1" s="185"/>
      <c r="I1" s="185"/>
      <c r="J1" s="185"/>
      <c r="K1" s="185"/>
      <c r="L1" s="185"/>
      <c r="M1" s="185"/>
      <c r="N1" s="186" t="s">
        <v>301</v>
      </c>
      <c r="O1" s="179"/>
      <c r="P1" s="179"/>
      <c r="R1" s="30" t="str">
        <f>A17</f>
        <v>ANALIZA ZYSKU (STRATY) BRUTTO ZE SPRZEDAŻY</v>
      </c>
      <c r="S1" s="33">
        <v>2019</v>
      </c>
      <c r="T1" s="33">
        <v>2018</v>
      </c>
      <c r="U1" s="33">
        <v>2017</v>
      </c>
      <c r="V1" s="33" t="s">
        <v>322</v>
      </c>
      <c r="W1" s="33" t="s">
        <v>323</v>
      </c>
      <c r="X1" s="33"/>
      <c r="AG1" s="36"/>
      <c r="AH1" s="184" t="s">
        <v>255</v>
      </c>
      <c r="AI1" s="184"/>
      <c r="AJ1" s="184"/>
    </row>
    <row r="2" spans="1:38" ht="15" customHeight="1" x14ac:dyDescent="0.25">
      <c r="A2" s="37" t="s">
        <v>256</v>
      </c>
      <c r="B2" s="187" t="s">
        <v>4</v>
      </c>
      <c r="C2" s="187"/>
      <c r="D2" s="187"/>
      <c r="E2" s="188" t="s">
        <v>248</v>
      </c>
      <c r="F2" s="188"/>
      <c r="G2" s="188"/>
      <c r="H2" s="189" t="s">
        <v>246</v>
      </c>
      <c r="I2" s="189"/>
      <c r="J2" s="189"/>
      <c r="K2" s="190" t="s">
        <v>247</v>
      </c>
      <c r="L2" s="190"/>
      <c r="M2" s="190"/>
      <c r="N2" s="191" t="s">
        <v>298</v>
      </c>
      <c r="O2" s="191"/>
      <c r="P2" s="191"/>
      <c r="R2" t="str">
        <f>$B$2</f>
        <v>Cyfrowy Polsat S.A. (Polska)</v>
      </c>
      <c r="S2">
        <f>B17</f>
        <v>11676100</v>
      </c>
      <c r="T2" s="52">
        <f>C17</f>
        <v>10686100</v>
      </c>
      <c r="U2" s="52">
        <f>D17</f>
        <v>9828600</v>
      </c>
      <c r="V2" s="60">
        <f>(S2-T2)/S2</f>
        <v>8.4788585229657168E-2</v>
      </c>
      <c r="W2" s="60">
        <f>(T2-U2)/T2</f>
        <v>8.0244429679677334E-2</v>
      </c>
      <c r="AG2" s="37" t="s">
        <v>256</v>
      </c>
      <c r="AH2" s="187" t="s">
        <v>4</v>
      </c>
      <c r="AI2" s="187"/>
      <c r="AJ2" s="187"/>
    </row>
    <row r="3" spans="1:38" x14ac:dyDescent="0.25">
      <c r="A3" s="37" t="s">
        <v>257</v>
      </c>
      <c r="B3" s="33">
        <v>2019</v>
      </c>
      <c r="C3" s="33">
        <v>2018</v>
      </c>
      <c r="D3" s="33">
        <v>2017</v>
      </c>
      <c r="E3" s="33">
        <v>2019</v>
      </c>
      <c r="F3" s="33">
        <v>2018</v>
      </c>
      <c r="G3" s="33">
        <v>2017</v>
      </c>
      <c r="H3" s="33">
        <v>2019</v>
      </c>
      <c r="I3" s="33">
        <v>2018</v>
      </c>
      <c r="J3" s="33">
        <v>2017</v>
      </c>
      <c r="K3" s="33">
        <v>2019</v>
      </c>
      <c r="L3" s="33">
        <v>2018</v>
      </c>
      <c r="M3" s="33">
        <v>2017</v>
      </c>
      <c r="N3" s="33">
        <v>2019</v>
      </c>
      <c r="O3" s="33">
        <v>2018</v>
      </c>
      <c r="P3" s="33">
        <v>2017</v>
      </c>
      <c r="R3" t="str">
        <f>$E$2</f>
        <v>Telewizja Polska S.A. (Polska)</v>
      </c>
      <c r="S3">
        <f>E17</f>
        <v>2707328.91</v>
      </c>
      <c r="T3" s="52">
        <f>F17</f>
        <v>2205047.9700000002</v>
      </c>
      <c r="U3" s="52">
        <f>G17</f>
        <v>1777328.03</v>
      </c>
      <c r="V3" s="60">
        <f t="shared" ref="V3:V6" si="0">(S3-T3)/S3</f>
        <v>0.18552638290262261</v>
      </c>
      <c r="W3" s="60">
        <f t="shared" ref="W3:W6" si="1">(T3-U3)/T3</f>
        <v>0.19397307714806772</v>
      </c>
      <c r="AG3" s="37" t="s">
        <v>257</v>
      </c>
      <c r="AH3" s="33">
        <v>2019</v>
      </c>
      <c r="AI3" s="33">
        <v>2018</v>
      </c>
      <c r="AJ3" s="33">
        <v>2017</v>
      </c>
    </row>
    <row r="4" spans="1:38" x14ac:dyDescent="0.25">
      <c r="A4" s="53" t="s">
        <v>303</v>
      </c>
      <c r="B4">
        <f>'CYFROWY POLSAT SA'!B14</f>
        <v>11676100</v>
      </c>
      <c r="C4" s="47">
        <f>'CYFROWY POLSAT SA'!C14</f>
        <v>10686100</v>
      </c>
      <c r="D4" s="47">
        <f>'CYFROWY POLSAT SA'!D14</f>
        <v>9828600</v>
      </c>
      <c r="E4">
        <f>'KONKURENCJA R.N.TV'!B14</f>
        <v>2707328.91</v>
      </c>
      <c r="F4" s="47">
        <f>'KONKURENCJA R.N.TV'!C14</f>
        <v>2205047.9700000002</v>
      </c>
      <c r="G4" s="47">
        <f>'KONKURENCJA R.N.TV'!D14</f>
        <v>1777328.03</v>
      </c>
      <c r="H4">
        <f>'KONKURENCJA R.O.KOM.'!B14</f>
        <v>11406000</v>
      </c>
      <c r="I4" s="47">
        <f>'KONKURENCJA R.O.KOM.'!C14</f>
        <v>11101000</v>
      </c>
      <c r="J4" s="47">
        <f>'KONKURENCJA R.O.KOM.'!D14</f>
        <v>11381000</v>
      </c>
      <c r="K4" s="47">
        <f>'KONKURENCJA R.O.KOM.'!E14</f>
        <v>7040753</v>
      </c>
      <c r="L4" s="47">
        <f>'KONKURENCJA R.O.KOM.'!F14</f>
        <v>6839148</v>
      </c>
      <c r="M4" s="47">
        <f>'KONKURENCJA R.O.KOM.'!G14</f>
        <v>6669859</v>
      </c>
      <c r="R4" t="str">
        <f>$H$2</f>
        <v>Orange Polska S.A. (Polska)</v>
      </c>
      <c r="S4">
        <f>H17</f>
        <v>11406000</v>
      </c>
      <c r="T4" s="52">
        <f>I17</f>
        <v>11101000</v>
      </c>
      <c r="U4" s="52">
        <f>J17</f>
        <v>11381000</v>
      </c>
      <c r="V4" s="60">
        <f t="shared" si="0"/>
        <v>2.6740312116429948E-2</v>
      </c>
      <c r="W4" s="60">
        <f>(T4-U4)/T4</f>
        <v>-2.5222952887127285E-2</v>
      </c>
      <c r="AG4" s="30" t="s">
        <v>339</v>
      </c>
    </row>
    <row r="5" spans="1:38" x14ac:dyDescent="0.25">
      <c r="A5" s="53" t="s">
        <v>304</v>
      </c>
      <c r="B5" s="55">
        <f>'CYFROWY POLSAT SA'!B19</f>
        <v>0</v>
      </c>
      <c r="C5" s="55">
        <f>'CYFROWY POLSAT SA'!C19</f>
        <v>0</v>
      </c>
      <c r="D5" s="55">
        <f>'CYFROWY POLSAT SA'!D19</f>
        <v>0</v>
      </c>
      <c r="E5" s="55">
        <f>'KONKURENCJA R.N.TV'!B19</f>
        <v>0</v>
      </c>
      <c r="F5" s="55">
        <f>'KONKURENCJA R.N.TV'!C19</f>
        <v>0</v>
      </c>
      <c r="G5" s="55">
        <f>'KONKURENCJA R.N.TV'!D19</f>
        <v>0</v>
      </c>
      <c r="H5" s="55">
        <f>'KONKURENCJA R.O.KOM.'!B19</f>
        <v>0</v>
      </c>
      <c r="I5" s="55">
        <f>'KONKURENCJA R.O.KOM.'!C19</f>
        <v>0</v>
      </c>
      <c r="J5" s="55">
        <f>'KONKURENCJA R.O.KOM.'!D19</f>
        <v>0</v>
      </c>
      <c r="K5" s="55">
        <f>'KONKURENCJA R.O.KOM.'!E19</f>
        <v>0</v>
      </c>
      <c r="L5" s="55">
        <f>'KONKURENCJA R.O.KOM.'!F19</f>
        <v>0</v>
      </c>
      <c r="M5" s="55">
        <f>'KONKURENCJA R.O.KOM.'!G19</f>
        <v>0</v>
      </c>
      <c r="R5" t="str">
        <f>$K$2</f>
        <v>Play Communications S.A. (Polska)</v>
      </c>
      <c r="S5">
        <f>K17</f>
        <v>7040753</v>
      </c>
      <c r="T5" s="52">
        <f>L17</f>
        <v>6839148</v>
      </c>
      <c r="U5" s="52">
        <f>M17</f>
        <v>6669859</v>
      </c>
      <c r="V5" s="60">
        <f t="shared" si="0"/>
        <v>2.8634011163294608E-2</v>
      </c>
      <c r="W5" s="60">
        <f t="shared" si="1"/>
        <v>2.4752937061750968E-2</v>
      </c>
      <c r="AG5" t="s">
        <v>328</v>
      </c>
      <c r="AH5">
        <v>11676100</v>
      </c>
      <c r="AI5">
        <v>10686100</v>
      </c>
      <c r="AJ5">
        <v>9828600</v>
      </c>
      <c r="AK5" s="60"/>
      <c r="AL5" s="60"/>
    </row>
    <row r="6" spans="1:38" x14ac:dyDescent="0.25">
      <c r="A6" s="53" t="s">
        <v>306</v>
      </c>
      <c r="B6">
        <f>B17</f>
        <v>11676100</v>
      </c>
      <c r="C6" s="65">
        <f t="shared" ref="C6:M6" si="2">C17</f>
        <v>10686100</v>
      </c>
      <c r="D6" s="65">
        <f t="shared" si="2"/>
        <v>9828600</v>
      </c>
      <c r="E6" s="65">
        <f t="shared" si="2"/>
        <v>2707328.91</v>
      </c>
      <c r="F6" s="65">
        <f t="shared" si="2"/>
        <v>2205047.9700000002</v>
      </c>
      <c r="G6" s="65">
        <f t="shared" si="2"/>
        <v>1777328.03</v>
      </c>
      <c r="H6" s="65">
        <f t="shared" si="2"/>
        <v>11406000</v>
      </c>
      <c r="I6" s="65">
        <f t="shared" si="2"/>
        <v>11101000</v>
      </c>
      <c r="J6" s="65">
        <f t="shared" si="2"/>
        <v>11381000</v>
      </c>
      <c r="K6" s="65">
        <f t="shared" si="2"/>
        <v>7040753</v>
      </c>
      <c r="L6" s="65">
        <f t="shared" si="2"/>
        <v>6839148</v>
      </c>
      <c r="M6" s="65">
        <f t="shared" si="2"/>
        <v>6669859</v>
      </c>
      <c r="R6" t="str">
        <f>$N$2</f>
        <v>Branża</v>
      </c>
      <c r="S6">
        <f>N17</f>
        <v>8207545.4775</v>
      </c>
      <c r="T6" s="52">
        <f>O17</f>
        <v>7707823.9924999997</v>
      </c>
      <c r="U6" s="52">
        <f>P17</f>
        <v>7414196.7575000003</v>
      </c>
      <c r="V6" s="60">
        <f t="shared" si="0"/>
        <v>6.0885618772375583E-2</v>
      </c>
      <c r="W6" s="60">
        <f t="shared" si="1"/>
        <v>3.8094699007879484E-2</v>
      </c>
      <c r="AG6" t="s">
        <v>329</v>
      </c>
      <c r="AH6">
        <v>45700</v>
      </c>
      <c r="AI6">
        <v>19700</v>
      </c>
      <c r="AJ6">
        <v>21300</v>
      </c>
      <c r="AK6" s="60"/>
      <c r="AL6" s="60"/>
    </row>
    <row r="7" spans="1:38" s="47" customFormat="1" x14ac:dyDescent="0.25">
      <c r="A7" s="53" t="s">
        <v>307</v>
      </c>
      <c r="B7" s="47">
        <f>'CYFROWY POLSAT SA'!B20</f>
        <v>2229700</v>
      </c>
      <c r="C7" s="47">
        <f>'CYFROWY POLSAT SA'!C20</f>
        <v>2307700</v>
      </c>
      <c r="D7" s="47">
        <f>'CYFROWY POLSAT SA'!D20</f>
        <v>2011600</v>
      </c>
      <c r="E7" s="55">
        <f>'KONKURENCJA R.N.TV'!B20</f>
        <v>0</v>
      </c>
      <c r="F7" s="55">
        <f>'KONKURENCJA R.N.TV'!C20</f>
        <v>0</v>
      </c>
      <c r="G7" s="55">
        <f>'KONKURENCJA R.N.TV'!D20</f>
        <v>0</v>
      </c>
      <c r="H7" s="55">
        <f>'KONKURENCJA R.O.KOM.'!B20</f>
        <v>2748000</v>
      </c>
      <c r="I7" s="55">
        <f>'KONKURENCJA R.O.KOM.'!C20</f>
        <v>0</v>
      </c>
      <c r="J7" s="55">
        <f>'KONKURENCJA R.O.KOM.'!D20</f>
        <v>2572000</v>
      </c>
      <c r="K7" s="55">
        <f>'KONKURENCJA R.O.KOM.'!E20</f>
        <v>906264</v>
      </c>
      <c r="L7" s="55">
        <f>'KONKURENCJA R.O.KOM.'!F20</f>
        <v>789290</v>
      </c>
      <c r="M7" s="55">
        <f>'KONKURENCJA R.O.KOM.'!G20</f>
        <v>797256</v>
      </c>
      <c r="R7" s="30" t="str">
        <f>A20</f>
        <v>ANALIZA ZYSKU (STRATY) NA SPRZEDAŻY</v>
      </c>
      <c r="S7" s="33">
        <v>2019</v>
      </c>
      <c r="T7" s="33">
        <v>2018</v>
      </c>
      <c r="U7" s="33">
        <v>2017</v>
      </c>
      <c r="V7" s="33" t="s">
        <v>322</v>
      </c>
      <c r="W7" s="33" t="s">
        <v>323</v>
      </c>
      <c r="X7" s="33"/>
      <c r="AG7" s="47" t="s">
        <v>330</v>
      </c>
      <c r="AH7" s="47">
        <v>-27000</v>
      </c>
      <c r="AI7" s="47">
        <v>0</v>
      </c>
      <c r="AJ7" s="47">
        <v>7200</v>
      </c>
      <c r="AK7" s="60"/>
      <c r="AL7" s="60"/>
    </row>
    <row r="8" spans="1:38" s="47" customFormat="1" x14ac:dyDescent="0.25">
      <c r="A8" s="53" t="s">
        <v>310</v>
      </c>
      <c r="B8" s="47">
        <f>'CYFROWY POLSAT SA'!B62</f>
        <v>1114600</v>
      </c>
      <c r="C8" s="47">
        <f>'CYFROWY POLSAT SA'!C62</f>
        <v>816100</v>
      </c>
      <c r="D8" s="47">
        <f>'CYFROWY POLSAT SA'!D62</f>
        <v>945200</v>
      </c>
      <c r="E8" s="55">
        <f>'KONKURENCJA R.N.TV'!B62</f>
        <v>89071.43</v>
      </c>
      <c r="F8" s="55">
        <f>'KONKURENCJA R.N.TV'!C62</f>
        <v>3492.65</v>
      </c>
      <c r="G8" s="55">
        <f>'KONKURENCJA R.N.TV'!D62</f>
        <v>563.79999999999995</v>
      </c>
      <c r="H8" s="55">
        <f>'KONKURENCJA R.O.KOM.'!B62</f>
        <v>91000</v>
      </c>
      <c r="I8" s="55">
        <f>'KONKURENCJA R.O.KOM.'!C62</f>
        <v>10000</v>
      </c>
      <c r="J8" s="55">
        <f>'KONKURENCJA R.O.KOM.'!D62</f>
        <v>-60000</v>
      </c>
      <c r="K8" s="55">
        <f>'KONKURENCJA R.O.KOM.'!E62</f>
        <v>866937</v>
      </c>
      <c r="L8" s="55">
        <f>'KONKURENCJA R.O.KOM.'!F62</f>
        <v>744604</v>
      </c>
      <c r="M8" s="55">
        <f>'KONKURENCJA R.O.KOM.'!G62</f>
        <v>387346</v>
      </c>
      <c r="R8" s="52" t="str">
        <f>$B$2</f>
        <v>Cyfrowy Polsat S.A. (Polska)</v>
      </c>
      <c r="S8" s="66">
        <f>B20</f>
        <v>9446400</v>
      </c>
      <c r="T8" s="66">
        <f>C20</f>
        <v>8378400</v>
      </c>
      <c r="U8" s="66">
        <f>D20</f>
        <v>7817000</v>
      </c>
      <c r="V8" s="60">
        <f>(S8-T8)/S8</f>
        <v>0.11305894308943089</v>
      </c>
      <c r="W8" s="60">
        <f>(T8-U8)/T8</f>
        <v>6.7005633533848946E-2</v>
      </c>
      <c r="X8" s="52"/>
      <c r="AK8" s="60"/>
      <c r="AL8" s="60"/>
    </row>
    <row r="9" spans="1:38" s="47" customFormat="1" x14ac:dyDescent="0.25">
      <c r="A9" s="53" t="s">
        <v>272</v>
      </c>
      <c r="B9" s="47">
        <f>'CYFROWY POLSAT SA'!B84</f>
        <v>32589600</v>
      </c>
      <c r="C9" s="47">
        <f>'CYFROWY POLSAT SA'!C84</f>
        <v>30696800</v>
      </c>
      <c r="D9" s="47">
        <f>'CYFROWY POLSAT SA'!D84</f>
        <v>27756000</v>
      </c>
      <c r="E9" s="55">
        <f>'KONKURENCJA R.N.TV'!B84</f>
        <v>2149271.39</v>
      </c>
      <c r="F9" s="55">
        <f>'KONKURENCJA R.N.TV'!C84</f>
        <v>1481959.03</v>
      </c>
      <c r="G9" s="55">
        <f>'KONKURENCJA R.N.TV'!D84</f>
        <v>1486228.52</v>
      </c>
      <c r="H9" s="55">
        <f>'KONKURENCJA R.O.KOM.'!B84</f>
        <v>24340000</v>
      </c>
      <c r="I9" s="55">
        <f>'KONKURENCJA R.O.KOM.'!C84</f>
        <v>23295000</v>
      </c>
      <c r="J9" s="55">
        <f>'KONKURENCJA R.O.KOM.'!D84</f>
        <v>22933000</v>
      </c>
      <c r="K9" s="55">
        <f>'KONKURENCJA R.O.KOM.'!E84</f>
        <v>8885641</v>
      </c>
      <c r="L9" s="55">
        <f>'KONKURENCJA R.O.KOM.'!F84</f>
        <v>8520538</v>
      </c>
      <c r="M9" s="55">
        <f>'KONKURENCJA R.O.KOM.'!G84</f>
        <v>8830969</v>
      </c>
      <c r="R9" s="52" t="str">
        <f>$E$2</f>
        <v>Telewizja Polska S.A. (Polska)</v>
      </c>
      <c r="S9" s="66">
        <f>E20</f>
        <v>2707328.91</v>
      </c>
      <c r="T9" s="66">
        <f>F20</f>
        <v>2205047.9700000002</v>
      </c>
      <c r="U9" s="66">
        <f>G20</f>
        <v>1777328.03</v>
      </c>
      <c r="V9" s="60">
        <f t="shared" ref="V9:V12" si="3">(S9-T9)/S9</f>
        <v>0.18552638290262261</v>
      </c>
      <c r="W9" s="60">
        <f t="shared" ref="W9:W12" si="4">(T9-U9)/T9</f>
        <v>0.19397307714806772</v>
      </c>
      <c r="X9" s="52"/>
      <c r="AG9" s="30" t="s">
        <v>332</v>
      </c>
      <c r="AK9" s="60"/>
      <c r="AL9" s="60"/>
    </row>
    <row r="10" spans="1:38" s="47" customFormat="1" x14ac:dyDescent="0.25">
      <c r="A10" s="53" t="s">
        <v>321</v>
      </c>
      <c r="B10" s="47">
        <f>'CYFROWY POLSAT SA'!B160</f>
        <v>653200</v>
      </c>
      <c r="C10" s="47">
        <f>'CYFROWY POLSAT SA'!C160</f>
        <v>648200</v>
      </c>
      <c r="D10" s="47">
        <f>'CYFROWY POLSAT SA'!D160</f>
        <v>42600</v>
      </c>
      <c r="E10" s="55">
        <f>'KONKURENCJA R.N.TV'!B160</f>
        <v>0</v>
      </c>
      <c r="F10" s="55">
        <f>'KONKURENCJA R.N.TV'!C160</f>
        <v>0</v>
      </c>
      <c r="G10" s="55">
        <f>'KONKURENCJA R.N.TV'!D160</f>
        <v>0</v>
      </c>
      <c r="H10" s="55">
        <f>'KONKURENCJA R.O.KOM.'!B160</f>
        <v>2000</v>
      </c>
      <c r="I10" s="55">
        <f>'KONKURENCJA R.O.KOM.'!C160</f>
        <v>2000</v>
      </c>
      <c r="J10" s="55">
        <f>'KONKURENCJA R.O.KOM.'!D160</f>
        <v>2000</v>
      </c>
      <c r="K10" s="55">
        <f>'KONKURENCJA R.O.KOM.'!E160</f>
        <v>0</v>
      </c>
      <c r="L10" s="55">
        <f>'KONKURENCJA R.O.KOM.'!F160</f>
        <v>0</v>
      </c>
      <c r="M10" s="55">
        <f>'KONKURENCJA R.O.KOM.'!G160</f>
        <v>0</v>
      </c>
      <c r="R10" s="52" t="str">
        <f>$H$2</f>
        <v>Orange Polska S.A. (Polska)</v>
      </c>
      <c r="S10" s="66">
        <f>H20</f>
        <v>8658000</v>
      </c>
      <c r="T10" s="66">
        <f>I20</f>
        <v>11101000</v>
      </c>
      <c r="U10" s="66">
        <f>J20</f>
        <v>8809000</v>
      </c>
      <c r="V10" s="60">
        <f t="shared" si="3"/>
        <v>-0.28216678216678215</v>
      </c>
      <c r="W10" s="60">
        <f>(T10-U10)/T10</f>
        <v>0.20646788577605621</v>
      </c>
      <c r="X10" s="52"/>
      <c r="AG10" s="47" t="s">
        <v>337</v>
      </c>
      <c r="AH10" s="47">
        <v>-9754800</v>
      </c>
      <c r="AI10" s="47">
        <v>0</v>
      </c>
      <c r="AJ10" s="47">
        <v>0</v>
      </c>
      <c r="AK10" s="60"/>
      <c r="AL10" s="60"/>
    </row>
    <row r="11" spans="1:38" s="47" customFormat="1" x14ac:dyDescent="0.25">
      <c r="A11" s="53" t="s">
        <v>314</v>
      </c>
      <c r="B11" s="47">
        <f>'CYFROWY POLSAT SA'!B144</f>
        <v>15117700</v>
      </c>
      <c r="C11" s="47">
        <f>'CYFROWY POLSAT SA'!C144</f>
        <v>14523400</v>
      </c>
      <c r="D11" s="47">
        <f>'CYFROWY POLSAT SA'!D144</f>
        <v>12116800</v>
      </c>
      <c r="E11" s="55">
        <f>'KONKURENCJA R.N.TV'!B144</f>
        <v>555112.97</v>
      </c>
      <c r="F11" s="55">
        <f>'KONKURENCJA R.N.TV'!C144</f>
        <v>466041.54</v>
      </c>
      <c r="G11" s="55">
        <f>'KONKURENCJA R.N.TV'!D144</f>
        <v>462548.88</v>
      </c>
      <c r="H11" s="55">
        <f>'KONKURENCJA R.O.KOM.'!B144</f>
        <v>10568000</v>
      </c>
      <c r="I11" s="55">
        <f>'KONKURENCJA R.O.KOM.'!C144</f>
        <v>10505000</v>
      </c>
      <c r="J11" s="55">
        <f>'KONKURENCJA R.O.KOM.'!D144</f>
        <v>9938000</v>
      </c>
      <c r="K11" s="55">
        <f>'KONKURENCJA R.O.KOM.'!E144</f>
        <v>321653</v>
      </c>
      <c r="L11" s="55">
        <f>'KONKURENCJA R.O.KOM.'!F144</f>
        <v>-200538</v>
      </c>
      <c r="M11" s="55">
        <f>'KONKURENCJA R.O.KOM.'!G144</f>
        <v>-212579</v>
      </c>
      <c r="R11" s="52" t="str">
        <f>$K$2</f>
        <v>Play Communications S.A. (Polska)</v>
      </c>
      <c r="S11" s="66">
        <f>K20</f>
        <v>6134489</v>
      </c>
      <c r="T11" s="66">
        <f>L20</f>
        <v>6049858</v>
      </c>
      <c r="U11" s="66">
        <f>M20</f>
        <v>5872603</v>
      </c>
      <c r="V11" s="60">
        <f t="shared" si="3"/>
        <v>1.3795933124992155E-2</v>
      </c>
      <c r="W11" s="60">
        <f t="shared" si="4"/>
        <v>2.9299034787262774E-2</v>
      </c>
      <c r="X11" s="52"/>
      <c r="AG11" s="47" t="s">
        <v>333</v>
      </c>
      <c r="AH11" s="47">
        <v>0</v>
      </c>
      <c r="AI11" s="47">
        <v>0</v>
      </c>
      <c r="AJ11" s="47">
        <v>0</v>
      </c>
      <c r="AK11" s="60"/>
      <c r="AL11" s="60"/>
    </row>
    <row r="12" spans="1:38" s="47" customFormat="1" x14ac:dyDescent="0.25">
      <c r="A12" s="53" t="s">
        <v>316</v>
      </c>
      <c r="B12" s="47">
        <f>'CYFROWY POLSAT SA'!B39</f>
        <v>1967000</v>
      </c>
      <c r="C12" s="47">
        <f>'CYFROWY POLSAT SA'!C39</f>
        <v>1727000</v>
      </c>
      <c r="D12" s="47">
        <f>'CYFROWY POLSAT SA'!D39</f>
        <v>1834000</v>
      </c>
      <c r="E12" s="55">
        <f>'KONKURENCJA R.N.TV'!B39</f>
        <v>112714.52</v>
      </c>
      <c r="F12" s="55">
        <f>'KONKURENCJA R.N.TV'!C39</f>
        <v>15042.42</v>
      </c>
      <c r="G12" s="55">
        <f>'KONKURENCJA R.N.TV'!D39</f>
        <v>24429.21</v>
      </c>
      <c r="H12" s="55">
        <f>'KONKURENCJA R.O.KOM.'!B39</f>
        <v>0</v>
      </c>
      <c r="I12" s="55">
        <f>'KONKURENCJA R.O.KOM.'!C39</f>
        <v>0</v>
      </c>
      <c r="J12" s="55">
        <f>'KONKURENCJA R.O.KOM.'!D39</f>
        <v>229000</v>
      </c>
      <c r="K12" s="55">
        <f>'KONKURENCJA R.O.KOM.'!E39</f>
        <v>1499646</v>
      </c>
      <c r="L12" s="55">
        <f>'KONKURENCJA R.O.KOM.'!F39</f>
        <v>1370660</v>
      </c>
      <c r="M12" s="55">
        <f>'KONKURENCJA R.O.KOM.'!G39</f>
        <v>1106883</v>
      </c>
      <c r="R12" s="52" t="str">
        <f>$N$2</f>
        <v>Branża</v>
      </c>
      <c r="S12" s="66">
        <f>N20</f>
        <v>6736554.4775</v>
      </c>
      <c r="T12" s="66">
        <f>O20</f>
        <v>6933576.4924999997</v>
      </c>
      <c r="U12" s="66">
        <f>P20</f>
        <v>6068982.7575000003</v>
      </c>
      <c r="V12" s="60">
        <f t="shared" si="3"/>
        <v>-2.9246704032165182E-2</v>
      </c>
      <c r="W12" s="60">
        <f t="shared" si="4"/>
        <v>0.12469664623087728</v>
      </c>
      <c r="X12" s="52"/>
      <c r="AG12" s="47" t="s">
        <v>334</v>
      </c>
      <c r="AH12" s="47">
        <v>2229700</v>
      </c>
      <c r="AI12" s="47">
        <v>2307700</v>
      </c>
      <c r="AJ12" s="47">
        <v>2011600</v>
      </c>
      <c r="AK12" s="60"/>
      <c r="AL12" s="60"/>
    </row>
    <row r="13" spans="1:38" s="47" customFormat="1" x14ac:dyDescent="0.25">
      <c r="A13" s="53" t="s">
        <v>309</v>
      </c>
      <c r="B13" s="47">
        <f>'CYFROWY POLSAT SA'!B36</f>
        <v>45700</v>
      </c>
      <c r="C13" s="47">
        <f>'CYFROWY POLSAT SA'!C36</f>
        <v>19700</v>
      </c>
      <c r="D13" s="47">
        <f>'CYFROWY POLSAT SA'!D36</f>
        <v>21300</v>
      </c>
      <c r="E13" s="55">
        <f>'KONKURENCJA R.N.TV'!B36</f>
        <v>41415.46</v>
      </c>
      <c r="F13" s="55">
        <f>'KONKURENCJA R.N.TV'!C36</f>
        <v>36478.31</v>
      </c>
      <c r="G13" s="55">
        <f>'KONKURENCJA R.N.TV'!D36</f>
        <v>27086.59</v>
      </c>
      <c r="H13" s="55">
        <f>'KONKURENCJA R.O.KOM.'!B36</f>
        <v>238000</v>
      </c>
      <c r="I13" s="55">
        <f>'KONKURENCJA R.O.KOM.'!C36</f>
        <v>253000</v>
      </c>
      <c r="J13" s="55">
        <f>'KONKURENCJA R.O.KOM.'!D36</f>
        <v>299000</v>
      </c>
      <c r="K13" s="55">
        <f>'KONKURENCJA R.O.KOM.'!E36</f>
        <v>76885</v>
      </c>
      <c r="L13" s="55">
        <f>'KONKURENCJA R.O.KOM.'!F36</f>
        <v>78239</v>
      </c>
      <c r="M13" s="55">
        <f>'KONKURENCJA R.O.KOM.'!G36</f>
        <v>109778</v>
      </c>
      <c r="R13" s="30" t="str">
        <f>A25</f>
        <v>ROS</v>
      </c>
      <c r="S13" s="33">
        <v>2019</v>
      </c>
      <c r="T13" s="33">
        <v>2018</v>
      </c>
      <c r="U13" s="33">
        <v>2017</v>
      </c>
      <c r="V13" s="33"/>
      <c r="W13" s="33"/>
      <c r="X13" s="33"/>
      <c r="AG13" s="47" t="s">
        <v>335</v>
      </c>
      <c r="AH13" s="47">
        <v>0</v>
      </c>
      <c r="AI13" s="47">
        <v>-8978800</v>
      </c>
      <c r="AJ13" s="47">
        <v>0</v>
      </c>
      <c r="AK13" s="60"/>
      <c r="AL13" s="60"/>
    </row>
    <row r="14" spans="1:38" s="47" customFormat="1" x14ac:dyDescent="0.25">
      <c r="A14" s="53" t="s">
        <v>317</v>
      </c>
      <c r="B14" s="47">
        <f>'CYFROWY POLSAT SA'!B40</f>
        <v>4196700</v>
      </c>
      <c r="C14" s="47">
        <f>'CYFROWY POLSAT SA'!C40</f>
        <v>4034700</v>
      </c>
      <c r="D14" s="47">
        <f>'CYFROWY POLSAT SA'!D40</f>
        <v>3845600</v>
      </c>
      <c r="E14" s="55">
        <f>'KONKURENCJA R.N.TV'!B40</f>
        <v>322286.03000000003</v>
      </c>
      <c r="F14" s="55">
        <f>'KONKURENCJA R.N.TV'!C40</f>
        <v>204586.81</v>
      </c>
      <c r="G14" s="55">
        <f>'KONKURENCJA R.N.TV'!D40</f>
        <v>194949.42</v>
      </c>
      <c r="H14" s="55">
        <f>'KONKURENCJA R.O.KOM.'!B40</f>
        <v>2748000</v>
      </c>
      <c r="I14" s="55">
        <f>'KONKURENCJA R.O.KOM.'!C40</f>
        <v>0</v>
      </c>
      <c r="J14" s="55">
        <f>'KONKURENCJA R.O.KOM.'!D40</f>
        <v>2801000</v>
      </c>
      <c r="K14" s="55">
        <f>'KONKURENCJA R.O.KOM.'!E40</f>
        <v>2405910</v>
      </c>
      <c r="L14" s="55">
        <f>'KONKURENCJA R.O.KOM.'!F40</f>
        <v>2159950</v>
      </c>
      <c r="M14" s="55">
        <f>'KONKURENCJA R.O.KOM.'!G40</f>
        <v>1904139</v>
      </c>
      <c r="R14" s="52" t="str">
        <f>$B$2</f>
        <v>Cyfrowy Polsat S.A. (Polska)</v>
      </c>
      <c r="S14" s="60">
        <f>B25</f>
        <v>9.5459956663611997E-2</v>
      </c>
      <c r="T14" s="60">
        <f t="shared" ref="T14" si="5">C25</f>
        <v>7.6370237972693503E-2</v>
      </c>
      <c r="U14" s="60">
        <f t="shared" ref="U14" si="6">D25</f>
        <v>9.6168325092078219E-2</v>
      </c>
      <c r="V14" s="60"/>
      <c r="W14" s="60"/>
      <c r="X14" s="60"/>
      <c r="AG14" s="47" t="s">
        <v>336</v>
      </c>
      <c r="AH14" s="47">
        <v>-465900</v>
      </c>
      <c r="AI14" s="47">
        <v>-419700</v>
      </c>
      <c r="AJ14" s="47">
        <v>-509000</v>
      </c>
      <c r="AK14" s="60"/>
      <c r="AL14" s="60"/>
    </row>
    <row r="15" spans="1:38" x14ac:dyDescent="0.25">
      <c r="A15" s="53" t="s">
        <v>326</v>
      </c>
      <c r="B15">
        <f>'CYFROWY POLSAT SA'!B143</f>
        <v>32589600</v>
      </c>
      <c r="C15" s="52">
        <f>'CYFROWY POLSAT SA'!C143</f>
        <v>30696800</v>
      </c>
      <c r="D15" s="52">
        <f>'CYFROWY POLSAT SA'!D143</f>
        <v>27756000</v>
      </c>
      <c r="E15" s="55">
        <f>'KONKURENCJA R.N.TV'!B143</f>
        <v>2149271.39</v>
      </c>
      <c r="F15" s="55">
        <f>'KONKURENCJA R.N.TV'!C143</f>
        <v>1481959.03</v>
      </c>
      <c r="G15" s="55">
        <f>'KONKURENCJA R.N.TV'!D143</f>
        <v>1486228.52</v>
      </c>
      <c r="H15" s="55">
        <f>'KONKURENCJA R.O.KOM.'!B143</f>
        <v>24340000</v>
      </c>
      <c r="I15" s="55">
        <f>'KONKURENCJA R.O.KOM.'!C143</f>
        <v>23295000</v>
      </c>
      <c r="J15" s="55">
        <f>'KONKURENCJA R.O.KOM.'!D143</f>
        <v>22933000</v>
      </c>
      <c r="K15" s="55">
        <f>'KONKURENCJA R.O.KOM.'!E143</f>
        <v>8885641</v>
      </c>
      <c r="L15" s="55">
        <f>'KONKURENCJA R.O.KOM.'!F143</f>
        <v>8520538</v>
      </c>
      <c r="M15" s="55">
        <f>'KONKURENCJA R.O.KOM.'!G143</f>
        <v>8830969</v>
      </c>
      <c r="R15" s="52" t="str">
        <f>$E$2</f>
        <v>Telewizja Polska S.A. (Polska)</v>
      </c>
      <c r="S15" s="60">
        <f>E25</f>
        <v>3.2900114083293998E-2</v>
      </c>
      <c r="T15" s="60">
        <f t="shared" ref="T15" si="7">F25</f>
        <v>1.5839337953269107E-3</v>
      </c>
      <c r="U15" s="60">
        <f t="shared" ref="U15" si="8">G25</f>
        <v>3.1721775073788712E-4</v>
      </c>
      <c r="V15" s="60"/>
      <c r="W15" s="60"/>
      <c r="X15" s="60"/>
      <c r="AK15" s="60"/>
      <c r="AL15" s="60"/>
    </row>
    <row r="16" spans="1:38" x14ac:dyDescent="0.25">
      <c r="A16" s="53" t="s">
        <v>16</v>
      </c>
      <c r="B16" s="52">
        <f>'CYFROWY POLSAT SA'!B13</f>
        <v>11721800</v>
      </c>
      <c r="C16" s="52">
        <f>'CYFROWY POLSAT SA'!C13</f>
        <v>10705800</v>
      </c>
      <c r="D16" s="52">
        <f>'CYFROWY POLSAT SA'!D13</f>
        <v>9849900</v>
      </c>
      <c r="E16" s="55">
        <f>'KONKURENCJA R.N.TV'!B13</f>
        <v>2748744.37</v>
      </c>
      <c r="F16" s="55">
        <f>'KONKURENCJA R.N.TV'!C13</f>
        <v>2241526.2799999998</v>
      </c>
      <c r="G16" s="55">
        <f>'KONKURENCJA R.N.TV'!D13</f>
        <v>1804414.62</v>
      </c>
      <c r="H16" s="55">
        <f>'KONKURENCJA R.O.KOM.'!B13</f>
        <v>11644000</v>
      </c>
      <c r="I16" s="55">
        <f>'KONKURENCJA R.O.KOM.'!C13</f>
        <v>11354000</v>
      </c>
      <c r="J16" s="55">
        <f>'KONKURENCJA R.O.KOM.'!D13</f>
        <v>11680000</v>
      </c>
      <c r="K16" s="55">
        <f>'KONKURENCJA R.O.KOM.'!E13</f>
        <v>7117638</v>
      </c>
      <c r="L16" s="55">
        <f>'KONKURENCJA R.O.KOM.'!F13</f>
        <v>6917387</v>
      </c>
      <c r="M16" s="55">
        <f>'KONKURENCJA R.O.KOM.'!G13</f>
        <v>6779637</v>
      </c>
      <c r="R16" s="52" t="str">
        <f>$H$2</f>
        <v>Orange Polska S.A. (Polska)</v>
      </c>
      <c r="S16" s="60">
        <f>H25</f>
        <v>7.978257057688936E-3</v>
      </c>
      <c r="T16" s="60">
        <f t="shared" ref="T16" si="9">I25</f>
        <v>9.008197459688316E-4</v>
      </c>
      <c r="U16" s="60">
        <f t="shared" ref="U16" si="10">J25</f>
        <v>-5.2719444688515945E-3</v>
      </c>
      <c r="V16" s="60"/>
      <c r="W16" s="60"/>
      <c r="X16" s="60"/>
      <c r="AG16" s="30" t="s">
        <v>338</v>
      </c>
      <c r="AH16" s="59">
        <v>0.99610128137316789</v>
      </c>
      <c r="AI16" s="59">
        <v>0.99815987595508981</v>
      </c>
      <c r="AJ16" s="59">
        <v>0.99783754149788317</v>
      </c>
      <c r="AK16" s="60"/>
      <c r="AL16" s="60"/>
    </row>
    <row r="17" spans="1:38" x14ac:dyDescent="0.25">
      <c r="A17" s="57" t="s">
        <v>302</v>
      </c>
      <c r="B17" s="30">
        <f>B18-B19</f>
        <v>11676100</v>
      </c>
      <c r="C17" s="30">
        <f t="shared" ref="C17:M17" si="11">C18-C19</f>
        <v>10686100</v>
      </c>
      <c r="D17" s="30">
        <f>D18-D19</f>
        <v>9828600</v>
      </c>
      <c r="E17" s="30">
        <f t="shared" si="11"/>
        <v>2707328.91</v>
      </c>
      <c r="F17" s="30">
        <f t="shared" si="11"/>
        <v>2205047.9700000002</v>
      </c>
      <c r="G17" s="30">
        <f>G18-G19</f>
        <v>1777328.03</v>
      </c>
      <c r="H17" s="30">
        <f t="shared" si="11"/>
        <v>11406000</v>
      </c>
      <c r="I17" s="30">
        <f t="shared" si="11"/>
        <v>11101000</v>
      </c>
      <c r="J17" s="30">
        <f t="shared" si="11"/>
        <v>11381000</v>
      </c>
      <c r="K17" s="30">
        <f t="shared" si="11"/>
        <v>7040753</v>
      </c>
      <c r="L17" s="30">
        <f t="shared" si="11"/>
        <v>6839148</v>
      </c>
      <c r="M17" s="30">
        <f t="shared" si="11"/>
        <v>6669859</v>
      </c>
      <c r="N17" s="30">
        <f t="shared" ref="N17" si="12">N18-N19</f>
        <v>8207545.4775</v>
      </c>
      <c r="O17" s="30">
        <f t="shared" ref="O17" si="13">O18-O19</f>
        <v>7707823.9924999997</v>
      </c>
      <c r="P17" s="30">
        <f t="shared" ref="P17" si="14">P18-P19</f>
        <v>7414196.7575000003</v>
      </c>
      <c r="R17" s="52" t="str">
        <f>$K$2</f>
        <v>Play Communications S.A. (Polska)</v>
      </c>
      <c r="S17" s="60">
        <f>K25</f>
        <v>0.12313129007650175</v>
      </c>
      <c r="T17" s="60">
        <f t="shared" ref="T17" si="15">L25</f>
        <v>0.10887379539088787</v>
      </c>
      <c r="U17" s="60">
        <f t="shared" ref="U17" si="16">M25</f>
        <v>5.8074091221418621E-2</v>
      </c>
      <c r="V17" s="60"/>
      <c r="W17" s="60"/>
      <c r="X17" s="60"/>
      <c r="AG17" s="53" t="s">
        <v>303</v>
      </c>
      <c r="AH17">
        <v>11676100</v>
      </c>
      <c r="AI17">
        <v>10686100</v>
      </c>
      <c r="AJ17">
        <v>9828600</v>
      </c>
      <c r="AK17" s="60"/>
      <c r="AL17" s="60"/>
    </row>
    <row r="18" spans="1:38" x14ac:dyDescent="0.25">
      <c r="A18" t="str">
        <f t="shared" ref="A18:M18" si="17">A4</f>
        <v>przychody netto ze sprzedaży</v>
      </c>
      <c r="B18" s="47">
        <f t="shared" si="17"/>
        <v>11676100</v>
      </c>
      <c r="C18" s="47">
        <f t="shared" si="17"/>
        <v>10686100</v>
      </c>
      <c r="D18" s="47">
        <f t="shared" si="17"/>
        <v>9828600</v>
      </c>
      <c r="E18" s="47">
        <f t="shared" si="17"/>
        <v>2707328.91</v>
      </c>
      <c r="F18" s="47">
        <f t="shared" si="17"/>
        <v>2205047.9700000002</v>
      </c>
      <c r="G18" s="47">
        <f t="shared" si="17"/>
        <v>1777328.03</v>
      </c>
      <c r="H18" s="47">
        <f t="shared" si="17"/>
        <v>11406000</v>
      </c>
      <c r="I18" s="47">
        <f t="shared" si="17"/>
        <v>11101000</v>
      </c>
      <c r="J18" s="47">
        <f t="shared" si="17"/>
        <v>11381000</v>
      </c>
      <c r="K18" s="47">
        <f t="shared" si="17"/>
        <v>7040753</v>
      </c>
      <c r="L18" s="47">
        <f t="shared" si="17"/>
        <v>6839148</v>
      </c>
      <c r="M18" s="47">
        <f t="shared" si="17"/>
        <v>6669859</v>
      </c>
      <c r="N18">
        <f>AVERAGE(B18,E18,H18,K18)</f>
        <v>8207545.4775</v>
      </c>
      <c r="O18" s="47">
        <f t="shared" ref="O18:P18" si="18">AVERAGE(C18,F18,I18,L18)</f>
        <v>7707823.9924999997</v>
      </c>
      <c r="P18" s="47">
        <f t="shared" si="18"/>
        <v>7414196.7575000003</v>
      </c>
      <c r="R18" s="52" t="str">
        <f>$N$2</f>
        <v>Branża</v>
      </c>
      <c r="S18" s="60">
        <f>N25</f>
        <v>6.5842109432283663E-2</v>
      </c>
      <c r="T18" s="60">
        <f t="shared" ref="T18" si="19">O25</f>
        <v>5.1058400254460665E-2</v>
      </c>
      <c r="U18" s="60">
        <f t="shared" ref="U18" si="20">P25</f>
        <v>4.2928109464864035E-2</v>
      </c>
      <c r="V18" s="60"/>
      <c r="W18" s="60"/>
      <c r="X18" s="60"/>
      <c r="AG18" s="53" t="s">
        <v>16</v>
      </c>
      <c r="AH18">
        <v>11721800</v>
      </c>
      <c r="AI18">
        <v>10705800</v>
      </c>
      <c r="AJ18">
        <v>9849900</v>
      </c>
      <c r="AK18" s="60"/>
      <c r="AL18" s="60"/>
    </row>
    <row r="19" spans="1:38" x14ac:dyDescent="0.25">
      <c r="A19" t="str">
        <f t="shared" ref="A19:M19" si="21">A5</f>
        <v>koszty ze sprzedaży</v>
      </c>
      <c r="B19" s="47">
        <f t="shared" si="21"/>
        <v>0</v>
      </c>
      <c r="C19" s="47">
        <f t="shared" si="21"/>
        <v>0</v>
      </c>
      <c r="D19" s="47">
        <f t="shared" si="21"/>
        <v>0</v>
      </c>
      <c r="E19" s="47">
        <f t="shared" si="21"/>
        <v>0</v>
      </c>
      <c r="F19" s="47">
        <f t="shared" si="21"/>
        <v>0</v>
      </c>
      <c r="G19" s="47">
        <f t="shared" si="21"/>
        <v>0</v>
      </c>
      <c r="H19" s="47">
        <f t="shared" si="21"/>
        <v>0</v>
      </c>
      <c r="I19" s="47">
        <f t="shared" si="21"/>
        <v>0</v>
      </c>
      <c r="J19" s="47">
        <f t="shared" si="21"/>
        <v>0</v>
      </c>
      <c r="K19" s="47">
        <f t="shared" si="21"/>
        <v>0</v>
      </c>
      <c r="L19" s="47">
        <f t="shared" si="21"/>
        <v>0</v>
      </c>
      <c r="M19" s="47">
        <f t="shared" si="21"/>
        <v>0</v>
      </c>
      <c r="N19" s="47">
        <f>AVERAGE(B19,E19,H19,K19)</f>
        <v>0</v>
      </c>
      <c r="O19" s="47">
        <f t="shared" ref="O19" si="22">AVERAGE(C19,F19,I19,L19)</f>
        <v>0</v>
      </c>
      <c r="P19" s="47">
        <f t="shared" ref="P19" si="23">AVERAGE(D19,G19,J19,M19)</f>
        <v>0</v>
      </c>
      <c r="R19" s="30" t="str">
        <f>A31</f>
        <v>ROE</v>
      </c>
      <c r="S19" s="33">
        <v>2019</v>
      </c>
      <c r="T19" s="33">
        <v>2018</v>
      </c>
      <c r="U19" s="33">
        <v>2017</v>
      </c>
      <c r="V19" s="33"/>
      <c r="W19" s="33"/>
      <c r="X19" s="33"/>
    </row>
    <row r="20" spans="1:38" x14ac:dyDescent="0.25">
      <c r="A20" s="30" t="s">
        <v>305</v>
      </c>
      <c r="B20" s="30">
        <f>B21-B22-B23</f>
        <v>9446400</v>
      </c>
      <c r="C20" s="30">
        <f t="shared" ref="C20:M20" si="24">C21-C22-C23</f>
        <v>8378400</v>
      </c>
      <c r="D20" s="30">
        <f t="shared" si="24"/>
        <v>7817000</v>
      </c>
      <c r="E20" s="30">
        <f t="shared" si="24"/>
        <v>2707328.91</v>
      </c>
      <c r="F20" s="30">
        <f t="shared" si="24"/>
        <v>2205047.9700000002</v>
      </c>
      <c r="G20" s="30">
        <f t="shared" si="24"/>
        <v>1777328.03</v>
      </c>
      <c r="H20" s="30">
        <f t="shared" si="24"/>
        <v>8658000</v>
      </c>
      <c r="I20" s="30">
        <f t="shared" si="24"/>
        <v>11101000</v>
      </c>
      <c r="J20" s="30">
        <f t="shared" si="24"/>
        <v>8809000</v>
      </c>
      <c r="K20" s="30">
        <f t="shared" si="24"/>
        <v>6134489</v>
      </c>
      <c r="L20" s="30">
        <f t="shared" si="24"/>
        <v>6049858</v>
      </c>
      <c r="M20" s="30">
        <f t="shared" si="24"/>
        <v>5872603</v>
      </c>
      <c r="N20" s="30">
        <f t="shared" ref="N20" si="25">N21-N22-N23</f>
        <v>6736554.4775</v>
      </c>
      <c r="O20" s="30">
        <f t="shared" ref="O20" si="26">O21-O22-O23</f>
        <v>6933576.4924999997</v>
      </c>
      <c r="P20" s="30">
        <f t="shared" ref="P20" si="27">P21-P22-P23</f>
        <v>6068982.7575000003</v>
      </c>
      <c r="R20" s="52" t="str">
        <f>$B$2</f>
        <v>Cyfrowy Polsat S.A. (Polska)</v>
      </c>
      <c r="S20" s="60">
        <f>B31</f>
        <v>7.3728146477308062E-2</v>
      </c>
      <c r="T20" s="60">
        <f t="shared" ref="T20" si="28">C31</f>
        <v>5.619207623559222E-2</v>
      </c>
      <c r="U20" s="60">
        <f t="shared" ref="U20" si="29">D31</f>
        <v>7.8007394691667772E-2</v>
      </c>
      <c r="V20" s="60"/>
      <c r="W20" s="60"/>
      <c r="X20" s="60"/>
    </row>
    <row r="21" spans="1:38" x14ac:dyDescent="0.25">
      <c r="A21" t="str">
        <f t="shared" ref="A21:M21" si="30">A6</f>
        <v>zysk brutto ze sprzedaży</v>
      </c>
      <c r="B21" s="47">
        <f t="shared" si="30"/>
        <v>11676100</v>
      </c>
      <c r="C21" s="47">
        <f t="shared" si="30"/>
        <v>10686100</v>
      </c>
      <c r="D21" s="47">
        <f t="shared" si="30"/>
        <v>9828600</v>
      </c>
      <c r="E21" s="47">
        <f t="shared" si="30"/>
        <v>2707328.91</v>
      </c>
      <c r="F21" s="47">
        <f t="shared" si="30"/>
        <v>2205047.9700000002</v>
      </c>
      <c r="G21" s="47">
        <f t="shared" si="30"/>
        <v>1777328.03</v>
      </c>
      <c r="H21" s="47">
        <f t="shared" si="30"/>
        <v>11406000</v>
      </c>
      <c r="I21" s="47">
        <f t="shared" si="30"/>
        <v>11101000</v>
      </c>
      <c r="J21" s="47">
        <f t="shared" si="30"/>
        <v>11381000</v>
      </c>
      <c r="K21" s="47">
        <f t="shared" si="30"/>
        <v>7040753</v>
      </c>
      <c r="L21" s="47">
        <f t="shared" si="30"/>
        <v>6839148</v>
      </c>
      <c r="M21" s="47">
        <f t="shared" si="30"/>
        <v>6669859</v>
      </c>
      <c r="N21" s="47">
        <f>AVERAGE(B21,E21,H21,K21)</f>
        <v>8207545.4775</v>
      </c>
      <c r="O21" s="47">
        <f t="shared" ref="O21:P24" si="31">AVERAGE(C21,F21,I21,L21)</f>
        <v>7707823.9924999997</v>
      </c>
      <c r="P21" s="47">
        <f t="shared" si="31"/>
        <v>7414196.7575000003</v>
      </c>
      <c r="R21" s="52" t="str">
        <f>$E$2</f>
        <v>Telewizja Polska S.A. (Polska)</v>
      </c>
      <c r="S21" s="60">
        <f>E31</f>
        <v>0.16045640223466584</v>
      </c>
      <c r="T21" s="60">
        <f t="shared" ref="T21" si="32">F31</f>
        <v>7.4942890283986275E-3</v>
      </c>
      <c r="U21" s="60">
        <f t="shared" ref="U21" si="33">G31</f>
        <v>1.2188982059582545E-3</v>
      </c>
      <c r="V21" s="60"/>
      <c r="W21" s="60"/>
      <c r="X21" s="60"/>
      <c r="AG21" s="36"/>
      <c r="AH21" s="184" t="s">
        <v>255</v>
      </c>
      <c r="AI21" s="184"/>
      <c r="AJ21" s="184"/>
    </row>
    <row r="22" spans="1:38" x14ac:dyDescent="0.25">
      <c r="A22" t="str">
        <f t="shared" ref="A22:M22" si="34">A5</f>
        <v>koszty ze sprzedaży</v>
      </c>
      <c r="B22" s="47">
        <f t="shared" si="34"/>
        <v>0</v>
      </c>
      <c r="C22" s="47">
        <f t="shared" si="34"/>
        <v>0</v>
      </c>
      <c r="D22" s="47">
        <f t="shared" si="34"/>
        <v>0</v>
      </c>
      <c r="E22" s="47">
        <f t="shared" si="34"/>
        <v>0</v>
      </c>
      <c r="F22" s="47">
        <f t="shared" si="34"/>
        <v>0</v>
      </c>
      <c r="G22" s="47">
        <f t="shared" si="34"/>
        <v>0</v>
      </c>
      <c r="H22" s="47">
        <f t="shared" si="34"/>
        <v>0</v>
      </c>
      <c r="I22" s="47">
        <f t="shared" si="34"/>
        <v>0</v>
      </c>
      <c r="J22" s="47">
        <f t="shared" si="34"/>
        <v>0</v>
      </c>
      <c r="K22" s="47">
        <f t="shared" si="34"/>
        <v>0</v>
      </c>
      <c r="L22" s="47">
        <f t="shared" si="34"/>
        <v>0</v>
      </c>
      <c r="M22" s="47">
        <f t="shared" si="34"/>
        <v>0</v>
      </c>
      <c r="N22" s="47">
        <f t="shared" ref="N22:N24" si="35">AVERAGE(B22,E22,H22,K22)</f>
        <v>0</v>
      </c>
      <c r="O22" s="47">
        <f t="shared" si="31"/>
        <v>0</v>
      </c>
      <c r="P22" s="47">
        <f t="shared" si="31"/>
        <v>0</v>
      </c>
      <c r="R22" s="52" t="str">
        <f>$H$2</f>
        <v>Orange Polska S.A. (Polska)</v>
      </c>
      <c r="S22" s="60">
        <f>H31</f>
        <v>8.6109008327024984E-3</v>
      </c>
      <c r="T22" s="60">
        <f t="shared" ref="T22" si="36">I31</f>
        <v>9.519276534983341E-4</v>
      </c>
      <c r="U22" s="60">
        <f t="shared" ref="U22" si="37">J31</f>
        <v>-6.0374320788891128E-3</v>
      </c>
      <c r="V22" s="60"/>
      <c r="W22" s="60"/>
      <c r="X22" s="60"/>
      <c r="AG22" s="37" t="s">
        <v>256</v>
      </c>
      <c r="AH22" s="187" t="s">
        <v>4</v>
      </c>
      <c r="AI22" s="187"/>
      <c r="AJ22" s="187"/>
    </row>
    <row r="23" spans="1:38" x14ac:dyDescent="0.25">
      <c r="A23" t="str">
        <f t="shared" ref="A23:M23" si="38">A7</f>
        <v>koszty ogólnego zarządu</v>
      </c>
      <c r="B23" s="47">
        <f t="shared" si="38"/>
        <v>2229700</v>
      </c>
      <c r="C23" s="47">
        <f t="shared" si="38"/>
        <v>2307700</v>
      </c>
      <c r="D23" s="47">
        <f t="shared" si="38"/>
        <v>2011600</v>
      </c>
      <c r="E23" s="47">
        <f t="shared" si="38"/>
        <v>0</v>
      </c>
      <c r="F23" s="47">
        <f t="shared" si="38"/>
        <v>0</v>
      </c>
      <c r="G23" s="47">
        <f t="shared" si="38"/>
        <v>0</v>
      </c>
      <c r="H23" s="47">
        <f t="shared" si="38"/>
        <v>2748000</v>
      </c>
      <c r="I23" s="47">
        <f t="shared" si="38"/>
        <v>0</v>
      </c>
      <c r="J23" s="47">
        <f t="shared" si="38"/>
        <v>2572000</v>
      </c>
      <c r="K23" s="47">
        <f t="shared" si="38"/>
        <v>906264</v>
      </c>
      <c r="L23" s="47">
        <f t="shared" si="38"/>
        <v>789290</v>
      </c>
      <c r="M23" s="47">
        <f t="shared" si="38"/>
        <v>797256</v>
      </c>
      <c r="N23" s="47">
        <f t="shared" si="35"/>
        <v>1470991</v>
      </c>
      <c r="O23" s="47">
        <f t="shared" si="31"/>
        <v>774247.5</v>
      </c>
      <c r="P23" s="47">
        <f t="shared" si="31"/>
        <v>1345214</v>
      </c>
      <c r="R23" s="52" t="str">
        <f>$K$2</f>
        <v>Play Communications S.A. (Polska)</v>
      </c>
      <c r="S23" s="60">
        <f>K31</f>
        <v>2.6952554460863105</v>
      </c>
      <c r="T23" s="60">
        <f t="shared" ref="T23" si="39">L31</f>
        <v>-3.7130319440704507</v>
      </c>
      <c r="U23" s="60">
        <f t="shared" ref="U23" si="40">M31</f>
        <v>-1.8221273032613758</v>
      </c>
      <c r="V23" s="60"/>
      <c r="W23" s="60"/>
      <c r="X23" s="60"/>
      <c r="AG23" s="37" t="s">
        <v>257</v>
      </c>
      <c r="AH23" s="33">
        <v>2019</v>
      </c>
      <c r="AI23" s="33">
        <v>2018</v>
      </c>
      <c r="AJ23" s="33">
        <v>2017</v>
      </c>
    </row>
    <row r="24" spans="1:38" x14ac:dyDescent="0.25">
      <c r="A24" s="30" t="s">
        <v>308</v>
      </c>
      <c r="B24" s="30">
        <f>'CYFROWY POLSAT SA'!B62</f>
        <v>1114600</v>
      </c>
      <c r="C24" s="30">
        <f>'CYFROWY POLSAT SA'!C62</f>
        <v>816100</v>
      </c>
      <c r="D24" s="30">
        <f>'CYFROWY POLSAT SA'!D62</f>
        <v>945200</v>
      </c>
      <c r="E24" s="58">
        <f>'KONKURENCJA R.N.TV'!B62</f>
        <v>89071.43</v>
      </c>
      <c r="F24" s="58">
        <f>'KONKURENCJA R.N.TV'!C62</f>
        <v>3492.65</v>
      </c>
      <c r="G24" s="58">
        <f>'KONKURENCJA R.N.TV'!D62</f>
        <v>563.79999999999995</v>
      </c>
      <c r="H24" s="58">
        <f>'KONKURENCJA R.O.KOM.'!B62</f>
        <v>91000</v>
      </c>
      <c r="I24" s="58">
        <f>'KONKURENCJA R.O.KOM.'!C62</f>
        <v>10000</v>
      </c>
      <c r="J24" s="58">
        <f>'KONKURENCJA R.O.KOM.'!D62</f>
        <v>-60000</v>
      </c>
      <c r="K24" s="58">
        <f>'KONKURENCJA R.O.KOM.'!E62</f>
        <v>866937</v>
      </c>
      <c r="L24" s="58">
        <f>'KONKURENCJA R.O.KOM.'!F62</f>
        <v>744604</v>
      </c>
      <c r="M24" s="58">
        <f>'KONKURENCJA R.O.KOM.'!G62</f>
        <v>387346</v>
      </c>
      <c r="N24" s="47">
        <f t="shared" si="35"/>
        <v>540402.10749999993</v>
      </c>
      <c r="O24" s="47">
        <f t="shared" si="31"/>
        <v>393549.16249999998</v>
      </c>
      <c r="P24" s="47">
        <f t="shared" si="31"/>
        <v>318277.45</v>
      </c>
      <c r="R24" s="52" t="str">
        <f>$N$2</f>
        <v>Branża</v>
      </c>
      <c r="S24" s="60">
        <f>N31</f>
        <v>8.1378303973785746E-2</v>
      </c>
      <c r="T24" s="60">
        <f t="shared" ref="T24" si="41">O31</f>
        <v>6.2236208322315759E-2</v>
      </c>
      <c r="U24" s="60">
        <f t="shared" ref="U24" si="42">P31</f>
        <v>5.7077916824488657E-2</v>
      </c>
      <c r="V24" s="60"/>
      <c r="W24" s="60"/>
      <c r="X24" s="60"/>
      <c r="AG24" s="30" t="s">
        <v>302</v>
      </c>
      <c r="AH24">
        <v>11676100</v>
      </c>
      <c r="AI24">
        <v>10686100</v>
      </c>
      <c r="AJ24">
        <v>9828600</v>
      </c>
    </row>
    <row r="25" spans="1:38" x14ac:dyDescent="0.25">
      <c r="A25" s="30" t="s">
        <v>311</v>
      </c>
      <c r="B25" s="59">
        <f>B26/B27</f>
        <v>9.5459956663611997E-2</v>
      </c>
      <c r="C25" s="59">
        <f t="shared" ref="C25:M25" si="43">C26/C27</f>
        <v>7.6370237972693503E-2</v>
      </c>
      <c r="D25" s="59">
        <f t="shared" si="43"/>
        <v>9.6168325092078219E-2</v>
      </c>
      <c r="E25" s="59">
        <f t="shared" si="43"/>
        <v>3.2900114083293998E-2</v>
      </c>
      <c r="F25" s="59">
        <f t="shared" si="43"/>
        <v>1.5839337953269107E-3</v>
      </c>
      <c r="G25" s="59">
        <f t="shared" si="43"/>
        <v>3.1721775073788712E-4</v>
      </c>
      <c r="H25" s="59">
        <f t="shared" si="43"/>
        <v>7.978257057688936E-3</v>
      </c>
      <c r="I25" s="59">
        <f t="shared" si="43"/>
        <v>9.008197459688316E-4</v>
      </c>
      <c r="J25" s="59">
        <f t="shared" si="43"/>
        <v>-5.2719444688515945E-3</v>
      </c>
      <c r="K25" s="59">
        <f t="shared" si="43"/>
        <v>0.12313129007650175</v>
      </c>
      <c r="L25" s="59">
        <f t="shared" si="43"/>
        <v>0.10887379539088787</v>
      </c>
      <c r="M25" s="59">
        <f t="shared" si="43"/>
        <v>5.8074091221418621E-2</v>
      </c>
      <c r="N25" s="59">
        <f t="shared" ref="N25" si="44">N26/N27</f>
        <v>6.5842109432283663E-2</v>
      </c>
      <c r="O25" s="59">
        <f t="shared" ref="O25" si="45">O26/O27</f>
        <v>5.1058400254460665E-2</v>
      </c>
      <c r="P25" s="59">
        <f t="shared" ref="P25" si="46">P26/P27</f>
        <v>4.2928109464864035E-2</v>
      </c>
      <c r="R25" s="30" t="str">
        <f>A28</f>
        <v>ROA</v>
      </c>
      <c r="S25" s="33">
        <v>2019</v>
      </c>
      <c r="T25" s="33">
        <v>2018</v>
      </c>
      <c r="U25" s="33">
        <v>2017</v>
      </c>
      <c r="V25" s="33"/>
      <c r="W25" s="33"/>
      <c r="X25" s="33"/>
      <c r="AG25" s="30" t="s">
        <v>305</v>
      </c>
      <c r="AH25">
        <v>-2229700</v>
      </c>
      <c r="AI25">
        <v>-2307700</v>
      </c>
      <c r="AJ25">
        <v>-2011600</v>
      </c>
    </row>
    <row r="26" spans="1:38" x14ac:dyDescent="0.25">
      <c r="A26" t="str">
        <f>A8</f>
        <v>zysk netto</v>
      </c>
      <c r="B26" s="47">
        <f t="shared" ref="B26:M26" si="47">B8</f>
        <v>1114600</v>
      </c>
      <c r="C26" s="47">
        <f t="shared" si="47"/>
        <v>816100</v>
      </c>
      <c r="D26" s="47">
        <f t="shared" si="47"/>
        <v>945200</v>
      </c>
      <c r="E26" s="47">
        <f t="shared" si="47"/>
        <v>89071.43</v>
      </c>
      <c r="F26" s="47">
        <f t="shared" si="47"/>
        <v>3492.65</v>
      </c>
      <c r="G26" s="47">
        <f t="shared" si="47"/>
        <v>563.79999999999995</v>
      </c>
      <c r="H26" s="47">
        <f t="shared" si="47"/>
        <v>91000</v>
      </c>
      <c r="I26" s="47">
        <f t="shared" si="47"/>
        <v>10000</v>
      </c>
      <c r="J26" s="47">
        <f t="shared" si="47"/>
        <v>-60000</v>
      </c>
      <c r="K26" s="47">
        <f t="shared" si="47"/>
        <v>866937</v>
      </c>
      <c r="L26" s="47">
        <f t="shared" si="47"/>
        <v>744604</v>
      </c>
      <c r="M26" s="47">
        <f t="shared" si="47"/>
        <v>387346</v>
      </c>
      <c r="N26" s="47">
        <f t="shared" ref="N26:P40" si="48">AVERAGE(B26,E26,H26,K26)</f>
        <v>540402.10749999993</v>
      </c>
      <c r="O26" s="47">
        <f>AVERAGE(C26,F26,I26,L26)</f>
        <v>393549.16249999998</v>
      </c>
      <c r="P26" s="47">
        <f t="shared" si="48"/>
        <v>318277.45</v>
      </c>
      <c r="R26" s="52" t="str">
        <f>$B$2</f>
        <v>Cyfrowy Polsat S.A. (Polska)</v>
      </c>
      <c r="S26" s="61">
        <f>B28</f>
        <v>3.4201094827797825E-2</v>
      </c>
      <c r="T26" s="61">
        <f t="shared" ref="T26:U26" si="49">C28</f>
        <v>2.658583305100206E-2</v>
      </c>
      <c r="U26" s="61">
        <f t="shared" si="49"/>
        <v>3.4053898256232888E-2</v>
      </c>
      <c r="V26" s="61"/>
      <c r="W26" s="61"/>
      <c r="X26" s="61"/>
      <c r="AG26" s="30" t="s">
        <v>308</v>
      </c>
      <c r="AH26">
        <v>1114600</v>
      </c>
      <c r="AI26">
        <v>816100</v>
      </c>
      <c r="AJ26">
        <v>945200</v>
      </c>
    </row>
    <row r="27" spans="1:38" x14ac:dyDescent="0.25">
      <c r="A27" t="str">
        <f>A4</f>
        <v>przychody netto ze sprzedaży</v>
      </c>
      <c r="B27" s="47">
        <f t="shared" ref="B27:M27" si="50">B4</f>
        <v>11676100</v>
      </c>
      <c r="C27" s="47">
        <f t="shared" si="50"/>
        <v>10686100</v>
      </c>
      <c r="D27" s="47">
        <f t="shared" si="50"/>
        <v>9828600</v>
      </c>
      <c r="E27" s="47">
        <f t="shared" si="50"/>
        <v>2707328.91</v>
      </c>
      <c r="F27" s="47">
        <f t="shared" si="50"/>
        <v>2205047.9700000002</v>
      </c>
      <c r="G27" s="47">
        <f t="shared" si="50"/>
        <v>1777328.03</v>
      </c>
      <c r="H27" s="47">
        <f t="shared" si="50"/>
        <v>11406000</v>
      </c>
      <c r="I27" s="47">
        <f t="shared" si="50"/>
        <v>11101000</v>
      </c>
      <c r="J27" s="47">
        <f t="shared" si="50"/>
        <v>11381000</v>
      </c>
      <c r="K27" s="47">
        <f t="shared" si="50"/>
        <v>7040753</v>
      </c>
      <c r="L27" s="47">
        <f t="shared" si="50"/>
        <v>6839148</v>
      </c>
      <c r="M27" s="47">
        <f t="shared" si="50"/>
        <v>6669859</v>
      </c>
      <c r="N27" s="47">
        <f t="shared" si="48"/>
        <v>8207545.4775</v>
      </c>
      <c r="O27" s="47">
        <f>AVERAGE(C27,F27,I27,L27)</f>
        <v>7707823.9924999997</v>
      </c>
      <c r="P27" s="47">
        <f t="shared" si="48"/>
        <v>7414196.7575000003</v>
      </c>
      <c r="R27" s="52" t="str">
        <f>$E$2</f>
        <v>Telewizja Polska S.A. (Polska)</v>
      </c>
      <c r="S27" s="61">
        <f>E28</f>
        <v>4.1442616513868907E-2</v>
      </c>
      <c r="T27" s="61">
        <f t="shared" ref="T27:U27" si="51">F28</f>
        <v>2.3567790534668154E-3</v>
      </c>
      <c r="U27" s="61">
        <f t="shared" si="51"/>
        <v>3.7934946908433698E-4</v>
      </c>
      <c r="V27" s="61"/>
      <c r="W27" s="61"/>
      <c r="X27" s="61"/>
      <c r="AG27" s="30" t="s">
        <v>311</v>
      </c>
      <c r="AH27" s="62">
        <v>9.5459956663611997E-2</v>
      </c>
      <c r="AI27" s="62">
        <v>7.6370237972693503E-2</v>
      </c>
      <c r="AJ27" s="62">
        <v>9.6168325092078219E-2</v>
      </c>
    </row>
    <row r="28" spans="1:38" x14ac:dyDescent="0.25">
      <c r="A28" s="30" t="s">
        <v>312</v>
      </c>
      <c r="B28" s="59">
        <f>B29/B30</f>
        <v>3.4201094827797825E-2</v>
      </c>
      <c r="C28" s="59">
        <f t="shared" ref="C28:M28" si="52">C29/C30</f>
        <v>2.658583305100206E-2</v>
      </c>
      <c r="D28" s="59">
        <f t="shared" si="52"/>
        <v>3.4053898256232888E-2</v>
      </c>
      <c r="E28" s="59">
        <f t="shared" si="52"/>
        <v>4.1442616513868907E-2</v>
      </c>
      <c r="F28" s="59">
        <f t="shared" si="52"/>
        <v>2.3567790534668154E-3</v>
      </c>
      <c r="G28" s="59">
        <f t="shared" si="52"/>
        <v>3.7934946908433698E-4</v>
      </c>
      <c r="H28" s="59">
        <f t="shared" si="52"/>
        <v>3.7387017255546425E-3</v>
      </c>
      <c r="I28" s="59">
        <f t="shared" si="52"/>
        <v>4.2927666881305E-4</v>
      </c>
      <c r="J28" s="59">
        <f t="shared" si="52"/>
        <v>-2.616317097632233E-3</v>
      </c>
      <c r="K28" s="59">
        <f t="shared" si="52"/>
        <v>9.7566061919449595E-2</v>
      </c>
      <c r="L28" s="59">
        <f t="shared" si="52"/>
        <v>8.7389317435119712E-2</v>
      </c>
      <c r="M28" s="59">
        <f t="shared" si="52"/>
        <v>4.3862230747271337E-2</v>
      </c>
      <c r="N28" s="59">
        <f t="shared" ref="N28" si="53">N29/N30</f>
        <v>3.1804957528365187E-2</v>
      </c>
      <c r="O28" s="59">
        <f t="shared" ref="O28" si="54">O29/O30</f>
        <v>2.4599014647540069E-2</v>
      </c>
      <c r="P28" s="59">
        <f t="shared" ref="P28" si="55">P29/P30</f>
        <v>2.0868532243509021E-2</v>
      </c>
      <c r="R28" s="52" t="str">
        <f>$H$2</f>
        <v>Orange Polska S.A. (Polska)</v>
      </c>
      <c r="S28" s="61">
        <f>H28</f>
        <v>3.7387017255546425E-3</v>
      </c>
      <c r="T28" s="61">
        <f t="shared" ref="T28:U28" si="56">I28</f>
        <v>4.2927666881305E-4</v>
      </c>
      <c r="U28" s="61">
        <f t="shared" si="56"/>
        <v>-2.616317097632233E-3</v>
      </c>
      <c r="V28" s="61"/>
      <c r="W28" s="61"/>
      <c r="X28" s="61"/>
      <c r="AG28" s="30" t="s">
        <v>312</v>
      </c>
      <c r="AH28" s="62">
        <v>3.4201094827797825E-2</v>
      </c>
      <c r="AI28" s="62">
        <v>2.658583305100206E-2</v>
      </c>
      <c r="AJ28" s="62">
        <v>3.4053898256232888E-2</v>
      </c>
    </row>
    <row r="29" spans="1:38" x14ac:dyDescent="0.25">
      <c r="A29" t="str">
        <f>A8</f>
        <v>zysk netto</v>
      </c>
      <c r="B29" s="47">
        <f t="shared" ref="B29:M29" si="57">B8</f>
        <v>1114600</v>
      </c>
      <c r="C29" s="47">
        <f t="shared" si="57"/>
        <v>816100</v>
      </c>
      <c r="D29" s="47">
        <f t="shared" si="57"/>
        <v>945200</v>
      </c>
      <c r="E29" s="47">
        <f t="shared" si="57"/>
        <v>89071.43</v>
      </c>
      <c r="F29" s="47">
        <f t="shared" si="57"/>
        <v>3492.65</v>
      </c>
      <c r="G29" s="47">
        <f t="shared" si="57"/>
        <v>563.79999999999995</v>
      </c>
      <c r="H29" s="47">
        <f t="shared" si="57"/>
        <v>91000</v>
      </c>
      <c r="I29" s="47">
        <f t="shared" si="57"/>
        <v>10000</v>
      </c>
      <c r="J29" s="47">
        <f t="shared" si="57"/>
        <v>-60000</v>
      </c>
      <c r="K29" s="47">
        <f t="shared" si="57"/>
        <v>866937</v>
      </c>
      <c r="L29" s="47">
        <f t="shared" si="57"/>
        <v>744604</v>
      </c>
      <c r="M29" s="47">
        <f t="shared" si="57"/>
        <v>387346</v>
      </c>
      <c r="N29" s="47">
        <f t="shared" si="48"/>
        <v>540402.10749999993</v>
      </c>
      <c r="O29" s="47">
        <f t="shared" ref="O29:O39" si="58">AVERAGE(C29,F29,I29,L29)</f>
        <v>393549.16249999998</v>
      </c>
      <c r="P29" s="47">
        <f t="shared" si="48"/>
        <v>318277.45</v>
      </c>
      <c r="R29" s="52" t="str">
        <f>$K$2</f>
        <v>Play Communications S.A. (Polska)</v>
      </c>
      <c r="S29" s="61">
        <f>K28</f>
        <v>9.7566061919449595E-2</v>
      </c>
      <c r="T29" s="61">
        <f t="shared" ref="T29:U29" si="59">L28</f>
        <v>8.7389317435119712E-2</v>
      </c>
      <c r="U29" s="61">
        <f t="shared" si="59"/>
        <v>4.3862230747271337E-2</v>
      </c>
      <c r="V29" s="61"/>
      <c r="W29" s="61"/>
      <c r="X29" s="61"/>
      <c r="AG29" s="30" t="s">
        <v>313</v>
      </c>
      <c r="AH29" s="62">
        <v>7.3728146477308062E-2</v>
      </c>
      <c r="AI29" s="62">
        <v>5.619207623559222E-2</v>
      </c>
      <c r="AJ29" s="62">
        <v>7.8007394691667772E-2</v>
      </c>
    </row>
    <row r="30" spans="1:38" x14ac:dyDescent="0.25">
      <c r="A30" t="str">
        <f>A9</f>
        <v>aktywa ogółem</v>
      </c>
      <c r="B30" s="47">
        <f t="shared" ref="B30:M30" si="60">B9</f>
        <v>32589600</v>
      </c>
      <c r="C30" s="47">
        <f t="shared" si="60"/>
        <v>30696800</v>
      </c>
      <c r="D30" s="47">
        <f t="shared" si="60"/>
        <v>27756000</v>
      </c>
      <c r="E30" s="47">
        <f t="shared" si="60"/>
        <v>2149271.39</v>
      </c>
      <c r="F30" s="47">
        <f t="shared" si="60"/>
        <v>1481959.03</v>
      </c>
      <c r="G30" s="47">
        <f t="shared" si="60"/>
        <v>1486228.52</v>
      </c>
      <c r="H30" s="47">
        <f>H9</f>
        <v>24340000</v>
      </c>
      <c r="I30" s="47">
        <f t="shared" si="60"/>
        <v>23295000</v>
      </c>
      <c r="J30" s="47">
        <f t="shared" si="60"/>
        <v>22933000</v>
      </c>
      <c r="K30" s="47">
        <f t="shared" si="60"/>
        <v>8885641</v>
      </c>
      <c r="L30" s="47">
        <f t="shared" si="60"/>
        <v>8520538</v>
      </c>
      <c r="M30" s="47">
        <f t="shared" si="60"/>
        <v>8830969</v>
      </c>
      <c r="N30" s="47">
        <f t="shared" si="48"/>
        <v>16991128.0975</v>
      </c>
      <c r="O30" s="47">
        <f t="shared" si="58"/>
        <v>15998574.2575</v>
      </c>
      <c r="P30" s="47">
        <f t="shared" si="48"/>
        <v>15251549.379999999</v>
      </c>
      <c r="R30" s="52" t="str">
        <f>$N$2</f>
        <v>Branża</v>
      </c>
      <c r="S30" s="61">
        <f>N28</f>
        <v>3.1804957528365187E-2</v>
      </c>
      <c r="T30" s="61">
        <f t="shared" ref="T30:U30" si="61">O28</f>
        <v>2.4599014647540069E-2</v>
      </c>
      <c r="U30" s="61">
        <f t="shared" si="61"/>
        <v>2.0868532243509021E-2</v>
      </c>
      <c r="V30" s="61"/>
      <c r="W30" s="61"/>
      <c r="X30" s="61"/>
      <c r="AG30" s="30" t="s">
        <v>315</v>
      </c>
      <c r="AH30" s="62">
        <v>0.1678069921001894</v>
      </c>
      <c r="AI30" s="62">
        <v>0.16131442769339985</v>
      </c>
      <c r="AJ30" s="62">
        <v>0.18619478370338785</v>
      </c>
    </row>
    <row r="31" spans="1:38" x14ac:dyDescent="0.25">
      <c r="A31" s="30" t="s">
        <v>313</v>
      </c>
      <c r="B31" s="59">
        <f>B32/B33</f>
        <v>7.3728146477308062E-2</v>
      </c>
      <c r="C31" s="59">
        <f t="shared" ref="C31:M31" si="62">C32/C33</f>
        <v>5.619207623559222E-2</v>
      </c>
      <c r="D31" s="59">
        <f t="shared" si="62"/>
        <v>7.8007394691667772E-2</v>
      </c>
      <c r="E31" s="59">
        <f t="shared" si="62"/>
        <v>0.16045640223466584</v>
      </c>
      <c r="F31" s="59">
        <f t="shared" si="62"/>
        <v>7.4942890283986275E-3</v>
      </c>
      <c r="G31" s="59">
        <f t="shared" si="62"/>
        <v>1.2188982059582545E-3</v>
      </c>
      <c r="H31" s="59">
        <f t="shared" si="62"/>
        <v>8.6109008327024984E-3</v>
      </c>
      <c r="I31" s="59">
        <f t="shared" si="62"/>
        <v>9.519276534983341E-4</v>
      </c>
      <c r="J31" s="59">
        <f t="shared" si="62"/>
        <v>-6.0374320788891128E-3</v>
      </c>
      <c r="K31" s="59">
        <f t="shared" si="62"/>
        <v>2.6952554460863105</v>
      </c>
      <c r="L31" s="59">
        <f t="shared" si="62"/>
        <v>-3.7130319440704507</v>
      </c>
      <c r="M31" s="59">
        <f t="shared" si="62"/>
        <v>-1.8221273032613758</v>
      </c>
      <c r="N31" s="59">
        <f t="shared" ref="N31" si="63">N32/N33</f>
        <v>8.1378303973785746E-2</v>
      </c>
      <c r="O31" s="59">
        <f t="shared" ref="O31" si="64">O32/O33</f>
        <v>6.2236208322315759E-2</v>
      </c>
      <c r="P31" s="59">
        <f t="shared" ref="P31" si="65">P32/P33</f>
        <v>5.7077916824488657E-2</v>
      </c>
      <c r="AG31" s="30" t="s">
        <v>318</v>
      </c>
      <c r="AH31" s="61">
        <v>0.35942652084171939</v>
      </c>
      <c r="AI31" s="61">
        <v>0.37756524831322935</v>
      </c>
      <c r="AJ31" s="61">
        <v>0.39126630445841726</v>
      </c>
    </row>
    <row r="32" spans="1:38" x14ac:dyDescent="0.25">
      <c r="A32" t="str">
        <f>A8</f>
        <v>zysk netto</v>
      </c>
      <c r="B32" s="47">
        <f t="shared" ref="B32:M32" si="66">B8</f>
        <v>1114600</v>
      </c>
      <c r="C32" s="47">
        <f t="shared" si="66"/>
        <v>816100</v>
      </c>
      <c r="D32" s="47">
        <f t="shared" si="66"/>
        <v>945200</v>
      </c>
      <c r="E32" s="47">
        <f t="shared" si="66"/>
        <v>89071.43</v>
      </c>
      <c r="F32" s="47">
        <f t="shared" si="66"/>
        <v>3492.65</v>
      </c>
      <c r="G32" s="47">
        <f t="shared" si="66"/>
        <v>563.79999999999995</v>
      </c>
      <c r="H32" s="47">
        <f t="shared" si="66"/>
        <v>91000</v>
      </c>
      <c r="I32" s="47">
        <f t="shared" si="66"/>
        <v>10000</v>
      </c>
      <c r="J32" s="47">
        <f t="shared" si="66"/>
        <v>-60000</v>
      </c>
      <c r="K32" s="47">
        <f t="shared" si="66"/>
        <v>866937</v>
      </c>
      <c r="L32" s="47">
        <f t="shared" si="66"/>
        <v>744604</v>
      </c>
      <c r="M32" s="47">
        <f t="shared" si="66"/>
        <v>387346</v>
      </c>
      <c r="N32" s="47">
        <f t="shared" si="48"/>
        <v>540402.10749999993</v>
      </c>
      <c r="O32" s="47">
        <f t="shared" si="58"/>
        <v>393549.16249999998</v>
      </c>
      <c r="P32" s="47">
        <f t="shared" si="48"/>
        <v>318277.45</v>
      </c>
      <c r="R32" s="30" t="str">
        <f>A38</f>
        <v>WSKAŹNIK MARŻY BRUTTO (WMB)</v>
      </c>
      <c r="S32" s="33">
        <v>2019</v>
      </c>
      <c r="T32" s="33">
        <v>2018</v>
      </c>
      <c r="U32" s="33">
        <v>2017</v>
      </c>
      <c r="V32" s="33"/>
      <c r="W32" s="33"/>
      <c r="X32" s="33"/>
    </row>
    <row r="33" spans="1:25" x14ac:dyDescent="0.25">
      <c r="A33" t="str">
        <f>A11</f>
        <v>kapitał własny</v>
      </c>
      <c r="B33" s="47">
        <f t="shared" ref="B33:M33" si="67">B11</f>
        <v>15117700</v>
      </c>
      <c r="C33" s="47">
        <f t="shared" si="67"/>
        <v>14523400</v>
      </c>
      <c r="D33" s="47">
        <f t="shared" si="67"/>
        <v>12116800</v>
      </c>
      <c r="E33" s="47">
        <f t="shared" si="67"/>
        <v>555112.97</v>
      </c>
      <c r="F33" s="47">
        <f t="shared" si="67"/>
        <v>466041.54</v>
      </c>
      <c r="G33" s="47">
        <f t="shared" si="67"/>
        <v>462548.88</v>
      </c>
      <c r="H33" s="47">
        <f t="shared" si="67"/>
        <v>10568000</v>
      </c>
      <c r="I33" s="47">
        <f t="shared" si="67"/>
        <v>10505000</v>
      </c>
      <c r="J33" s="47">
        <f t="shared" si="67"/>
        <v>9938000</v>
      </c>
      <c r="K33" s="47">
        <f t="shared" si="67"/>
        <v>321653</v>
      </c>
      <c r="L33" s="47">
        <f t="shared" si="67"/>
        <v>-200538</v>
      </c>
      <c r="M33" s="47">
        <f t="shared" si="67"/>
        <v>-212579</v>
      </c>
      <c r="N33" s="47">
        <f t="shared" si="48"/>
        <v>6640616.4924999997</v>
      </c>
      <c r="O33" s="47">
        <f t="shared" si="58"/>
        <v>6323475.8849999998</v>
      </c>
      <c r="P33" s="47">
        <f t="shared" si="48"/>
        <v>5576192.4700000007</v>
      </c>
      <c r="R33" s="52" t="str">
        <f>$B$2</f>
        <v>Cyfrowy Polsat S.A. (Polska)</v>
      </c>
      <c r="S33" s="61">
        <f>B38</f>
        <v>0.35942652084171939</v>
      </c>
      <c r="T33" s="61">
        <f t="shared" ref="T33" si="68">C38</f>
        <v>0.37756524831322935</v>
      </c>
      <c r="U33" s="61">
        <f t="shared" ref="U33" si="69">D38</f>
        <v>0.39126630445841726</v>
      </c>
      <c r="V33" s="61"/>
      <c r="W33" s="61"/>
      <c r="X33" s="61"/>
    </row>
    <row r="34" spans="1:25" x14ac:dyDescent="0.25">
      <c r="A34" s="30" t="s">
        <v>315</v>
      </c>
      <c r="B34" s="59">
        <f>B35/(B36+B37)</f>
        <v>0.1678069921001894</v>
      </c>
      <c r="C34" s="59">
        <f t="shared" ref="C34:M34" si="70">C35/(C36+C37)</f>
        <v>0.16131442769339985</v>
      </c>
      <c r="D34" s="59">
        <f t="shared" si="70"/>
        <v>0.18619478370338785</v>
      </c>
      <c r="E34" s="59">
        <f t="shared" si="70"/>
        <v>4.1005821141527246E-2</v>
      </c>
      <c r="F34" s="59">
        <f t="shared" si="70"/>
        <v>6.7107935045044387E-3</v>
      </c>
      <c r="G34" s="59">
        <f t="shared" si="70"/>
        <v>1.3538579065603002E-2</v>
      </c>
      <c r="H34" s="59">
        <f t="shared" si="70"/>
        <v>0</v>
      </c>
      <c r="I34" s="59">
        <f t="shared" si="70"/>
        <v>0</v>
      </c>
      <c r="J34" s="59">
        <f t="shared" si="70"/>
        <v>1.9606164383561643E-2</v>
      </c>
      <c r="K34" s="59">
        <f t="shared" si="70"/>
        <v>0.21069433427212791</v>
      </c>
      <c r="L34" s="59">
        <f t="shared" si="70"/>
        <v>0.19814707489981404</v>
      </c>
      <c r="M34" s="59">
        <f t="shared" si="70"/>
        <v>0.16326582086917044</v>
      </c>
      <c r="N34" s="59">
        <f t="shared" ref="N34" si="71">N35/(N36+N37)</f>
        <v>0.1077076575997377</v>
      </c>
      <c r="O34" s="59">
        <f t="shared" ref="O34" si="72">O35/(O36+O37)</f>
        <v>9.97063008997916E-2</v>
      </c>
      <c r="P34" s="59">
        <f t="shared" ref="P34" si="73">P35/(P36+P37)</f>
        <v>0.10607416290987585</v>
      </c>
      <c r="R34" s="52" t="str">
        <f>$E$2</f>
        <v>Telewizja Polska S.A. (Polska)</v>
      </c>
      <c r="S34" s="61">
        <f>E38</f>
        <v>0.1190420671864358</v>
      </c>
      <c r="T34" s="61">
        <f t="shared" ref="T34" si="74">F38</f>
        <v>9.278111532421672E-2</v>
      </c>
      <c r="U34" s="61">
        <f t="shared" ref="U34" si="75">G38</f>
        <v>0.10968679765884298</v>
      </c>
      <c r="V34" s="61"/>
      <c r="W34" s="61"/>
      <c r="X34" s="61"/>
    </row>
    <row r="35" spans="1:25" x14ac:dyDescent="0.25">
      <c r="A35" t="str">
        <f>A12</f>
        <v>zysk na działalności operacyjnej</v>
      </c>
      <c r="B35" s="47">
        <f t="shared" ref="B35:M35" si="76">B12</f>
        <v>1967000</v>
      </c>
      <c r="C35" s="47">
        <f t="shared" si="76"/>
        <v>1727000</v>
      </c>
      <c r="D35" s="47">
        <f t="shared" si="76"/>
        <v>1834000</v>
      </c>
      <c r="E35" s="47">
        <f t="shared" si="76"/>
        <v>112714.52</v>
      </c>
      <c r="F35" s="47">
        <f t="shared" si="76"/>
        <v>15042.42</v>
      </c>
      <c r="G35" s="47">
        <f t="shared" si="76"/>
        <v>24429.21</v>
      </c>
      <c r="H35" s="47">
        <f t="shared" si="76"/>
        <v>0</v>
      </c>
      <c r="I35" s="47">
        <f t="shared" si="76"/>
        <v>0</v>
      </c>
      <c r="J35" s="47">
        <f t="shared" si="76"/>
        <v>229000</v>
      </c>
      <c r="K35" s="47">
        <f t="shared" si="76"/>
        <v>1499646</v>
      </c>
      <c r="L35" s="47">
        <f t="shared" si="76"/>
        <v>1370660</v>
      </c>
      <c r="M35" s="47">
        <f t="shared" si="76"/>
        <v>1106883</v>
      </c>
      <c r="N35" s="47">
        <f t="shared" si="48"/>
        <v>894840.13</v>
      </c>
      <c r="O35" s="47">
        <f t="shared" si="58"/>
        <v>778175.60499999998</v>
      </c>
      <c r="P35" s="47">
        <f t="shared" si="48"/>
        <v>798578.05249999999</v>
      </c>
      <c r="R35" s="52" t="str">
        <f>$H$2</f>
        <v>Orange Polska S.A. (Polska)</v>
      </c>
      <c r="S35" s="61">
        <f>H38</f>
        <v>0.24092582851130984</v>
      </c>
      <c r="T35" s="61">
        <f t="shared" ref="T35" si="77">I38</f>
        <v>0</v>
      </c>
      <c r="U35" s="61">
        <f t="shared" ref="U35" si="78">J38</f>
        <v>0.24611194095422195</v>
      </c>
      <c r="V35" s="61"/>
      <c r="W35" s="61"/>
      <c r="X35" s="61"/>
    </row>
    <row r="36" spans="1:25" x14ac:dyDescent="0.25">
      <c r="A36" t="str">
        <f>A.RENTOWNOŚCI!A4</f>
        <v>przychody netto ze sprzedaży</v>
      </c>
      <c r="B36" s="47">
        <f>A.RENTOWNOŚCI!B4</f>
        <v>11676100</v>
      </c>
      <c r="C36" s="47">
        <f>A.RENTOWNOŚCI!C4</f>
        <v>10686100</v>
      </c>
      <c r="D36" s="47">
        <f>A.RENTOWNOŚCI!D4</f>
        <v>9828600</v>
      </c>
      <c r="E36" s="47">
        <f>A.RENTOWNOŚCI!E4</f>
        <v>2707328.91</v>
      </c>
      <c r="F36" s="47">
        <f>A.RENTOWNOŚCI!F4</f>
        <v>2205047.9700000002</v>
      </c>
      <c r="G36" s="47">
        <f>A.RENTOWNOŚCI!G4</f>
        <v>1777328.03</v>
      </c>
      <c r="H36" s="47">
        <f>A.RENTOWNOŚCI!H4</f>
        <v>11406000</v>
      </c>
      <c r="I36" s="47">
        <f>A.RENTOWNOŚCI!I4</f>
        <v>11101000</v>
      </c>
      <c r="J36" s="47">
        <f>A.RENTOWNOŚCI!J4</f>
        <v>11381000</v>
      </c>
      <c r="K36" s="47">
        <f>A.RENTOWNOŚCI!K4</f>
        <v>7040753</v>
      </c>
      <c r="L36" s="47">
        <f>A.RENTOWNOŚCI!L4</f>
        <v>6839148</v>
      </c>
      <c r="M36" s="47">
        <f>A.RENTOWNOŚCI!M4</f>
        <v>6669859</v>
      </c>
      <c r="N36" s="47">
        <f t="shared" si="48"/>
        <v>8207545.4775</v>
      </c>
      <c r="O36" s="47">
        <f t="shared" si="58"/>
        <v>7707823.9924999997</v>
      </c>
      <c r="P36" s="47">
        <f t="shared" si="48"/>
        <v>7414196.7575000003</v>
      </c>
      <c r="R36" s="52" t="str">
        <f>$K$2</f>
        <v>Play Communications S.A. (Polska)</v>
      </c>
      <c r="S36" s="61">
        <f>K38</f>
        <v>0.34171202994906935</v>
      </c>
      <c r="T36" s="61">
        <f t="shared" ref="T36" si="79">L38</f>
        <v>0.31582150291235106</v>
      </c>
      <c r="U36" s="61">
        <f t="shared" ref="U36" si="80">M38</f>
        <v>0.28548414591672777</v>
      </c>
      <c r="V36" s="61"/>
      <c r="W36" s="61"/>
      <c r="X36" s="61"/>
    </row>
    <row r="37" spans="1:25" x14ac:dyDescent="0.25">
      <c r="A37" t="str">
        <f>A13</f>
        <v>pozostałe przychody operacyjne</v>
      </c>
      <c r="B37" s="47">
        <f t="shared" ref="B37:M37" si="81">B13</f>
        <v>45700</v>
      </c>
      <c r="C37" s="47">
        <f t="shared" si="81"/>
        <v>19700</v>
      </c>
      <c r="D37" s="47">
        <f t="shared" si="81"/>
        <v>21300</v>
      </c>
      <c r="E37" s="47">
        <f t="shared" si="81"/>
        <v>41415.46</v>
      </c>
      <c r="F37" s="47">
        <f t="shared" si="81"/>
        <v>36478.31</v>
      </c>
      <c r="G37" s="47">
        <f t="shared" si="81"/>
        <v>27086.59</v>
      </c>
      <c r="H37" s="47">
        <f t="shared" si="81"/>
        <v>238000</v>
      </c>
      <c r="I37" s="47">
        <f t="shared" si="81"/>
        <v>253000</v>
      </c>
      <c r="J37" s="47">
        <f t="shared" si="81"/>
        <v>299000</v>
      </c>
      <c r="K37" s="47">
        <f t="shared" si="81"/>
        <v>76885</v>
      </c>
      <c r="L37" s="47">
        <f t="shared" si="81"/>
        <v>78239</v>
      </c>
      <c r="M37" s="47">
        <f t="shared" si="81"/>
        <v>109778</v>
      </c>
      <c r="N37" s="47">
        <f t="shared" si="48"/>
        <v>100500.11499999999</v>
      </c>
      <c r="O37" s="47">
        <f t="shared" si="58"/>
        <v>96854.327499999999</v>
      </c>
      <c r="P37" s="47">
        <f t="shared" si="48"/>
        <v>114291.14749999999</v>
      </c>
      <c r="R37" s="52" t="str">
        <f>$N$2</f>
        <v>Branża</v>
      </c>
      <c r="S37" s="61">
        <f>N38</f>
        <v>0.29463425017007472</v>
      </c>
      <c r="T37" s="61">
        <f t="shared" ref="T37" si="82">O38</f>
        <v>0.20755653009937355</v>
      </c>
      <c r="U37" s="61">
        <f t="shared" ref="U37" si="83">P38</f>
        <v>0.29489669299486482</v>
      </c>
      <c r="V37" s="61"/>
      <c r="W37" s="61"/>
      <c r="X37" s="61"/>
    </row>
    <row r="38" spans="1:25" x14ac:dyDescent="0.25">
      <c r="A38" s="30" t="s">
        <v>318</v>
      </c>
      <c r="B38" s="59">
        <f>B39/B40</f>
        <v>0.35942652084171939</v>
      </c>
      <c r="C38" s="59">
        <f t="shared" ref="C38:P38" si="84">C39/C40</f>
        <v>0.37756524831322935</v>
      </c>
      <c r="D38" s="59">
        <f t="shared" si="84"/>
        <v>0.39126630445841726</v>
      </c>
      <c r="E38" s="59">
        <f t="shared" si="84"/>
        <v>0.1190420671864358</v>
      </c>
      <c r="F38" s="59">
        <f t="shared" si="84"/>
        <v>9.278111532421672E-2</v>
      </c>
      <c r="G38" s="59">
        <f t="shared" si="84"/>
        <v>0.10968679765884298</v>
      </c>
      <c r="H38" s="59">
        <f t="shared" si="84"/>
        <v>0.24092582851130984</v>
      </c>
      <c r="I38" s="59">
        <f t="shared" si="84"/>
        <v>0</v>
      </c>
      <c r="J38" s="59">
        <f t="shared" si="84"/>
        <v>0.24611194095422195</v>
      </c>
      <c r="K38" s="59">
        <f t="shared" si="84"/>
        <v>0.34171202994906935</v>
      </c>
      <c r="L38" s="59">
        <f t="shared" si="84"/>
        <v>0.31582150291235106</v>
      </c>
      <c r="M38" s="59">
        <f t="shared" si="84"/>
        <v>0.28548414591672777</v>
      </c>
      <c r="N38" s="59">
        <f t="shared" si="84"/>
        <v>0.29463425017007472</v>
      </c>
      <c r="O38" s="59">
        <f t="shared" si="84"/>
        <v>0.20755653009937355</v>
      </c>
      <c r="P38" s="59">
        <f t="shared" si="84"/>
        <v>0.29489669299486482</v>
      </c>
      <c r="R38" s="30" t="str">
        <f>A34</f>
        <v>WSKAŹNIK RĘTOWNOŚCI OPERACYJNEJ (WRO)</v>
      </c>
      <c r="S38" s="33">
        <v>2019</v>
      </c>
      <c r="T38" s="33">
        <v>2018</v>
      </c>
      <c r="U38" s="33">
        <v>2017</v>
      </c>
      <c r="V38" s="33"/>
      <c r="W38" s="33"/>
      <c r="X38" s="33"/>
    </row>
    <row r="39" spans="1:25" x14ac:dyDescent="0.25">
      <c r="A39" t="str">
        <f>A14</f>
        <v>zysk przed opodatkowaniem</v>
      </c>
      <c r="B39" s="47">
        <f t="shared" ref="B39:M39" si="85">B14</f>
        <v>4196700</v>
      </c>
      <c r="C39" s="47">
        <f t="shared" si="85"/>
        <v>4034700</v>
      </c>
      <c r="D39" s="47">
        <f t="shared" si="85"/>
        <v>3845600</v>
      </c>
      <c r="E39" s="47">
        <f t="shared" si="85"/>
        <v>322286.03000000003</v>
      </c>
      <c r="F39" s="47">
        <f t="shared" si="85"/>
        <v>204586.81</v>
      </c>
      <c r="G39" s="47">
        <f t="shared" si="85"/>
        <v>194949.42</v>
      </c>
      <c r="H39" s="47">
        <f t="shared" si="85"/>
        <v>2748000</v>
      </c>
      <c r="I39" s="47">
        <f t="shared" si="85"/>
        <v>0</v>
      </c>
      <c r="J39" s="47">
        <f t="shared" si="85"/>
        <v>2801000</v>
      </c>
      <c r="K39" s="47">
        <f t="shared" si="85"/>
        <v>2405910</v>
      </c>
      <c r="L39" s="47">
        <f t="shared" si="85"/>
        <v>2159950</v>
      </c>
      <c r="M39" s="47">
        <f t="shared" si="85"/>
        <v>1904139</v>
      </c>
      <c r="N39" s="47">
        <f t="shared" si="48"/>
        <v>2418224.0075000003</v>
      </c>
      <c r="O39" s="47">
        <f t="shared" si="58"/>
        <v>1599809.2024999999</v>
      </c>
      <c r="P39" s="47">
        <f t="shared" si="48"/>
        <v>2186422.105</v>
      </c>
      <c r="R39" s="52" t="str">
        <f>$B$2</f>
        <v>Cyfrowy Polsat S.A. (Polska)</v>
      </c>
      <c r="S39" s="61">
        <f>B34</f>
        <v>0.1678069921001894</v>
      </c>
      <c r="T39" s="61">
        <f t="shared" ref="T39:U39" si="86">C34</f>
        <v>0.16131442769339985</v>
      </c>
      <c r="U39" s="61">
        <f t="shared" si="86"/>
        <v>0.18619478370338785</v>
      </c>
      <c r="V39" s="61"/>
      <c r="W39" s="61"/>
      <c r="X39" s="61"/>
    </row>
    <row r="40" spans="1:25" x14ac:dyDescent="0.25">
      <c r="A40" t="str">
        <f>A4</f>
        <v>przychody netto ze sprzedaży</v>
      </c>
      <c r="B40" s="47">
        <f t="shared" ref="B40:M40" si="87">B4</f>
        <v>11676100</v>
      </c>
      <c r="C40" s="47">
        <f t="shared" si="87"/>
        <v>10686100</v>
      </c>
      <c r="D40" s="47">
        <f t="shared" si="87"/>
        <v>9828600</v>
      </c>
      <c r="E40" s="47">
        <f t="shared" si="87"/>
        <v>2707328.91</v>
      </c>
      <c r="F40" s="47">
        <f t="shared" si="87"/>
        <v>2205047.9700000002</v>
      </c>
      <c r="G40" s="47">
        <f t="shared" si="87"/>
        <v>1777328.03</v>
      </c>
      <c r="H40" s="47">
        <f t="shared" si="87"/>
        <v>11406000</v>
      </c>
      <c r="I40" s="47">
        <f t="shared" si="87"/>
        <v>11101000</v>
      </c>
      <c r="J40" s="47">
        <f t="shared" si="87"/>
        <v>11381000</v>
      </c>
      <c r="K40" s="47">
        <f t="shared" si="87"/>
        <v>7040753</v>
      </c>
      <c r="L40" s="47">
        <f t="shared" si="87"/>
        <v>6839148</v>
      </c>
      <c r="M40" s="47">
        <f t="shared" si="87"/>
        <v>6669859</v>
      </c>
      <c r="N40" s="47">
        <f>AVERAGE(B40,E40,H40,K40)</f>
        <v>8207545.4775</v>
      </c>
      <c r="O40" s="47">
        <f>AVERAGE(C40,F40,I40,L40)</f>
        <v>7707823.9924999997</v>
      </c>
      <c r="P40" s="47">
        <f t="shared" si="48"/>
        <v>7414196.7575000003</v>
      </c>
      <c r="R40" s="52" t="str">
        <f>$E$2</f>
        <v>Telewizja Polska S.A. (Polska)</v>
      </c>
      <c r="S40" s="61">
        <f>E34</f>
        <v>4.1005821141527246E-2</v>
      </c>
      <c r="T40" s="61">
        <f t="shared" ref="T40:U40" si="88">F34</f>
        <v>6.7107935045044387E-3</v>
      </c>
      <c r="U40" s="61">
        <f t="shared" si="88"/>
        <v>1.3538579065603002E-2</v>
      </c>
      <c r="V40" s="61"/>
      <c r="W40" s="61"/>
      <c r="X40" s="61"/>
    </row>
    <row r="41" spans="1:25" x14ac:dyDescent="0.25">
      <c r="R41" s="52" t="str">
        <f>$H$2</f>
        <v>Orange Polska S.A. (Polska)</v>
      </c>
      <c r="S41" s="61">
        <f>H34</f>
        <v>0</v>
      </c>
      <c r="T41" s="61">
        <f t="shared" ref="T41:U41" si="89">I34</f>
        <v>0</v>
      </c>
      <c r="U41" s="61">
        <f t="shared" si="89"/>
        <v>1.9606164383561643E-2</v>
      </c>
      <c r="V41" s="61"/>
      <c r="W41" s="61"/>
      <c r="X41" s="61"/>
    </row>
    <row r="42" spans="1:25" x14ac:dyDescent="0.25">
      <c r="A42" s="30" t="s">
        <v>324</v>
      </c>
      <c r="R42" s="52" t="str">
        <f>$K$2</f>
        <v>Play Communications S.A. (Polska)</v>
      </c>
      <c r="S42" s="61">
        <f>K34</f>
        <v>0.21069433427212791</v>
      </c>
      <c r="T42" s="61">
        <f t="shared" ref="T42:U42" si="90">L34</f>
        <v>0.19814707489981404</v>
      </c>
      <c r="U42" s="61">
        <f t="shared" si="90"/>
        <v>0.16326582086917044</v>
      </c>
      <c r="V42" s="61"/>
      <c r="W42" s="61"/>
      <c r="X42" s="61"/>
    </row>
    <row r="43" spans="1:25" x14ac:dyDescent="0.25">
      <c r="A43" s="53" t="str">
        <f t="shared" ref="A43:M43" si="91">A8</f>
        <v>zysk netto</v>
      </c>
      <c r="B43" s="53">
        <f t="shared" si="91"/>
        <v>1114600</v>
      </c>
      <c r="C43" s="53">
        <f t="shared" si="91"/>
        <v>816100</v>
      </c>
      <c r="D43" s="53">
        <f t="shared" si="91"/>
        <v>945200</v>
      </c>
      <c r="E43" s="53">
        <f t="shared" si="91"/>
        <v>89071.43</v>
      </c>
      <c r="F43" s="53">
        <f t="shared" si="91"/>
        <v>3492.65</v>
      </c>
      <c r="G43" s="53">
        <f t="shared" si="91"/>
        <v>563.79999999999995</v>
      </c>
      <c r="H43" s="53">
        <f t="shared" si="91"/>
        <v>91000</v>
      </c>
      <c r="I43" s="53">
        <f t="shared" si="91"/>
        <v>10000</v>
      </c>
      <c r="J43" s="53">
        <f t="shared" si="91"/>
        <v>-60000</v>
      </c>
      <c r="K43" s="53">
        <f t="shared" si="91"/>
        <v>866937</v>
      </c>
      <c r="L43" s="53">
        <f t="shared" si="91"/>
        <v>744604</v>
      </c>
      <c r="M43" s="53">
        <f t="shared" si="91"/>
        <v>387346</v>
      </c>
      <c r="R43" s="52" t="str">
        <f>$N$2</f>
        <v>Branża</v>
      </c>
      <c r="S43" s="61">
        <f>N34</f>
        <v>0.1077076575997377</v>
      </c>
      <c r="T43" s="61">
        <f t="shared" ref="T43:U43" si="92">O34</f>
        <v>9.97063008997916E-2</v>
      </c>
      <c r="U43" s="61">
        <f t="shared" si="92"/>
        <v>0.10607416290987585</v>
      </c>
      <c r="V43" s="61"/>
      <c r="W43" s="61"/>
      <c r="X43" s="61"/>
    </row>
    <row r="44" spans="1:25" x14ac:dyDescent="0.25">
      <c r="A44" t="str">
        <f t="shared" ref="A44:M44" si="93">A4</f>
        <v>przychody netto ze sprzedaży</v>
      </c>
      <c r="B44" s="52">
        <f t="shared" si="93"/>
        <v>11676100</v>
      </c>
      <c r="C44" s="52">
        <f t="shared" si="93"/>
        <v>10686100</v>
      </c>
      <c r="D44" s="52">
        <f t="shared" si="93"/>
        <v>9828600</v>
      </c>
      <c r="E44" s="52">
        <f t="shared" si="93"/>
        <v>2707328.91</v>
      </c>
      <c r="F44" s="52">
        <f t="shared" si="93"/>
        <v>2205047.9700000002</v>
      </c>
      <c r="G44" s="52">
        <f t="shared" si="93"/>
        <v>1777328.03</v>
      </c>
      <c r="H44" s="52">
        <f t="shared" si="93"/>
        <v>11406000</v>
      </c>
      <c r="I44" s="52">
        <f t="shared" si="93"/>
        <v>11101000</v>
      </c>
      <c r="J44" s="52">
        <f t="shared" si="93"/>
        <v>11381000</v>
      </c>
      <c r="K44" s="52">
        <f t="shared" si="93"/>
        <v>7040753</v>
      </c>
      <c r="L44" s="52">
        <f t="shared" si="93"/>
        <v>6839148</v>
      </c>
      <c r="M44" s="52">
        <f t="shared" si="93"/>
        <v>6669859</v>
      </c>
      <c r="N44" s="47"/>
      <c r="O44" s="47"/>
      <c r="P44" s="30"/>
      <c r="R44" s="30" t="str">
        <f>A24</f>
        <v>ANALIZA ZYSKU (STRATY) NETTO</v>
      </c>
      <c r="S44" s="33">
        <v>2019</v>
      </c>
      <c r="T44" s="33">
        <v>2018</v>
      </c>
      <c r="U44" s="33">
        <v>2017</v>
      </c>
      <c r="V44" s="33" t="s">
        <v>322</v>
      </c>
      <c r="W44" s="33" t="s">
        <v>323</v>
      </c>
      <c r="X44" s="33"/>
      <c r="Y44" s="52"/>
    </row>
    <row r="45" spans="1:25" x14ac:dyDescent="0.25">
      <c r="A45" t="str">
        <f t="shared" ref="A45:M45" si="94">A9</f>
        <v>aktywa ogółem</v>
      </c>
      <c r="B45" s="52">
        <f t="shared" si="94"/>
        <v>32589600</v>
      </c>
      <c r="C45" s="52">
        <f t="shared" si="94"/>
        <v>30696800</v>
      </c>
      <c r="D45" s="52">
        <f t="shared" si="94"/>
        <v>27756000</v>
      </c>
      <c r="E45" s="52">
        <f t="shared" si="94"/>
        <v>2149271.39</v>
      </c>
      <c r="F45" s="52">
        <f t="shared" si="94"/>
        <v>1481959.03</v>
      </c>
      <c r="G45" s="52">
        <f t="shared" si="94"/>
        <v>1486228.52</v>
      </c>
      <c r="H45" s="52">
        <f t="shared" si="94"/>
        <v>24340000</v>
      </c>
      <c r="I45" s="52">
        <f t="shared" si="94"/>
        <v>23295000</v>
      </c>
      <c r="J45" s="52">
        <f t="shared" si="94"/>
        <v>22933000</v>
      </c>
      <c r="K45" s="52">
        <f t="shared" si="94"/>
        <v>8885641</v>
      </c>
      <c r="L45" s="52">
        <f t="shared" si="94"/>
        <v>8520538</v>
      </c>
      <c r="M45" s="52">
        <f t="shared" si="94"/>
        <v>8830969</v>
      </c>
      <c r="R45" s="52" t="str">
        <f>$B$2</f>
        <v>Cyfrowy Polsat S.A. (Polska)</v>
      </c>
      <c r="S45" s="55">
        <f>B24</f>
        <v>1114600</v>
      </c>
      <c r="T45" s="55">
        <f>C24</f>
        <v>816100</v>
      </c>
      <c r="U45" s="55">
        <f>D24</f>
        <v>945200</v>
      </c>
      <c r="V45" s="60">
        <f>(S45-T45)/S45</f>
        <v>0.26780907949040017</v>
      </c>
      <c r="W45" s="60">
        <f>(T45-U45)/T45</f>
        <v>-0.15819139811297636</v>
      </c>
      <c r="X45" s="55"/>
      <c r="Y45" s="52"/>
    </row>
    <row r="46" spans="1:25" x14ac:dyDescent="0.25">
      <c r="R46" s="52" t="str">
        <f>$E$2</f>
        <v>Telewizja Polska S.A. (Polska)</v>
      </c>
      <c r="S46" s="55">
        <f>E24</f>
        <v>89071.43</v>
      </c>
      <c r="T46" s="55">
        <f>F24</f>
        <v>3492.65</v>
      </c>
      <c r="U46" s="55">
        <f>G24</f>
        <v>563.79999999999995</v>
      </c>
      <c r="V46" s="60">
        <f t="shared" ref="V46:V49" si="95">(S46-T46)/S46</f>
        <v>0.9607882123369974</v>
      </c>
      <c r="W46" s="60">
        <f t="shared" ref="W46" si="96">(T46-U46)/T46</f>
        <v>0.83857529383133156</v>
      </c>
      <c r="X46" s="55"/>
      <c r="Y46" s="52"/>
    </row>
    <row r="47" spans="1:25" x14ac:dyDescent="0.25">
      <c r="A47" s="53" t="s">
        <v>311</v>
      </c>
      <c r="B47" s="60">
        <f>B43/B44</f>
        <v>9.5459956663611997E-2</v>
      </c>
      <c r="C47" s="60">
        <f t="shared" ref="C47:M47" si="97">C43/C44</f>
        <v>7.6370237972693503E-2</v>
      </c>
      <c r="D47" s="60">
        <f t="shared" si="97"/>
        <v>9.6168325092078219E-2</v>
      </c>
      <c r="E47" s="60">
        <f t="shared" si="97"/>
        <v>3.2900114083293998E-2</v>
      </c>
      <c r="F47" s="60">
        <f t="shared" si="97"/>
        <v>1.5839337953269107E-3</v>
      </c>
      <c r="G47" s="60">
        <f t="shared" si="97"/>
        <v>3.1721775073788712E-4</v>
      </c>
      <c r="H47" s="60">
        <f t="shared" si="97"/>
        <v>7.978257057688936E-3</v>
      </c>
      <c r="I47" s="60">
        <f t="shared" si="97"/>
        <v>9.008197459688316E-4</v>
      </c>
      <c r="J47" s="60">
        <f t="shared" si="97"/>
        <v>-5.2719444688515945E-3</v>
      </c>
      <c r="K47" s="60">
        <f t="shared" si="97"/>
        <v>0.12313129007650175</v>
      </c>
      <c r="L47" s="60">
        <f t="shared" si="97"/>
        <v>0.10887379539088787</v>
      </c>
      <c r="M47" s="60">
        <f t="shared" si="97"/>
        <v>5.8074091221418621E-2</v>
      </c>
      <c r="R47" s="52" t="str">
        <f>$H$2</f>
        <v>Orange Polska S.A. (Polska)</v>
      </c>
      <c r="S47" s="55">
        <f>H24</f>
        <v>91000</v>
      </c>
      <c r="T47" s="55">
        <f>I24</f>
        <v>10000</v>
      </c>
      <c r="U47" s="55">
        <f>J24</f>
        <v>-60000</v>
      </c>
      <c r="V47" s="60">
        <f t="shared" si="95"/>
        <v>0.89010989010989006</v>
      </c>
      <c r="W47" s="60">
        <f>(T47-U47)/T47</f>
        <v>7</v>
      </c>
      <c r="X47" s="55"/>
      <c r="Y47" s="52"/>
    </row>
    <row r="48" spans="1:25" x14ac:dyDescent="0.25">
      <c r="A48" s="53" t="s">
        <v>325</v>
      </c>
      <c r="B48" s="48">
        <f>B44/B45</f>
        <v>0.35827687360384908</v>
      </c>
      <c r="C48" s="48">
        <f t="shared" ref="C48:M48" si="98">C44/C45</f>
        <v>0.34811771911078682</v>
      </c>
      <c r="D48" s="48">
        <f t="shared" si="98"/>
        <v>0.35410722006052747</v>
      </c>
      <c r="E48" s="48">
        <f t="shared" si="98"/>
        <v>1.259649629449541</v>
      </c>
      <c r="F48" s="48">
        <f t="shared" si="98"/>
        <v>1.4879277533063786</v>
      </c>
      <c r="G48" s="48">
        <f t="shared" si="98"/>
        <v>1.1958645700056947</v>
      </c>
      <c r="H48" s="48">
        <f t="shared" si="98"/>
        <v>0.46861133935907973</v>
      </c>
      <c r="I48" s="48">
        <f t="shared" si="98"/>
        <v>0.47654003004936679</v>
      </c>
      <c r="J48" s="48">
        <f t="shared" si="98"/>
        <v>0.49627174813587405</v>
      </c>
      <c r="K48" s="48">
        <f t="shared" si="98"/>
        <v>0.79237423614120805</v>
      </c>
      <c r="L48" s="48">
        <f t="shared" si="98"/>
        <v>0.80266621661683801</v>
      </c>
      <c r="M48" s="48">
        <f t="shared" si="98"/>
        <v>0.75528053603177636</v>
      </c>
      <c r="R48" s="52" t="str">
        <f>$K$2</f>
        <v>Play Communications S.A. (Polska)</v>
      </c>
      <c r="S48" s="55">
        <f>K24</f>
        <v>866937</v>
      </c>
      <c r="T48" s="55">
        <f>L24</f>
        <v>744604</v>
      </c>
      <c r="U48" s="55">
        <f>M24</f>
        <v>387346</v>
      </c>
      <c r="V48" s="60">
        <f t="shared" si="95"/>
        <v>0.14110944624580563</v>
      </c>
      <c r="W48" s="60">
        <f t="shared" ref="W48:W49" si="99">(T48-U48)/T48</f>
        <v>0.47979597208717656</v>
      </c>
      <c r="X48" s="55"/>
      <c r="Y48" s="52"/>
    </row>
    <row r="49" spans="1:25" x14ac:dyDescent="0.25">
      <c r="A49" s="53" t="str">
        <f t="shared" ref="A49:M49" si="100">A15</f>
        <v>pasywa ogółem</v>
      </c>
      <c r="B49" s="53">
        <f t="shared" si="100"/>
        <v>32589600</v>
      </c>
      <c r="C49" s="53">
        <f t="shared" si="100"/>
        <v>30696800</v>
      </c>
      <c r="D49" s="53">
        <f t="shared" si="100"/>
        <v>27756000</v>
      </c>
      <c r="E49" s="53">
        <f t="shared" si="100"/>
        <v>2149271.39</v>
      </c>
      <c r="F49" s="53">
        <f t="shared" si="100"/>
        <v>1481959.03</v>
      </c>
      <c r="G49" s="53">
        <f t="shared" si="100"/>
        <v>1486228.52</v>
      </c>
      <c r="H49" s="53">
        <f t="shared" si="100"/>
        <v>24340000</v>
      </c>
      <c r="I49" s="53">
        <f t="shared" si="100"/>
        <v>23295000</v>
      </c>
      <c r="J49" s="53">
        <f t="shared" si="100"/>
        <v>22933000</v>
      </c>
      <c r="K49" s="53">
        <f t="shared" si="100"/>
        <v>8885641</v>
      </c>
      <c r="L49" s="53">
        <f t="shared" si="100"/>
        <v>8520538</v>
      </c>
      <c r="M49" s="53">
        <f t="shared" si="100"/>
        <v>8830969</v>
      </c>
      <c r="R49" s="52" t="str">
        <f>$N$2</f>
        <v>Branża</v>
      </c>
      <c r="S49" s="55">
        <f>N24</f>
        <v>540402.10749999993</v>
      </c>
      <c r="T49" s="55">
        <f>O24</f>
        <v>393549.16249999998</v>
      </c>
      <c r="U49" s="55">
        <f>P24</f>
        <v>318277.45</v>
      </c>
      <c r="V49" s="60">
        <f t="shared" si="95"/>
        <v>0.27174754310150423</v>
      </c>
      <c r="W49" s="60">
        <f t="shared" si="99"/>
        <v>0.19126381065542217</v>
      </c>
      <c r="X49" s="55"/>
      <c r="Y49" s="52"/>
    </row>
    <row r="50" spans="1:25" x14ac:dyDescent="0.25">
      <c r="A50" t="str">
        <f t="shared" ref="A50:M50" si="101">A11</f>
        <v>kapitał własny</v>
      </c>
      <c r="B50" s="52">
        <f t="shared" si="101"/>
        <v>15117700</v>
      </c>
      <c r="C50" s="52">
        <f t="shared" si="101"/>
        <v>14523400</v>
      </c>
      <c r="D50" s="52">
        <f t="shared" si="101"/>
        <v>12116800</v>
      </c>
      <c r="E50" s="52">
        <f t="shared" si="101"/>
        <v>555112.97</v>
      </c>
      <c r="F50" s="52">
        <f t="shared" si="101"/>
        <v>466041.54</v>
      </c>
      <c r="G50" s="52">
        <f t="shared" si="101"/>
        <v>462548.88</v>
      </c>
      <c r="H50" s="52">
        <f t="shared" si="101"/>
        <v>10568000</v>
      </c>
      <c r="I50" s="52">
        <f t="shared" si="101"/>
        <v>10505000</v>
      </c>
      <c r="J50" s="52">
        <f t="shared" si="101"/>
        <v>9938000</v>
      </c>
      <c r="K50" s="52">
        <f t="shared" si="101"/>
        <v>321653</v>
      </c>
      <c r="L50" s="52">
        <f t="shared" si="101"/>
        <v>-200538</v>
      </c>
      <c r="M50" s="52">
        <f t="shared" si="101"/>
        <v>-212579</v>
      </c>
    </row>
    <row r="52" spans="1:25" x14ac:dyDescent="0.25">
      <c r="A52" s="53" t="s">
        <v>312</v>
      </c>
      <c r="B52" s="60">
        <f>B47*B48</f>
        <v>3.4201094827797825E-2</v>
      </c>
      <c r="C52" s="60">
        <f t="shared" ref="C52:M52" si="102">C47*C48</f>
        <v>2.6585833051002063E-2</v>
      </c>
      <c r="D52" s="60">
        <f t="shared" si="102"/>
        <v>3.4053898256232888E-2</v>
      </c>
      <c r="E52" s="60">
        <f t="shared" si="102"/>
        <v>4.1442616513868907E-2</v>
      </c>
      <c r="F52" s="60">
        <f t="shared" si="102"/>
        <v>2.3567790534668154E-3</v>
      </c>
      <c r="G52" s="60">
        <f t="shared" si="102"/>
        <v>3.7934946908433704E-4</v>
      </c>
      <c r="H52" s="60">
        <f t="shared" si="102"/>
        <v>3.7387017255546429E-3</v>
      </c>
      <c r="I52" s="60">
        <f t="shared" si="102"/>
        <v>4.2927666881304995E-4</v>
      </c>
      <c r="J52" s="60">
        <f t="shared" si="102"/>
        <v>-2.616317097632233E-3</v>
      </c>
      <c r="K52" s="60">
        <f t="shared" si="102"/>
        <v>9.7566061919449595E-2</v>
      </c>
      <c r="L52" s="60">
        <f t="shared" si="102"/>
        <v>8.7389317435119712E-2</v>
      </c>
      <c r="M52" s="60">
        <f t="shared" si="102"/>
        <v>4.3862230747271337E-2</v>
      </c>
    </row>
    <row r="53" spans="1:25" x14ac:dyDescent="0.25">
      <c r="A53" s="53" t="s">
        <v>327</v>
      </c>
      <c r="B53" s="48">
        <f>B49/B50</f>
        <v>2.1557247464892146</v>
      </c>
      <c r="C53" s="48">
        <f t="shared" ref="C53:M53" si="103">C49/C50</f>
        <v>2.1136097607998128</v>
      </c>
      <c r="D53" s="48">
        <f t="shared" si="103"/>
        <v>2.2907038161890929</v>
      </c>
      <c r="E53" s="48">
        <f t="shared" si="103"/>
        <v>3.8717729654199942</v>
      </c>
      <c r="F53" s="48">
        <f t="shared" si="103"/>
        <v>3.1798861320387881</v>
      </c>
      <c r="G53" s="48">
        <f t="shared" si="103"/>
        <v>3.2131274861156296</v>
      </c>
      <c r="H53" s="48">
        <f t="shared" si="103"/>
        <v>2.3031794095382288</v>
      </c>
      <c r="I53" s="48">
        <f t="shared" si="103"/>
        <v>2.2175154688243692</v>
      </c>
      <c r="J53" s="48">
        <f t="shared" si="103"/>
        <v>2.3076071644194003</v>
      </c>
      <c r="K53" s="48">
        <f t="shared" si="103"/>
        <v>27.624928105753717</v>
      </c>
      <c r="L53" s="48">
        <f t="shared" si="103"/>
        <v>-42.488396214183844</v>
      </c>
      <c r="M53" s="48">
        <f t="shared" si="103"/>
        <v>-41.542057305754568</v>
      </c>
    </row>
    <row r="55" spans="1:25" x14ac:dyDescent="0.25">
      <c r="A55" s="53" t="s">
        <v>313</v>
      </c>
      <c r="B55" s="60">
        <f>B52*B53</f>
        <v>7.3728146477308062E-2</v>
      </c>
      <c r="C55" s="60">
        <f t="shared" ref="C55:M55" si="104">C52*C53</f>
        <v>5.6192076235592227E-2</v>
      </c>
      <c r="D55" s="60">
        <f t="shared" si="104"/>
        <v>7.8007394691667772E-2</v>
      </c>
      <c r="E55" s="60">
        <f t="shared" si="104"/>
        <v>0.16045640223466584</v>
      </c>
      <c r="F55" s="60">
        <f t="shared" si="104"/>
        <v>7.4942890283986275E-3</v>
      </c>
      <c r="G55" s="60">
        <f t="shared" si="104"/>
        <v>1.2188982059582545E-3</v>
      </c>
      <c r="H55" s="60">
        <f t="shared" si="104"/>
        <v>8.6109008327025002E-3</v>
      </c>
      <c r="I55" s="60">
        <f t="shared" si="104"/>
        <v>9.5192765349833399E-4</v>
      </c>
      <c r="J55" s="60">
        <f t="shared" si="104"/>
        <v>-6.037432078889112E-3</v>
      </c>
      <c r="K55" s="60">
        <f t="shared" si="104"/>
        <v>2.6952554460863105</v>
      </c>
      <c r="L55" s="60">
        <f t="shared" si="104"/>
        <v>-3.7130319440704507</v>
      </c>
      <c r="M55" s="60">
        <f t="shared" si="104"/>
        <v>-1.8221273032613758</v>
      </c>
    </row>
    <row r="57" spans="1:25" x14ac:dyDescent="0.25">
      <c r="S57" s="52"/>
    </row>
    <row r="58" spans="1:25" x14ac:dyDescent="0.25">
      <c r="A58" s="30" t="s">
        <v>319</v>
      </c>
      <c r="R58" s="30" t="s">
        <v>319</v>
      </c>
      <c r="S58" s="33">
        <v>2019</v>
      </c>
      <c r="T58" s="33">
        <v>2018</v>
      </c>
      <c r="U58" s="33">
        <v>2017</v>
      </c>
      <c r="V58" s="33" t="s">
        <v>322</v>
      </c>
      <c r="W58" s="33" t="s">
        <v>323</v>
      </c>
    </row>
    <row r="59" spans="1:25" x14ac:dyDescent="0.25">
      <c r="A59" s="53" t="s">
        <v>320</v>
      </c>
      <c r="B59">
        <f t="shared" ref="B59:M59" si="105">B10+B11</f>
        <v>15770900</v>
      </c>
      <c r="C59" s="47">
        <f t="shared" si="105"/>
        <v>15171600</v>
      </c>
      <c r="D59" s="47">
        <f t="shared" si="105"/>
        <v>12159400</v>
      </c>
      <c r="E59" s="47">
        <f t="shared" si="105"/>
        <v>555112.97</v>
      </c>
      <c r="F59" s="47">
        <f t="shared" si="105"/>
        <v>466041.54</v>
      </c>
      <c r="G59" s="47">
        <f t="shared" si="105"/>
        <v>462548.88</v>
      </c>
      <c r="H59" s="47">
        <f t="shared" si="105"/>
        <v>10570000</v>
      </c>
      <c r="I59" s="47">
        <f t="shared" si="105"/>
        <v>10507000</v>
      </c>
      <c r="J59" s="47">
        <f t="shared" si="105"/>
        <v>9940000</v>
      </c>
      <c r="K59" s="47">
        <f t="shared" si="105"/>
        <v>321653</v>
      </c>
      <c r="L59" s="47">
        <f t="shared" si="105"/>
        <v>-200538</v>
      </c>
      <c r="M59" s="47">
        <f t="shared" si="105"/>
        <v>-212579</v>
      </c>
      <c r="R59" s="187" t="s">
        <v>4</v>
      </c>
      <c r="S59" s="187"/>
      <c r="T59" s="187"/>
      <c r="U59" s="187"/>
      <c r="V59" s="187"/>
      <c r="W59" s="187"/>
    </row>
    <row r="60" spans="1:25" x14ac:dyDescent="0.25">
      <c r="A60" t="str">
        <f t="shared" ref="A60:M60" si="106">A8</f>
        <v>zysk netto</v>
      </c>
      <c r="B60" s="47">
        <f t="shared" si="106"/>
        <v>1114600</v>
      </c>
      <c r="C60" s="47">
        <f t="shared" si="106"/>
        <v>816100</v>
      </c>
      <c r="D60" s="47">
        <f t="shared" si="106"/>
        <v>945200</v>
      </c>
      <c r="E60" s="47">
        <f t="shared" si="106"/>
        <v>89071.43</v>
      </c>
      <c r="F60" s="47">
        <f t="shared" si="106"/>
        <v>3492.65</v>
      </c>
      <c r="G60" s="47">
        <f t="shared" si="106"/>
        <v>563.79999999999995</v>
      </c>
      <c r="H60" s="47">
        <f t="shared" si="106"/>
        <v>91000</v>
      </c>
      <c r="I60" s="47">
        <f t="shared" si="106"/>
        <v>10000</v>
      </c>
      <c r="J60" s="47">
        <f t="shared" si="106"/>
        <v>-60000</v>
      </c>
      <c r="K60" s="47">
        <f t="shared" si="106"/>
        <v>866937</v>
      </c>
      <c r="L60" s="47">
        <f t="shared" si="106"/>
        <v>744604</v>
      </c>
      <c r="M60" s="47">
        <f t="shared" si="106"/>
        <v>387346</v>
      </c>
      <c r="R60" s="53" t="s">
        <v>320</v>
      </c>
      <c r="S60" s="52">
        <f>B59</f>
        <v>15770900</v>
      </c>
      <c r="T60" s="52">
        <f t="shared" ref="T60:U61" si="107">C59</f>
        <v>15171600</v>
      </c>
      <c r="U60" s="52">
        <f t="shared" si="107"/>
        <v>12159400</v>
      </c>
      <c r="V60" s="60">
        <f>(S60-T60)/S60</f>
        <v>3.800036776594868E-2</v>
      </c>
      <c r="W60" s="60">
        <f>(T60-U60)/T60</f>
        <v>0.19854201270795432</v>
      </c>
    </row>
    <row r="61" spans="1:25" x14ac:dyDescent="0.25">
      <c r="R61" s="52" t="s">
        <v>310</v>
      </c>
      <c r="S61" s="52">
        <f>B60</f>
        <v>1114600</v>
      </c>
      <c r="T61" s="52">
        <f t="shared" si="107"/>
        <v>816100</v>
      </c>
      <c r="U61" s="52">
        <f t="shared" si="107"/>
        <v>945200</v>
      </c>
      <c r="V61" s="60">
        <f>(S61-T61)/S61</f>
        <v>0.26780907949040017</v>
      </c>
      <c r="W61" s="60">
        <f>(T61-U61)/T61</f>
        <v>-0.15819139811297636</v>
      </c>
    </row>
    <row r="62" spans="1:25" x14ac:dyDescent="0.25">
      <c r="A62" s="30" t="s">
        <v>340</v>
      </c>
      <c r="R62" s="188" t="s">
        <v>248</v>
      </c>
      <c r="S62" s="188"/>
      <c r="T62" s="188"/>
      <c r="U62" s="188"/>
      <c r="V62" s="188"/>
      <c r="W62" s="188"/>
    </row>
    <row r="63" spans="1:25" x14ac:dyDescent="0.25">
      <c r="A63" s="53" t="s">
        <v>328</v>
      </c>
      <c r="B63">
        <f>'CYFROWY POLSAT SA'!B14</f>
        <v>11676100</v>
      </c>
      <c r="C63" s="52">
        <f>'CYFROWY POLSAT SA'!C14</f>
        <v>10686100</v>
      </c>
      <c r="D63" s="52">
        <f>'CYFROWY POLSAT SA'!D14</f>
        <v>9828600</v>
      </c>
      <c r="E63" s="55">
        <f>'KONKURENCJA R.N.TV'!B14</f>
        <v>2707328.91</v>
      </c>
      <c r="F63" s="55">
        <f>'KONKURENCJA R.N.TV'!C14</f>
        <v>2205047.9700000002</v>
      </c>
      <c r="G63" s="55">
        <f>'KONKURENCJA R.N.TV'!D14</f>
        <v>1777328.03</v>
      </c>
      <c r="H63" s="55">
        <f>'KONKURENCJA R.O.KOM.'!B14</f>
        <v>11406000</v>
      </c>
      <c r="I63" s="55">
        <f>'KONKURENCJA R.O.KOM.'!C14</f>
        <v>11101000</v>
      </c>
      <c r="J63" s="55">
        <f>'KONKURENCJA R.O.KOM.'!D14</f>
        <v>11381000</v>
      </c>
      <c r="K63" s="55">
        <f>'KONKURENCJA R.O.KOM.'!E14</f>
        <v>7040753</v>
      </c>
      <c r="L63" s="55">
        <f>'KONKURENCJA R.O.KOM.'!F14</f>
        <v>6839148</v>
      </c>
      <c r="M63" s="55">
        <f>'KONKURENCJA R.O.KOM.'!G14</f>
        <v>6669859</v>
      </c>
      <c r="R63" s="53" t="s">
        <v>320</v>
      </c>
      <c r="S63">
        <f>E59</f>
        <v>555112.97</v>
      </c>
      <c r="T63" s="52">
        <f t="shared" ref="T63:U63" si="108">F59</f>
        <v>466041.54</v>
      </c>
      <c r="U63" s="52">
        <f t="shared" si="108"/>
        <v>462548.88</v>
      </c>
      <c r="V63" s="60">
        <f>(S63-T63)/S63</f>
        <v>0.16045640223466584</v>
      </c>
      <c r="W63" s="60">
        <f>(T63-U63)/T63</f>
        <v>7.4943104857133009E-3</v>
      </c>
    </row>
    <row r="64" spans="1:25" x14ac:dyDescent="0.25">
      <c r="A64" s="53" t="s">
        <v>329</v>
      </c>
      <c r="B64">
        <f>'CYFROWY POLSAT SA'!B36</f>
        <v>45700</v>
      </c>
      <c r="C64" s="52">
        <f>'CYFROWY POLSAT SA'!C36</f>
        <v>19700</v>
      </c>
      <c r="D64" s="52">
        <f>'CYFROWY POLSAT SA'!D36</f>
        <v>21300</v>
      </c>
      <c r="E64" s="55">
        <f>'KONKURENCJA R.N.TV'!B36</f>
        <v>41415.46</v>
      </c>
      <c r="F64" s="55">
        <f>'KONKURENCJA R.N.TV'!C36</f>
        <v>36478.31</v>
      </c>
      <c r="G64" s="55">
        <f>'KONKURENCJA R.N.TV'!D36</f>
        <v>27086.59</v>
      </c>
      <c r="H64" s="55">
        <f>'KONKURENCJA R.O.KOM.'!B36</f>
        <v>238000</v>
      </c>
      <c r="I64" s="55">
        <f>'KONKURENCJA R.O.KOM.'!C36</f>
        <v>253000</v>
      </c>
      <c r="J64" s="55">
        <f>'KONKURENCJA R.O.KOM.'!D36</f>
        <v>299000</v>
      </c>
      <c r="K64" s="55">
        <f>'KONKURENCJA R.O.KOM.'!E36</f>
        <v>76885</v>
      </c>
      <c r="L64" s="55">
        <f>'KONKURENCJA R.O.KOM.'!F36</f>
        <v>78239</v>
      </c>
      <c r="M64" s="55">
        <f>'KONKURENCJA R.O.KOM.'!G36</f>
        <v>109778</v>
      </c>
      <c r="R64" s="52" t="s">
        <v>310</v>
      </c>
      <c r="S64" s="52">
        <f>E60</f>
        <v>89071.43</v>
      </c>
      <c r="T64" s="52">
        <f t="shared" ref="T64:U64" si="109">F60</f>
        <v>3492.65</v>
      </c>
      <c r="U64" s="52">
        <f t="shared" si="109"/>
        <v>563.79999999999995</v>
      </c>
      <c r="V64" s="60">
        <f>(S64-T64)/S64</f>
        <v>0.9607882123369974</v>
      </c>
      <c r="W64" s="60">
        <f>(T64-U64)/T64</f>
        <v>0.83857529383133156</v>
      </c>
    </row>
    <row r="65" spans="1:23" x14ac:dyDescent="0.25">
      <c r="A65" s="53" t="s">
        <v>330</v>
      </c>
      <c r="B65">
        <f>'CYFROWY POLSAT SA'!B42</f>
        <v>-27000</v>
      </c>
      <c r="C65" s="52">
        <f>'CYFROWY POLSAT SA'!C42</f>
        <v>0</v>
      </c>
      <c r="D65" s="52">
        <f>'CYFROWY POLSAT SA'!D42</f>
        <v>7200</v>
      </c>
      <c r="E65" s="55">
        <f>'KONKURENCJA R.N.TV'!B42</f>
        <v>7856.32</v>
      </c>
      <c r="F65" s="55">
        <f>'KONKURENCJA R.N.TV'!C42</f>
        <v>11735.74</v>
      </c>
      <c r="G65" s="55">
        <f>'KONKURENCJA R.N.TV'!D42</f>
        <v>8786.33</v>
      </c>
      <c r="H65" s="55">
        <f>'KONKURENCJA R.O.KOM.'!B42</f>
        <v>40000</v>
      </c>
      <c r="I65" s="55">
        <f>'KONKURENCJA R.O.KOM.'!C42</f>
        <v>39000</v>
      </c>
      <c r="J65" s="55">
        <f>'KONKURENCJA R.O.KOM.'!D42</f>
        <v>32000</v>
      </c>
      <c r="K65" s="55">
        <f>'KONKURENCJA R.O.KOM.'!E42</f>
        <v>1218</v>
      </c>
      <c r="L65" s="55">
        <f>'KONKURENCJA R.O.KOM.'!F42</f>
        <v>1675</v>
      </c>
      <c r="M65" s="55">
        <f>'KONKURENCJA R.O.KOM.'!G42</f>
        <v>178850</v>
      </c>
      <c r="R65" s="189" t="s">
        <v>246</v>
      </c>
      <c r="S65" s="189"/>
      <c r="T65" s="189"/>
      <c r="U65" s="189"/>
      <c r="V65" s="189"/>
      <c r="W65" s="189"/>
    </row>
    <row r="66" spans="1:23" x14ac:dyDescent="0.25">
      <c r="R66" s="53" t="s">
        <v>320</v>
      </c>
      <c r="S66">
        <f>H59</f>
        <v>10570000</v>
      </c>
      <c r="T66" s="52">
        <f t="shared" ref="T66:U66" si="110">I59</f>
        <v>10507000</v>
      </c>
      <c r="U66" s="52">
        <f t="shared" si="110"/>
        <v>9940000</v>
      </c>
      <c r="V66" s="60">
        <f>(S66-T66)/S66</f>
        <v>5.9602649006622521E-3</v>
      </c>
      <c r="W66" s="60">
        <f>(T66-U66)/T66</f>
        <v>5.3964023984010658E-2</v>
      </c>
    </row>
    <row r="67" spans="1:23" x14ac:dyDescent="0.25">
      <c r="A67" s="30" t="s">
        <v>332</v>
      </c>
      <c r="R67" s="52" t="s">
        <v>310</v>
      </c>
      <c r="S67" s="52">
        <f>H60</f>
        <v>91000</v>
      </c>
      <c r="T67" s="52">
        <f t="shared" ref="T67" si="111">I60</f>
        <v>10000</v>
      </c>
      <c r="U67" s="52">
        <f t="shared" ref="U67" si="112">J60</f>
        <v>-60000</v>
      </c>
      <c r="V67" s="60">
        <f>(S67-T67)/S67</f>
        <v>0.89010989010989006</v>
      </c>
      <c r="W67" s="60">
        <f>(T67-U67)/T67</f>
        <v>7</v>
      </c>
    </row>
    <row r="68" spans="1:23" x14ac:dyDescent="0.25">
      <c r="A68" s="63" t="s">
        <v>337</v>
      </c>
      <c r="B68">
        <f>'CYFROWY POLSAT SA'!B17</f>
        <v>-9754800</v>
      </c>
      <c r="C68" s="52">
        <f>'CYFROWY POLSAT SA'!C17</f>
        <v>0</v>
      </c>
      <c r="D68" s="52">
        <f>'CYFROWY POLSAT SA'!D17</f>
        <v>0</v>
      </c>
      <c r="E68" s="55">
        <f>'KONKURENCJA R.N.TV'!B17</f>
        <v>0</v>
      </c>
      <c r="F68" s="55">
        <f>'KONKURENCJA R.N.TV'!C17</f>
        <v>0</v>
      </c>
      <c r="G68" s="55">
        <f>'KONKURENCJA R.N.TV'!D17</f>
        <v>0</v>
      </c>
      <c r="H68" s="55">
        <f>'KONKURENCJA R.O.KOM.'!B17</f>
        <v>0</v>
      </c>
      <c r="I68" s="55">
        <f>'KONKURENCJA R.O.KOM.'!C17</f>
        <v>0</v>
      </c>
      <c r="J68" s="55">
        <f>'KONKURENCJA R.O.KOM.'!D17</f>
        <v>0</v>
      </c>
      <c r="K68" s="55">
        <f>'KONKURENCJA R.O.KOM.'!E17</f>
        <v>0</v>
      </c>
      <c r="L68" s="55">
        <f>'KONKURENCJA R.O.KOM.'!F17</f>
        <v>0</v>
      </c>
      <c r="M68" s="55">
        <f>'KONKURENCJA R.O.KOM.'!G17</f>
        <v>0</v>
      </c>
      <c r="R68" s="190" t="s">
        <v>247</v>
      </c>
      <c r="S68" s="190"/>
      <c r="T68" s="190"/>
      <c r="U68" s="190"/>
      <c r="V68" s="190"/>
      <c r="W68" s="190"/>
    </row>
    <row r="69" spans="1:23" x14ac:dyDescent="0.25">
      <c r="A69" s="53" t="s">
        <v>333</v>
      </c>
      <c r="B69">
        <f>'CYFROWY POLSAT SA'!B19</f>
        <v>0</v>
      </c>
      <c r="C69" s="52">
        <f>'CYFROWY POLSAT SA'!C19</f>
        <v>0</v>
      </c>
      <c r="D69" s="52">
        <f>'CYFROWY POLSAT SA'!D19</f>
        <v>0</v>
      </c>
      <c r="E69" s="55">
        <f>'KONKURENCJA R.N.TV'!B19</f>
        <v>0</v>
      </c>
      <c r="F69" s="55">
        <f>'KONKURENCJA R.N.TV'!C19</f>
        <v>0</v>
      </c>
      <c r="G69" s="55">
        <f>'KONKURENCJA R.N.TV'!D19</f>
        <v>0</v>
      </c>
      <c r="H69" s="55">
        <f>'KONKURENCJA R.O.KOM.'!B19</f>
        <v>0</v>
      </c>
      <c r="I69" s="55">
        <f>'KONKURENCJA R.O.KOM.'!C19</f>
        <v>0</v>
      </c>
      <c r="J69" s="55">
        <f>'KONKURENCJA R.O.KOM.'!D19</f>
        <v>0</v>
      </c>
      <c r="K69" s="55">
        <f>'KONKURENCJA R.O.KOM.'!E19</f>
        <v>0</v>
      </c>
      <c r="L69" s="55">
        <f>'KONKURENCJA R.O.KOM.'!F19</f>
        <v>0</v>
      </c>
      <c r="M69" s="55">
        <f>'KONKURENCJA R.O.KOM.'!G19</f>
        <v>0</v>
      </c>
      <c r="R69" s="53" t="s">
        <v>320</v>
      </c>
      <c r="S69" s="52">
        <f t="shared" ref="S69:T69" si="113">K59</f>
        <v>321653</v>
      </c>
      <c r="T69" s="52">
        <f t="shared" si="113"/>
        <v>-200538</v>
      </c>
      <c r="U69">
        <f>M59</f>
        <v>-212579</v>
      </c>
      <c r="V69" s="60">
        <f>(S69-T69)/S69</f>
        <v>1.6234606858944265</v>
      </c>
      <c r="W69" s="60">
        <f>(T69-U69)/T69</f>
        <v>-6.0043483030647556E-2</v>
      </c>
    </row>
    <row r="70" spans="1:23" x14ac:dyDescent="0.25">
      <c r="A70" s="53" t="s">
        <v>334</v>
      </c>
      <c r="B70">
        <f>'CYFROWY POLSAT SA'!B20</f>
        <v>2229700</v>
      </c>
      <c r="C70" s="52">
        <f>'CYFROWY POLSAT SA'!C20</f>
        <v>2307700</v>
      </c>
      <c r="D70" s="52">
        <f>'CYFROWY POLSAT SA'!D20</f>
        <v>2011600</v>
      </c>
      <c r="E70" s="55">
        <f>'KONKURENCJA R.N.TV'!B20</f>
        <v>0</v>
      </c>
      <c r="F70" s="55">
        <f>'KONKURENCJA R.N.TV'!C20</f>
        <v>0</v>
      </c>
      <c r="G70" s="55">
        <f>'KONKURENCJA R.N.TV'!D20</f>
        <v>0</v>
      </c>
      <c r="H70" s="55">
        <f>'KONKURENCJA R.O.KOM.'!B20</f>
        <v>2748000</v>
      </c>
      <c r="I70" s="55">
        <f>'KONKURENCJA R.O.KOM.'!C20</f>
        <v>0</v>
      </c>
      <c r="J70" s="55">
        <f>'KONKURENCJA R.O.KOM.'!D20</f>
        <v>2572000</v>
      </c>
      <c r="K70" s="55">
        <f>'KONKURENCJA R.O.KOM.'!E20</f>
        <v>906264</v>
      </c>
      <c r="L70" s="55">
        <f>'KONKURENCJA R.O.KOM.'!F20</f>
        <v>789290</v>
      </c>
      <c r="M70" s="55">
        <f>'KONKURENCJA R.O.KOM.'!G20</f>
        <v>797256</v>
      </c>
      <c r="R70" s="52" t="s">
        <v>310</v>
      </c>
      <c r="S70" s="52">
        <f t="shared" ref="S70:T70" si="114">K60</f>
        <v>866937</v>
      </c>
      <c r="T70" s="52">
        <f t="shared" si="114"/>
        <v>744604</v>
      </c>
      <c r="U70" s="52">
        <f>M60</f>
        <v>387346</v>
      </c>
      <c r="V70" s="60">
        <f>(S70-T70)/S70</f>
        <v>0.14110944624580563</v>
      </c>
      <c r="W70" s="60">
        <f>(T70-U70)/T70</f>
        <v>0.47979597208717656</v>
      </c>
    </row>
    <row r="71" spans="1:23" x14ac:dyDescent="0.25">
      <c r="A71" s="53" t="s">
        <v>335</v>
      </c>
      <c r="B71">
        <f>'CYFROWY POLSAT SA'!B37</f>
        <v>-8008800</v>
      </c>
      <c r="C71" s="52">
        <f>'CYFROWY POLSAT SA'!C37</f>
        <v>-8978800</v>
      </c>
      <c r="D71" s="52">
        <f>'CYFROWY POLSAT SA'!D37</f>
        <v>-8015900</v>
      </c>
      <c r="E71" s="55">
        <f>'KONKURENCJA R.N.TV'!B37</f>
        <v>-194434.37</v>
      </c>
      <c r="F71" s="55">
        <f>'KONKURENCJA R.N.TV'!C37</f>
        <v>-155602.76999999999</v>
      </c>
      <c r="G71" s="55">
        <f>'KONKURENCJA R.N.TV'!D37</f>
        <v>-94156</v>
      </c>
      <c r="H71" s="55">
        <f>'KONKURENCJA R.O.KOM.'!B37</f>
        <v>-420000</v>
      </c>
      <c r="I71" s="55">
        <f>'KONKURENCJA R.O.KOM.'!C37</f>
        <v>-472000</v>
      </c>
      <c r="J71" s="55">
        <f>'KONKURENCJA R.O.KOM.'!D37</f>
        <v>-559000</v>
      </c>
      <c r="K71" s="55">
        <f>'KONKURENCJA R.O.KOM.'!E37</f>
        <v>-142997</v>
      </c>
      <c r="L71" s="55">
        <f>'KONKURENCJA R.O.KOM.'!F37</f>
        <v>-120635</v>
      </c>
      <c r="M71" s="55">
        <f>'KONKURENCJA R.O.KOM.'!G37</f>
        <v>-94695</v>
      </c>
    </row>
    <row r="72" spans="1:23" x14ac:dyDescent="0.25">
      <c r="A72" s="53" t="s">
        <v>336</v>
      </c>
      <c r="B72">
        <f>'CYFROWY POLSAT SA'!B47</f>
        <v>-465900</v>
      </c>
      <c r="C72" s="52">
        <f>'CYFROWY POLSAT SA'!C47</f>
        <v>-419700</v>
      </c>
      <c r="D72" s="52">
        <f>'CYFROWY POLSAT SA'!D47</f>
        <v>-509000</v>
      </c>
      <c r="E72" s="55">
        <f>'KONKURENCJA R.N.TV'!B47</f>
        <v>-55478.23</v>
      </c>
      <c r="F72" s="55">
        <f>'KONKURENCJA R.N.TV'!C47</f>
        <v>-24387.51</v>
      </c>
      <c r="G72" s="55">
        <f>'KONKURENCJA R.N.TV'!D47</f>
        <v>-24481.74</v>
      </c>
      <c r="H72" s="55">
        <f>'KONKURENCJA R.O.KOM.'!B47</f>
        <v>-338000</v>
      </c>
      <c r="I72" s="55">
        <f>'KONKURENCJA R.O.KOM.'!C47</f>
        <v>-344000</v>
      </c>
      <c r="J72" s="55">
        <f>'KONKURENCJA R.O.KOM.'!D47</f>
        <v>-336000</v>
      </c>
      <c r="K72" s="55">
        <f>'KONKURENCJA R.O.KOM.'!E47</f>
        <v>-346118</v>
      </c>
      <c r="L72" s="55">
        <f>'KONKURENCJA R.O.KOM.'!F47</f>
        <v>-374679</v>
      </c>
      <c r="M72" s="55">
        <f>'KONKURENCJA R.O.KOM.'!G47</f>
        <v>-656423</v>
      </c>
      <c r="R72" s="30" t="s">
        <v>331</v>
      </c>
      <c r="S72" s="33">
        <v>2019</v>
      </c>
      <c r="T72" s="33">
        <v>2018</v>
      </c>
      <c r="U72" s="33">
        <v>2017</v>
      </c>
      <c r="V72" s="33" t="s">
        <v>322</v>
      </c>
      <c r="W72" s="33" t="s">
        <v>323</v>
      </c>
    </row>
    <row r="73" spans="1:23" x14ac:dyDescent="0.25">
      <c r="R73" s="187" t="s">
        <v>4</v>
      </c>
      <c r="S73" s="187"/>
      <c r="T73" s="187"/>
      <c r="U73" s="187"/>
      <c r="V73" s="187"/>
      <c r="W73" s="187"/>
    </row>
    <row r="74" spans="1:23" x14ac:dyDescent="0.25">
      <c r="A74" s="30" t="s">
        <v>338</v>
      </c>
      <c r="B74" s="59">
        <f>B75/B76</f>
        <v>0.99610128137316789</v>
      </c>
      <c r="C74" s="59">
        <f t="shared" ref="C74:M74" si="115">C75/C76</f>
        <v>0.99815987595508981</v>
      </c>
      <c r="D74" s="59">
        <f t="shared" si="115"/>
        <v>0.99783754149788317</v>
      </c>
      <c r="E74" s="59">
        <f t="shared" si="115"/>
        <v>0.984932953223293</v>
      </c>
      <c r="F74" s="59">
        <f t="shared" si="115"/>
        <v>0.98372612878756893</v>
      </c>
      <c r="G74" s="59">
        <f t="shared" si="115"/>
        <v>0.98498871063237114</v>
      </c>
      <c r="H74" s="59">
        <f t="shared" si="115"/>
        <v>0.97956028856063204</v>
      </c>
      <c r="I74" s="59">
        <f t="shared" si="115"/>
        <v>0.97771710410428048</v>
      </c>
      <c r="J74" s="59">
        <f t="shared" si="115"/>
        <v>0.97440068493150689</v>
      </c>
      <c r="K74" s="59">
        <f t="shared" si="115"/>
        <v>0.98919796145856254</v>
      </c>
      <c r="L74" s="59">
        <f t="shared" si="115"/>
        <v>0.98868951527505977</v>
      </c>
      <c r="M74" s="59">
        <f t="shared" si="115"/>
        <v>0.9838076876387335</v>
      </c>
      <c r="R74" s="53" t="s">
        <v>328</v>
      </c>
      <c r="S74" s="52">
        <f>B63</f>
        <v>11676100</v>
      </c>
      <c r="T74" s="52">
        <f t="shared" ref="T74:U76" si="116">C63</f>
        <v>10686100</v>
      </c>
      <c r="U74" s="52">
        <f t="shared" si="116"/>
        <v>9828600</v>
      </c>
      <c r="V74" s="60">
        <f>(S74-T74)/T74</f>
        <v>9.2643714732222229E-2</v>
      </c>
      <c r="W74" s="60">
        <f>(T74-U74)/U74</f>
        <v>8.7245385914575826E-2</v>
      </c>
    </row>
    <row r="75" spans="1:23" x14ac:dyDescent="0.25">
      <c r="A75" s="53" t="str">
        <f>A4</f>
        <v>przychody netto ze sprzedaży</v>
      </c>
      <c r="B75" s="53">
        <f>B4</f>
        <v>11676100</v>
      </c>
      <c r="C75" s="53">
        <f>C4</f>
        <v>10686100</v>
      </c>
      <c r="D75" s="53">
        <f>D4</f>
        <v>9828600</v>
      </c>
      <c r="E75" s="53">
        <f>E4</f>
        <v>2707328.91</v>
      </c>
      <c r="F75" s="53">
        <f t="shared" ref="F75:M75" si="117">F4</f>
        <v>2205047.9700000002</v>
      </c>
      <c r="G75" s="53">
        <f t="shared" si="117"/>
        <v>1777328.03</v>
      </c>
      <c r="H75" s="53">
        <f t="shared" si="117"/>
        <v>11406000</v>
      </c>
      <c r="I75" s="53">
        <f t="shared" si="117"/>
        <v>11101000</v>
      </c>
      <c r="J75" s="53">
        <f t="shared" si="117"/>
        <v>11381000</v>
      </c>
      <c r="K75" s="53">
        <f t="shared" si="117"/>
        <v>7040753</v>
      </c>
      <c r="L75" s="53">
        <f t="shared" si="117"/>
        <v>6839148</v>
      </c>
      <c r="M75" s="53">
        <f t="shared" si="117"/>
        <v>6669859</v>
      </c>
      <c r="R75" s="53" t="s">
        <v>329</v>
      </c>
      <c r="S75" s="52">
        <f t="shared" ref="S75:S76" si="118">B64</f>
        <v>45700</v>
      </c>
      <c r="T75" s="52">
        <f t="shared" si="116"/>
        <v>19700</v>
      </c>
      <c r="U75" s="52">
        <f t="shared" si="116"/>
        <v>21300</v>
      </c>
      <c r="V75" s="60">
        <f>(S75-T75)/S75</f>
        <v>0.56892778993435444</v>
      </c>
      <c r="W75" s="60">
        <f>(T75-U75)/T75</f>
        <v>-8.1218274111675121E-2</v>
      </c>
    </row>
    <row r="76" spans="1:23" x14ac:dyDescent="0.25">
      <c r="A76" s="53" t="str">
        <f>A16</f>
        <v>Przychody ogółem</v>
      </c>
      <c r="B76" s="53">
        <f t="shared" ref="B76:M76" si="119">B16</f>
        <v>11721800</v>
      </c>
      <c r="C76" s="53">
        <f t="shared" si="119"/>
        <v>10705800</v>
      </c>
      <c r="D76" s="53">
        <f t="shared" si="119"/>
        <v>9849900</v>
      </c>
      <c r="E76" s="53">
        <f t="shared" si="119"/>
        <v>2748744.37</v>
      </c>
      <c r="F76" s="53">
        <f t="shared" si="119"/>
        <v>2241526.2799999998</v>
      </c>
      <c r="G76" s="53">
        <f t="shared" si="119"/>
        <v>1804414.62</v>
      </c>
      <c r="H76" s="53">
        <f t="shared" si="119"/>
        <v>11644000</v>
      </c>
      <c r="I76" s="53">
        <f t="shared" si="119"/>
        <v>11354000</v>
      </c>
      <c r="J76" s="53">
        <f t="shared" si="119"/>
        <v>11680000</v>
      </c>
      <c r="K76" s="53">
        <f t="shared" si="119"/>
        <v>7117638</v>
      </c>
      <c r="L76" s="53">
        <f t="shared" si="119"/>
        <v>6917387</v>
      </c>
      <c r="M76" s="53">
        <f t="shared" si="119"/>
        <v>6779637</v>
      </c>
      <c r="R76" s="53" t="s">
        <v>330</v>
      </c>
      <c r="S76" s="52">
        <f t="shared" si="118"/>
        <v>-27000</v>
      </c>
      <c r="T76" s="52">
        <f t="shared" si="116"/>
        <v>0</v>
      </c>
      <c r="U76" s="52">
        <f t="shared" si="116"/>
        <v>7200</v>
      </c>
      <c r="V76" s="60">
        <f>(S76-T76)/S76</f>
        <v>1</v>
      </c>
      <c r="W76" s="60">
        <f>(T76-U76)/U76</f>
        <v>-1</v>
      </c>
    </row>
    <row r="77" spans="1:23" x14ac:dyDescent="0.25">
      <c r="R77" s="188" t="s">
        <v>248</v>
      </c>
      <c r="S77" s="188"/>
      <c r="T77" s="188"/>
      <c r="U77" s="188"/>
      <c r="V77" s="188"/>
      <c r="W77" s="188"/>
    </row>
    <row r="78" spans="1:23" x14ac:dyDescent="0.25">
      <c r="Q78" s="52"/>
      <c r="R78" s="53" t="s">
        <v>328</v>
      </c>
      <c r="S78" s="55">
        <f>E63</f>
        <v>2707328.91</v>
      </c>
      <c r="T78" s="55">
        <f t="shared" ref="T78:U80" si="120">F63</f>
        <v>2205047.9700000002</v>
      </c>
      <c r="U78" s="55">
        <f t="shared" si="120"/>
        <v>1777328.03</v>
      </c>
      <c r="V78" s="60">
        <f t="shared" ref="V78:W80" si="121">(S78-T78)/S78</f>
        <v>0.18552638290262261</v>
      </c>
      <c r="W78" s="60">
        <f t="shared" si="121"/>
        <v>0.19397307714806772</v>
      </c>
    </row>
    <row r="79" spans="1:23" x14ac:dyDescent="0.25">
      <c r="Q79" s="52"/>
      <c r="R79" s="53" t="s">
        <v>329</v>
      </c>
      <c r="S79" s="55">
        <f t="shared" ref="S79:S80" si="122">E64</f>
        <v>41415.46</v>
      </c>
      <c r="T79" s="55">
        <f t="shared" si="120"/>
        <v>36478.31</v>
      </c>
      <c r="U79" s="55">
        <f t="shared" si="120"/>
        <v>27086.59</v>
      </c>
      <c r="V79" s="60">
        <f t="shared" si="121"/>
        <v>0.11921031421599571</v>
      </c>
      <c r="W79" s="60">
        <f t="shared" si="121"/>
        <v>0.25746039221663497</v>
      </c>
    </row>
    <row r="80" spans="1:23" x14ac:dyDescent="0.25">
      <c r="Q80" s="52"/>
      <c r="R80" s="53" t="s">
        <v>330</v>
      </c>
      <c r="S80" s="55">
        <f t="shared" si="122"/>
        <v>7856.32</v>
      </c>
      <c r="T80" s="55">
        <f t="shared" si="120"/>
        <v>11735.74</v>
      </c>
      <c r="U80" s="55">
        <f t="shared" si="120"/>
        <v>8786.33</v>
      </c>
      <c r="V80" s="60">
        <f t="shared" si="121"/>
        <v>-0.49379607755284921</v>
      </c>
      <c r="W80" s="60">
        <f t="shared" si="121"/>
        <v>0.25131862157818763</v>
      </c>
    </row>
    <row r="81" spans="17:23" x14ac:dyDescent="0.25">
      <c r="Q81" s="52"/>
      <c r="R81" s="189" t="s">
        <v>246</v>
      </c>
      <c r="S81" s="189"/>
      <c r="T81" s="189"/>
      <c r="U81" s="189"/>
      <c r="V81" s="189"/>
      <c r="W81" s="189"/>
    </row>
    <row r="82" spans="17:23" x14ac:dyDescent="0.25">
      <c r="Q82" s="52"/>
      <c r="R82" s="53" t="s">
        <v>328</v>
      </c>
      <c r="S82" s="55">
        <f>H63</f>
        <v>11406000</v>
      </c>
      <c r="T82" s="55">
        <f t="shared" ref="T82:U84" si="123">I63</f>
        <v>11101000</v>
      </c>
      <c r="U82" s="55">
        <f t="shared" si="123"/>
        <v>11381000</v>
      </c>
      <c r="V82" s="60">
        <f t="shared" ref="V82:W84" si="124">(S82-T82)/S82</f>
        <v>2.6740312116429948E-2</v>
      </c>
      <c r="W82" s="60">
        <f t="shared" si="124"/>
        <v>-2.5222952887127285E-2</v>
      </c>
    </row>
    <row r="83" spans="17:23" x14ac:dyDescent="0.25">
      <c r="Q83" s="52"/>
      <c r="R83" s="53" t="s">
        <v>329</v>
      </c>
      <c r="S83" s="55">
        <f t="shared" ref="S83:S84" si="125">H64</f>
        <v>238000</v>
      </c>
      <c r="T83" s="55">
        <f t="shared" si="123"/>
        <v>253000</v>
      </c>
      <c r="U83" s="55">
        <f t="shared" si="123"/>
        <v>299000</v>
      </c>
      <c r="V83" s="60">
        <f t="shared" si="124"/>
        <v>-6.3025210084033612E-2</v>
      </c>
      <c r="W83" s="60">
        <f t="shared" si="124"/>
        <v>-0.18181818181818182</v>
      </c>
    </row>
    <row r="84" spans="17:23" x14ac:dyDescent="0.25">
      <c r="Q84" s="52"/>
      <c r="R84" s="53" t="s">
        <v>330</v>
      </c>
      <c r="S84" s="55">
        <f t="shared" si="125"/>
        <v>40000</v>
      </c>
      <c r="T84" s="55">
        <f t="shared" si="123"/>
        <v>39000</v>
      </c>
      <c r="U84" s="55">
        <f t="shared" si="123"/>
        <v>32000</v>
      </c>
      <c r="V84" s="60">
        <f t="shared" si="124"/>
        <v>2.5000000000000001E-2</v>
      </c>
      <c r="W84" s="60">
        <f t="shared" si="124"/>
        <v>0.17948717948717949</v>
      </c>
    </row>
    <row r="85" spans="17:23" x14ac:dyDescent="0.25">
      <c r="Q85" s="52"/>
      <c r="R85" s="190" t="s">
        <v>247</v>
      </c>
      <c r="S85" s="190"/>
      <c r="T85" s="190"/>
      <c r="U85" s="190"/>
      <c r="V85" s="190"/>
      <c r="W85" s="190"/>
    </row>
    <row r="86" spans="17:23" x14ac:dyDescent="0.25">
      <c r="R86" s="53" t="s">
        <v>328</v>
      </c>
      <c r="S86" s="55">
        <f>K63</f>
        <v>7040753</v>
      </c>
      <c r="T86" s="55">
        <f t="shared" ref="T86:U88" si="126">L63</f>
        <v>6839148</v>
      </c>
      <c r="U86" s="55">
        <f t="shared" si="126"/>
        <v>6669859</v>
      </c>
      <c r="V86" s="60">
        <f t="shared" ref="V86:W88" si="127">(S86-T86)/S86</f>
        <v>2.8634011163294608E-2</v>
      </c>
      <c r="W86" s="60">
        <f t="shared" si="127"/>
        <v>2.4752937061750968E-2</v>
      </c>
    </row>
    <row r="87" spans="17:23" x14ac:dyDescent="0.25">
      <c r="R87" s="53" t="s">
        <v>329</v>
      </c>
      <c r="S87" s="55">
        <f t="shared" ref="S87:S88" si="128">K64</f>
        <v>76885</v>
      </c>
      <c r="T87" s="55">
        <f t="shared" si="126"/>
        <v>78239</v>
      </c>
      <c r="U87" s="55">
        <f t="shared" si="126"/>
        <v>109778</v>
      </c>
      <c r="V87" s="60">
        <f t="shared" si="127"/>
        <v>-1.7610717305066009E-2</v>
      </c>
      <c r="W87" s="60">
        <f t="shared" si="127"/>
        <v>-0.40311098045731669</v>
      </c>
    </row>
    <row r="88" spans="17:23" x14ac:dyDescent="0.25">
      <c r="R88" s="53" t="s">
        <v>330</v>
      </c>
      <c r="S88" s="55">
        <f t="shared" si="128"/>
        <v>1218</v>
      </c>
      <c r="T88" s="55">
        <f t="shared" si="126"/>
        <v>1675</v>
      </c>
      <c r="U88" s="55">
        <f t="shared" si="126"/>
        <v>178850</v>
      </c>
      <c r="V88" s="60">
        <f t="shared" si="127"/>
        <v>-0.37520525451559933</v>
      </c>
      <c r="W88" s="60">
        <f t="shared" si="127"/>
        <v>-105.77611940298507</v>
      </c>
    </row>
    <row r="90" spans="17:23" x14ac:dyDescent="0.25">
      <c r="R90" s="30" t="s">
        <v>332</v>
      </c>
      <c r="S90" s="33">
        <v>2019</v>
      </c>
      <c r="T90" s="33">
        <v>2018</v>
      </c>
      <c r="U90" s="33">
        <v>2017</v>
      </c>
      <c r="V90" s="33" t="s">
        <v>322</v>
      </c>
      <c r="W90" s="33" t="s">
        <v>323</v>
      </c>
    </row>
    <row r="91" spans="17:23" x14ac:dyDescent="0.25">
      <c r="R91" s="187" t="s">
        <v>4</v>
      </c>
      <c r="S91" s="187"/>
      <c r="T91" s="187"/>
      <c r="U91" s="187"/>
      <c r="V91" s="187"/>
      <c r="W91" s="187"/>
    </row>
    <row r="92" spans="17:23" x14ac:dyDescent="0.25">
      <c r="R92" s="53" t="s">
        <v>328</v>
      </c>
      <c r="S92" s="52">
        <f>B68</f>
        <v>-9754800</v>
      </c>
      <c r="T92" s="52">
        <f t="shared" ref="T92:T94" si="129">C81</f>
        <v>0</v>
      </c>
      <c r="U92" s="52">
        <f t="shared" ref="U92:U94" si="130">D81</f>
        <v>0</v>
      </c>
      <c r="V92" s="60" t="e">
        <f>(S92-T92)/T92</f>
        <v>#DIV/0!</v>
      </c>
      <c r="W92" s="60" t="e">
        <f>(T92-U92)/U92</f>
        <v>#DIV/0!</v>
      </c>
    </row>
    <row r="93" spans="17:23" x14ac:dyDescent="0.25">
      <c r="R93" s="53" t="s">
        <v>329</v>
      </c>
      <c r="S93" s="52">
        <f t="shared" ref="S93:S94" si="131">B82</f>
        <v>0</v>
      </c>
      <c r="T93" s="52">
        <f t="shared" si="129"/>
        <v>0</v>
      </c>
      <c r="U93" s="52">
        <f t="shared" si="130"/>
        <v>0</v>
      </c>
      <c r="V93" s="60" t="e">
        <f>(S93-T93)/S93</f>
        <v>#DIV/0!</v>
      </c>
      <c r="W93" s="60" t="e">
        <f>(T93-U93)/T93</f>
        <v>#DIV/0!</v>
      </c>
    </row>
    <row r="94" spans="17:23" x14ac:dyDescent="0.25">
      <c r="R94" s="53" t="s">
        <v>330</v>
      </c>
      <c r="S94" s="52">
        <f t="shared" si="131"/>
        <v>0</v>
      </c>
      <c r="T94" s="52">
        <f t="shared" si="129"/>
        <v>0</v>
      </c>
      <c r="U94" s="52">
        <f t="shared" si="130"/>
        <v>0</v>
      </c>
      <c r="V94" s="60" t="e">
        <f>(S94-T94)/S94</f>
        <v>#DIV/0!</v>
      </c>
      <c r="W94" s="60" t="e">
        <f>(T94-U94)/U94</f>
        <v>#DIV/0!</v>
      </c>
    </row>
    <row r="95" spans="17:23" x14ac:dyDescent="0.25">
      <c r="R95" s="188" t="s">
        <v>248</v>
      </c>
      <c r="S95" s="188"/>
      <c r="T95" s="188"/>
      <c r="U95" s="188"/>
      <c r="V95" s="188"/>
      <c r="W95" s="188"/>
    </row>
    <row r="96" spans="17:23" x14ac:dyDescent="0.25">
      <c r="R96" s="53" t="s">
        <v>328</v>
      </c>
      <c r="S96" s="55">
        <f>E81</f>
        <v>0</v>
      </c>
      <c r="T96" s="55">
        <f t="shared" ref="T96:T98" si="132">F81</f>
        <v>0</v>
      </c>
      <c r="U96" s="55">
        <f t="shared" ref="U96:U98" si="133">G81</f>
        <v>0</v>
      </c>
      <c r="V96" s="60" t="e">
        <f t="shared" ref="V96:W98" si="134">(S96-T96)/S96</f>
        <v>#DIV/0!</v>
      </c>
      <c r="W96" s="60" t="e">
        <f t="shared" si="134"/>
        <v>#DIV/0!</v>
      </c>
    </row>
    <row r="97" spans="18:23" x14ac:dyDescent="0.25">
      <c r="R97" s="53" t="s">
        <v>329</v>
      </c>
      <c r="S97" s="55">
        <f t="shared" ref="S97:S98" si="135">E82</f>
        <v>0</v>
      </c>
      <c r="T97" s="55">
        <f t="shared" si="132"/>
        <v>0</v>
      </c>
      <c r="U97" s="55">
        <f t="shared" si="133"/>
        <v>0</v>
      </c>
      <c r="V97" s="60" t="e">
        <f t="shared" si="134"/>
        <v>#DIV/0!</v>
      </c>
      <c r="W97" s="60" t="e">
        <f t="shared" si="134"/>
        <v>#DIV/0!</v>
      </c>
    </row>
    <row r="98" spans="18:23" x14ac:dyDescent="0.25">
      <c r="R98" s="53" t="s">
        <v>330</v>
      </c>
      <c r="S98" s="55">
        <f t="shared" si="135"/>
        <v>0</v>
      </c>
      <c r="T98" s="55">
        <f t="shared" si="132"/>
        <v>0</v>
      </c>
      <c r="U98" s="55">
        <f t="shared" si="133"/>
        <v>0</v>
      </c>
      <c r="V98" s="60" t="e">
        <f t="shared" si="134"/>
        <v>#DIV/0!</v>
      </c>
      <c r="W98" s="60" t="e">
        <f t="shared" si="134"/>
        <v>#DIV/0!</v>
      </c>
    </row>
    <row r="99" spans="18:23" x14ac:dyDescent="0.25">
      <c r="R99" s="189" t="s">
        <v>246</v>
      </c>
      <c r="S99" s="189"/>
      <c r="T99" s="189"/>
      <c r="U99" s="189"/>
      <c r="V99" s="189"/>
      <c r="W99" s="189"/>
    </row>
    <row r="100" spans="18:23" x14ac:dyDescent="0.25">
      <c r="R100" s="53" t="s">
        <v>328</v>
      </c>
      <c r="S100" s="55">
        <f>H81</f>
        <v>0</v>
      </c>
      <c r="T100" s="55">
        <f t="shared" ref="T100:T102" si="136">I81</f>
        <v>0</v>
      </c>
      <c r="U100" s="55">
        <f t="shared" ref="U100:U102" si="137">J81</f>
        <v>0</v>
      </c>
      <c r="V100" s="60" t="e">
        <f t="shared" ref="V100:W102" si="138">(S100-T100)/S100</f>
        <v>#DIV/0!</v>
      </c>
      <c r="W100" s="60" t="e">
        <f t="shared" si="138"/>
        <v>#DIV/0!</v>
      </c>
    </row>
    <row r="101" spans="18:23" x14ac:dyDescent="0.25">
      <c r="R101" s="53" t="s">
        <v>329</v>
      </c>
      <c r="S101" s="55">
        <f t="shared" ref="S101:S102" si="139">H82</f>
        <v>0</v>
      </c>
      <c r="T101" s="55">
        <f t="shared" si="136"/>
        <v>0</v>
      </c>
      <c r="U101" s="55">
        <f t="shared" si="137"/>
        <v>0</v>
      </c>
      <c r="V101" s="60" t="e">
        <f t="shared" si="138"/>
        <v>#DIV/0!</v>
      </c>
      <c r="W101" s="60" t="e">
        <f t="shared" si="138"/>
        <v>#DIV/0!</v>
      </c>
    </row>
    <row r="102" spans="18:23" x14ac:dyDescent="0.25">
      <c r="R102" s="53" t="s">
        <v>330</v>
      </c>
      <c r="S102" s="55">
        <f t="shared" si="139"/>
        <v>0</v>
      </c>
      <c r="T102" s="55">
        <f t="shared" si="136"/>
        <v>0</v>
      </c>
      <c r="U102" s="55">
        <f t="shared" si="137"/>
        <v>0</v>
      </c>
      <c r="V102" s="60" t="e">
        <f t="shared" si="138"/>
        <v>#DIV/0!</v>
      </c>
      <c r="W102" s="60" t="e">
        <f t="shared" si="138"/>
        <v>#DIV/0!</v>
      </c>
    </row>
    <row r="103" spans="18:23" x14ac:dyDescent="0.25">
      <c r="R103" s="190" t="s">
        <v>247</v>
      </c>
      <c r="S103" s="190"/>
      <c r="T103" s="190"/>
      <c r="U103" s="190"/>
      <c r="V103" s="190"/>
      <c r="W103" s="190"/>
    </row>
    <row r="104" spans="18:23" x14ac:dyDescent="0.25">
      <c r="R104" s="53" t="s">
        <v>328</v>
      </c>
      <c r="S104" s="55">
        <f>K81</f>
        <v>0</v>
      </c>
      <c r="T104" s="55">
        <f t="shared" ref="T104:T106" si="140">L81</f>
        <v>0</v>
      </c>
      <c r="U104" s="55">
        <f t="shared" ref="U104:U106" si="141">M81</f>
        <v>0</v>
      </c>
      <c r="V104" s="60" t="e">
        <f t="shared" ref="V104:W106" si="142">(S104-T104)/S104</f>
        <v>#DIV/0!</v>
      </c>
      <c r="W104" s="60" t="e">
        <f t="shared" si="142"/>
        <v>#DIV/0!</v>
      </c>
    </row>
    <row r="105" spans="18:23" x14ac:dyDescent="0.25">
      <c r="R105" s="53" t="s">
        <v>329</v>
      </c>
      <c r="S105" s="55">
        <f t="shared" ref="S105:S106" si="143">K82</f>
        <v>0</v>
      </c>
      <c r="T105" s="55">
        <f t="shared" si="140"/>
        <v>0</v>
      </c>
      <c r="U105" s="55">
        <f t="shared" si="141"/>
        <v>0</v>
      </c>
      <c r="V105" s="60" t="e">
        <f t="shared" si="142"/>
        <v>#DIV/0!</v>
      </c>
      <c r="W105" s="60" t="e">
        <f t="shared" si="142"/>
        <v>#DIV/0!</v>
      </c>
    </row>
    <row r="106" spans="18:23" x14ac:dyDescent="0.25">
      <c r="R106" s="53" t="s">
        <v>330</v>
      </c>
      <c r="S106" s="55">
        <f t="shared" si="143"/>
        <v>0</v>
      </c>
      <c r="T106" s="55">
        <f t="shared" si="140"/>
        <v>0</v>
      </c>
      <c r="U106" s="55">
        <f t="shared" si="141"/>
        <v>0</v>
      </c>
      <c r="V106" s="60" t="e">
        <f t="shared" si="142"/>
        <v>#DIV/0!</v>
      </c>
      <c r="W106" s="60" t="e">
        <f t="shared" si="142"/>
        <v>#DIV/0!</v>
      </c>
    </row>
  </sheetData>
  <mergeCells count="24">
    <mergeCell ref="R99:W99"/>
    <mergeCell ref="R103:W103"/>
    <mergeCell ref="AH1:AJ1"/>
    <mergeCell ref="AH2:AJ2"/>
    <mergeCell ref="R81:W81"/>
    <mergeCell ref="R85:W85"/>
    <mergeCell ref="R91:W91"/>
    <mergeCell ref="R95:W95"/>
    <mergeCell ref="R65:W65"/>
    <mergeCell ref="R68:W68"/>
    <mergeCell ref="R73:W73"/>
    <mergeCell ref="R77:W77"/>
    <mergeCell ref="R59:W59"/>
    <mergeCell ref="R62:W62"/>
    <mergeCell ref="AH21:AJ21"/>
    <mergeCell ref="AH22:AJ22"/>
    <mergeCell ref="B1:D1"/>
    <mergeCell ref="E1:M1"/>
    <mergeCell ref="N1:P1"/>
    <mergeCell ref="B2:D2"/>
    <mergeCell ref="E2:G2"/>
    <mergeCell ref="H2:J2"/>
    <mergeCell ref="K2:M2"/>
    <mergeCell ref="N2:P2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4C3D-733F-4FDD-B9EC-41C652659C46}">
  <sheetPr>
    <tabColor theme="6"/>
  </sheetPr>
  <dimension ref="A1:BR69"/>
  <sheetViews>
    <sheetView topLeftCell="BB1" zoomScale="85" zoomScaleNormal="85" workbookViewId="0">
      <selection activeCell="BU10" sqref="BU10"/>
    </sheetView>
  </sheetViews>
  <sheetFormatPr defaultRowHeight="15" x14ac:dyDescent="0.25"/>
  <cols>
    <col min="1" max="1" width="63.5703125" style="72" bestFit="1" customWidth="1"/>
    <col min="2" max="2" width="12.7109375" bestFit="1" customWidth="1"/>
    <col min="3" max="4" width="11.5703125" bestFit="1" customWidth="1"/>
    <col min="5" max="5" width="11.28515625" style="72" bestFit="1" customWidth="1"/>
    <col min="6" max="7" width="11" bestFit="1" customWidth="1"/>
    <col min="8" max="10" width="11.7109375" bestFit="1" customWidth="1"/>
    <col min="11" max="13" width="15" bestFit="1" customWidth="1"/>
    <col min="14" max="14" width="11.28515625" bestFit="1" customWidth="1"/>
    <col min="15" max="16" width="12.28515625" bestFit="1" customWidth="1"/>
    <col min="17" max="17" width="9.85546875" bestFit="1" customWidth="1"/>
    <col min="18" max="18" width="59.7109375" bestFit="1" customWidth="1"/>
    <col min="19" max="19" width="9" customWidth="1"/>
    <col min="20" max="21" width="9.85546875" bestFit="1" customWidth="1"/>
    <col min="22" max="28" width="9.85546875" style="67" customWidth="1"/>
    <col min="29" max="29" width="9.85546875" bestFit="1" customWidth="1"/>
    <col min="30" max="30" width="33.140625" bestFit="1" customWidth="1"/>
    <col min="31" max="31" width="55.7109375" bestFit="1" customWidth="1"/>
    <col min="32" max="34" width="11.5703125" bestFit="1" customWidth="1"/>
    <col min="35" max="35" width="14.5703125" bestFit="1" customWidth="1"/>
    <col min="36" max="36" width="14.5703125" style="67" bestFit="1" customWidth="1"/>
    <col min="37" max="37" width="4.140625" style="67" bestFit="1" customWidth="1"/>
    <col min="38" max="38" width="9.140625" style="67"/>
    <col min="39" max="39" width="49.42578125" bestFit="1" customWidth="1"/>
    <col min="40" max="40" width="11.7109375" bestFit="1" customWidth="1"/>
    <col min="41" max="42" width="9.85546875" bestFit="1" customWidth="1"/>
    <col min="43" max="43" width="60.85546875" bestFit="1" customWidth="1"/>
    <col min="44" max="46" width="9.85546875" bestFit="1" customWidth="1"/>
    <col min="50" max="50" width="61.85546875" bestFit="1" customWidth="1"/>
  </cols>
  <sheetData>
    <row r="1" spans="1:70" ht="15.75" thickBot="1" x14ac:dyDescent="0.3">
      <c r="A1" s="36"/>
      <c r="B1" s="184" t="s">
        <v>255</v>
      </c>
      <c r="C1" s="184"/>
      <c r="D1" s="184"/>
      <c r="E1" s="185" t="s">
        <v>254</v>
      </c>
      <c r="F1" s="185"/>
      <c r="G1" s="185"/>
      <c r="H1" s="185"/>
      <c r="I1" s="185"/>
      <c r="J1" s="185"/>
      <c r="K1" s="185"/>
      <c r="L1" s="185"/>
      <c r="M1" s="185"/>
      <c r="N1" s="186" t="s">
        <v>301</v>
      </c>
      <c r="O1" s="179"/>
      <c r="P1" s="179"/>
      <c r="R1" s="30" t="str">
        <f>A25</f>
        <v>WSKAŹNIK STRUKTURY AKTYWÓW</v>
      </c>
      <c r="S1" s="33">
        <v>2019</v>
      </c>
      <c r="T1" s="33">
        <v>2018</v>
      </c>
      <c r="U1" s="33">
        <v>2017</v>
      </c>
      <c r="V1" s="33"/>
      <c r="W1" s="33"/>
      <c r="X1" s="33"/>
      <c r="Y1" s="33"/>
      <c r="Z1" s="33"/>
      <c r="AA1" s="33"/>
      <c r="AB1" s="33"/>
      <c r="AE1" s="30" t="s">
        <v>343</v>
      </c>
      <c r="AF1" s="30">
        <v>2019</v>
      </c>
      <c r="AG1" s="30">
        <v>2018</v>
      </c>
      <c r="AH1" s="30">
        <v>2017</v>
      </c>
      <c r="AM1" s="196" t="s">
        <v>833</v>
      </c>
      <c r="AN1" s="197"/>
      <c r="AO1" s="197"/>
      <c r="AP1" s="197"/>
      <c r="AQ1" s="197"/>
      <c r="AR1" s="197"/>
      <c r="AS1" s="197"/>
      <c r="AT1" s="197"/>
      <c r="AY1" s="187" t="s">
        <v>4</v>
      </c>
      <c r="AZ1" s="187"/>
      <c r="BA1" s="187"/>
      <c r="BB1" s="191" t="s">
        <v>298</v>
      </c>
      <c r="BC1" s="191"/>
      <c r="BD1" s="191"/>
      <c r="BJ1" s="194" t="s">
        <v>976</v>
      </c>
      <c r="BK1" s="195"/>
      <c r="BL1" s="195"/>
      <c r="BM1" s="195"/>
      <c r="BN1" s="195"/>
      <c r="BO1" s="195"/>
      <c r="BP1" s="195"/>
      <c r="BQ1" s="195"/>
      <c r="BR1" s="67"/>
    </row>
    <row r="2" spans="1:70" ht="16.5" thickBot="1" x14ac:dyDescent="0.3">
      <c r="A2" s="37" t="s">
        <v>256</v>
      </c>
      <c r="B2" s="187" t="s">
        <v>4</v>
      </c>
      <c r="C2" s="187"/>
      <c r="D2" s="187"/>
      <c r="E2" s="188" t="s">
        <v>248</v>
      </c>
      <c r="F2" s="188"/>
      <c r="G2" s="188"/>
      <c r="H2" s="189" t="s">
        <v>246</v>
      </c>
      <c r="I2" s="189"/>
      <c r="J2" s="189"/>
      <c r="K2" s="190" t="s">
        <v>247</v>
      </c>
      <c r="L2" s="190"/>
      <c r="M2" s="190"/>
      <c r="N2" s="191" t="s">
        <v>298</v>
      </c>
      <c r="O2" s="191"/>
      <c r="P2" s="191"/>
      <c r="R2" s="67" t="str">
        <f>$B$2</f>
        <v>Cyfrowy Polsat S.A. (Polska)</v>
      </c>
      <c r="S2" s="48">
        <f>B25</f>
        <v>0.8470401600510592</v>
      </c>
      <c r="T2" s="48">
        <f t="shared" ref="T2:U2" si="0">C25</f>
        <v>0.82334640744312115</v>
      </c>
      <c r="U2" s="48">
        <f t="shared" si="0"/>
        <v>0.85835495028102027</v>
      </c>
      <c r="V2" s="48"/>
      <c r="W2" s="48"/>
      <c r="X2" s="48"/>
      <c r="Y2" s="48"/>
      <c r="Z2" s="48"/>
      <c r="AA2" s="48"/>
      <c r="AB2" s="48"/>
      <c r="AE2" s="74" t="str">
        <f t="shared" ref="AE2:AH2" si="1">AM3</f>
        <v>AKTYWA RAZEM</v>
      </c>
      <c r="AF2" s="96">
        <f t="shared" si="1"/>
        <v>32589600</v>
      </c>
      <c r="AG2" s="96">
        <f t="shared" si="1"/>
        <v>30696800</v>
      </c>
      <c r="AH2" s="96">
        <f t="shared" si="1"/>
        <v>27756000</v>
      </c>
      <c r="AM2" s="71" t="s">
        <v>341</v>
      </c>
      <c r="AN2" s="68">
        <v>2019</v>
      </c>
      <c r="AO2" s="69">
        <v>2018</v>
      </c>
      <c r="AP2" s="70">
        <v>2017</v>
      </c>
      <c r="AQ2" s="73" t="s">
        <v>342</v>
      </c>
      <c r="AR2" s="68">
        <v>2019</v>
      </c>
      <c r="AS2" s="69">
        <v>2018</v>
      </c>
      <c r="AT2" s="70">
        <v>2017</v>
      </c>
      <c r="AX2" t="s">
        <v>873</v>
      </c>
      <c r="AY2" s="33">
        <v>2019</v>
      </c>
      <c r="AZ2" s="33">
        <v>2018</v>
      </c>
      <c r="BA2" s="33">
        <v>2017</v>
      </c>
      <c r="BB2" s="33">
        <v>2019</v>
      </c>
      <c r="BC2" s="33">
        <v>2018</v>
      </c>
      <c r="BD2" s="33">
        <v>2017</v>
      </c>
      <c r="BJ2" s="155" t="s">
        <v>341</v>
      </c>
      <c r="BK2" s="156">
        <v>2019</v>
      </c>
      <c r="BL2" s="157">
        <v>2018</v>
      </c>
      <c r="BM2" s="158">
        <v>2017</v>
      </c>
      <c r="BN2" s="159" t="s">
        <v>342</v>
      </c>
      <c r="BO2" s="156">
        <v>2019</v>
      </c>
      <c r="BP2" s="157">
        <v>2018</v>
      </c>
      <c r="BQ2" s="158">
        <v>2017</v>
      </c>
      <c r="BR2" s="160"/>
    </row>
    <row r="3" spans="1:70" ht="16.5" thickBot="1" x14ac:dyDescent="0.3">
      <c r="A3" s="37" t="s">
        <v>257</v>
      </c>
      <c r="B3" s="33">
        <v>2019</v>
      </c>
      <c r="C3" s="33">
        <v>2018</v>
      </c>
      <c r="D3" s="33">
        <v>2017</v>
      </c>
      <c r="E3" s="33">
        <v>2019</v>
      </c>
      <c r="F3" s="33">
        <v>2018</v>
      </c>
      <c r="G3" s="33">
        <v>2017</v>
      </c>
      <c r="H3" s="33">
        <v>2019</v>
      </c>
      <c r="I3" s="33">
        <v>2018</v>
      </c>
      <c r="J3" s="33">
        <v>2017</v>
      </c>
      <c r="K3" s="33">
        <v>2019</v>
      </c>
      <c r="L3" s="33">
        <v>2018</v>
      </c>
      <c r="M3" s="33">
        <v>2017</v>
      </c>
      <c r="N3" s="33">
        <v>2019</v>
      </c>
      <c r="O3" s="33">
        <v>2018</v>
      </c>
      <c r="P3" s="33">
        <v>2017</v>
      </c>
      <c r="R3" s="67" t="str">
        <f>$E$2</f>
        <v>Telewizja Polska S.A. (Polska)</v>
      </c>
      <c r="S3" s="48">
        <f>E25</f>
        <v>0.47216435984847865</v>
      </c>
      <c r="T3" s="48">
        <f t="shared" ref="T3:U3" si="2">F25</f>
        <v>0.59179777054970273</v>
      </c>
      <c r="U3" s="48">
        <f t="shared" si="2"/>
        <v>0.50619776156630347</v>
      </c>
      <c r="V3" s="48"/>
      <c r="W3" s="48"/>
      <c r="X3" s="48"/>
      <c r="Y3" s="48"/>
      <c r="Z3" s="48"/>
      <c r="AA3" s="48"/>
      <c r="AB3" s="48"/>
      <c r="AE3" s="74" t="str">
        <f>AM4</f>
        <v>      I. Aktywa trwałe</v>
      </c>
      <c r="AF3" s="75">
        <f>AN4</f>
        <v>27604700</v>
      </c>
      <c r="AG3" s="75">
        <f>AO4</f>
        <v>25274100</v>
      </c>
      <c r="AH3" s="75">
        <f>AP4</f>
        <v>23824500</v>
      </c>
      <c r="AM3" s="89" t="s">
        <v>834</v>
      </c>
      <c r="AN3" s="90">
        <v>32589600</v>
      </c>
      <c r="AO3" s="90">
        <v>30696800</v>
      </c>
      <c r="AP3" s="91">
        <v>27756000</v>
      </c>
      <c r="AQ3" s="89" t="s">
        <v>835</v>
      </c>
      <c r="AR3" s="90">
        <v>32589600</v>
      </c>
      <c r="AS3" s="90">
        <v>30696800</v>
      </c>
      <c r="AT3" s="90">
        <v>27756000</v>
      </c>
      <c r="AX3" t="str">
        <f>A25</f>
        <v>WSKAŹNIK STRUKTURY AKTYWÓW</v>
      </c>
      <c r="AY3" s="48">
        <f t="shared" ref="AY3:BA3" si="3">B25</f>
        <v>0.8470401600510592</v>
      </c>
      <c r="AZ3" s="48">
        <f t="shared" si="3"/>
        <v>0.82334640744312115</v>
      </c>
      <c r="BA3" s="48">
        <f t="shared" si="3"/>
        <v>0.85835495028102027</v>
      </c>
      <c r="BB3" s="48">
        <f>N25</f>
        <v>0.81904094346434841</v>
      </c>
      <c r="BC3" s="48">
        <f t="shared" ref="BC3:BD3" si="4">O25</f>
        <v>0.79999506871682868</v>
      </c>
      <c r="BD3" s="48">
        <f t="shared" si="4"/>
        <v>0.81534917060996981</v>
      </c>
      <c r="BJ3" s="161" t="s">
        <v>834</v>
      </c>
      <c r="BK3" s="162">
        <v>32589600</v>
      </c>
      <c r="BL3" s="162">
        <v>30696800</v>
      </c>
      <c r="BM3" s="163">
        <v>27756000</v>
      </c>
      <c r="BN3" s="161" t="s">
        <v>977</v>
      </c>
      <c r="BO3" s="162">
        <v>32589600</v>
      </c>
      <c r="BP3" s="162">
        <v>30696800</v>
      </c>
      <c r="BQ3" s="162">
        <v>27756000</v>
      </c>
      <c r="BR3" s="160"/>
    </row>
    <row r="4" spans="1:70" ht="16.5" thickBot="1" x14ac:dyDescent="0.3">
      <c r="A4" s="53" t="s">
        <v>303</v>
      </c>
      <c r="B4" s="67">
        <f>'CYFROWY POLSAT SA'!B14</f>
        <v>11676100</v>
      </c>
      <c r="C4" s="67">
        <f>'CYFROWY POLSAT SA'!C14</f>
        <v>10686100</v>
      </c>
      <c r="D4" s="67">
        <f>'CYFROWY POLSAT SA'!D14</f>
        <v>9828600</v>
      </c>
      <c r="E4" s="67">
        <f>'KONKURENCJA R.N.TV'!B14</f>
        <v>2707328.91</v>
      </c>
      <c r="F4" s="67">
        <f>'KONKURENCJA R.N.TV'!C14</f>
        <v>2205047.9700000002</v>
      </c>
      <c r="G4" s="67">
        <f>'KONKURENCJA R.N.TV'!D14</f>
        <v>1777328.03</v>
      </c>
      <c r="H4" s="67">
        <f>'KONKURENCJA R.O.KOM.'!B14</f>
        <v>11406000</v>
      </c>
      <c r="I4" s="67">
        <f>'KONKURENCJA R.O.KOM.'!C14</f>
        <v>11101000</v>
      </c>
      <c r="J4" s="67">
        <f>'KONKURENCJA R.O.KOM.'!D14</f>
        <v>11381000</v>
      </c>
      <c r="K4" s="67">
        <f>'KONKURENCJA R.O.KOM.'!E14</f>
        <v>7040753</v>
      </c>
      <c r="L4" s="67">
        <f>'KONKURENCJA R.O.KOM.'!F14</f>
        <v>6839148</v>
      </c>
      <c r="M4" s="67">
        <f>'KONKURENCJA R.O.KOM.'!G14</f>
        <v>6669859</v>
      </c>
      <c r="N4" s="67"/>
      <c r="O4" s="67"/>
      <c r="P4" s="67"/>
      <c r="R4" s="67" t="str">
        <f>$H$2</f>
        <v>Orange Polska S.A. (Polska)</v>
      </c>
      <c r="S4" s="48">
        <f>H25</f>
        <v>0.85649137222678717</v>
      </c>
      <c r="T4" s="48">
        <f t="shared" ref="T4:U4" si="5">I25</f>
        <v>0.82962009014810045</v>
      </c>
      <c r="U4" s="48">
        <f t="shared" si="5"/>
        <v>0.85727990232416174</v>
      </c>
      <c r="V4" s="48"/>
      <c r="W4" s="48"/>
      <c r="X4" s="48"/>
      <c r="Y4" s="48"/>
      <c r="Z4" s="48"/>
      <c r="AA4" s="48"/>
      <c r="AB4" s="48"/>
      <c r="AE4" s="74" t="str">
        <f xml:space="preserve"> AM15</f>
        <v>      II. Aktywa obrotowe</v>
      </c>
      <c r="AF4" s="75">
        <f xml:space="preserve"> AN15</f>
        <v>4984900</v>
      </c>
      <c r="AG4" s="75">
        <f xml:space="preserve"> AO15</f>
        <v>5422700</v>
      </c>
      <c r="AH4" s="75">
        <f xml:space="preserve"> AP15</f>
        <v>3931500</v>
      </c>
      <c r="AM4" s="92" t="s">
        <v>366</v>
      </c>
      <c r="AN4" s="93">
        <v>27604700</v>
      </c>
      <c r="AO4" s="93">
        <v>25274100</v>
      </c>
      <c r="AP4" s="94">
        <v>23824500</v>
      </c>
      <c r="AQ4" s="92" t="s">
        <v>386</v>
      </c>
      <c r="AR4" s="93">
        <v>14464500</v>
      </c>
      <c r="AS4" s="93">
        <v>13875200</v>
      </c>
      <c r="AT4" s="93">
        <v>12074200</v>
      </c>
      <c r="AX4" t="str">
        <f>A28</f>
        <v>WSKAŹNIK WYKORZYSTANIA AKTYWÓW OGÓŁEM</v>
      </c>
      <c r="AY4" s="48">
        <f t="shared" ref="AY4:BA4" si="6">B28</f>
        <v>0.35827687360384908</v>
      </c>
      <c r="AZ4" s="48">
        <f t="shared" si="6"/>
        <v>0.34811771911078682</v>
      </c>
      <c r="BA4" s="48">
        <f t="shared" si="6"/>
        <v>0.35410722006052747</v>
      </c>
      <c r="BB4" s="48">
        <f>N28</f>
        <v>0.48304888471222945</v>
      </c>
      <c r="BC4" s="48">
        <f t="shared" ref="BC4:BD4" si="7">O28</f>
        <v>0.48178193059213603</v>
      </c>
      <c r="BD4" s="48">
        <f t="shared" si="7"/>
        <v>0.486127446646342</v>
      </c>
      <c r="BJ4" s="164" t="s">
        <v>978</v>
      </c>
      <c r="BK4" s="165">
        <v>27604700</v>
      </c>
      <c r="BL4" s="165">
        <v>25274100</v>
      </c>
      <c r="BM4" s="166">
        <v>23824500</v>
      </c>
      <c r="BN4" s="164" t="s">
        <v>979</v>
      </c>
      <c r="BO4" s="165">
        <v>14464500</v>
      </c>
      <c r="BP4" s="165">
        <v>13875200</v>
      </c>
      <c r="BQ4" s="165">
        <v>12074200</v>
      </c>
      <c r="BR4" s="160"/>
    </row>
    <row r="5" spans="1:70" ht="16.5" thickBot="1" x14ac:dyDescent="0.3">
      <c r="A5" s="53" t="s">
        <v>304</v>
      </c>
      <c r="B5" s="55">
        <f>'CYFROWY POLSAT SA'!B19</f>
        <v>0</v>
      </c>
      <c r="C5" s="55">
        <f>'CYFROWY POLSAT SA'!C19</f>
        <v>0</v>
      </c>
      <c r="D5" s="55">
        <f>'CYFROWY POLSAT SA'!D19</f>
        <v>0</v>
      </c>
      <c r="E5" s="55">
        <f>'KONKURENCJA R.N.TV'!B19</f>
        <v>0</v>
      </c>
      <c r="F5" s="55">
        <f>'KONKURENCJA R.N.TV'!C19</f>
        <v>0</v>
      </c>
      <c r="G5" s="55">
        <f>'KONKURENCJA R.N.TV'!D19</f>
        <v>0</v>
      </c>
      <c r="H5" s="55">
        <f>'KONKURENCJA R.O.KOM.'!B19</f>
        <v>0</v>
      </c>
      <c r="I5" s="55">
        <f>'KONKURENCJA R.O.KOM.'!C19</f>
        <v>0</v>
      </c>
      <c r="J5" s="55">
        <f>'KONKURENCJA R.O.KOM.'!D19</f>
        <v>0</v>
      </c>
      <c r="K5" s="55">
        <f>'KONKURENCJA R.O.KOM.'!E19</f>
        <v>0</v>
      </c>
      <c r="L5" s="55">
        <f>'KONKURENCJA R.O.KOM.'!F19</f>
        <v>0</v>
      </c>
      <c r="M5" s="55">
        <f>'KONKURENCJA R.O.KOM.'!G19</f>
        <v>0</v>
      </c>
      <c r="N5" s="67"/>
      <c r="O5" s="67"/>
      <c r="P5" s="67"/>
      <c r="R5" s="67" t="str">
        <f>$K$2</f>
        <v>Play Communications S.A. (Polska)</v>
      </c>
      <c r="S5" s="48">
        <f>K25</f>
        <v>0.69766593091033047</v>
      </c>
      <c r="T5" s="48">
        <f t="shared" ref="T5:U5" si="8">L25</f>
        <v>0.67108461930455565</v>
      </c>
      <c r="U5" s="48">
        <f t="shared" si="8"/>
        <v>0.62332083829079232</v>
      </c>
      <c r="V5" s="48"/>
      <c r="W5" s="48"/>
      <c r="X5" s="48"/>
      <c r="Y5" s="48"/>
      <c r="Z5" s="48"/>
      <c r="AA5" s="48"/>
      <c r="AB5" s="48"/>
      <c r="AE5" s="74" t="str">
        <f t="shared" ref="AE5:AH6" si="9">AQ3</f>
        <v>PASYWA  RAZEM</v>
      </c>
      <c r="AF5" s="96">
        <f t="shared" si="9"/>
        <v>32589600</v>
      </c>
      <c r="AG5" s="96">
        <f t="shared" si="9"/>
        <v>30696800</v>
      </c>
      <c r="AH5" s="96">
        <f t="shared" si="9"/>
        <v>27756000</v>
      </c>
      <c r="AM5" s="84" t="s">
        <v>367</v>
      </c>
      <c r="AN5" s="85">
        <v>5239600</v>
      </c>
      <c r="AO5" s="85">
        <v>5056700</v>
      </c>
      <c r="AP5" s="87">
        <v>3192400</v>
      </c>
      <c r="AQ5" s="84" t="s">
        <v>387</v>
      </c>
      <c r="AR5" s="85">
        <v>25600</v>
      </c>
      <c r="AS5" s="85">
        <v>25600</v>
      </c>
      <c r="AT5" s="85">
        <v>25600</v>
      </c>
      <c r="AX5" t="str">
        <f>A31</f>
        <v>WSKAŹNIK RENTOWNOŚCI RZECZOWYCH AKTYWÓW TRWAŁYCH</v>
      </c>
      <c r="AY5" s="48">
        <f t="shared" ref="AY5:BA5" si="10">B31</f>
        <v>0.37541033666692114</v>
      </c>
      <c r="AZ5" s="48">
        <f t="shared" si="10"/>
        <v>0.34152708288013922</v>
      </c>
      <c r="BA5" s="48">
        <f t="shared" si="10"/>
        <v>0.57448941235434159</v>
      </c>
      <c r="BB5" s="48">
        <f>N31</f>
        <v>0.19265249272186954</v>
      </c>
      <c r="BC5" s="48">
        <f t="shared" ref="BC5:BD5" si="11">O31</f>
        <v>0.16995667412597176</v>
      </c>
      <c r="BD5" s="48">
        <f t="shared" si="11"/>
        <v>0.20066082798761176</v>
      </c>
      <c r="BJ5" s="167" t="s">
        <v>980</v>
      </c>
      <c r="BK5" s="168">
        <v>5239600</v>
      </c>
      <c r="BL5" s="168">
        <v>5056700</v>
      </c>
      <c r="BM5" s="169">
        <v>3192400</v>
      </c>
      <c r="BN5" s="167" t="s">
        <v>981</v>
      </c>
      <c r="BO5" s="168">
        <v>25600</v>
      </c>
      <c r="BP5" s="168">
        <v>25600</v>
      </c>
      <c r="BQ5" s="168">
        <v>25600</v>
      </c>
      <c r="BR5" s="160"/>
    </row>
    <row r="6" spans="1:70" ht="16.5" thickBot="1" x14ac:dyDescent="0.3">
      <c r="A6" s="53" t="s">
        <v>306</v>
      </c>
      <c r="B6" s="67">
        <f>B17</f>
        <v>27604700</v>
      </c>
      <c r="C6" s="67">
        <f t="shared" ref="C6:M6" si="12">C17</f>
        <v>25274100</v>
      </c>
      <c r="D6" s="67">
        <f t="shared" si="12"/>
        <v>23824500</v>
      </c>
      <c r="E6" s="67">
        <f t="shared" si="12"/>
        <v>1014809.35</v>
      </c>
      <c r="F6" s="67">
        <f t="shared" si="12"/>
        <v>877020.05</v>
      </c>
      <c r="G6" s="67">
        <f t="shared" si="12"/>
        <v>752325.55</v>
      </c>
      <c r="H6" s="67">
        <f t="shared" si="12"/>
        <v>20847000</v>
      </c>
      <c r="I6" s="67">
        <f t="shared" si="12"/>
        <v>19326000</v>
      </c>
      <c r="J6" s="67">
        <f t="shared" si="12"/>
        <v>19660000</v>
      </c>
      <c r="K6" s="67">
        <f t="shared" si="12"/>
        <v>6199209</v>
      </c>
      <c r="L6" s="67">
        <f t="shared" si="12"/>
        <v>5718002</v>
      </c>
      <c r="M6" s="67">
        <f t="shared" si="12"/>
        <v>5504527</v>
      </c>
      <c r="N6" s="67"/>
      <c r="O6" s="67"/>
      <c r="P6" s="67"/>
      <c r="R6" s="67" t="str">
        <f>$N$2</f>
        <v>Branża</v>
      </c>
      <c r="S6" s="48">
        <f>N25</f>
        <v>0.81904094346434841</v>
      </c>
      <c r="T6" s="48">
        <f t="shared" ref="T6:U6" si="13">O25</f>
        <v>0.79999506871682868</v>
      </c>
      <c r="U6" s="48">
        <f t="shared" si="13"/>
        <v>0.81534917060996981</v>
      </c>
      <c r="V6" s="48"/>
      <c r="W6" s="48"/>
      <c r="X6" s="48"/>
      <c r="Y6" s="48"/>
      <c r="Z6" s="48"/>
      <c r="AA6" s="48"/>
      <c r="AB6" s="48"/>
      <c r="AE6" s="74" t="str">
        <f t="shared" si="9"/>
        <v>      I. Kapitał własny udziałowców podmiotu dominującego</v>
      </c>
      <c r="AF6" s="75">
        <f t="shared" si="9"/>
        <v>14464500</v>
      </c>
      <c r="AG6" s="75">
        <f t="shared" si="9"/>
        <v>13875200</v>
      </c>
      <c r="AH6" s="75">
        <f t="shared" si="9"/>
        <v>12074200</v>
      </c>
      <c r="AM6" s="84" t="s">
        <v>368</v>
      </c>
      <c r="AN6" s="85">
        <v>8162700</v>
      </c>
      <c r="AO6" s="85">
        <v>5101600</v>
      </c>
      <c r="AP6" s="87">
        <v>5298600</v>
      </c>
      <c r="AQ6" s="84" t="s">
        <v>388</v>
      </c>
      <c r="AR6" s="85">
        <v>7174000</v>
      </c>
      <c r="AS6" s="85">
        <v>7174000</v>
      </c>
      <c r="AT6" s="85">
        <v>7174000</v>
      </c>
      <c r="AX6" t="str">
        <f>A34</f>
        <v>WSKAŹNIK PRODUKTYWNOŚCI RZECZOWYCH AKTYWÓW TRWAŁYCH</v>
      </c>
      <c r="AY6" s="48">
        <f t="shared" ref="AY6:BA6" si="14">B34</f>
        <v>2.2284334682036797</v>
      </c>
      <c r="AZ6" s="48">
        <f t="shared" si="14"/>
        <v>2.1132556805821978</v>
      </c>
      <c r="BA6" s="48">
        <f t="shared" si="14"/>
        <v>3.0787495301340684</v>
      </c>
      <c r="BB6" s="48">
        <f>N34</f>
        <v>1.7670241223630438</v>
      </c>
      <c r="BC6" s="48">
        <f t="shared" ref="BC6:BD6" si="15">O34</f>
        <v>1.6834196832907262</v>
      </c>
      <c r="BD6" s="48">
        <f t="shared" si="15"/>
        <v>1.8629849086955923</v>
      </c>
      <c r="BJ6" s="167" t="s">
        <v>982</v>
      </c>
      <c r="BK6" s="168">
        <v>8162700</v>
      </c>
      <c r="BL6" s="168">
        <v>5101600</v>
      </c>
      <c r="BM6" s="169">
        <v>5298600</v>
      </c>
      <c r="BN6" s="167" t="s">
        <v>983</v>
      </c>
      <c r="BO6" s="168">
        <v>7174000</v>
      </c>
      <c r="BP6" s="168">
        <v>7174000</v>
      </c>
      <c r="BQ6" s="168">
        <v>7174000</v>
      </c>
      <c r="BR6" s="160"/>
    </row>
    <row r="7" spans="1:70" ht="16.5" thickBot="1" x14ac:dyDescent="0.3">
      <c r="A7" s="53" t="s">
        <v>307</v>
      </c>
      <c r="B7" s="67">
        <f>'CYFROWY POLSAT SA'!B20</f>
        <v>2229700</v>
      </c>
      <c r="C7" s="67">
        <f>'CYFROWY POLSAT SA'!C20</f>
        <v>2307700</v>
      </c>
      <c r="D7" s="67">
        <f>'CYFROWY POLSAT SA'!D20</f>
        <v>2011600</v>
      </c>
      <c r="E7" s="55">
        <f>'KONKURENCJA R.N.TV'!B20</f>
        <v>0</v>
      </c>
      <c r="F7" s="55">
        <f>'KONKURENCJA R.N.TV'!C20</f>
        <v>0</v>
      </c>
      <c r="G7" s="55">
        <f>'KONKURENCJA R.N.TV'!D20</f>
        <v>0</v>
      </c>
      <c r="H7" s="55">
        <f>'KONKURENCJA R.O.KOM.'!B20</f>
        <v>2748000</v>
      </c>
      <c r="I7" s="55">
        <f>'KONKURENCJA R.O.KOM.'!C20</f>
        <v>0</v>
      </c>
      <c r="J7" s="55">
        <f>'KONKURENCJA R.O.KOM.'!D20</f>
        <v>2572000</v>
      </c>
      <c r="K7" s="55">
        <f>'KONKURENCJA R.O.KOM.'!E20</f>
        <v>906264</v>
      </c>
      <c r="L7" s="55">
        <f>'KONKURENCJA R.O.KOM.'!F20</f>
        <v>789290</v>
      </c>
      <c r="M7" s="55">
        <f>'KONKURENCJA R.O.KOM.'!G20</f>
        <v>797256</v>
      </c>
      <c r="N7" s="67"/>
      <c r="O7" s="67"/>
      <c r="P7" s="67"/>
      <c r="R7" s="30" t="str">
        <f>A31</f>
        <v>WSKAŹNIK RENTOWNOŚCI RZECZOWYCH AKTYWÓW TRWAŁYCH</v>
      </c>
      <c r="S7" s="33">
        <v>2019</v>
      </c>
      <c r="T7" s="33">
        <v>2018</v>
      </c>
      <c r="U7" s="33">
        <v>2017</v>
      </c>
      <c r="V7" s="33"/>
      <c r="W7" s="33"/>
      <c r="X7" s="33"/>
      <c r="Y7" s="33"/>
      <c r="Z7" s="33"/>
      <c r="AA7" s="33"/>
      <c r="AB7" s="33"/>
      <c r="AE7" s="74" t="str">
        <f t="shared" ref="AE7:AH8" si="16">AQ9</f>
        <v>      II. Udziały niekontrolujące</v>
      </c>
      <c r="AF7" s="75">
        <f t="shared" si="16"/>
        <v>653200</v>
      </c>
      <c r="AG7" s="75">
        <f t="shared" si="16"/>
        <v>648200</v>
      </c>
      <c r="AH7" s="75">
        <f t="shared" si="16"/>
        <v>42600</v>
      </c>
      <c r="AM7" s="84" t="s">
        <v>369</v>
      </c>
      <c r="AN7" s="85">
        <v>11336400</v>
      </c>
      <c r="AO7" s="85">
        <v>11309400</v>
      </c>
      <c r="AP7" s="87">
        <v>11041700</v>
      </c>
      <c r="AQ7" s="84" t="s">
        <v>389</v>
      </c>
      <c r="AR7" s="85">
        <v>1500</v>
      </c>
      <c r="AS7" s="85">
        <v>-162500</v>
      </c>
      <c r="AT7" s="85">
        <v>3200</v>
      </c>
      <c r="AX7" t="str">
        <f>A38</f>
        <v>WSKAŹNIK STRUKTURY PASYWÓW</v>
      </c>
      <c r="AY7" s="48">
        <f t="shared" ref="AY7:BA7" si="17">B38</f>
        <v>0.8652579284451033</v>
      </c>
      <c r="AZ7" s="48">
        <f t="shared" si="17"/>
        <v>0.89798063486960067</v>
      </c>
      <c r="BA7" s="48">
        <f t="shared" si="17"/>
        <v>0.77477108803519357</v>
      </c>
      <c r="BB7" s="48">
        <f>N38</f>
        <v>0.64157374494340269</v>
      </c>
      <c r="BC7" s="48">
        <f t="shared" ref="BC7:BD7" si="18">O38</f>
        <v>0.6535825933277869</v>
      </c>
      <c r="BD7" s="48">
        <f t="shared" si="18"/>
        <v>0.57632938214782614</v>
      </c>
      <c r="BJ7" s="167" t="s">
        <v>984</v>
      </c>
      <c r="BK7" s="168">
        <v>11336400</v>
      </c>
      <c r="BL7" s="168">
        <v>11309400</v>
      </c>
      <c r="BM7" s="169">
        <v>11041700</v>
      </c>
      <c r="BN7" s="167" t="s">
        <v>985</v>
      </c>
      <c r="BO7" s="168">
        <v>1500</v>
      </c>
      <c r="BP7" s="168">
        <v>-162500</v>
      </c>
      <c r="BQ7" s="168">
        <v>3200</v>
      </c>
      <c r="BR7" s="160"/>
    </row>
    <row r="8" spans="1:70" s="67" customFormat="1" ht="16.5" thickBot="1" x14ac:dyDescent="0.3">
      <c r="A8" s="53" t="s">
        <v>310</v>
      </c>
      <c r="B8" s="67">
        <f>'CYFROWY POLSAT SA'!B62</f>
        <v>1114600</v>
      </c>
      <c r="C8" s="67">
        <f>'CYFROWY POLSAT SA'!C62</f>
        <v>816100</v>
      </c>
      <c r="D8" s="67">
        <f>'CYFROWY POLSAT SA'!D62</f>
        <v>945200</v>
      </c>
      <c r="E8" s="55">
        <f>'KONKURENCJA R.N.TV'!B62</f>
        <v>89071.43</v>
      </c>
      <c r="F8" s="55">
        <f>'KONKURENCJA R.N.TV'!C62</f>
        <v>3492.65</v>
      </c>
      <c r="G8" s="55">
        <f>'KONKURENCJA R.N.TV'!D62</f>
        <v>563.79999999999995</v>
      </c>
      <c r="H8" s="55">
        <f>'KONKURENCJA R.O.KOM.'!B62</f>
        <v>91000</v>
      </c>
      <c r="I8" s="55">
        <f>'KONKURENCJA R.O.KOM.'!C62</f>
        <v>10000</v>
      </c>
      <c r="J8" s="55">
        <f>'KONKURENCJA R.O.KOM.'!D62</f>
        <v>-60000</v>
      </c>
      <c r="K8" s="55">
        <f>'KONKURENCJA R.O.KOM.'!E62</f>
        <v>866937</v>
      </c>
      <c r="L8" s="55">
        <f>'KONKURENCJA R.O.KOM.'!F62</f>
        <v>744604</v>
      </c>
      <c r="M8" s="55">
        <f>'KONKURENCJA R.O.KOM.'!G62</f>
        <v>387346</v>
      </c>
      <c r="R8" s="67" t="str">
        <f>$B$2</f>
        <v>Cyfrowy Polsat S.A. (Polska)</v>
      </c>
      <c r="S8" s="48">
        <f>B31</f>
        <v>0.37541033666692114</v>
      </c>
      <c r="T8" s="48">
        <f t="shared" ref="T8" si="19">C31</f>
        <v>0.34152708288013922</v>
      </c>
      <c r="U8" s="48">
        <f t="shared" ref="U8" si="20">D31</f>
        <v>0.57448941235434159</v>
      </c>
      <c r="V8" s="48"/>
      <c r="W8" s="48"/>
      <c r="X8" s="48"/>
      <c r="Y8" s="48"/>
      <c r="Z8" s="48"/>
      <c r="AA8" s="48"/>
      <c r="AB8" s="48"/>
      <c r="AD8" s="74"/>
      <c r="AE8" s="74" t="str">
        <f t="shared" si="16"/>
        <v>      III. Zobowiązania długoterminowe</v>
      </c>
      <c r="AF8" s="75">
        <f t="shared" si="16"/>
        <v>12256900</v>
      </c>
      <c r="AG8" s="75">
        <f t="shared" si="16"/>
        <v>11803000</v>
      </c>
      <c r="AH8" s="75">
        <f t="shared" si="16"/>
        <v>11723700</v>
      </c>
      <c r="AM8" s="84" t="s">
        <v>370</v>
      </c>
      <c r="AN8" s="85">
        <v>29400</v>
      </c>
      <c r="AO8" s="85">
        <v>29900</v>
      </c>
      <c r="AP8" s="87">
        <v>5100</v>
      </c>
      <c r="AQ8" s="84" t="s">
        <v>390</v>
      </c>
      <c r="AR8" s="85">
        <v>6610200</v>
      </c>
      <c r="AS8" s="85">
        <v>6189900</v>
      </c>
      <c r="AT8" s="85">
        <v>4871400</v>
      </c>
      <c r="AX8" s="67" t="str">
        <f>A28</f>
        <v>WSKAŹNIK WYKORZYSTANIA AKTYWÓW OGÓŁEM</v>
      </c>
      <c r="AY8" s="48">
        <f t="shared" ref="AY8:BA8" si="21">B28</f>
        <v>0.35827687360384908</v>
      </c>
      <c r="AZ8" s="48">
        <f t="shared" si="21"/>
        <v>0.34811771911078682</v>
      </c>
      <c r="BA8" s="48">
        <f t="shared" si="21"/>
        <v>0.35410722006052747</v>
      </c>
      <c r="BB8" s="48">
        <f>N28</f>
        <v>0.48304888471222945</v>
      </c>
      <c r="BC8" s="48">
        <f t="shared" ref="BC8:BD8" si="22">O28</f>
        <v>0.48178193059213603</v>
      </c>
      <c r="BD8" s="48">
        <f t="shared" si="22"/>
        <v>0.486127446646342</v>
      </c>
      <c r="BJ8" s="167" t="s">
        <v>986</v>
      </c>
      <c r="BK8" s="168">
        <v>29400</v>
      </c>
      <c r="BL8" s="168">
        <v>29900</v>
      </c>
      <c r="BM8" s="169">
        <v>5100</v>
      </c>
      <c r="BN8" s="167" t="s">
        <v>987</v>
      </c>
      <c r="BO8" s="168">
        <v>6610200</v>
      </c>
      <c r="BP8" s="168">
        <v>6189900</v>
      </c>
      <c r="BQ8" s="168">
        <v>4871400</v>
      </c>
      <c r="BR8" s="160"/>
    </row>
    <row r="9" spans="1:70" ht="16.5" thickBot="1" x14ac:dyDescent="0.3">
      <c r="A9" s="53" t="s">
        <v>272</v>
      </c>
      <c r="B9" s="67">
        <f>'CYFROWY POLSAT SA'!B84</f>
        <v>32589600</v>
      </c>
      <c r="C9" s="67">
        <f>'CYFROWY POLSAT SA'!C84</f>
        <v>30696800</v>
      </c>
      <c r="D9" s="67">
        <f>'CYFROWY POLSAT SA'!D84</f>
        <v>27756000</v>
      </c>
      <c r="E9" s="55">
        <f>'KONKURENCJA R.N.TV'!B84</f>
        <v>2149271.39</v>
      </c>
      <c r="F9" s="55">
        <f>'KONKURENCJA R.N.TV'!C84</f>
        <v>1481959.03</v>
      </c>
      <c r="G9" s="55">
        <f>'KONKURENCJA R.N.TV'!D84</f>
        <v>1486228.52</v>
      </c>
      <c r="H9" s="55">
        <f>'KONKURENCJA R.O.KOM.'!B84</f>
        <v>24340000</v>
      </c>
      <c r="I9" s="55">
        <f>'KONKURENCJA R.O.KOM.'!C84</f>
        <v>23295000</v>
      </c>
      <c r="J9" s="55">
        <f>'KONKURENCJA R.O.KOM.'!D84</f>
        <v>22933000</v>
      </c>
      <c r="K9" s="55">
        <f>'KONKURENCJA R.O.KOM.'!E84</f>
        <v>8885641</v>
      </c>
      <c r="L9" s="55">
        <f>'KONKURENCJA R.O.KOM.'!F84</f>
        <v>8520538</v>
      </c>
      <c r="M9" s="55">
        <f>'KONKURENCJA R.O.KOM.'!G84</f>
        <v>8830969</v>
      </c>
      <c r="N9" s="67"/>
      <c r="O9" s="67"/>
      <c r="P9" s="67"/>
      <c r="R9" s="67" t="str">
        <f>$E$2</f>
        <v>Telewizja Polska S.A. (Polska)</v>
      </c>
      <c r="S9" s="48">
        <f>E31</f>
        <v>0.18091387488609875</v>
      </c>
      <c r="T9" s="48">
        <f t="shared" ref="T9" si="23">F31</f>
        <v>2.6364822589784068E-2</v>
      </c>
      <c r="U9" s="48">
        <f t="shared" ref="U9" si="24">G31</f>
        <v>5.1444583452498888E-2</v>
      </c>
      <c r="V9" s="48"/>
      <c r="W9" s="48"/>
      <c r="X9" s="48"/>
      <c r="Y9" s="48"/>
      <c r="Z9" s="48"/>
      <c r="AA9" s="48"/>
      <c r="AB9" s="48"/>
      <c r="AE9" s="74" t="str">
        <f>AQ19</f>
        <v>      IV. Zobowiązania krótkoterminowe</v>
      </c>
      <c r="AF9" s="75">
        <f>AR19</f>
        <v>5868200</v>
      </c>
      <c r="AG9" s="75">
        <f>AS19</f>
        <v>5018600</v>
      </c>
      <c r="AH9" s="75">
        <f>AT19</f>
        <v>3915500</v>
      </c>
      <c r="AM9" s="84" t="s">
        <v>371</v>
      </c>
      <c r="AN9" s="86" t="s">
        <v>12</v>
      </c>
      <c r="AO9" s="85">
        <v>43000</v>
      </c>
      <c r="AP9" s="88" t="s">
        <v>12</v>
      </c>
      <c r="AQ9" s="92" t="s">
        <v>391</v>
      </c>
      <c r="AR9" s="93">
        <v>653200</v>
      </c>
      <c r="AS9" s="93">
        <v>648200</v>
      </c>
      <c r="AT9" s="93">
        <v>42600</v>
      </c>
      <c r="AX9" t="str">
        <f>A31</f>
        <v>WSKAŹNIK RENTOWNOŚCI RZECZOWYCH AKTYWÓW TRWAŁYCH</v>
      </c>
      <c r="AY9" s="48">
        <f t="shared" ref="AY9:BA9" si="25">B31</f>
        <v>0.37541033666692114</v>
      </c>
      <c r="AZ9" s="48">
        <f t="shared" si="25"/>
        <v>0.34152708288013922</v>
      </c>
      <c r="BA9" s="48">
        <f t="shared" si="25"/>
        <v>0.57448941235434159</v>
      </c>
      <c r="BB9" s="48">
        <f>N31</f>
        <v>0.19265249272186954</v>
      </c>
      <c r="BC9" s="48">
        <f t="shared" ref="BC9:BD9" si="26">O31</f>
        <v>0.16995667412597176</v>
      </c>
      <c r="BD9" s="48">
        <f t="shared" si="26"/>
        <v>0.20066082798761176</v>
      </c>
      <c r="BJ9" s="167" t="s">
        <v>988</v>
      </c>
      <c r="BK9" s="170"/>
      <c r="BL9" s="168">
        <v>43000</v>
      </c>
      <c r="BM9" s="171"/>
      <c r="BN9" s="164" t="s">
        <v>989</v>
      </c>
      <c r="BO9" s="165">
        <v>653200</v>
      </c>
      <c r="BP9" s="165">
        <v>648200</v>
      </c>
      <c r="BQ9" s="165">
        <v>42600</v>
      </c>
      <c r="BR9" s="160"/>
    </row>
    <row r="10" spans="1:70" ht="16.5" thickBot="1" x14ac:dyDescent="0.3">
      <c r="A10" s="53" t="s">
        <v>321</v>
      </c>
      <c r="B10" s="67">
        <f>'CYFROWY POLSAT SA'!B160</f>
        <v>653200</v>
      </c>
      <c r="C10" s="67">
        <f>'CYFROWY POLSAT SA'!C160</f>
        <v>648200</v>
      </c>
      <c r="D10" s="67">
        <f>'CYFROWY POLSAT SA'!D160</f>
        <v>42600</v>
      </c>
      <c r="E10" s="55">
        <f>'KONKURENCJA R.N.TV'!B160</f>
        <v>0</v>
      </c>
      <c r="F10" s="55">
        <f>'KONKURENCJA R.N.TV'!C160</f>
        <v>0</v>
      </c>
      <c r="G10" s="55">
        <f>'KONKURENCJA R.N.TV'!D160</f>
        <v>0</v>
      </c>
      <c r="H10" s="55">
        <f>'KONKURENCJA R.O.KOM.'!B160</f>
        <v>2000</v>
      </c>
      <c r="I10" s="55">
        <f>'KONKURENCJA R.O.KOM.'!C160</f>
        <v>2000</v>
      </c>
      <c r="J10" s="55">
        <f>'KONKURENCJA R.O.KOM.'!D160</f>
        <v>2000</v>
      </c>
      <c r="K10" s="55">
        <f>'KONKURENCJA R.O.KOM.'!E160</f>
        <v>0</v>
      </c>
      <c r="L10" s="55">
        <f>'KONKURENCJA R.O.KOM.'!F160</f>
        <v>0</v>
      </c>
      <c r="M10" s="55">
        <f>'KONKURENCJA R.O.KOM.'!G160</f>
        <v>0</v>
      </c>
      <c r="N10" s="67"/>
      <c r="O10" s="67"/>
      <c r="P10" s="67"/>
      <c r="R10" s="67" t="str">
        <f>$H$2</f>
        <v>Orange Polska S.A. (Polska)</v>
      </c>
      <c r="S10" s="48">
        <f>H31</f>
        <v>0</v>
      </c>
      <c r="T10" s="48">
        <f t="shared" ref="T10" si="27">I31</f>
        <v>0</v>
      </c>
      <c r="U10" s="48">
        <f t="shared" ref="U10" si="28">J31</f>
        <v>2.1470091880742545E-2</v>
      </c>
      <c r="V10" s="48"/>
      <c r="W10" s="48"/>
      <c r="X10" s="48"/>
      <c r="Y10" s="48"/>
      <c r="Z10" s="48"/>
      <c r="AA10" s="48"/>
      <c r="AB10" s="48"/>
      <c r="AM10" s="84" t="s">
        <v>372</v>
      </c>
      <c r="AN10" s="85">
        <v>776500</v>
      </c>
      <c r="AO10" s="86" t="s">
        <v>12</v>
      </c>
      <c r="AP10" s="88" t="s">
        <v>12</v>
      </c>
      <c r="AQ10" s="92" t="s">
        <v>392</v>
      </c>
      <c r="AR10" s="93">
        <v>12256900</v>
      </c>
      <c r="AS10" s="93">
        <v>11803000</v>
      </c>
      <c r="AT10" s="93">
        <v>11723700</v>
      </c>
      <c r="AX10" t="str">
        <f>A34</f>
        <v>WSKAŹNIK PRODUKTYWNOŚCI RZECZOWYCH AKTYWÓW TRWAŁYCH</v>
      </c>
      <c r="AY10" s="48">
        <f t="shared" ref="AY10:BA10" si="29">B34</f>
        <v>2.2284334682036797</v>
      </c>
      <c r="AZ10" s="48">
        <f t="shared" si="29"/>
        <v>2.1132556805821978</v>
      </c>
      <c r="BA10" s="48">
        <f t="shared" si="29"/>
        <v>3.0787495301340684</v>
      </c>
      <c r="BB10" s="48">
        <f>N34</f>
        <v>1.7670241223630438</v>
      </c>
      <c r="BC10" s="48">
        <f t="shared" ref="BC10:BD10" si="30">O34</f>
        <v>1.6834196832907262</v>
      </c>
      <c r="BD10" s="48">
        <f t="shared" si="30"/>
        <v>1.8629849086955923</v>
      </c>
      <c r="BJ10" s="167" t="s">
        <v>990</v>
      </c>
      <c r="BK10" s="168">
        <v>776500</v>
      </c>
      <c r="BL10" s="170"/>
      <c r="BM10" s="171"/>
      <c r="BN10" s="164" t="s">
        <v>991</v>
      </c>
      <c r="BO10" s="165">
        <v>12256900</v>
      </c>
      <c r="BP10" s="165">
        <v>11803000</v>
      </c>
      <c r="BQ10" s="165">
        <v>11723700</v>
      </c>
      <c r="BR10" s="160"/>
    </row>
    <row r="11" spans="1:70" ht="16.5" thickBot="1" x14ac:dyDescent="0.3">
      <c r="A11" s="53" t="s">
        <v>314</v>
      </c>
      <c r="B11" s="67">
        <f>'CYFROWY POLSAT SA'!B144</f>
        <v>15117700</v>
      </c>
      <c r="C11" s="67">
        <f>'CYFROWY POLSAT SA'!C144</f>
        <v>14523400</v>
      </c>
      <c r="D11" s="67">
        <f>'CYFROWY POLSAT SA'!D144</f>
        <v>12116800</v>
      </c>
      <c r="E11" s="55">
        <f>'KONKURENCJA R.N.TV'!B144</f>
        <v>555112.97</v>
      </c>
      <c r="F11" s="55">
        <f>'KONKURENCJA R.N.TV'!C144</f>
        <v>466041.54</v>
      </c>
      <c r="G11" s="55">
        <f>'KONKURENCJA R.N.TV'!D144</f>
        <v>462548.88</v>
      </c>
      <c r="H11" s="55">
        <f>'KONKURENCJA R.O.KOM.'!B144</f>
        <v>10568000</v>
      </c>
      <c r="I11" s="55">
        <f>'KONKURENCJA R.O.KOM.'!C144</f>
        <v>10505000</v>
      </c>
      <c r="J11" s="55">
        <f>'KONKURENCJA R.O.KOM.'!D144</f>
        <v>9938000</v>
      </c>
      <c r="K11" s="55">
        <f>'KONKURENCJA R.O.KOM.'!E144</f>
        <v>321653</v>
      </c>
      <c r="L11" s="55">
        <f>'KONKURENCJA R.O.KOM.'!F144</f>
        <v>-200538</v>
      </c>
      <c r="M11" s="55">
        <f>'KONKURENCJA R.O.KOM.'!G144</f>
        <v>-212579</v>
      </c>
      <c r="N11" s="67"/>
      <c r="O11" s="67"/>
      <c r="P11" s="67"/>
      <c r="R11" s="67" t="str">
        <f>$K$2</f>
        <v>Play Communications S.A. (Polska)</v>
      </c>
      <c r="S11" s="48">
        <f>K31</f>
        <v>0.64786969042663223</v>
      </c>
      <c r="T11" s="48">
        <f t="shared" ref="T11" si="31">L31</f>
        <v>0.70310700598584308</v>
      </c>
      <c r="U11" s="48">
        <f t="shared" ref="U11" si="32">M31</f>
        <v>0.69804149339912136</v>
      </c>
      <c r="V11" s="48"/>
      <c r="W11" s="48"/>
      <c r="X11" s="48"/>
      <c r="Y11" s="48"/>
      <c r="Z11" s="48"/>
      <c r="AA11" s="48"/>
      <c r="AB11" s="48"/>
      <c r="AM11" s="84" t="s">
        <v>373</v>
      </c>
      <c r="AN11" s="85">
        <v>241200</v>
      </c>
      <c r="AO11" s="85">
        <v>259700</v>
      </c>
      <c r="AP11" s="87">
        <v>197200</v>
      </c>
      <c r="AQ11" s="84" t="s">
        <v>393</v>
      </c>
      <c r="AR11" s="86" t="s">
        <v>12</v>
      </c>
      <c r="AS11" s="85">
        <v>165200</v>
      </c>
      <c r="AT11" s="86" t="s">
        <v>12</v>
      </c>
      <c r="AX11" t="str">
        <f>A38</f>
        <v>WSKAŹNIK STRUKTURY PASYWÓW</v>
      </c>
      <c r="AY11" s="48">
        <f t="shared" ref="AY11:BA11" si="33">B38</f>
        <v>0.8652579284451033</v>
      </c>
      <c r="AZ11" s="48">
        <f t="shared" si="33"/>
        <v>0.89798063486960067</v>
      </c>
      <c r="BA11" s="48">
        <f t="shared" si="33"/>
        <v>0.77477108803519357</v>
      </c>
      <c r="BB11" s="48">
        <f>N38</f>
        <v>0.64157374494340269</v>
      </c>
      <c r="BC11" s="48">
        <f t="shared" ref="BC11:BD11" si="34">O38</f>
        <v>0.6535825933277869</v>
      </c>
      <c r="BD11" s="48">
        <f t="shared" si="34"/>
        <v>0.57632938214782614</v>
      </c>
      <c r="BJ11" s="167" t="s">
        <v>992</v>
      </c>
      <c r="BK11" s="168">
        <v>241200</v>
      </c>
      <c r="BL11" s="168">
        <v>259700</v>
      </c>
      <c r="BM11" s="169">
        <v>197200</v>
      </c>
      <c r="BN11" s="167" t="s">
        <v>993</v>
      </c>
      <c r="BO11" s="170"/>
      <c r="BP11" s="168">
        <v>165200</v>
      </c>
      <c r="BQ11" s="170"/>
      <c r="BR11" s="160"/>
    </row>
    <row r="12" spans="1:70" ht="16.5" thickBot="1" x14ac:dyDescent="0.3">
      <c r="A12" s="53" t="s">
        <v>316</v>
      </c>
      <c r="B12" s="67">
        <f>'CYFROWY POLSAT SA'!B39</f>
        <v>1967000</v>
      </c>
      <c r="C12" s="67">
        <f>'CYFROWY POLSAT SA'!C39</f>
        <v>1727000</v>
      </c>
      <c r="D12" s="67">
        <f>'CYFROWY POLSAT SA'!D39</f>
        <v>1834000</v>
      </c>
      <c r="E12" s="55">
        <f>'KONKURENCJA R.N.TV'!B39</f>
        <v>112714.52</v>
      </c>
      <c r="F12" s="55">
        <f>'KONKURENCJA R.N.TV'!C39</f>
        <v>15042.42</v>
      </c>
      <c r="G12" s="55">
        <f>'KONKURENCJA R.N.TV'!D39</f>
        <v>24429.21</v>
      </c>
      <c r="H12" s="55">
        <f>'KONKURENCJA R.O.KOM.'!B39</f>
        <v>0</v>
      </c>
      <c r="I12" s="55">
        <f>'KONKURENCJA R.O.KOM.'!C39</f>
        <v>0</v>
      </c>
      <c r="J12" s="55">
        <f>'KONKURENCJA R.O.KOM.'!D39</f>
        <v>229000</v>
      </c>
      <c r="K12" s="55">
        <f>'KONKURENCJA R.O.KOM.'!E39</f>
        <v>1499646</v>
      </c>
      <c r="L12" s="55">
        <f>'KONKURENCJA R.O.KOM.'!F39</f>
        <v>1370660</v>
      </c>
      <c r="M12" s="55">
        <f>'KONKURENCJA R.O.KOM.'!G39</f>
        <v>1106883</v>
      </c>
      <c r="N12" s="67"/>
      <c r="O12" s="67"/>
      <c r="P12" s="67"/>
      <c r="R12" s="67" t="str">
        <f>$N$2</f>
        <v>Branża</v>
      </c>
      <c r="S12" s="48">
        <f>N31</f>
        <v>0.19265249272186954</v>
      </c>
      <c r="T12" s="48">
        <f t="shared" ref="T12" si="35">O31</f>
        <v>0.16995667412597176</v>
      </c>
      <c r="U12" s="48">
        <f t="shared" ref="U12" si="36">P31</f>
        <v>0.20066082798761176</v>
      </c>
      <c r="V12" s="48"/>
      <c r="W12" s="48"/>
      <c r="X12" s="48"/>
      <c r="Y12" s="48"/>
      <c r="Z12" s="48"/>
      <c r="AA12" s="48"/>
      <c r="AB12" s="48"/>
      <c r="AD12" s="193" t="str">
        <f>A55</f>
        <v>ZŁOTA ZASADA BILANSOWA</v>
      </c>
      <c r="AE12" s="193"/>
      <c r="AF12" s="33">
        <v>2019</v>
      </c>
      <c r="AG12" s="33">
        <v>2018</v>
      </c>
      <c r="AH12" s="33">
        <v>2017</v>
      </c>
      <c r="AI12" s="33" t="s">
        <v>856</v>
      </c>
      <c r="AJ12" s="33" t="s">
        <v>857</v>
      </c>
      <c r="AK12" s="33"/>
      <c r="AL12" s="33"/>
      <c r="AM12" s="84" t="s">
        <v>374</v>
      </c>
      <c r="AN12" s="86" t="s">
        <v>12</v>
      </c>
      <c r="AO12" s="86" t="s">
        <v>12</v>
      </c>
      <c r="AP12" s="87">
        <v>91400</v>
      </c>
      <c r="AQ12" s="84" t="s">
        <v>394</v>
      </c>
      <c r="AR12" s="85">
        <v>969200</v>
      </c>
      <c r="AS12" s="85">
        <v>976000</v>
      </c>
      <c r="AT12" s="85">
        <v>9291400</v>
      </c>
      <c r="AX12" t="str">
        <f>A41</f>
        <v>WSKAŹNIK OGÓLNEGO ZADŁUŻENIA</v>
      </c>
      <c r="AY12" s="48">
        <f t="shared" ref="AY12:BA12" si="37">B41</f>
        <v>0.5561620885190367</v>
      </c>
      <c r="AZ12" s="48">
        <f t="shared" si="37"/>
        <v>0.54799197310468839</v>
      </c>
      <c r="BA12" s="48">
        <f t="shared" si="37"/>
        <v>0.56345294711053462</v>
      </c>
      <c r="BB12" s="48">
        <f>N41</f>
        <v>0.61496507927789756</v>
      </c>
      <c r="BC12" s="48">
        <f t="shared" ref="BC12:BD12" si="38">O41</f>
        <v>0.61192883580926183</v>
      </c>
      <c r="BD12" s="48">
        <f t="shared" si="38"/>
        <v>0.63171402474913674</v>
      </c>
      <c r="BJ12" s="167" t="s">
        <v>994</v>
      </c>
      <c r="BK12" s="170"/>
      <c r="BL12" s="170"/>
      <c r="BM12" s="169">
        <v>91400</v>
      </c>
      <c r="BN12" s="167" t="s">
        <v>995</v>
      </c>
      <c r="BO12" s="168">
        <v>969200</v>
      </c>
      <c r="BP12" s="168">
        <v>976000</v>
      </c>
      <c r="BQ12" s="168">
        <v>9291400</v>
      </c>
      <c r="BR12" s="160"/>
    </row>
    <row r="13" spans="1:70" ht="16.5" thickBot="1" x14ac:dyDescent="0.3">
      <c r="A13" s="53" t="s">
        <v>309</v>
      </c>
      <c r="B13" s="67">
        <f>'CYFROWY POLSAT SA'!B36</f>
        <v>45700</v>
      </c>
      <c r="C13" s="67">
        <f>'CYFROWY POLSAT SA'!C36</f>
        <v>19700</v>
      </c>
      <c r="D13" s="67">
        <f>'CYFROWY POLSAT SA'!D36</f>
        <v>21300</v>
      </c>
      <c r="E13" s="55">
        <f>'KONKURENCJA R.N.TV'!B36</f>
        <v>41415.46</v>
      </c>
      <c r="F13" s="55">
        <f>'KONKURENCJA R.N.TV'!C36</f>
        <v>36478.31</v>
      </c>
      <c r="G13" s="55">
        <f>'KONKURENCJA R.N.TV'!D36</f>
        <v>27086.59</v>
      </c>
      <c r="H13" s="55">
        <f>'KONKURENCJA R.O.KOM.'!B36</f>
        <v>238000</v>
      </c>
      <c r="I13" s="55">
        <f>'KONKURENCJA R.O.KOM.'!C36</f>
        <v>253000</v>
      </c>
      <c r="J13" s="55">
        <f>'KONKURENCJA R.O.KOM.'!D36</f>
        <v>299000</v>
      </c>
      <c r="K13" s="55">
        <f>'KONKURENCJA R.O.KOM.'!E36</f>
        <v>76885</v>
      </c>
      <c r="L13" s="55">
        <f>'KONKURENCJA R.O.KOM.'!F36</f>
        <v>78239</v>
      </c>
      <c r="M13" s="55">
        <f>'KONKURENCJA R.O.KOM.'!G36</f>
        <v>109778</v>
      </c>
      <c r="N13" s="67"/>
      <c r="O13" s="67"/>
      <c r="P13" s="67"/>
      <c r="R13" s="30" t="str">
        <f>A28</f>
        <v>WSKAŹNIK WYKORZYSTANIA AKTYWÓW OGÓŁEM</v>
      </c>
      <c r="S13" s="33">
        <v>2019</v>
      </c>
      <c r="T13" s="33">
        <v>2018</v>
      </c>
      <c r="U13" s="33">
        <v>2017</v>
      </c>
      <c r="V13" s="33"/>
      <c r="W13" s="33"/>
      <c r="X13" s="33"/>
      <c r="Y13" s="33"/>
      <c r="Z13" s="33"/>
      <c r="AA13" s="33"/>
      <c r="AB13" s="33"/>
      <c r="AD13" s="179" t="str">
        <f>$B$2</f>
        <v>Cyfrowy Polsat S.A. (Polska)</v>
      </c>
      <c r="AE13" t="str">
        <f>$A$56</f>
        <v>WSKAŹNIK ZSTOSOWANIA KAPITAŁÓW WŁASNYCH</v>
      </c>
      <c r="AF13" s="48">
        <f>B56</f>
        <v>0.54764949447014455</v>
      </c>
      <c r="AG13" s="48">
        <f t="shared" ref="AG13:AH13" si="39">C56</f>
        <v>0.57463569424826211</v>
      </c>
      <c r="AH13" s="48">
        <f t="shared" si="39"/>
        <v>0.50858569959495481</v>
      </c>
      <c r="AI13" s="60">
        <f>(AF13-AG13)/AG13</f>
        <v>-4.6962275487290921E-2</v>
      </c>
      <c r="AJ13" s="60">
        <f>(AG13-AH13)/AH13</f>
        <v>0.12986994071188099</v>
      </c>
      <c r="AK13" s="53" t="s">
        <v>858</v>
      </c>
      <c r="AL13" s="48"/>
      <c r="AM13" s="84" t="s">
        <v>375</v>
      </c>
      <c r="AN13" s="86" t="s">
        <v>12</v>
      </c>
      <c r="AO13" s="86" t="s">
        <v>12</v>
      </c>
      <c r="AP13" s="87">
        <v>1900</v>
      </c>
      <c r="AQ13" s="84" t="s">
        <v>395</v>
      </c>
      <c r="AR13" s="85">
        <v>8617000</v>
      </c>
      <c r="AS13" s="85">
        <v>8605300</v>
      </c>
      <c r="AT13" s="86" t="s">
        <v>12</v>
      </c>
      <c r="AX13" t="str">
        <f>A44</f>
        <v>WSKAŹNIK ZADŁUŻENIA KRÓTKOTERMINOWEGO</v>
      </c>
      <c r="AY13" s="48">
        <f t="shared" ref="AY13:BA13" si="40">B44</f>
        <v>0.38816751225384816</v>
      </c>
      <c r="AZ13" s="48">
        <f t="shared" si="40"/>
        <v>0.34555269427269097</v>
      </c>
      <c r="BA13" s="48">
        <f t="shared" si="40"/>
        <v>0.32314637528060214</v>
      </c>
      <c r="BB13" s="48">
        <f>N44</f>
        <v>0.47767523332849654</v>
      </c>
      <c r="BC13" s="48">
        <f t="shared" ref="BC13:BD13" si="41">O44</f>
        <v>0.5461652903101093</v>
      </c>
      <c r="BD13" s="48">
        <f t="shared" si="41"/>
        <v>0.56340110019552458</v>
      </c>
      <c r="BJ13" s="167" t="s">
        <v>996</v>
      </c>
      <c r="BK13" s="170"/>
      <c r="BL13" s="170"/>
      <c r="BM13" s="169">
        <v>1900</v>
      </c>
      <c r="BN13" s="167" t="s">
        <v>997</v>
      </c>
      <c r="BO13" s="168">
        <v>8617000</v>
      </c>
      <c r="BP13" s="168">
        <v>8605300</v>
      </c>
      <c r="BQ13" s="170"/>
      <c r="BR13" s="160"/>
    </row>
    <row r="14" spans="1:70" ht="16.5" thickBot="1" x14ac:dyDescent="0.3">
      <c r="A14" s="53" t="s">
        <v>317</v>
      </c>
      <c r="B14" s="67">
        <f>'CYFROWY POLSAT SA'!B40</f>
        <v>4196700</v>
      </c>
      <c r="C14" s="67">
        <f>'CYFROWY POLSAT SA'!C40</f>
        <v>4034700</v>
      </c>
      <c r="D14" s="67">
        <f>'CYFROWY POLSAT SA'!D40</f>
        <v>3845600</v>
      </c>
      <c r="E14" s="55">
        <f>'KONKURENCJA R.N.TV'!B40</f>
        <v>322286.03000000003</v>
      </c>
      <c r="F14" s="55">
        <f>'KONKURENCJA R.N.TV'!C40</f>
        <v>204586.81</v>
      </c>
      <c r="G14" s="55">
        <f>'KONKURENCJA R.N.TV'!D40</f>
        <v>194949.42</v>
      </c>
      <c r="H14" s="55">
        <f>'KONKURENCJA R.O.KOM.'!B40</f>
        <v>2748000</v>
      </c>
      <c r="I14" s="55">
        <f>'KONKURENCJA R.O.KOM.'!C40</f>
        <v>0</v>
      </c>
      <c r="J14" s="55">
        <f>'KONKURENCJA R.O.KOM.'!D40</f>
        <v>2801000</v>
      </c>
      <c r="K14" s="55">
        <f>'KONKURENCJA R.O.KOM.'!E40</f>
        <v>2405910</v>
      </c>
      <c r="L14" s="55">
        <f>'KONKURENCJA R.O.KOM.'!F40</f>
        <v>2159950</v>
      </c>
      <c r="M14" s="55">
        <f>'KONKURENCJA R.O.KOM.'!G40</f>
        <v>1904139</v>
      </c>
      <c r="N14" s="67"/>
      <c r="O14" s="67"/>
      <c r="P14" s="67"/>
      <c r="R14" s="67" t="str">
        <f>$B$2</f>
        <v>Cyfrowy Polsat S.A. (Polska)</v>
      </c>
      <c r="S14" s="48">
        <f>B28</f>
        <v>0.35827687360384908</v>
      </c>
      <c r="T14" s="48">
        <f t="shared" ref="T14:U14" si="42">C28</f>
        <v>0.34811771911078682</v>
      </c>
      <c r="U14" s="48">
        <f t="shared" si="42"/>
        <v>0.35410722006052747</v>
      </c>
      <c r="V14" s="48"/>
      <c r="W14" s="48"/>
      <c r="X14" s="48"/>
      <c r="Y14" s="48"/>
      <c r="Z14" s="48"/>
      <c r="AA14" s="48"/>
      <c r="AB14" s="48"/>
      <c r="AD14" s="179"/>
      <c r="AE14" t="str">
        <f>$A$59</f>
        <v>WSKAŹNIK ZSTOSOWANIA KAPITAŁÓW OBCYCH</v>
      </c>
      <c r="AF14" s="48">
        <f>B59</f>
        <v>3.5049649942827337</v>
      </c>
      <c r="AG14" s="48">
        <f t="shared" ref="AG14:AH14" si="43">C59</f>
        <v>2.9825363748686078</v>
      </c>
      <c r="AH14" s="48">
        <f t="shared" si="43"/>
        <v>3.9779219127559458</v>
      </c>
      <c r="AI14" s="60">
        <f t="shared" ref="AI14:AI22" si="44">(AF14-AG14)/AG14</f>
        <v>0.17516253072928267</v>
      </c>
      <c r="AJ14" s="60">
        <f t="shared" ref="AJ14:AJ22" si="45">(AG14-AH14)/AH14</f>
        <v>-0.25022752073022081</v>
      </c>
      <c r="AK14" s="53" t="s">
        <v>859</v>
      </c>
      <c r="AL14" s="48"/>
      <c r="AM14" s="84" t="s">
        <v>376</v>
      </c>
      <c r="AN14" s="85">
        <v>1818900</v>
      </c>
      <c r="AO14" s="85">
        <v>2815700</v>
      </c>
      <c r="AP14" s="87">
        <v>3996200</v>
      </c>
      <c r="AQ14" s="84" t="s">
        <v>396</v>
      </c>
      <c r="AR14" s="85">
        <v>1025300</v>
      </c>
      <c r="AS14" s="85">
        <v>1160100</v>
      </c>
      <c r="AT14" s="85">
        <v>879800</v>
      </c>
      <c r="AX14" t="str">
        <f>A47</f>
        <v>WSKAŹNIK ZADŁUŻENIA DŁUGOTERMINOWEGO</v>
      </c>
      <c r="AY14" s="48">
        <f t="shared" ref="AY14:BA14" si="46">B47</f>
        <v>0.8107648650257645</v>
      </c>
      <c r="AZ14" s="48">
        <f t="shared" si="46"/>
        <v>0.81268848892132695</v>
      </c>
      <c r="BA14" s="48">
        <f t="shared" si="46"/>
        <v>0.96755744090849072</v>
      </c>
      <c r="BB14" s="48">
        <f>N47</f>
        <v>1.0958157895759555</v>
      </c>
      <c r="BC14" s="48">
        <f t="shared" ref="BC14:BD14" si="47">O47</f>
        <v>1.0020321090383979</v>
      </c>
      <c r="BD14" s="48">
        <f t="shared" si="47"/>
        <v>1.1644118643558943</v>
      </c>
      <c r="BJ14" s="167" t="s">
        <v>998</v>
      </c>
      <c r="BK14" s="168">
        <v>1818900</v>
      </c>
      <c r="BL14" s="168">
        <v>2815700</v>
      </c>
      <c r="BM14" s="169">
        <v>3996200</v>
      </c>
      <c r="BN14" s="167" t="s">
        <v>999</v>
      </c>
      <c r="BO14" s="168">
        <v>1025300</v>
      </c>
      <c r="BP14" s="168">
        <v>1160100</v>
      </c>
      <c r="BQ14" s="168">
        <v>879800</v>
      </c>
      <c r="BR14" s="160"/>
    </row>
    <row r="15" spans="1:70" ht="16.5" thickBot="1" x14ac:dyDescent="0.3">
      <c r="A15" s="53" t="s">
        <v>326</v>
      </c>
      <c r="B15" s="67">
        <f>'CYFROWY POLSAT SA'!B143</f>
        <v>32589600</v>
      </c>
      <c r="C15" s="67">
        <f>'CYFROWY POLSAT SA'!C143</f>
        <v>30696800</v>
      </c>
      <c r="D15" s="67">
        <f>'CYFROWY POLSAT SA'!D143</f>
        <v>27756000</v>
      </c>
      <c r="E15" s="55">
        <f>'KONKURENCJA R.N.TV'!B143</f>
        <v>2149271.39</v>
      </c>
      <c r="F15" s="55">
        <f>'KONKURENCJA R.N.TV'!C143</f>
        <v>1481959.03</v>
      </c>
      <c r="G15" s="55">
        <f>'KONKURENCJA R.N.TV'!D143</f>
        <v>1486228.52</v>
      </c>
      <c r="H15" s="55">
        <f>'KONKURENCJA R.O.KOM.'!B143</f>
        <v>24340000</v>
      </c>
      <c r="I15" s="55">
        <f>'KONKURENCJA R.O.KOM.'!C143</f>
        <v>23295000</v>
      </c>
      <c r="J15" s="55">
        <f>'KONKURENCJA R.O.KOM.'!D143</f>
        <v>22933000</v>
      </c>
      <c r="K15" s="55">
        <f>'KONKURENCJA R.O.KOM.'!E143</f>
        <v>8885641</v>
      </c>
      <c r="L15" s="55">
        <f>'KONKURENCJA R.O.KOM.'!F143</f>
        <v>8520538</v>
      </c>
      <c r="M15" s="55">
        <f>'KONKURENCJA R.O.KOM.'!G143</f>
        <v>8830969</v>
      </c>
      <c r="N15" s="67"/>
      <c r="O15" s="67"/>
      <c r="P15" s="67"/>
      <c r="R15" s="67" t="str">
        <f>$E$2</f>
        <v>Telewizja Polska S.A. (Polska)</v>
      </c>
      <c r="S15" s="48">
        <f>E28</f>
        <v>1.259649629449541</v>
      </c>
      <c r="T15" s="48">
        <f t="shared" ref="T15:U15" si="48">F28</f>
        <v>1.4879277533063786</v>
      </c>
      <c r="U15" s="48">
        <f t="shared" si="48"/>
        <v>1.1958645700056947</v>
      </c>
      <c r="V15" s="48"/>
      <c r="W15" s="48"/>
      <c r="X15" s="48"/>
      <c r="Y15" s="48"/>
      <c r="Z15" s="48"/>
      <c r="AA15" s="48"/>
      <c r="AB15" s="48"/>
      <c r="AD15" s="179" t="str">
        <f>$E$2</f>
        <v>Telewizja Polska S.A. (Polska)</v>
      </c>
      <c r="AE15" s="67" t="str">
        <f>$A$56</f>
        <v>WSKAŹNIK ZSTOSOWANIA KAPITAŁÓW WŁASNYCH</v>
      </c>
      <c r="AF15" s="48">
        <f>E56</f>
        <v>0.54701207670189478</v>
      </c>
      <c r="AG15" s="48">
        <f t="shared" ref="AG15:AH15" si="49">F56</f>
        <v>0.53139211583589219</v>
      </c>
      <c r="AH15" s="48">
        <f t="shared" si="49"/>
        <v>0.61482543029410608</v>
      </c>
      <c r="AI15" s="60">
        <f t="shared" si="44"/>
        <v>2.939441591343904E-2</v>
      </c>
      <c r="AJ15" s="60">
        <f t="shared" si="45"/>
        <v>-0.13570244551905242</v>
      </c>
      <c r="AK15" s="53" t="s">
        <v>858</v>
      </c>
      <c r="AL15" s="48"/>
      <c r="AM15" s="92" t="s">
        <v>377</v>
      </c>
      <c r="AN15" s="93">
        <v>4984900</v>
      </c>
      <c r="AO15" s="93">
        <v>5422700</v>
      </c>
      <c r="AP15" s="94">
        <v>3931500</v>
      </c>
      <c r="AQ15" s="84" t="s">
        <v>397</v>
      </c>
      <c r="AR15" s="85">
        <v>3200</v>
      </c>
      <c r="AS15" s="86" t="s">
        <v>12</v>
      </c>
      <c r="AT15" s="85">
        <v>114200</v>
      </c>
      <c r="AX15" t="str">
        <f>A50</f>
        <v>WSKAŹNIK ZADŁUŻENIA KAPITAŁÓW WŁASNYCH</v>
      </c>
      <c r="AY15" s="48">
        <f t="shared" ref="AY15:BA15" si="50">B50</f>
        <v>1.1989323772796125</v>
      </c>
      <c r="AZ15" s="48">
        <f t="shared" si="50"/>
        <v>1.158241183194018</v>
      </c>
      <c r="BA15" s="48">
        <f t="shared" si="50"/>
        <v>1.2907038161890929</v>
      </c>
      <c r="BB15" s="48">
        <f>N50</f>
        <v>1.5734910229044521</v>
      </c>
      <c r="BC15" s="48">
        <f t="shared" ref="BC15:BD15" si="51">O50</f>
        <v>1.5481973993485072</v>
      </c>
      <c r="BD15" s="48">
        <f t="shared" si="51"/>
        <v>1.7278129645514189</v>
      </c>
      <c r="BJ15" s="164" t="s">
        <v>1000</v>
      </c>
      <c r="BK15" s="165">
        <v>4984900</v>
      </c>
      <c r="BL15" s="165">
        <v>5422700</v>
      </c>
      <c r="BM15" s="166">
        <v>3931500</v>
      </c>
      <c r="BN15" s="167" t="s">
        <v>1001</v>
      </c>
      <c r="BO15" s="168">
        <v>3200</v>
      </c>
      <c r="BP15" s="170"/>
      <c r="BQ15" s="168">
        <v>114200</v>
      </c>
      <c r="BR15" s="160"/>
    </row>
    <row r="16" spans="1:70" ht="16.5" thickBot="1" x14ac:dyDescent="0.3">
      <c r="A16" s="53" t="s">
        <v>16</v>
      </c>
      <c r="B16" s="67">
        <f>'CYFROWY POLSAT SA'!B13</f>
        <v>11721800</v>
      </c>
      <c r="C16" s="67">
        <f>'CYFROWY POLSAT SA'!C13</f>
        <v>10705800</v>
      </c>
      <c r="D16" s="67">
        <f>'CYFROWY POLSAT SA'!D13</f>
        <v>9849900</v>
      </c>
      <c r="E16" s="55">
        <f>'KONKURENCJA R.N.TV'!B13</f>
        <v>2748744.37</v>
      </c>
      <c r="F16" s="55">
        <f>'KONKURENCJA R.N.TV'!C13</f>
        <v>2241526.2799999998</v>
      </c>
      <c r="G16" s="55">
        <f>'KONKURENCJA R.N.TV'!D13</f>
        <v>1804414.62</v>
      </c>
      <c r="H16" s="55">
        <f>'KONKURENCJA R.O.KOM.'!B13</f>
        <v>11644000</v>
      </c>
      <c r="I16" s="55">
        <f>'KONKURENCJA R.O.KOM.'!C13</f>
        <v>11354000</v>
      </c>
      <c r="J16" s="55">
        <f>'KONKURENCJA R.O.KOM.'!D13</f>
        <v>11680000</v>
      </c>
      <c r="K16" s="55">
        <f>'KONKURENCJA R.O.KOM.'!E13</f>
        <v>7117638</v>
      </c>
      <c r="L16" s="55">
        <f>'KONKURENCJA R.O.KOM.'!F13</f>
        <v>6917387</v>
      </c>
      <c r="M16" s="55">
        <f>'KONKURENCJA R.O.KOM.'!G13</f>
        <v>6779637</v>
      </c>
      <c r="N16" s="67"/>
      <c r="O16" s="67"/>
      <c r="P16" s="67"/>
      <c r="R16" s="67" t="str">
        <f>$H$2</f>
        <v>Orange Polska S.A. (Polska)</v>
      </c>
      <c r="S16" s="48">
        <f>H28</f>
        <v>0.46861133935907973</v>
      </c>
      <c r="T16" s="48">
        <f t="shared" ref="T16:U16" si="52">I28</f>
        <v>0.47654003004936679</v>
      </c>
      <c r="U16" s="48">
        <f t="shared" si="52"/>
        <v>0.49627174813587405</v>
      </c>
      <c r="V16" s="48"/>
      <c r="W16" s="48"/>
      <c r="X16" s="48"/>
      <c r="Y16" s="48"/>
      <c r="Z16" s="48"/>
      <c r="AA16" s="48"/>
      <c r="AB16" s="48"/>
      <c r="AD16" s="179"/>
      <c r="AE16" s="67" t="str">
        <f>$A$59</f>
        <v>WSKAŹNIK ZSTOSOWANIA KAPITAŁÓW OBCYCH</v>
      </c>
      <c r="AF16" s="48">
        <f>E59</f>
        <v>1.4052108962588119</v>
      </c>
      <c r="AG16" s="48">
        <f t="shared" ref="AG16:AH16" si="53">F59</f>
        <v>1.6793718434212985</v>
      </c>
      <c r="AH16" s="48">
        <f t="shared" si="53"/>
        <v>1.3948432992443129</v>
      </c>
      <c r="AI16" s="60">
        <f t="shared" si="44"/>
        <v>-0.16325208037545308</v>
      </c>
      <c r="AJ16" s="60">
        <f t="shared" si="45"/>
        <v>0.20398602791520395</v>
      </c>
      <c r="AK16" s="53" t="s">
        <v>859</v>
      </c>
      <c r="AL16" s="48"/>
      <c r="AM16" s="84" t="s">
        <v>378</v>
      </c>
      <c r="AN16" s="85">
        <v>306800</v>
      </c>
      <c r="AO16" s="85">
        <v>394000</v>
      </c>
      <c r="AP16" s="87">
        <v>283700</v>
      </c>
      <c r="AQ16" s="84" t="s">
        <v>398</v>
      </c>
      <c r="AR16" s="85">
        <v>236900</v>
      </c>
      <c r="AS16" s="85">
        <v>880600</v>
      </c>
      <c r="AT16" s="85">
        <v>440800</v>
      </c>
      <c r="BJ16" s="167" t="s">
        <v>1002</v>
      </c>
      <c r="BK16" s="168">
        <v>306800</v>
      </c>
      <c r="BL16" s="168">
        <v>394000</v>
      </c>
      <c r="BM16" s="169">
        <v>283700</v>
      </c>
      <c r="BN16" s="167" t="s">
        <v>1003</v>
      </c>
      <c r="BO16" s="168">
        <v>236900</v>
      </c>
      <c r="BP16" s="168">
        <v>880600</v>
      </c>
      <c r="BQ16" s="168">
        <v>440800</v>
      </c>
      <c r="BR16" s="160"/>
    </row>
    <row r="17" spans="1:70" ht="16.5" thickBot="1" x14ac:dyDescent="0.3">
      <c r="A17" s="63" t="s">
        <v>837</v>
      </c>
      <c r="B17">
        <f>'CYFROWY POLSAT SA'!F70</f>
        <v>27604700</v>
      </c>
      <c r="C17" s="67">
        <f>'CYFROWY POLSAT SA'!G70</f>
        <v>25274100</v>
      </c>
      <c r="D17" s="67">
        <f>'CYFROWY POLSAT SA'!H70</f>
        <v>23824500</v>
      </c>
      <c r="E17" s="72">
        <f>'KONKURENCJA R.N.TV'!F85</f>
        <v>1014809.35</v>
      </c>
      <c r="F17" s="72">
        <f>'KONKURENCJA R.N.TV'!G85</f>
        <v>877020.05</v>
      </c>
      <c r="G17" s="72">
        <f>'KONKURENCJA R.N.TV'!H85</f>
        <v>752325.55</v>
      </c>
      <c r="H17">
        <f>'KONKURENCJA R.O.KOM.'!I70</f>
        <v>20847000</v>
      </c>
      <c r="I17" s="67">
        <f>'KONKURENCJA R.O.KOM.'!J70</f>
        <v>19326000</v>
      </c>
      <c r="J17" s="67">
        <f>'KONKURENCJA R.O.KOM.'!K70</f>
        <v>19660000</v>
      </c>
      <c r="K17" s="67">
        <f>'KONKURENCJA R.O.KOM.'!L70</f>
        <v>6199209</v>
      </c>
      <c r="L17" s="67">
        <f>'KONKURENCJA R.O.KOM.'!M70</f>
        <v>5718002</v>
      </c>
      <c r="M17" s="67">
        <f>'KONKURENCJA R.O.KOM.'!N70</f>
        <v>5504527</v>
      </c>
      <c r="R17" s="67" t="str">
        <f>$K$2</f>
        <v>Play Communications S.A. (Polska)</v>
      </c>
      <c r="S17" s="48">
        <f>K28</f>
        <v>0.79237423614120805</v>
      </c>
      <c r="T17" s="48">
        <f t="shared" ref="T17:U17" si="54">L28</f>
        <v>0.80266621661683801</v>
      </c>
      <c r="U17" s="48">
        <f t="shared" si="54"/>
        <v>0.75528053603177636</v>
      </c>
      <c r="V17" s="48"/>
      <c r="W17" s="48"/>
      <c r="X17" s="48"/>
      <c r="Y17" s="48"/>
      <c r="Z17" s="48"/>
      <c r="AA17" s="48"/>
      <c r="AB17" s="48"/>
      <c r="AD17" s="179" t="str">
        <f>$H$2</f>
        <v>Orange Polska S.A. (Polska)</v>
      </c>
      <c r="AE17" s="67" t="str">
        <f>$A$56</f>
        <v>WSKAŹNIK ZSTOSOWANIA KAPITAŁÓW WŁASNYCH</v>
      </c>
      <c r="AF17" s="48">
        <f>H56</f>
        <v>0.50693145296685371</v>
      </c>
      <c r="AG17" s="48">
        <f t="shared" ref="AG17:AH17" si="55">I56</f>
        <v>0.54356825002587184</v>
      </c>
      <c r="AH17" s="48">
        <f t="shared" si="55"/>
        <v>0.50549338758901319</v>
      </c>
      <c r="AI17" s="60">
        <f t="shared" si="44"/>
        <v>-6.7400546402911404E-2</v>
      </c>
      <c r="AJ17" s="60">
        <f t="shared" si="45"/>
        <v>7.5322177048565211E-2</v>
      </c>
      <c r="AK17" s="53" t="s">
        <v>858</v>
      </c>
      <c r="AL17" s="48"/>
      <c r="AM17" s="84" t="s">
        <v>379</v>
      </c>
      <c r="AN17" s="85">
        <v>2511600</v>
      </c>
      <c r="AO17" s="85">
        <v>2370400</v>
      </c>
      <c r="AP17" s="87">
        <v>1983200</v>
      </c>
      <c r="AQ17" s="84" t="s">
        <v>399</v>
      </c>
      <c r="AR17" s="86" t="s">
        <v>12</v>
      </c>
      <c r="AS17" s="86" t="s">
        <v>12</v>
      </c>
      <c r="AT17" s="85">
        <v>3200</v>
      </c>
      <c r="BJ17" s="167" t="s">
        <v>1004</v>
      </c>
      <c r="BK17" s="168">
        <v>2511600</v>
      </c>
      <c r="BL17" s="168">
        <v>2370400</v>
      </c>
      <c r="BM17" s="169">
        <v>1983200</v>
      </c>
      <c r="BN17" s="167" t="s">
        <v>1005</v>
      </c>
      <c r="BO17" s="170"/>
      <c r="BP17" s="170"/>
      <c r="BQ17" s="168">
        <v>3200</v>
      </c>
      <c r="BR17" s="160"/>
    </row>
    <row r="18" spans="1:70" s="67" customFormat="1" ht="16.5" thickBot="1" x14ac:dyDescent="0.3">
      <c r="A18" s="63" t="s">
        <v>839</v>
      </c>
      <c r="B18" s="67">
        <f>'CYFROWY POLSAT SA'!F71</f>
        <v>5239600</v>
      </c>
      <c r="C18" s="67">
        <f>'CYFROWY POLSAT SA'!G71</f>
        <v>5056700</v>
      </c>
      <c r="D18" s="67">
        <f>'CYFROWY POLSAT SA'!H71</f>
        <v>3192400</v>
      </c>
      <c r="E18" s="72">
        <f>'KONKURENCJA R.N.TV'!F95</f>
        <v>623028.61</v>
      </c>
      <c r="F18" s="72">
        <f>'KONKURENCJA R.N.TV'!G95</f>
        <v>570548.88</v>
      </c>
      <c r="G18" s="72">
        <f>'KONKURENCJA R.N.TV'!H95</f>
        <v>474864.57</v>
      </c>
      <c r="H18" s="67">
        <f>'KONKURENCJA R.O.KOM.'!I71</f>
        <v>10402000</v>
      </c>
      <c r="I18" s="67">
        <f>'KONKURENCJA R.O.KOM.'!J71</f>
        <v>10738000</v>
      </c>
      <c r="J18" s="67">
        <f>'KONKURENCJA R.O.KOM.'!K71</f>
        <v>10666000</v>
      </c>
      <c r="K18" s="67">
        <f>'KONKURENCJA R.O.KOM.'!L71</f>
        <v>2314734</v>
      </c>
      <c r="L18" s="67">
        <f>'KONKURENCJA R.O.KOM.'!M71</f>
        <v>1949433</v>
      </c>
      <c r="M18" s="67">
        <f>'KONKURENCJA R.O.KOM.'!N71</f>
        <v>1585698</v>
      </c>
      <c r="R18" s="67" t="str">
        <f>$N$2</f>
        <v>Branża</v>
      </c>
      <c r="S18" s="48">
        <f>N28</f>
        <v>0.48304888471222945</v>
      </c>
      <c r="T18" s="48">
        <f t="shared" ref="T18:U18" si="56">O28</f>
        <v>0.48178193059213603</v>
      </c>
      <c r="U18" s="48">
        <f t="shared" si="56"/>
        <v>0.486127446646342</v>
      </c>
      <c r="V18" s="48"/>
      <c r="W18" s="48"/>
      <c r="X18" s="48"/>
      <c r="Y18" s="48"/>
      <c r="Z18" s="48"/>
      <c r="AA18" s="48"/>
      <c r="AB18" s="48"/>
      <c r="AD18" s="179"/>
      <c r="AE18" s="67" t="str">
        <f>$A$59</f>
        <v>WSKAŹNIK ZSTOSOWANIA KAPITAŁÓW OBCYCH</v>
      </c>
      <c r="AF18" s="48">
        <f>H59</f>
        <v>3.9427426281133697</v>
      </c>
      <c r="AG18" s="48">
        <f t="shared" ref="AG18:AH18" si="57">I59</f>
        <v>3.2224741748551273</v>
      </c>
      <c r="AH18" s="48">
        <f t="shared" si="57"/>
        <v>3.9703635808127102</v>
      </c>
      <c r="AI18" s="60">
        <f t="shared" si="44"/>
        <v>0.22351411188287443</v>
      </c>
      <c r="AJ18" s="60">
        <f t="shared" si="45"/>
        <v>-0.18836798966519189</v>
      </c>
      <c r="AK18" s="53" t="s">
        <v>859</v>
      </c>
      <c r="AM18" s="84" t="s">
        <v>380</v>
      </c>
      <c r="AN18" s="85">
        <v>4800</v>
      </c>
      <c r="AO18" s="85">
        <v>34600</v>
      </c>
      <c r="AP18" s="88" t="s">
        <v>12</v>
      </c>
      <c r="AQ18" s="84" t="s">
        <v>400</v>
      </c>
      <c r="AR18" s="85">
        <v>1023800</v>
      </c>
      <c r="AS18" s="85">
        <v>15800</v>
      </c>
      <c r="AT18" s="86" t="s">
        <v>12</v>
      </c>
      <c r="BJ18" s="167" t="s">
        <v>1006</v>
      </c>
      <c r="BK18" s="168">
        <v>4800</v>
      </c>
      <c r="BL18" s="168">
        <v>34600</v>
      </c>
      <c r="BM18" s="171"/>
      <c r="BN18" s="167" t="s">
        <v>1007</v>
      </c>
      <c r="BO18" s="168">
        <v>1023800</v>
      </c>
      <c r="BP18" s="168">
        <v>15800</v>
      </c>
      <c r="BQ18" s="170"/>
      <c r="BR18" s="160"/>
    </row>
    <row r="19" spans="1:70" s="67" customFormat="1" ht="16.5" thickBot="1" x14ac:dyDescent="0.3">
      <c r="A19" s="63" t="s">
        <v>843</v>
      </c>
      <c r="B19" s="67">
        <f>'A. SYTUACJI M-K.'!B15-'A. SYTUACJI M-K.'!B11</f>
        <v>17471900</v>
      </c>
      <c r="C19" s="67">
        <f>'A. SYTUACJI M-K.'!C15-'A. SYTUACJI M-K.'!C11</f>
        <v>16173400</v>
      </c>
      <c r="D19" s="67">
        <f>'A. SYTUACJI M-K.'!D15-'A. SYTUACJI M-K.'!D11</f>
        <v>15639200</v>
      </c>
      <c r="E19" s="67">
        <f>'A. SYTUACJI M-K.'!E15-'A. SYTUACJI M-K.'!E11</f>
        <v>1594158.4200000002</v>
      </c>
      <c r="F19" s="67">
        <f>'A. SYTUACJI M-K.'!F15-'A. SYTUACJI M-K.'!F11</f>
        <v>1015917.49</v>
      </c>
      <c r="G19" s="67">
        <f>'A. SYTUACJI M-K.'!G15-'A. SYTUACJI M-K.'!G11</f>
        <v>1023679.64</v>
      </c>
      <c r="H19" s="67">
        <f>'A. SYTUACJI M-K.'!H15-'A. SYTUACJI M-K.'!H11</f>
        <v>13772000</v>
      </c>
      <c r="I19" s="67">
        <f>'A. SYTUACJI M-K.'!I15-'A. SYTUACJI M-K.'!I11</f>
        <v>12790000</v>
      </c>
      <c r="J19" s="67">
        <f>'A. SYTUACJI M-K.'!J15-'A. SYTUACJI M-K.'!J11</f>
        <v>12995000</v>
      </c>
      <c r="K19" s="67">
        <f>'A. SYTUACJI M-K.'!K15-'A. SYTUACJI M-K.'!K11</f>
        <v>8563988</v>
      </c>
      <c r="L19" s="67">
        <f>'A. SYTUACJI M-K.'!L15-'A. SYTUACJI M-K.'!L11</f>
        <v>8721076</v>
      </c>
      <c r="M19" s="67">
        <f>'A. SYTUACJI M-K.'!M15-'A. SYTUACJI M-K.'!M11</f>
        <v>9043548</v>
      </c>
      <c r="R19" s="30" t="str">
        <f>A34</f>
        <v>WSKAŹNIK PRODUKTYWNOŚCI RZECZOWYCH AKTYWÓW TRWAŁYCH</v>
      </c>
      <c r="S19" s="33">
        <v>2019</v>
      </c>
      <c r="T19" s="33">
        <v>2018</v>
      </c>
      <c r="U19" s="33">
        <v>2017</v>
      </c>
      <c r="V19" s="33"/>
      <c r="W19" s="33"/>
      <c r="X19" s="33"/>
      <c r="Y19" s="33"/>
      <c r="Z19" s="33"/>
      <c r="AA19" s="33"/>
      <c r="AB19" s="33"/>
      <c r="AD19" s="179" t="str">
        <f>$K$2</f>
        <v>Play Communications S.A. (Polska)</v>
      </c>
      <c r="AE19" s="67" t="str">
        <f>$A$56</f>
        <v>WSKAŹNIK ZSTOSOWANIA KAPITAŁÓW WŁASNYCH</v>
      </c>
      <c r="AF19" s="48">
        <f>K56</f>
        <v>5.1886135795712003E-2</v>
      </c>
      <c r="AG19" s="48">
        <f t="shared" ref="AG19:AH19" si="58">L56</f>
        <v>-3.507134135315098E-2</v>
      </c>
      <c r="AH19" s="48">
        <f t="shared" si="58"/>
        <v>-3.8618940373986721E-2</v>
      </c>
      <c r="AI19" s="60">
        <f t="shared" si="44"/>
        <v>-2.4794454330458708</v>
      </c>
      <c r="AJ19" s="60">
        <f t="shared" si="45"/>
        <v>-9.1861635417251467E-2</v>
      </c>
      <c r="AK19" s="53" t="s">
        <v>858</v>
      </c>
      <c r="AM19" s="84" t="s">
        <v>381</v>
      </c>
      <c r="AN19" s="85">
        <v>753100</v>
      </c>
      <c r="AO19" s="85">
        <v>1178700</v>
      </c>
      <c r="AP19" s="87">
        <v>1172000</v>
      </c>
      <c r="AQ19" s="92" t="s">
        <v>401</v>
      </c>
      <c r="AR19" s="93">
        <v>5868200</v>
      </c>
      <c r="AS19" s="93">
        <v>5018600</v>
      </c>
      <c r="AT19" s="93">
        <v>3915500</v>
      </c>
      <c r="BJ19" s="167" t="s">
        <v>1008</v>
      </c>
      <c r="BK19" s="168">
        <v>753100</v>
      </c>
      <c r="BL19" s="168">
        <v>1178700</v>
      </c>
      <c r="BM19" s="169">
        <v>1172000</v>
      </c>
      <c r="BN19" s="164" t="s">
        <v>1009</v>
      </c>
      <c r="BO19" s="165">
        <v>5868200</v>
      </c>
      <c r="BP19" s="165">
        <v>5018600</v>
      </c>
      <c r="BQ19" s="165">
        <v>3915500</v>
      </c>
      <c r="BR19" s="160"/>
    </row>
    <row r="20" spans="1:70" s="67" customFormat="1" ht="16.5" thickBot="1" x14ac:dyDescent="0.3">
      <c r="A20" s="63" t="s">
        <v>264</v>
      </c>
      <c r="B20" s="67">
        <f>'CYFROWY POLSAT SA'!F118</f>
        <v>5868200</v>
      </c>
      <c r="C20" s="67">
        <f>'CYFROWY POLSAT SA'!G118</f>
        <v>5018600</v>
      </c>
      <c r="D20" s="67">
        <f>'CYFROWY POLSAT SA'!H118</f>
        <v>3915500</v>
      </c>
      <c r="E20" s="67">
        <f>'KONKURENCJA R.N.TV'!F236</f>
        <v>918223.13</v>
      </c>
      <c r="F20" s="67">
        <f>'KONKURENCJA R.N.TV'!G236</f>
        <v>572696.17000000004</v>
      </c>
      <c r="G20" s="67">
        <f>'KONKURENCJA R.N.TV'!H236</f>
        <v>502911.89</v>
      </c>
      <c r="H20" s="67">
        <f>'KONKURENCJA R.O.KOM.'!I118</f>
        <v>4092000</v>
      </c>
      <c r="I20" s="67">
        <f>'KONKURENCJA R.O.KOM.'!J118</f>
        <v>5946000</v>
      </c>
      <c r="J20" s="67">
        <f>'KONKURENCJA R.O.KOM.'!K118</f>
        <v>6043000</v>
      </c>
      <c r="K20" s="67">
        <f>'KONKURENCJA R.O.KOM.'!L118</f>
        <v>1809809</v>
      </c>
      <c r="L20" s="67">
        <f>'KONKURENCJA R.O.KOM.'!M118</f>
        <v>2277356</v>
      </c>
      <c r="M20" s="67">
        <f>'KONKURENCJA R.O.KOM.'!N118</f>
        <v>2105120</v>
      </c>
      <c r="R20" s="67" t="str">
        <f>$B$2</f>
        <v>Cyfrowy Polsat S.A. (Polska)</v>
      </c>
      <c r="S20" s="48">
        <f>B34</f>
        <v>2.2284334682036797</v>
      </c>
      <c r="T20" s="48">
        <f t="shared" ref="T20" si="59">C34</f>
        <v>2.1132556805821978</v>
      </c>
      <c r="U20" s="48">
        <f t="shared" ref="U20" si="60">D34</f>
        <v>3.0787495301340684</v>
      </c>
      <c r="V20" s="48"/>
      <c r="W20" s="48"/>
      <c r="X20" s="48"/>
      <c r="Y20" s="48"/>
      <c r="Z20" s="48"/>
      <c r="AA20" s="48"/>
      <c r="AB20" s="48"/>
      <c r="AD20" s="179"/>
      <c r="AE20" s="67" t="str">
        <f>$A$59</f>
        <v>WSKAŹNIK ZSTOSOWANIA KAPITAŁÓW OBCYCH</v>
      </c>
      <c r="AF20" s="48">
        <f>K59</f>
        <v>3.1878670295767768</v>
      </c>
      <c r="AG20" s="48">
        <f t="shared" ref="AG20:AH20" si="61">L59</f>
        <v>3.1118515515946985</v>
      </c>
      <c r="AH20" s="48">
        <f t="shared" si="61"/>
        <v>2.7186850093884094</v>
      </c>
      <c r="AI20" s="60">
        <f t="shared" si="44"/>
        <v>2.4427732724950659E-2</v>
      </c>
      <c r="AJ20" s="60">
        <f t="shared" si="45"/>
        <v>0.1446164380384527</v>
      </c>
      <c r="AK20" s="53" t="s">
        <v>859</v>
      </c>
      <c r="AM20" s="84" t="s">
        <v>382</v>
      </c>
      <c r="AN20" s="86" t="s">
        <v>12</v>
      </c>
      <c r="AO20" s="86" t="s">
        <v>12</v>
      </c>
      <c r="AP20" s="87">
        <v>207900</v>
      </c>
      <c r="AQ20" s="84" t="s">
        <v>402</v>
      </c>
      <c r="AR20" s="86" t="s">
        <v>12</v>
      </c>
      <c r="AS20" s="85">
        <v>8800</v>
      </c>
      <c r="AT20" s="85">
        <v>3600</v>
      </c>
      <c r="BJ20" s="167" t="s">
        <v>1010</v>
      </c>
      <c r="BK20" s="170"/>
      <c r="BL20" s="170"/>
      <c r="BM20" s="169">
        <v>207900</v>
      </c>
      <c r="BN20" s="167" t="s">
        <v>1011</v>
      </c>
      <c r="BO20" s="170"/>
      <c r="BP20" s="168">
        <v>8800</v>
      </c>
      <c r="BQ20" s="168">
        <v>3600</v>
      </c>
      <c r="BR20" s="160"/>
    </row>
    <row r="21" spans="1:70" s="67" customFormat="1" ht="16.5" thickBot="1" x14ac:dyDescent="0.3">
      <c r="A21" s="63" t="s">
        <v>845</v>
      </c>
      <c r="B21" s="67">
        <f>'CYFROWY POLSAT SA'!F106</f>
        <v>12256900</v>
      </c>
      <c r="C21" s="67">
        <f>'CYFROWY POLSAT SA'!G106</f>
        <v>11803000</v>
      </c>
      <c r="D21" s="67">
        <f>'CYFROWY POLSAT SA'!H106</f>
        <v>11723700</v>
      </c>
      <c r="E21" s="67">
        <f>'KONKURENCJA R.N.TV'!F227</f>
        <v>414490.62</v>
      </c>
      <c r="F21" s="67">
        <f>'KONKURENCJA R.N.TV'!G227</f>
        <v>252583.51</v>
      </c>
      <c r="G21" s="67">
        <f>'KONKURENCJA R.N.TV'!H227</f>
        <v>357810.68</v>
      </c>
      <c r="H21" s="67">
        <f>'KONKURENCJA R.O.KOM.'!I106</f>
        <v>9682000</v>
      </c>
      <c r="I21" s="67">
        <f>'KONKURENCJA R.O.KOM.'!J106</f>
        <v>6846000</v>
      </c>
      <c r="J21" s="67">
        <f>'KONKURENCJA R.O.KOM.'!K106</f>
        <v>6952000</v>
      </c>
      <c r="K21" s="67">
        <f>'KONKURENCJA R.O.KOM.'!L106</f>
        <v>6754179</v>
      </c>
      <c r="L21" s="67">
        <f>'KONKURENCJA R.O.KOM.'!M106</f>
        <v>6443720</v>
      </c>
      <c r="M21" s="67">
        <f>'KONKURENCJA R.O.KOM.'!N106</f>
        <v>6938428</v>
      </c>
      <c r="R21" s="67" t="str">
        <f>$E$2</f>
        <v>Telewizja Polska S.A. (Polska)</v>
      </c>
      <c r="S21" s="48">
        <f>E34</f>
        <v>4.3454327241890232</v>
      </c>
      <c r="T21" s="48">
        <f t="shared" ref="T21" si="62">F34</f>
        <v>3.8647836273028879</v>
      </c>
      <c r="U21" s="48">
        <f t="shared" ref="U21" si="63">G34</f>
        <v>3.7428103553819567</v>
      </c>
      <c r="V21" s="48"/>
      <c r="W21" s="48"/>
      <c r="X21" s="48"/>
      <c r="Y21" s="48"/>
      <c r="Z21" s="48"/>
      <c r="AA21" s="128" t="s">
        <v>299</v>
      </c>
      <c r="AB21" s="48"/>
      <c r="AD21" s="179" t="str">
        <f>$N$2</f>
        <v>Branża</v>
      </c>
      <c r="AE21" s="67" t="str">
        <f>$A$56</f>
        <v>WSKAŹNIK ZSTOSOWANIA KAPITAŁÓW WŁASNYCH</v>
      </c>
      <c r="AF21" s="48">
        <f>N56</f>
        <v>0.47717817639552651</v>
      </c>
      <c r="AG21" s="48">
        <f t="shared" ref="AG21:AH21" si="64">O56</f>
        <v>0.49406862464936735</v>
      </c>
      <c r="AH21" s="48">
        <f t="shared" si="64"/>
        <v>0.44841502565856556</v>
      </c>
      <c r="AI21" s="60">
        <f t="shared" si="44"/>
        <v>-3.4186441743447524E-2</v>
      </c>
      <c r="AJ21" s="60">
        <f t="shared" si="45"/>
        <v>0.10181103749534831</v>
      </c>
      <c r="AK21" s="53" t="s">
        <v>858</v>
      </c>
      <c r="AM21" s="84" t="s">
        <v>383</v>
      </c>
      <c r="AN21" s="86" t="s">
        <v>12</v>
      </c>
      <c r="AO21" s="86" t="s">
        <v>12</v>
      </c>
      <c r="AP21" s="87">
        <v>1300</v>
      </c>
      <c r="AQ21" s="84" t="s">
        <v>403</v>
      </c>
      <c r="AR21" s="85">
        <v>34800</v>
      </c>
      <c r="AS21" s="85">
        <v>42300</v>
      </c>
      <c r="AT21" s="85">
        <v>1341900</v>
      </c>
      <c r="BJ21" s="167" t="s">
        <v>1012</v>
      </c>
      <c r="BK21" s="170"/>
      <c r="BL21" s="170"/>
      <c r="BM21" s="169">
        <v>1300</v>
      </c>
      <c r="BN21" s="167" t="s">
        <v>1013</v>
      </c>
      <c r="BO21" s="168">
        <v>34800</v>
      </c>
      <c r="BP21" s="168">
        <v>42300</v>
      </c>
      <c r="BQ21" s="168">
        <v>1341900</v>
      </c>
      <c r="BR21" s="160"/>
    </row>
    <row r="22" spans="1:70" s="67" customFormat="1" ht="16.5" thickBot="1" x14ac:dyDescent="0.3">
      <c r="A22" s="63" t="s">
        <v>844</v>
      </c>
      <c r="B22" s="67">
        <f t="shared" ref="B22:M22" si="65">B20+B21</f>
        <v>18125100</v>
      </c>
      <c r="C22" s="67">
        <f t="shared" si="65"/>
        <v>16821600</v>
      </c>
      <c r="D22" s="67">
        <f t="shared" si="65"/>
        <v>15639200</v>
      </c>
      <c r="E22" s="67">
        <f t="shared" si="65"/>
        <v>1332713.75</v>
      </c>
      <c r="F22" s="67">
        <f t="shared" si="65"/>
        <v>825279.68</v>
      </c>
      <c r="G22" s="67">
        <f t="shared" si="65"/>
        <v>860722.57000000007</v>
      </c>
      <c r="H22" s="67">
        <f t="shared" si="65"/>
        <v>13774000</v>
      </c>
      <c r="I22" s="67">
        <f t="shared" si="65"/>
        <v>12792000</v>
      </c>
      <c r="J22" s="67">
        <f t="shared" si="65"/>
        <v>12995000</v>
      </c>
      <c r="K22" s="67">
        <f t="shared" si="65"/>
        <v>8563988</v>
      </c>
      <c r="L22" s="67">
        <f t="shared" si="65"/>
        <v>8721076</v>
      </c>
      <c r="M22" s="67">
        <f t="shared" si="65"/>
        <v>9043548</v>
      </c>
      <c r="R22" s="67" t="str">
        <f>$H$2</f>
        <v>Orange Polska S.A. (Polska)</v>
      </c>
      <c r="S22" s="48">
        <f>H34</f>
        <v>1.0965199000192272</v>
      </c>
      <c r="T22" s="48">
        <f t="shared" ref="T22" si="66">I34</f>
        <v>1.0338051778729744</v>
      </c>
      <c r="U22" s="48">
        <f t="shared" ref="U22" si="67">J34</f>
        <v>1.0670354397149822</v>
      </c>
      <c r="V22" s="48"/>
      <c r="W22" s="48"/>
      <c r="X22" s="48"/>
      <c r="Y22" s="48"/>
      <c r="Z22" s="48"/>
      <c r="AA22" s="48"/>
      <c r="AB22" s="48"/>
      <c r="AD22" s="179"/>
      <c r="AE22" s="67" t="str">
        <f>$A$59</f>
        <v>WSKAŹNIK ZSTOSOWANIA KAPITAŁÓW OBCYCH</v>
      </c>
      <c r="AF22" s="48">
        <f>N59</f>
        <v>3.3663500897198539</v>
      </c>
      <c r="AG22" s="48">
        <f t="shared" ref="AG22:AH22" si="68">O59</f>
        <v>3.0236631306684418</v>
      </c>
      <c r="AH22" s="48">
        <f t="shared" si="68"/>
        <v>3.4355934540659732</v>
      </c>
      <c r="AI22" s="60">
        <f t="shared" si="44"/>
        <v>0.11333503245636171</v>
      </c>
      <c r="AJ22" s="60">
        <f t="shared" si="45"/>
        <v>-0.11990077665039732</v>
      </c>
      <c r="AK22" s="53" t="s">
        <v>859</v>
      </c>
      <c r="AM22" s="84" t="s">
        <v>384</v>
      </c>
      <c r="AN22" s="86" t="s">
        <v>12</v>
      </c>
      <c r="AO22" s="86" t="s">
        <v>12</v>
      </c>
      <c r="AP22" s="87">
        <v>5100</v>
      </c>
      <c r="AQ22" s="84" t="s">
        <v>404</v>
      </c>
      <c r="AR22" s="85">
        <v>1892500</v>
      </c>
      <c r="AS22" s="85">
        <v>1611300</v>
      </c>
      <c r="AT22" s="86" t="s">
        <v>12</v>
      </c>
      <c r="BJ22" s="167" t="s">
        <v>1014</v>
      </c>
      <c r="BK22" s="170"/>
      <c r="BL22" s="170"/>
      <c r="BM22" s="169">
        <v>5100</v>
      </c>
      <c r="BN22" s="167" t="s">
        <v>1015</v>
      </c>
      <c r="BO22" s="168">
        <v>1892500</v>
      </c>
      <c r="BP22" s="168">
        <v>1611300</v>
      </c>
      <c r="BQ22" s="170"/>
      <c r="BR22" s="160"/>
    </row>
    <row r="23" spans="1:70" s="67" customFormat="1" ht="16.5" thickBot="1" x14ac:dyDescent="0.3">
      <c r="A23" s="63" t="s">
        <v>260</v>
      </c>
      <c r="B23" s="67">
        <f>B9-B17</f>
        <v>4984900</v>
      </c>
      <c r="C23" s="67">
        <f t="shared" ref="C23:M23" si="69">C9-C17</f>
        <v>5422700</v>
      </c>
      <c r="D23" s="67">
        <f t="shared" si="69"/>
        <v>3931500</v>
      </c>
      <c r="E23" s="67">
        <f t="shared" si="69"/>
        <v>1134462.04</v>
      </c>
      <c r="F23" s="67">
        <f t="shared" si="69"/>
        <v>604938.98</v>
      </c>
      <c r="G23" s="67">
        <f t="shared" si="69"/>
        <v>733902.97</v>
      </c>
      <c r="H23" s="67">
        <f t="shared" si="69"/>
        <v>3493000</v>
      </c>
      <c r="I23" s="67">
        <f t="shared" si="69"/>
        <v>3969000</v>
      </c>
      <c r="J23" s="67">
        <f t="shared" si="69"/>
        <v>3273000</v>
      </c>
      <c r="K23" s="67">
        <f t="shared" si="69"/>
        <v>2686432</v>
      </c>
      <c r="L23" s="67">
        <f t="shared" si="69"/>
        <v>2802536</v>
      </c>
      <c r="M23" s="67">
        <f t="shared" si="69"/>
        <v>3326442</v>
      </c>
      <c r="R23" s="67" t="str">
        <f>$K$2</f>
        <v>Play Communications S.A. (Polska)</v>
      </c>
      <c r="S23" s="48">
        <f>K34</f>
        <v>3.0417114882314773</v>
      </c>
      <c r="T23" s="48">
        <f t="shared" ref="T23" si="70">L34</f>
        <v>3.5082754831789553</v>
      </c>
      <c r="U23" s="48">
        <f t="shared" ref="U23" si="71">M34</f>
        <v>4.2062605868204415</v>
      </c>
      <c r="V23" s="48"/>
      <c r="W23" s="48"/>
      <c r="X23" s="48"/>
      <c r="Y23" s="48"/>
      <c r="Z23" s="48"/>
      <c r="AA23" s="48"/>
      <c r="AB23" s="48"/>
      <c r="AM23" s="84" t="s">
        <v>385</v>
      </c>
      <c r="AN23" s="85">
        <v>1408600</v>
      </c>
      <c r="AO23" s="85">
        <v>1445000</v>
      </c>
      <c r="AP23" s="87">
        <v>26600</v>
      </c>
      <c r="AQ23" s="84" t="s">
        <v>405</v>
      </c>
      <c r="AR23" s="85">
        <v>413500</v>
      </c>
      <c r="AS23" s="85">
        <v>8200</v>
      </c>
      <c r="AT23" s="86" t="s">
        <v>12</v>
      </c>
      <c r="BJ23" s="167" t="s">
        <v>1016</v>
      </c>
      <c r="BK23" s="168">
        <v>1408600</v>
      </c>
      <c r="BL23" s="168">
        <v>1445000</v>
      </c>
      <c r="BM23" s="169">
        <v>26600</v>
      </c>
      <c r="BN23" s="167" t="s">
        <v>1017</v>
      </c>
      <c r="BO23" s="168">
        <v>413500</v>
      </c>
      <c r="BP23" s="168">
        <v>8200</v>
      </c>
      <c r="BQ23" s="170"/>
      <c r="BR23" s="160"/>
    </row>
    <row r="24" spans="1:70" s="67" customFormat="1" ht="16.5" thickBot="1" x14ac:dyDescent="0.3">
      <c r="A24" s="63"/>
      <c r="E24" s="72"/>
      <c r="F24" s="72"/>
      <c r="G24" s="72"/>
      <c r="R24" s="67" t="str">
        <f>$N$2</f>
        <v>Branża</v>
      </c>
      <c r="S24" s="48">
        <f>N34</f>
        <v>1.7670241223630438</v>
      </c>
      <c r="T24" s="48">
        <f t="shared" ref="T24" si="72">O34</f>
        <v>1.6834196832907262</v>
      </c>
      <c r="U24" s="48">
        <f t="shared" ref="U24" si="73">P34</f>
        <v>1.8629849086955923</v>
      </c>
      <c r="V24" s="48"/>
      <c r="W24" s="48"/>
      <c r="X24" s="48"/>
      <c r="Y24" s="48"/>
      <c r="Z24" s="48"/>
      <c r="AA24" s="48"/>
      <c r="AB24" s="48"/>
      <c r="AD24" s="193" t="str">
        <f>A63</f>
        <v>ZŁOTA ZASADA BANKOWA</v>
      </c>
      <c r="AE24" s="193"/>
      <c r="AF24" s="33">
        <v>2019</v>
      </c>
      <c r="AG24" s="33">
        <v>2018</v>
      </c>
      <c r="AH24" s="33">
        <v>2017</v>
      </c>
      <c r="AI24" s="33" t="s">
        <v>856</v>
      </c>
      <c r="AJ24" s="33" t="s">
        <v>857</v>
      </c>
      <c r="AK24" s="33"/>
      <c r="AM24" s="82"/>
      <c r="AN24" s="83"/>
      <c r="AO24" s="83"/>
      <c r="AP24" s="83"/>
      <c r="AQ24" s="84" t="s">
        <v>406</v>
      </c>
      <c r="AR24" s="85">
        <v>2420800</v>
      </c>
      <c r="AS24" s="85">
        <v>2373600</v>
      </c>
      <c r="AT24" s="85">
        <v>1723700</v>
      </c>
      <c r="BJ24" s="63"/>
      <c r="BK24" s="53"/>
      <c r="BL24" s="53"/>
      <c r="BM24" s="53"/>
      <c r="BN24" s="167" t="s">
        <v>1018</v>
      </c>
      <c r="BO24" s="168">
        <v>2420800</v>
      </c>
      <c r="BP24" s="168">
        <v>2373600</v>
      </c>
      <c r="BQ24" s="168">
        <v>1723700</v>
      </c>
      <c r="BR24" s="160"/>
    </row>
    <row r="25" spans="1:70" s="67" customFormat="1" ht="16.5" thickBot="1" x14ac:dyDescent="0.3">
      <c r="A25" s="30" t="s">
        <v>836</v>
      </c>
      <c r="B25" s="127">
        <f>B26/B27</f>
        <v>0.8470401600510592</v>
      </c>
      <c r="C25" s="127">
        <f t="shared" ref="C25:M25" si="74">C26/C27</f>
        <v>0.82334640744312115</v>
      </c>
      <c r="D25" s="127">
        <f t="shared" si="74"/>
        <v>0.85835495028102027</v>
      </c>
      <c r="E25" s="127">
        <f t="shared" si="74"/>
        <v>0.47216435984847865</v>
      </c>
      <c r="F25" s="127">
        <f t="shared" si="74"/>
        <v>0.59179777054970273</v>
      </c>
      <c r="G25" s="127">
        <f t="shared" si="74"/>
        <v>0.50619776156630347</v>
      </c>
      <c r="H25" s="127">
        <f t="shared" si="74"/>
        <v>0.85649137222678717</v>
      </c>
      <c r="I25" s="127">
        <f t="shared" si="74"/>
        <v>0.82962009014810045</v>
      </c>
      <c r="J25" s="127">
        <f t="shared" si="74"/>
        <v>0.85727990232416174</v>
      </c>
      <c r="K25" s="127">
        <f t="shared" si="74"/>
        <v>0.69766593091033047</v>
      </c>
      <c r="L25" s="127">
        <f t="shared" si="74"/>
        <v>0.67108461930455565</v>
      </c>
      <c r="M25" s="127">
        <f t="shared" si="74"/>
        <v>0.62332083829079232</v>
      </c>
      <c r="N25" s="127">
        <f t="shared" ref="N25" si="75">N26/N27</f>
        <v>0.81904094346434841</v>
      </c>
      <c r="O25" s="127">
        <f t="shared" ref="O25" si="76">O26/O27</f>
        <v>0.79999506871682868</v>
      </c>
      <c r="P25" s="127">
        <f t="shared" ref="P25" si="77">P26/P27</f>
        <v>0.81534917060996981</v>
      </c>
      <c r="R25" s="30" t="str">
        <f>A31</f>
        <v>WSKAŹNIK RENTOWNOŚCI RZECZOWYCH AKTYWÓW TRWAŁYCH</v>
      </c>
      <c r="S25" s="33">
        <v>2019</v>
      </c>
      <c r="T25" s="33">
        <v>2018</v>
      </c>
      <c r="U25" s="33">
        <v>2017</v>
      </c>
      <c r="V25" s="33"/>
      <c r="W25" s="33"/>
      <c r="X25" s="33"/>
      <c r="Y25" s="33"/>
      <c r="Z25" s="33"/>
      <c r="AA25" s="33"/>
      <c r="AB25" s="33"/>
      <c r="AD25" s="179" t="str">
        <f>$B$2</f>
        <v>Cyfrowy Polsat S.A. (Polska)</v>
      </c>
      <c r="AE25" s="67" t="str">
        <f>$A$64</f>
        <v>II STOPIEŃ POKRYCIA</v>
      </c>
      <c r="AF25" s="48">
        <f>B64</f>
        <v>0.44401496846551491</v>
      </c>
      <c r="AG25" s="48">
        <f t="shared" ref="AG25:AH25" si="78">C64</f>
        <v>0.46699981403887775</v>
      </c>
      <c r="AH25" s="48">
        <f t="shared" si="78"/>
        <v>0.49208587798274883</v>
      </c>
      <c r="AI25" s="60">
        <f>(AF25-AG25)/AG25</f>
        <v>-4.9218104338365633E-2</v>
      </c>
      <c r="AJ25" s="60">
        <f>(AG25-AH25)/AH25</f>
        <v>-5.0979036518399197E-2</v>
      </c>
      <c r="AK25" s="53" t="s">
        <v>858</v>
      </c>
      <c r="AM25" s="82" t="str">
        <f>AM2</f>
        <v>AKTYWA</v>
      </c>
      <c r="AN25" s="82">
        <f t="shared" ref="AN25:AP25" si="79">AN2</f>
        <v>2019</v>
      </c>
      <c r="AO25" s="82">
        <f t="shared" si="79"/>
        <v>2018</v>
      </c>
      <c r="AP25" s="82">
        <f t="shared" si="79"/>
        <v>2017</v>
      </c>
      <c r="AQ25" s="84" t="s">
        <v>407</v>
      </c>
      <c r="AR25" s="85">
        <v>276600</v>
      </c>
      <c r="AS25" s="85">
        <v>151100</v>
      </c>
      <c r="AT25" s="85">
        <v>61300</v>
      </c>
      <c r="BJ25" s="63"/>
      <c r="BK25" s="53"/>
      <c r="BL25" s="53"/>
      <c r="BM25" s="53"/>
      <c r="BN25" s="167" t="s">
        <v>1019</v>
      </c>
      <c r="BO25" s="168">
        <v>276600</v>
      </c>
      <c r="BP25" s="168">
        <v>151100</v>
      </c>
      <c r="BQ25" s="168">
        <v>61300</v>
      </c>
      <c r="BR25" s="160"/>
    </row>
    <row r="26" spans="1:70" ht="16.5" thickBot="1" x14ac:dyDescent="0.3">
      <c r="A26" s="72" t="str">
        <f t="shared" ref="A26:M26" si="80">A17</f>
        <v>aktywa trwałe</v>
      </c>
      <c r="B26" s="72">
        <f t="shared" si="80"/>
        <v>27604700</v>
      </c>
      <c r="C26" s="72">
        <f t="shared" si="80"/>
        <v>25274100</v>
      </c>
      <c r="D26" s="72">
        <f t="shared" si="80"/>
        <v>23824500</v>
      </c>
      <c r="E26" s="72">
        <f t="shared" si="80"/>
        <v>1014809.35</v>
      </c>
      <c r="F26" s="72">
        <f t="shared" si="80"/>
        <v>877020.05</v>
      </c>
      <c r="G26" s="72">
        <f t="shared" si="80"/>
        <v>752325.55</v>
      </c>
      <c r="H26" s="72">
        <f t="shared" si="80"/>
        <v>20847000</v>
      </c>
      <c r="I26" s="72">
        <f t="shared" si="80"/>
        <v>19326000</v>
      </c>
      <c r="J26" s="72">
        <f t="shared" si="80"/>
        <v>19660000</v>
      </c>
      <c r="K26" s="72">
        <f t="shared" si="80"/>
        <v>6199209</v>
      </c>
      <c r="L26" s="72">
        <f t="shared" si="80"/>
        <v>5718002</v>
      </c>
      <c r="M26" s="72">
        <f t="shared" si="80"/>
        <v>5504527</v>
      </c>
      <c r="N26" s="67">
        <f>AVERAGE(B26,E26,H26,K26)</f>
        <v>13916429.5875</v>
      </c>
      <c r="O26" s="67">
        <f t="shared" ref="O26:P27" si="81">AVERAGE(C26,F26,I26,L26)</f>
        <v>12798780.512499999</v>
      </c>
      <c r="P26" s="67">
        <f t="shared" si="81"/>
        <v>12435338.137499999</v>
      </c>
      <c r="R26" s="67" t="str">
        <f>$B$2</f>
        <v>Cyfrowy Polsat S.A. (Polska)</v>
      </c>
      <c r="S26" s="48">
        <f>B31</f>
        <v>0.37541033666692114</v>
      </c>
      <c r="T26" s="48">
        <f t="shared" ref="T26:U26" si="82">C31</f>
        <v>0.34152708288013922</v>
      </c>
      <c r="U26" s="48">
        <f t="shared" si="82"/>
        <v>0.57448941235434159</v>
      </c>
      <c r="V26" s="48"/>
      <c r="W26" s="48"/>
      <c r="X26" s="48"/>
      <c r="Y26" s="48"/>
      <c r="Z26" s="48"/>
      <c r="AA26" s="48"/>
      <c r="AB26" s="48"/>
      <c r="AD26" s="179"/>
      <c r="AE26" s="67" t="str">
        <f>$A$67</f>
        <v>III STOPIEŃ POKRYCIA</v>
      </c>
      <c r="AF26" s="48">
        <f>B67</f>
        <v>1.1771951292904572</v>
      </c>
      <c r="AG26" s="48">
        <f t="shared" ref="AG26:AH26" si="83">C67</f>
        <v>0.92547992697364778</v>
      </c>
      <c r="AH26" s="48">
        <f t="shared" si="83"/>
        <v>0.99593030649879177</v>
      </c>
      <c r="AI26" s="60">
        <f t="shared" ref="AI26:AI34" si="84">(AF26-AG26)/AG26</f>
        <v>0.27198342717159418</v>
      </c>
      <c r="AJ26" s="60">
        <f t="shared" ref="AJ26:AJ34" si="85">(AG26-AH26)/AH26</f>
        <v>-7.0738262572622557E-2</v>
      </c>
      <c r="AK26" s="53" t="s">
        <v>858</v>
      </c>
      <c r="AM26" s="130" t="s">
        <v>862</v>
      </c>
      <c r="AN26" s="129">
        <f t="shared" ref="AN26:AP26" si="86">AN5</f>
        <v>5239600</v>
      </c>
      <c r="AO26" s="129">
        <f t="shared" si="86"/>
        <v>5056700</v>
      </c>
      <c r="AP26" s="129">
        <f t="shared" si="86"/>
        <v>3192400</v>
      </c>
      <c r="AQ26" s="84" t="s">
        <v>408</v>
      </c>
      <c r="AR26" s="85">
        <v>830000</v>
      </c>
      <c r="AS26" s="85">
        <v>823300</v>
      </c>
      <c r="AT26" s="85">
        <v>114500</v>
      </c>
      <c r="BJ26" s="63"/>
      <c r="BK26" s="53"/>
      <c r="BL26" s="53"/>
      <c r="BM26" s="53"/>
      <c r="BN26" s="167" t="s">
        <v>1020</v>
      </c>
      <c r="BO26" s="168">
        <v>830000</v>
      </c>
      <c r="BP26" s="168">
        <v>823300</v>
      </c>
      <c r="BQ26" s="168">
        <v>114500</v>
      </c>
      <c r="BR26" s="160"/>
    </row>
    <row r="27" spans="1:70" ht="16.5" thickBot="1" x14ac:dyDescent="0.3">
      <c r="A27" s="72" t="str">
        <f t="shared" ref="A27:M27" si="87">A9</f>
        <v>aktywa ogółem</v>
      </c>
      <c r="B27" s="72">
        <f t="shared" si="87"/>
        <v>32589600</v>
      </c>
      <c r="C27" s="72">
        <f t="shared" si="87"/>
        <v>30696800</v>
      </c>
      <c r="D27" s="72">
        <f t="shared" si="87"/>
        <v>27756000</v>
      </c>
      <c r="E27" s="72">
        <f t="shared" si="87"/>
        <v>2149271.39</v>
      </c>
      <c r="F27" s="72">
        <f t="shared" si="87"/>
        <v>1481959.03</v>
      </c>
      <c r="G27" s="72">
        <f t="shared" si="87"/>
        <v>1486228.52</v>
      </c>
      <c r="H27" s="72">
        <f t="shared" si="87"/>
        <v>24340000</v>
      </c>
      <c r="I27" s="72">
        <f t="shared" si="87"/>
        <v>23295000</v>
      </c>
      <c r="J27" s="72">
        <f t="shared" si="87"/>
        <v>22933000</v>
      </c>
      <c r="K27" s="72">
        <f t="shared" si="87"/>
        <v>8885641</v>
      </c>
      <c r="L27" s="72">
        <f t="shared" si="87"/>
        <v>8520538</v>
      </c>
      <c r="M27" s="72">
        <f t="shared" si="87"/>
        <v>8830969</v>
      </c>
      <c r="N27" s="67">
        <f>AVERAGE(B27,E27,H27,K27)</f>
        <v>16991128.0975</v>
      </c>
      <c r="O27" s="67">
        <f t="shared" si="81"/>
        <v>15998574.2575</v>
      </c>
      <c r="P27" s="67">
        <f t="shared" si="81"/>
        <v>15251549.379999999</v>
      </c>
      <c r="R27" s="67" t="str">
        <f>$E$2</f>
        <v>Telewizja Polska S.A. (Polska)</v>
      </c>
      <c r="S27" s="48">
        <f>E31</f>
        <v>0.18091387488609875</v>
      </c>
      <c r="T27" s="48">
        <f t="shared" ref="T27:U27" si="88">F31</f>
        <v>2.6364822589784068E-2</v>
      </c>
      <c r="U27" s="48">
        <f t="shared" si="88"/>
        <v>5.1444583452498888E-2</v>
      </c>
      <c r="V27" s="48"/>
      <c r="W27" s="48"/>
      <c r="X27" s="48"/>
      <c r="Y27" s="48"/>
      <c r="Z27" s="48"/>
      <c r="AA27" s="48"/>
      <c r="AB27" s="48"/>
      <c r="AD27" s="179" t="str">
        <f>$E$2</f>
        <v>Telewizja Polska S.A. (Polska)</v>
      </c>
      <c r="AE27" s="67" t="str">
        <f>$A$64</f>
        <v>II STOPIEŃ POKRYCIA</v>
      </c>
      <c r="AF27" s="48">
        <f>E64</f>
        <v>0.40844186151812656</v>
      </c>
      <c r="AG27" s="48">
        <f t="shared" ref="AG27:AH27" si="89">F64</f>
        <v>0.28800197897414087</v>
      </c>
      <c r="AH27" s="48">
        <f t="shared" si="89"/>
        <v>0.47560617873472455</v>
      </c>
      <c r="AI27" s="60">
        <f t="shared" si="84"/>
        <v>0.41819116303641701</v>
      </c>
      <c r="AJ27" s="60">
        <f t="shared" si="85"/>
        <v>-0.39445282283690081</v>
      </c>
      <c r="AK27" s="53" t="s">
        <v>858</v>
      </c>
      <c r="AM27" s="130" t="s">
        <v>860</v>
      </c>
      <c r="AN27" s="129">
        <f t="shared" ref="AN27:AP29" si="90">AN6</f>
        <v>8162700</v>
      </c>
      <c r="AO27" s="129">
        <f t="shared" si="90"/>
        <v>5101600</v>
      </c>
      <c r="AP27" s="129">
        <f t="shared" si="90"/>
        <v>5298600</v>
      </c>
      <c r="AQ27" s="84" t="s">
        <v>409</v>
      </c>
      <c r="AR27" s="86" t="s">
        <v>12</v>
      </c>
      <c r="AS27" s="86" t="s">
        <v>12</v>
      </c>
      <c r="AT27" s="85">
        <v>618300</v>
      </c>
      <c r="BJ27" s="63"/>
      <c r="BK27" s="53"/>
      <c r="BL27" s="53"/>
      <c r="BM27" s="53"/>
      <c r="BN27" s="167" t="s">
        <v>1021</v>
      </c>
      <c r="BO27" s="170"/>
      <c r="BP27" s="170"/>
      <c r="BQ27" s="168">
        <v>618300</v>
      </c>
      <c r="BR27" s="160"/>
    </row>
    <row r="28" spans="1:70" x14ac:dyDescent="0.25">
      <c r="A28" s="30" t="s">
        <v>838</v>
      </c>
      <c r="B28" s="127">
        <f>B29/B30</f>
        <v>0.35827687360384908</v>
      </c>
      <c r="C28" s="127">
        <f t="shared" ref="C28:P28" si="91">C29/C30</f>
        <v>0.34811771911078682</v>
      </c>
      <c r="D28" s="127">
        <f t="shared" si="91"/>
        <v>0.35410722006052747</v>
      </c>
      <c r="E28" s="127">
        <f t="shared" si="91"/>
        <v>1.259649629449541</v>
      </c>
      <c r="F28" s="127">
        <f t="shared" si="91"/>
        <v>1.4879277533063786</v>
      </c>
      <c r="G28" s="127">
        <f t="shared" si="91"/>
        <v>1.1958645700056947</v>
      </c>
      <c r="H28" s="127">
        <f t="shared" si="91"/>
        <v>0.46861133935907973</v>
      </c>
      <c r="I28" s="127">
        <f t="shared" si="91"/>
        <v>0.47654003004936679</v>
      </c>
      <c r="J28" s="127">
        <f t="shared" si="91"/>
        <v>0.49627174813587405</v>
      </c>
      <c r="K28" s="127">
        <f t="shared" si="91"/>
        <v>0.79237423614120805</v>
      </c>
      <c r="L28" s="127">
        <f t="shared" si="91"/>
        <v>0.80266621661683801</v>
      </c>
      <c r="M28" s="127">
        <f t="shared" si="91"/>
        <v>0.75528053603177636</v>
      </c>
      <c r="N28" s="127">
        <f t="shared" si="91"/>
        <v>0.48304888471222945</v>
      </c>
      <c r="O28" s="127">
        <f t="shared" si="91"/>
        <v>0.48178193059213603</v>
      </c>
      <c r="P28" s="127">
        <f t="shared" si="91"/>
        <v>0.486127446646342</v>
      </c>
      <c r="R28" s="67" t="str">
        <f>$H$2</f>
        <v>Orange Polska S.A. (Polska)</v>
      </c>
      <c r="S28" s="48">
        <f>H31</f>
        <v>0</v>
      </c>
      <c r="T28" s="48">
        <f t="shared" ref="T28:U28" si="92">I31</f>
        <v>0</v>
      </c>
      <c r="U28" s="48">
        <f t="shared" si="92"/>
        <v>2.1470091880742545E-2</v>
      </c>
      <c r="V28" s="48"/>
      <c r="W28" s="48"/>
      <c r="X28" s="48"/>
      <c r="Y28" s="48"/>
      <c r="Z28" s="48"/>
      <c r="AA28" s="48"/>
      <c r="AB28" s="48"/>
      <c r="AD28" s="179"/>
      <c r="AE28" s="67" t="str">
        <f>$A$67</f>
        <v>III STOPIEŃ POKRYCIA</v>
      </c>
      <c r="AF28" s="48">
        <f>E67</f>
        <v>0.80939079283781057</v>
      </c>
      <c r="AG28" s="48">
        <f t="shared" ref="AG28:AH28" si="93">F67</f>
        <v>0.94670072343494882</v>
      </c>
      <c r="AH28" s="48">
        <f t="shared" si="93"/>
        <v>0.68525664911807083</v>
      </c>
      <c r="AI28" s="60">
        <f t="shared" si="84"/>
        <v>-0.14504048343697426</v>
      </c>
      <c r="AJ28" s="60">
        <f t="shared" si="85"/>
        <v>0.38152723458190152</v>
      </c>
      <c r="AK28" s="53" t="s">
        <v>858</v>
      </c>
      <c r="AM28" s="130" t="s">
        <v>861</v>
      </c>
      <c r="AN28" s="129">
        <f t="shared" si="90"/>
        <v>11336400</v>
      </c>
      <c r="AO28" s="129">
        <f t="shared" si="90"/>
        <v>11309400</v>
      </c>
      <c r="AP28" s="129">
        <f t="shared" si="90"/>
        <v>11041700</v>
      </c>
    </row>
    <row r="29" spans="1:70" x14ac:dyDescent="0.25">
      <c r="A29" s="72" t="str">
        <f t="shared" ref="A29:M29" si="94">A4</f>
        <v>przychody netto ze sprzedaży</v>
      </c>
      <c r="B29" s="72">
        <f t="shared" si="94"/>
        <v>11676100</v>
      </c>
      <c r="C29" s="72">
        <f t="shared" si="94"/>
        <v>10686100</v>
      </c>
      <c r="D29" s="72">
        <f t="shared" si="94"/>
        <v>9828600</v>
      </c>
      <c r="E29" s="72">
        <f t="shared" si="94"/>
        <v>2707328.91</v>
      </c>
      <c r="F29" s="72">
        <f t="shared" si="94"/>
        <v>2205047.9700000002</v>
      </c>
      <c r="G29" s="72">
        <f t="shared" si="94"/>
        <v>1777328.03</v>
      </c>
      <c r="H29" s="72">
        <f t="shared" si="94"/>
        <v>11406000</v>
      </c>
      <c r="I29" s="72">
        <f t="shared" si="94"/>
        <v>11101000</v>
      </c>
      <c r="J29" s="72">
        <f t="shared" si="94"/>
        <v>11381000</v>
      </c>
      <c r="K29" s="72">
        <f t="shared" si="94"/>
        <v>7040753</v>
      </c>
      <c r="L29" s="72">
        <f t="shared" si="94"/>
        <v>6839148</v>
      </c>
      <c r="M29" s="72">
        <f t="shared" si="94"/>
        <v>6669859</v>
      </c>
      <c r="N29" s="67">
        <f t="shared" ref="N29:N30" si="95">AVERAGE(B29,E29,H29,K29)</f>
        <v>8207545.4775</v>
      </c>
      <c r="O29" s="67">
        <f t="shared" ref="O29:O30" si="96">AVERAGE(C29,F29,I29,L29)</f>
        <v>7707823.9924999997</v>
      </c>
      <c r="P29" s="67">
        <f t="shared" ref="P29:P30" si="97">AVERAGE(D29,G29,J29,M29)</f>
        <v>7414196.7575000003</v>
      </c>
      <c r="R29" s="67" t="str">
        <f>$K$2</f>
        <v>Play Communications S.A. (Polska)</v>
      </c>
      <c r="S29" s="48">
        <f>K31</f>
        <v>0.64786969042663223</v>
      </c>
      <c r="T29" s="48">
        <f t="shared" ref="T29:U29" si="98">L31</f>
        <v>0.70310700598584308</v>
      </c>
      <c r="U29" s="48">
        <f t="shared" si="98"/>
        <v>0.69804149339912136</v>
      </c>
      <c r="V29" s="48"/>
      <c r="W29" s="48"/>
      <c r="X29" s="48"/>
      <c r="Y29" s="48"/>
      <c r="Z29" s="48"/>
      <c r="AA29" s="48"/>
      <c r="AB29" s="48"/>
      <c r="AD29" s="179" t="str">
        <f>$H$2</f>
        <v>Orange Polska S.A. (Polska)</v>
      </c>
      <c r="AE29" s="67" t="str">
        <f>$A$64</f>
        <v>II STOPIEŃ POKRYCIA</v>
      </c>
      <c r="AF29" s="48">
        <f>H64</f>
        <v>0.46443133304552214</v>
      </c>
      <c r="AG29" s="48">
        <f t="shared" ref="AG29:AH29" si="99">I64</f>
        <v>0.35423781434337165</v>
      </c>
      <c r="AH29" s="48">
        <f t="shared" si="99"/>
        <v>0.35361139369277722</v>
      </c>
      <c r="AI29" s="60">
        <f t="shared" si="84"/>
        <v>0.31107215051676312</v>
      </c>
      <c r="AJ29" s="60">
        <f t="shared" si="85"/>
        <v>1.7714945326073729E-3</v>
      </c>
      <c r="AK29" s="53" t="s">
        <v>858</v>
      </c>
      <c r="AM29" s="130" t="s">
        <v>863</v>
      </c>
      <c r="AN29" s="129">
        <f t="shared" si="90"/>
        <v>29400</v>
      </c>
      <c r="AO29" s="131">
        <f>SUM(AO8,AO9)</f>
        <v>72900</v>
      </c>
      <c r="AP29" s="129">
        <f t="shared" si="90"/>
        <v>5100</v>
      </c>
      <c r="AQ29" t="s">
        <v>342</v>
      </c>
      <c r="AR29">
        <v>2019</v>
      </c>
      <c r="AS29">
        <v>2018</v>
      </c>
      <c r="AT29">
        <v>2017</v>
      </c>
    </row>
    <row r="30" spans="1:70" x14ac:dyDescent="0.25">
      <c r="A30" s="72" t="str">
        <f t="shared" ref="A30:M30" si="100">A9</f>
        <v>aktywa ogółem</v>
      </c>
      <c r="B30" s="72">
        <f t="shared" si="100"/>
        <v>32589600</v>
      </c>
      <c r="C30" s="72">
        <f t="shared" si="100"/>
        <v>30696800</v>
      </c>
      <c r="D30" s="72">
        <f t="shared" si="100"/>
        <v>27756000</v>
      </c>
      <c r="E30" s="72">
        <f t="shared" si="100"/>
        <v>2149271.39</v>
      </c>
      <c r="F30" s="72">
        <f t="shared" si="100"/>
        <v>1481959.03</v>
      </c>
      <c r="G30" s="72">
        <f t="shared" si="100"/>
        <v>1486228.52</v>
      </c>
      <c r="H30" s="72">
        <f t="shared" si="100"/>
        <v>24340000</v>
      </c>
      <c r="I30" s="72">
        <f t="shared" si="100"/>
        <v>23295000</v>
      </c>
      <c r="J30" s="72">
        <f t="shared" si="100"/>
        <v>22933000</v>
      </c>
      <c r="K30" s="72">
        <f t="shared" si="100"/>
        <v>8885641</v>
      </c>
      <c r="L30" s="72">
        <f t="shared" si="100"/>
        <v>8520538</v>
      </c>
      <c r="M30" s="72">
        <f t="shared" si="100"/>
        <v>8830969</v>
      </c>
      <c r="N30" s="67">
        <f t="shared" si="95"/>
        <v>16991128.0975</v>
      </c>
      <c r="O30" s="67">
        <f t="shared" si="96"/>
        <v>15998574.2575</v>
      </c>
      <c r="P30" s="67">
        <f t="shared" si="97"/>
        <v>15251549.379999999</v>
      </c>
      <c r="R30" s="67" t="str">
        <f>$N$2</f>
        <v>Branża</v>
      </c>
      <c r="S30" s="48">
        <f>N31</f>
        <v>0.19265249272186954</v>
      </c>
      <c r="T30" s="48">
        <f t="shared" ref="T30:U30" si="101">O31</f>
        <v>0.16995667412597176</v>
      </c>
      <c r="U30" s="48">
        <f t="shared" si="101"/>
        <v>0.20066082798761176</v>
      </c>
      <c r="V30" s="48"/>
      <c r="W30" s="48"/>
      <c r="X30" s="48"/>
      <c r="Y30" s="48"/>
      <c r="Z30" s="48"/>
      <c r="AA30" s="48"/>
      <c r="AB30" s="48"/>
      <c r="AD30" s="179"/>
      <c r="AE30" s="67" t="str">
        <f>$A$67</f>
        <v>III STOPIEŃ POKRYCIA</v>
      </c>
      <c r="AF30" s="48">
        <f>H67</f>
        <v>1.1714858288004582</v>
      </c>
      <c r="AG30" s="48">
        <f t="shared" ref="AG30:AH30" si="102">I67</f>
        <v>1.4981103552532125</v>
      </c>
      <c r="AH30" s="48">
        <f t="shared" si="102"/>
        <v>1.8463183623586923</v>
      </c>
      <c r="AI30" s="60">
        <f t="shared" si="84"/>
        <v>-0.21802434333854387</v>
      </c>
      <c r="AJ30" s="60">
        <f t="shared" si="85"/>
        <v>-0.18859586418272969</v>
      </c>
      <c r="AK30" s="53" t="s">
        <v>858</v>
      </c>
      <c r="AM30" s="130" t="s">
        <v>864</v>
      </c>
      <c r="AN30" s="129">
        <f t="shared" ref="AN30:AP30" si="103">AN10</f>
        <v>776500</v>
      </c>
      <c r="AO30" s="129" t="str">
        <f t="shared" si="103"/>
        <v> </v>
      </c>
      <c r="AP30" s="129" t="str">
        <f t="shared" si="103"/>
        <v> </v>
      </c>
      <c r="AQ30" t="s">
        <v>869</v>
      </c>
      <c r="AR30">
        <v>14464500</v>
      </c>
      <c r="AS30">
        <v>13875200</v>
      </c>
      <c r="AT30">
        <v>12074200</v>
      </c>
    </row>
    <row r="31" spans="1:70" x14ac:dyDescent="0.25">
      <c r="A31" s="30" t="s">
        <v>840</v>
      </c>
      <c r="B31" s="127">
        <f>B32/B33</f>
        <v>0.37541033666692114</v>
      </c>
      <c r="C31" s="127">
        <f t="shared" ref="C31:P31" si="104">C32/C33</f>
        <v>0.34152708288013922</v>
      </c>
      <c r="D31" s="127">
        <f t="shared" si="104"/>
        <v>0.57448941235434159</v>
      </c>
      <c r="E31" s="127">
        <f t="shared" si="104"/>
        <v>0.18091387488609875</v>
      </c>
      <c r="F31" s="127">
        <f t="shared" si="104"/>
        <v>2.6364822589784068E-2</v>
      </c>
      <c r="G31" s="127">
        <f t="shared" si="104"/>
        <v>5.1444583452498888E-2</v>
      </c>
      <c r="H31" s="127">
        <f t="shared" si="104"/>
        <v>0</v>
      </c>
      <c r="I31" s="127">
        <f t="shared" si="104"/>
        <v>0</v>
      </c>
      <c r="J31" s="127">
        <f t="shared" si="104"/>
        <v>2.1470091880742545E-2</v>
      </c>
      <c r="K31" s="127">
        <f t="shared" si="104"/>
        <v>0.64786969042663223</v>
      </c>
      <c r="L31" s="127">
        <f t="shared" si="104"/>
        <v>0.70310700598584308</v>
      </c>
      <c r="M31" s="127">
        <f t="shared" si="104"/>
        <v>0.69804149339912136</v>
      </c>
      <c r="N31" s="127">
        <f t="shared" si="104"/>
        <v>0.19265249272186954</v>
      </c>
      <c r="O31" s="127">
        <f t="shared" si="104"/>
        <v>0.16995667412597176</v>
      </c>
      <c r="P31" s="127">
        <f t="shared" si="104"/>
        <v>0.20066082798761176</v>
      </c>
      <c r="AD31" s="179" t="str">
        <f>$K$2</f>
        <v>Play Communications S.A. (Polska)</v>
      </c>
      <c r="AE31" s="67" t="str">
        <f>$A$64</f>
        <v>II STOPIEŃ POKRYCIA</v>
      </c>
      <c r="AF31" s="48">
        <f>K64</f>
        <v>1.0895227116878943</v>
      </c>
      <c r="AG31" s="48">
        <f t="shared" ref="AG31:AH31" si="105">L64</f>
        <v>1.1269181088079367</v>
      </c>
      <c r="AH31" s="48">
        <f t="shared" si="105"/>
        <v>1.2604948617746812</v>
      </c>
      <c r="AI31" s="60">
        <f t="shared" si="84"/>
        <v>-3.3183775136597662E-2</v>
      </c>
      <c r="AJ31" s="60">
        <f t="shared" si="85"/>
        <v>-0.10597167590090648</v>
      </c>
      <c r="AK31" s="53" t="s">
        <v>858</v>
      </c>
      <c r="AM31" s="130" t="s">
        <v>874</v>
      </c>
      <c r="AN31" s="133">
        <f>AN14+AN11</f>
        <v>2060100</v>
      </c>
      <c r="AO31" s="133">
        <f>AO14+AO11</f>
        <v>3075400</v>
      </c>
      <c r="AP31" s="132">
        <f xml:space="preserve"> AP14+AP12+AP13+AP11</f>
        <v>4286700</v>
      </c>
      <c r="AQ31" t="s">
        <v>870</v>
      </c>
      <c r="AR31">
        <v>653200</v>
      </c>
      <c r="AS31">
        <v>648200</v>
      </c>
      <c r="AT31">
        <v>42600</v>
      </c>
    </row>
    <row r="32" spans="1:70" x14ac:dyDescent="0.25">
      <c r="A32" s="72" t="str">
        <f t="shared" ref="A32:M32" si="106">A12</f>
        <v>zysk na działalności operacyjnej</v>
      </c>
      <c r="B32" s="72">
        <f t="shared" si="106"/>
        <v>1967000</v>
      </c>
      <c r="C32" s="72">
        <f t="shared" si="106"/>
        <v>1727000</v>
      </c>
      <c r="D32" s="72">
        <f t="shared" si="106"/>
        <v>1834000</v>
      </c>
      <c r="E32" s="72">
        <f t="shared" si="106"/>
        <v>112714.52</v>
      </c>
      <c r="F32" s="72">
        <f t="shared" si="106"/>
        <v>15042.42</v>
      </c>
      <c r="G32" s="72">
        <f t="shared" si="106"/>
        <v>24429.21</v>
      </c>
      <c r="H32" s="72">
        <f t="shared" si="106"/>
        <v>0</v>
      </c>
      <c r="I32" s="72">
        <f t="shared" si="106"/>
        <v>0</v>
      </c>
      <c r="J32" s="72">
        <f t="shared" si="106"/>
        <v>229000</v>
      </c>
      <c r="K32" s="72">
        <f t="shared" si="106"/>
        <v>1499646</v>
      </c>
      <c r="L32" s="72">
        <f t="shared" si="106"/>
        <v>1370660</v>
      </c>
      <c r="M32" s="72">
        <f t="shared" si="106"/>
        <v>1106883</v>
      </c>
      <c r="N32" s="67">
        <f t="shared" ref="N32:N33" si="107">AVERAGE(B32,E32,H32,K32)</f>
        <v>894840.13</v>
      </c>
      <c r="O32" s="67">
        <f t="shared" ref="O32:O33" si="108">AVERAGE(C32,F32,I32,L32)</f>
        <v>778175.60499999998</v>
      </c>
      <c r="P32" s="67">
        <f t="shared" ref="P32:P33" si="109">AVERAGE(D32,G32,J32,M32)</f>
        <v>798578.05249999999</v>
      </c>
      <c r="R32" s="30" t="str">
        <f>A38</f>
        <v>WSKAŹNIK STRUKTURY PASYWÓW</v>
      </c>
      <c r="S32" s="33">
        <v>2019</v>
      </c>
      <c r="T32" s="33">
        <v>2018</v>
      </c>
      <c r="U32" s="33">
        <v>2017</v>
      </c>
      <c r="V32" s="33"/>
      <c r="W32" s="33"/>
      <c r="X32" s="33"/>
      <c r="Y32" s="33"/>
      <c r="Z32" s="33"/>
      <c r="AA32" s="33"/>
      <c r="AB32" s="33"/>
      <c r="AD32" s="179"/>
      <c r="AE32" s="67" t="str">
        <f>$A$67</f>
        <v>III STOPIEŃ POKRYCIA</v>
      </c>
      <c r="AF32" s="48">
        <f>K67</f>
        <v>0.67368502161975441</v>
      </c>
      <c r="AG32" s="48">
        <f t="shared" ref="AG32:AH32" si="110">L67</f>
        <v>0.81260544021557612</v>
      </c>
      <c r="AH32" s="48">
        <f t="shared" si="110"/>
        <v>0.63284434239346421</v>
      </c>
      <c r="AI32" s="60">
        <f t="shared" si="84"/>
        <v>-0.17095679123064633</v>
      </c>
      <c r="AJ32" s="60">
        <f t="shared" si="85"/>
        <v>0.28405262681537474</v>
      </c>
      <c r="AK32" s="53" t="s">
        <v>858</v>
      </c>
      <c r="AM32" s="130" t="s">
        <v>865</v>
      </c>
      <c r="AN32" s="129">
        <f>AN16</f>
        <v>306800</v>
      </c>
      <c r="AO32" s="129">
        <f>AO16</f>
        <v>394000</v>
      </c>
      <c r="AP32" s="129">
        <f>AP16</f>
        <v>283700</v>
      </c>
      <c r="AQ32" t="s">
        <v>871</v>
      </c>
      <c r="AR32">
        <v>12256900</v>
      </c>
      <c r="AS32">
        <v>11803000</v>
      </c>
      <c r="AT32">
        <v>11723700</v>
      </c>
    </row>
    <row r="33" spans="1:52" x14ac:dyDescent="0.25">
      <c r="A33" s="72" t="str">
        <f t="shared" ref="A33:M33" si="111">A18</f>
        <v>rzeczowe środki trwałe</v>
      </c>
      <c r="B33" s="72">
        <f t="shared" si="111"/>
        <v>5239600</v>
      </c>
      <c r="C33" s="72">
        <f t="shared" si="111"/>
        <v>5056700</v>
      </c>
      <c r="D33" s="72">
        <f t="shared" si="111"/>
        <v>3192400</v>
      </c>
      <c r="E33" s="72">
        <f t="shared" si="111"/>
        <v>623028.61</v>
      </c>
      <c r="F33" s="72">
        <f t="shared" si="111"/>
        <v>570548.88</v>
      </c>
      <c r="G33" s="72">
        <f t="shared" si="111"/>
        <v>474864.57</v>
      </c>
      <c r="H33" s="72">
        <f t="shared" si="111"/>
        <v>10402000</v>
      </c>
      <c r="I33" s="72">
        <f t="shared" si="111"/>
        <v>10738000</v>
      </c>
      <c r="J33" s="72">
        <f t="shared" si="111"/>
        <v>10666000</v>
      </c>
      <c r="K33" s="72">
        <f t="shared" si="111"/>
        <v>2314734</v>
      </c>
      <c r="L33" s="72">
        <f t="shared" si="111"/>
        <v>1949433</v>
      </c>
      <c r="M33" s="72">
        <f t="shared" si="111"/>
        <v>1585698</v>
      </c>
      <c r="N33" s="67">
        <f t="shared" si="107"/>
        <v>4644840.6524999999</v>
      </c>
      <c r="O33" s="67">
        <f t="shared" si="108"/>
        <v>4578670.47</v>
      </c>
      <c r="P33" s="67">
        <f t="shared" si="109"/>
        <v>3979740.6425000001</v>
      </c>
      <c r="R33" s="67" t="str">
        <f>$B$2</f>
        <v>Cyfrowy Polsat S.A. (Polska)</v>
      </c>
      <c r="S33" s="48">
        <f>B38</f>
        <v>0.8652579284451033</v>
      </c>
      <c r="T33" s="48">
        <f t="shared" ref="T33" si="112">C38</f>
        <v>0.89798063486960067</v>
      </c>
      <c r="U33" s="48">
        <f t="shared" ref="U33" si="113">D38</f>
        <v>0.77477108803519357</v>
      </c>
      <c r="V33" s="48"/>
      <c r="W33" s="48"/>
      <c r="X33" s="48"/>
      <c r="Y33" s="48"/>
      <c r="Z33" s="48"/>
      <c r="AA33" s="48"/>
      <c r="AB33" s="48"/>
      <c r="AD33" s="179" t="str">
        <f>$N$2</f>
        <v>Branża</v>
      </c>
      <c r="AE33" s="67" t="str">
        <f>$A$64</f>
        <v>II STOPIEŃ POKRYCIA</v>
      </c>
      <c r="AF33" s="48">
        <f>N64</f>
        <v>0.52289938013527848</v>
      </c>
      <c r="AG33" s="48">
        <f t="shared" ref="AG33:AH33" si="114">O64</f>
        <v>0.49507262596710616</v>
      </c>
      <c r="AH33" s="48">
        <f t="shared" si="114"/>
        <v>0.52213977603228645</v>
      </c>
      <c r="AI33" s="60">
        <f t="shared" si="84"/>
        <v>5.620741828295147E-2</v>
      </c>
      <c r="AJ33" s="60">
        <f t="shared" si="85"/>
        <v>-5.1838896992031876E-2</v>
      </c>
      <c r="AK33" s="53" t="s">
        <v>858</v>
      </c>
      <c r="AM33" s="130" t="s">
        <v>868</v>
      </c>
      <c r="AN33" s="131">
        <f xml:space="preserve"> AN17+AN18</f>
        <v>2516400</v>
      </c>
      <c r="AO33" s="131">
        <f xml:space="preserve"> AO17+AO18</f>
        <v>2405000</v>
      </c>
      <c r="AP33" s="129">
        <f>AP17</f>
        <v>1983200</v>
      </c>
      <c r="AQ33" t="s">
        <v>872</v>
      </c>
      <c r="AR33">
        <v>5868200</v>
      </c>
      <c r="AS33">
        <v>5018600</v>
      </c>
      <c r="AT33">
        <v>3915500</v>
      </c>
    </row>
    <row r="34" spans="1:52" x14ac:dyDescent="0.25">
      <c r="A34" s="30" t="s">
        <v>841</v>
      </c>
      <c r="B34" s="127">
        <f>B35/B36</f>
        <v>2.2284334682036797</v>
      </c>
      <c r="C34" s="127">
        <f t="shared" ref="C34:P34" si="115">C35/C36</f>
        <v>2.1132556805821978</v>
      </c>
      <c r="D34" s="127">
        <f t="shared" si="115"/>
        <v>3.0787495301340684</v>
      </c>
      <c r="E34" s="127">
        <f t="shared" si="115"/>
        <v>4.3454327241890232</v>
      </c>
      <c r="F34" s="127">
        <f t="shared" si="115"/>
        <v>3.8647836273028879</v>
      </c>
      <c r="G34" s="127">
        <f t="shared" si="115"/>
        <v>3.7428103553819567</v>
      </c>
      <c r="H34" s="127">
        <f t="shared" si="115"/>
        <v>1.0965199000192272</v>
      </c>
      <c r="I34" s="127">
        <f t="shared" si="115"/>
        <v>1.0338051778729744</v>
      </c>
      <c r="J34" s="127">
        <f t="shared" si="115"/>
        <v>1.0670354397149822</v>
      </c>
      <c r="K34" s="127">
        <f t="shared" si="115"/>
        <v>3.0417114882314773</v>
      </c>
      <c r="L34" s="127">
        <f t="shared" si="115"/>
        <v>3.5082754831789553</v>
      </c>
      <c r="M34" s="127">
        <f t="shared" si="115"/>
        <v>4.2062605868204415</v>
      </c>
      <c r="N34" s="127">
        <f t="shared" si="115"/>
        <v>1.7670241223630438</v>
      </c>
      <c r="O34" s="127">
        <f t="shared" si="115"/>
        <v>1.6834196832907262</v>
      </c>
      <c r="P34" s="127">
        <f t="shared" si="115"/>
        <v>1.8629849086955923</v>
      </c>
      <c r="R34" s="67" t="str">
        <f>$E$2</f>
        <v>Telewizja Polska S.A. (Polska)</v>
      </c>
      <c r="S34" s="48">
        <f>E38</f>
        <v>0.34821694195235625</v>
      </c>
      <c r="T34" s="48">
        <f t="shared" ref="T34" si="116">F38</f>
        <v>0.45873955767805513</v>
      </c>
      <c r="U34" s="48">
        <f t="shared" ref="U34" si="117">G38</f>
        <v>0.45184925236961831</v>
      </c>
      <c r="V34" s="48"/>
      <c r="W34" s="48"/>
      <c r="X34" s="48"/>
      <c r="Y34" s="48"/>
      <c r="Z34" s="48"/>
      <c r="AA34" s="48"/>
      <c r="AB34" s="48"/>
      <c r="AD34" s="179"/>
      <c r="AE34" s="67" t="str">
        <f>$A$67</f>
        <v>III STOPIEŃ POKRYCIA</v>
      </c>
      <c r="AF34" s="48">
        <f>N67</f>
        <v>1.031664737919296</v>
      </c>
      <c r="AG34" s="48">
        <f t="shared" ref="AG34:AH34" si="118">O67</f>
        <v>1.0793392692565564</v>
      </c>
      <c r="AH34" s="48">
        <f t="shared" si="118"/>
        <v>1.1155530256711559</v>
      </c>
      <c r="AI34" s="60">
        <f t="shared" si="84"/>
        <v>-4.4170107301014248E-2</v>
      </c>
      <c r="AJ34" s="60">
        <f t="shared" si="85"/>
        <v>-3.2462604270031885E-2</v>
      </c>
      <c r="AK34" s="53" t="s">
        <v>858</v>
      </c>
      <c r="AM34" s="130" t="s">
        <v>866</v>
      </c>
      <c r="AN34" s="129">
        <f>AN19</f>
        <v>753100</v>
      </c>
      <c r="AO34" s="129">
        <f>AO19</f>
        <v>1178700</v>
      </c>
      <c r="AP34" s="129">
        <f>AP19</f>
        <v>1172000</v>
      </c>
    </row>
    <row r="35" spans="1:52" x14ac:dyDescent="0.25">
      <c r="A35" s="72" t="str">
        <f t="shared" ref="A35:M35" si="119">A4</f>
        <v>przychody netto ze sprzedaży</v>
      </c>
      <c r="B35" s="72">
        <f t="shared" si="119"/>
        <v>11676100</v>
      </c>
      <c r="C35" s="72">
        <f t="shared" si="119"/>
        <v>10686100</v>
      </c>
      <c r="D35" s="72">
        <f t="shared" si="119"/>
        <v>9828600</v>
      </c>
      <c r="E35" s="72">
        <f t="shared" si="119"/>
        <v>2707328.91</v>
      </c>
      <c r="F35" s="72">
        <f t="shared" si="119"/>
        <v>2205047.9700000002</v>
      </c>
      <c r="G35" s="72">
        <f t="shared" si="119"/>
        <v>1777328.03</v>
      </c>
      <c r="H35" s="72">
        <f t="shared" si="119"/>
        <v>11406000</v>
      </c>
      <c r="I35" s="72">
        <f t="shared" si="119"/>
        <v>11101000</v>
      </c>
      <c r="J35" s="72">
        <f t="shared" si="119"/>
        <v>11381000</v>
      </c>
      <c r="K35" s="72">
        <f t="shared" si="119"/>
        <v>7040753</v>
      </c>
      <c r="L35" s="72">
        <f t="shared" si="119"/>
        <v>6839148</v>
      </c>
      <c r="M35" s="72">
        <f t="shared" si="119"/>
        <v>6669859</v>
      </c>
      <c r="N35" s="67">
        <f t="shared" ref="N35:N36" si="120">AVERAGE(B35,E35,H35,K35)</f>
        <v>8207545.4775</v>
      </c>
      <c r="O35" s="67">
        <f t="shared" ref="O35:O36" si="121">AVERAGE(C35,F35,I35,L35)</f>
        <v>7707823.9924999997</v>
      </c>
      <c r="P35" s="67">
        <f t="shared" ref="P35:P36" si="122">AVERAGE(D35,G35,J35,M35)</f>
        <v>7414196.7575000003</v>
      </c>
      <c r="R35" s="67" t="str">
        <f>$H$2</f>
        <v>Orange Polska S.A. (Polska)</v>
      </c>
      <c r="S35" s="48">
        <f>H38</f>
        <v>0.76735405169909965</v>
      </c>
      <c r="T35" s="48">
        <f t="shared" ref="T35" si="123">I38</f>
        <v>0.82134480062548865</v>
      </c>
      <c r="U35" s="48">
        <f t="shared" ref="U35" si="124">J38</f>
        <v>0.76475567525971533</v>
      </c>
      <c r="V35" s="48"/>
      <c r="W35" s="48"/>
      <c r="X35" s="48"/>
      <c r="Y35" s="48"/>
      <c r="Z35" s="48"/>
      <c r="AA35" s="48"/>
      <c r="AB35" s="48"/>
      <c r="AM35" s="130" t="s">
        <v>867</v>
      </c>
      <c r="AN35" s="129">
        <f>AN23</f>
        <v>1408600</v>
      </c>
      <c r="AO35" s="129">
        <f>AO23</f>
        <v>1445000</v>
      </c>
      <c r="AP35" s="132">
        <f>AP23+AP22+AP21+AP20</f>
        <v>240900</v>
      </c>
    </row>
    <row r="36" spans="1:52" x14ac:dyDescent="0.25">
      <c r="A36" s="72" t="str">
        <f t="shared" ref="A36:M36" si="125">A18</f>
        <v>rzeczowe środki trwałe</v>
      </c>
      <c r="B36" s="72">
        <f t="shared" si="125"/>
        <v>5239600</v>
      </c>
      <c r="C36" s="72">
        <f t="shared" si="125"/>
        <v>5056700</v>
      </c>
      <c r="D36" s="72">
        <f t="shared" si="125"/>
        <v>3192400</v>
      </c>
      <c r="E36" s="72">
        <f t="shared" si="125"/>
        <v>623028.61</v>
      </c>
      <c r="F36" s="72">
        <f t="shared" si="125"/>
        <v>570548.88</v>
      </c>
      <c r="G36" s="72">
        <f t="shared" si="125"/>
        <v>474864.57</v>
      </c>
      <c r="H36" s="72">
        <f t="shared" si="125"/>
        <v>10402000</v>
      </c>
      <c r="I36" s="72">
        <f t="shared" si="125"/>
        <v>10738000</v>
      </c>
      <c r="J36" s="72">
        <f t="shared" si="125"/>
        <v>10666000</v>
      </c>
      <c r="K36" s="72">
        <f t="shared" si="125"/>
        <v>2314734</v>
      </c>
      <c r="L36" s="72">
        <f t="shared" si="125"/>
        <v>1949433</v>
      </c>
      <c r="M36" s="72">
        <f t="shared" si="125"/>
        <v>1585698</v>
      </c>
      <c r="N36" s="67">
        <f t="shared" si="120"/>
        <v>4644840.6524999999</v>
      </c>
      <c r="O36" s="67">
        <f t="shared" si="121"/>
        <v>4578670.47</v>
      </c>
      <c r="P36" s="67">
        <f t="shared" si="122"/>
        <v>3979740.6425000001</v>
      </c>
      <c r="R36" s="67" t="str">
        <f>$K$2</f>
        <v>Play Communications S.A. (Polska)</v>
      </c>
      <c r="S36" s="48">
        <f>K38</f>
        <v>3.7558786864250626E-2</v>
      </c>
      <c r="T36" s="48">
        <f t="shared" ref="T36" si="126">L38</f>
        <v>-2.2994639652263092E-2</v>
      </c>
      <c r="U36" s="48">
        <f t="shared" ref="U36" si="127">M38</f>
        <v>-2.3506150462185859E-2</v>
      </c>
      <c r="V36" s="48"/>
      <c r="W36" s="48"/>
      <c r="X36" s="48"/>
      <c r="Y36" s="48"/>
      <c r="Z36" s="48"/>
      <c r="AA36" s="48"/>
      <c r="AB36" s="48"/>
      <c r="AQ36" s="72"/>
    </row>
    <row r="37" spans="1:52" x14ac:dyDescent="0.25">
      <c r="N37" s="67"/>
      <c r="O37" s="67"/>
      <c r="P37" s="67"/>
      <c r="R37" s="67" t="str">
        <f>$N$2</f>
        <v>Branża</v>
      </c>
      <c r="S37" s="48">
        <f>N38</f>
        <v>0.64157374494340269</v>
      </c>
      <c r="T37" s="48">
        <f t="shared" ref="T37" si="128">O38</f>
        <v>0.6535825933277869</v>
      </c>
      <c r="U37" s="48">
        <f t="shared" ref="U37" si="129">P38</f>
        <v>0.57632938214782614</v>
      </c>
      <c r="V37" s="48"/>
      <c r="W37" s="48"/>
      <c r="X37" s="48"/>
      <c r="Y37" s="48"/>
      <c r="Z37" s="48"/>
      <c r="AA37" s="48"/>
      <c r="AB37" s="48"/>
    </row>
    <row r="38" spans="1:52" x14ac:dyDescent="0.25">
      <c r="A38" s="30" t="s">
        <v>842</v>
      </c>
      <c r="B38" s="127">
        <f>B39/B40</f>
        <v>0.8652579284451033</v>
      </c>
      <c r="C38" s="127">
        <f t="shared" ref="C38:P38" si="130">C39/C40</f>
        <v>0.89798063486960067</v>
      </c>
      <c r="D38" s="127">
        <f t="shared" si="130"/>
        <v>0.77477108803519357</v>
      </c>
      <c r="E38" s="127">
        <f t="shared" si="130"/>
        <v>0.34821694195235625</v>
      </c>
      <c r="F38" s="127">
        <f t="shared" si="130"/>
        <v>0.45873955767805513</v>
      </c>
      <c r="G38" s="127">
        <f t="shared" si="130"/>
        <v>0.45184925236961831</v>
      </c>
      <c r="H38" s="127">
        <f t="shared" si="130"/>
        <v>0.76735405169909965</v>
      </c>
      <c r="I38" s="127">
        <f t="shared" si="130"/>
        <v>0.82134480062548865</v>
      </c>
      <c r="J38" s="127">
        <f t="shared" si="130"/>
        <v>0.76475567525971533</v>
      </c>
      <c r="K38" s="127">
        <f t="shared" si="130"/>
        <v>3.7558786864250626E-2</v>
      </c>
      <c r="L38" s="127">
        <f t="shared" si="130"/>
        <v>-2.2994639652263092E-2</v>
      </c>
      <c r="M38" s="127">
        <f t="shared" si="130"/>
        <v>-2.3506150462185859E-2</v>
      </c>
      <c r="N38" s="127">
        <f t="shared" si="130"/>
        <v>0.64157374494340269</v>
      </c>
      <c r="O38" s="127">
        <f t="shared" si="130"/>
        <v>0.6535825933277869</v>
      </c>
      <c r="P38" s="127">
        <f t="shared" si="130"/>
        <v>0.57632938214782614</v>
      </c>
      <c r="R38" s="30" t="str">
        <f>A44</f>
        <v>WSKAŹNIK ZADŁUŻENIA KRÓTKOTERMINOWEGO</v>
      </c>
      <c r="S38" s="33">
        <v>2019</v>
      </c>
      <c r="T38" s="33">
        <v>2018</v>
      </c>
      <c r="U38" s="33">
        <v>2017</v>
      </c>
      <c r="V38" s="33"/>
      <c r="W38" s="33"/>
      <c r="X38" s="33"/>
      <c r="Y38" s="33"/>
      <c r="Z38" s="33"/>
      <c r="AA38" s="33"/>
      <c r="AB38" s="33"/>
    </row>
    <row r="39" spans="1:52" ht="15" customHeight="1" x14ac:dyDescent="0.25">
      <c r="A39" s="72" t="str">
        <f t="shared" ref="A39:M39" si="131">A11</f>
        <v>kapitał własny</v>
      </c>
      <c r="B39" s="72">
        <f t="shared" si="131"/>
        <v>15117700</v>
      </c>
      <c r="C39" s="72">
        <f t="shared" si="131"/>
        <v>14523400</v>
      </c>
      <c r="D39" s="72">
        <f t="shared" si="131"/>
        <v>12116800</v>
      </c>
      <c r="E39" s="72">
        <f t="shared" si="131"/>
        <v>555112.97</v>
      </c>
      <c r="F39" s="72">
        <f t="shared" si="131"/>
        <v>466041.54</v>
      </c>
      <c r="G39" s="72">
        <f t="shared" si="131"/>
        <v>462548.88</v>
      </c>
      <c r="H39" s="72">
        <f t="shared" si="131"/>
        <v>10568000</v>
      </c>
      <c r="I39" s="72">
        <f t="shared" si="131"/>
        <v>10505000</v>
      </c>
      <c r="J39" s="72">
        <f t="shared" si="131"/>
        <v>9938000</v>
      </c>
      <c r="K39" s="72">
        <f t="shared" si="131"/>
        <v>321653</v>
      </c>
      <c r="L39" s="72">
        <f t="shared" si="131"/>
        <v>-200538</v>
      </c>
      <c r="M39" s="72">
        <f t="shared" si="131"/>
        <v>-212579</v>
      </c>
      <c r="N39" s="67">
        <f t="shared" ref="N39:N40" si="132">AVERAGE(B39,E39,H39,K39)</f>
        <v>6640616.4924999997</v>
      </c>
      <c r="O39" s="67">
        <f t="shared" ref="O39:O40" si="133">AVERAGE(C39,F39,I39,L39)</f>
        <v>6323475.8849999998</v>
      </c>
      <c r="P39" s="67">
        <f t="shared" ref="P39:P40" si="134">AVERAGE(D39,G39,J39,M39)</f>
        <v>5576192.4700000007</v>
      </c>
      <c r="R39" s="67" t="str">
        <f>$B$2</f>
        <v>Cyfrowy Polsat S.A. (Polska)</v>
      </c>
      <c r="S39" s="48">
        <f>B44</f>
        <v>0.38816751225384816</v>
      </c>
      <c r="T39" s="48">
        <f t="shared" ref="T39" si="135">C44</f>
        <v>0.34555269427269097</v>
      </c>
      <c r="U39" s="48">
        <f t="shared" ref="U39" si="136">D44</f>
        <v>0.32314637528060214</v>
      </c>
      <c r="V39" s="48"/>
      <c r="W39" s="48"/>
      <c r="X39" s="48"/>
      <c r="Y39" s="48"/>
      <c r="Z39" s="48"/>
      <c r="AA39" s="48"/>
      <c r="AB39" s="48"/>
    </row>
    <row r="40" spans="1:52" x14ac:dyDescent="0.25">
      <c r="A40" s="72" t="str">
        <f t="shared" ref="A40:M40" si="137">A19</f>
        <v xml:space="preserve">kapitał obcy </v>
      </c>
      <c r="B40" s="72">
        <f t="shared" si="137"/>
        <v>17471900</v>
      </c>
      <c r="C40" s="72">
        <f t="shared" si="137"/>
        <v>16173400</v>
      </c>
      <c r="D40" s="72">
        <f t="shared" si="137"/>
        <v>15639200</v>
      </c>
      <c r="E40" s="72">
        <f t="shared" si="137"/>
        <v>1594158.4200000002</v>
      </c>
      <c r="F40" s="72">
        <f t="shared" si="137"/>
        <v>1015917.49</v>
      </c>
      <c r="G40" s="72">
        <f t="shared" si="137"/>
        <v>1023679.64</v>
      </c>
      <c r="H40" s="72">
        <f t="shared" si="137"/>
        <v>13772000</v>
      </c>
      <c r="I40" s="72">
        <f t="shared" si="137"/>
        <v>12790000</v>
      </c>
      <c r="J40" s="72">
        <f t="shared" si="137"/>
        <v>12995000</v>
      </c>
      <c r="K40" s="72">
        <f t="shared" si="137"/>
        <v>8563988</v>
      </c>
      <c r="L40" s="72">
        <f t="shared" si="137"/>
        <v>8721076</v>
      </c>
      <c r="M40" s="72">
        <f t="shared" si="137"/>
        <v>9043548</v>
      </c>
      <c r="N40" s="67">
        <f t="shared" si="132"/>
        <v>10350511.605</v>
      </c>
      <c r="O40" s="67">
        <f t="shared" si="133"/>
        <v>9675098.3724999987</v>
      </c>
      <c r="P40" s="67">
        <f t="shared" si="134"/>
        <v>9675356.9100000001</v>
      </c>
      <c r="R40" s="67" t="str">
        <f>$E$2</f>
        <v>Telewizja Polska S.A. (Polska)</v>
      </c>
      <c r="S40" s="48">
        <f>E44</f>
        <v>1.6541193948323709</v>
      </c>
      <c r="T40" s="48">
        <f t="shared" ref="T40" si="138">F44</f>
        <v>1.2288521963085095</v>
      </c>
      <c r="U40" s="48">
        <f t="shared" ref="U40" si="139">G44</f>
        <v>1.0872621505428788</v>
      </c>
      <c r="V40" s="48"/>
      <c r="W40" s="48"/>
      <c r="X40" s="48"/>
      <c r="Y40" s="48"/>
      <c r="Z40" s="48"/>
      <c r="AA40" s="48"/>
      <c r="AB40" s="48"/>
      <c r="AV40" s="72"/>
      <c r="AZ40" s="72"/>
    </row>
    <row r="41" spans="1:52" x14ac:dyDescent="0.25">
      <c r="A41" s="30" t="s">
        <v>846</v>
      </c>
      <c r="B41" s="127">
        <f t="shared" ref="B41" si="140">B42/B43</f>
        <v>0.5561620885190367</v>
      </c>
      <c r="C41" s="127">
        <f t="shared" ref="C41" si="141">C42/C43</f>
        <v>0.54799197310468839</v>
      </c>
      <c r="D41" s="127">
        <f t="shared" ref="D41" si="142">D42/D43</f>
        <v>0.56345294711053462</v>
      </c>
      <c r="E41" s="127">
        <f t="shared" ref="E41" si="143">E42/E43</f>
        <v>0.62007699734932031</v>
      </c>
      <c r="F41" s="127">
        <f t="shared" ref="F41" si="144">F42/F43</f>
        <v>0.55688427499915438</v>
      </c>
      <c r="G41" s="127">
        <f t="shared" ref="G41" si="145">G42/G43</f>
        <v>0.57913205029869841</v>
      </c>
      <c r="H41" s="127">
        <f t="shared" ref="H41" si="146">H42/H43</f>
        <v>0.5658997534921939</v>
      </c>
      <c r="I41" s="127">
        <f t="shared" ref="I41" si="147">I42/I43</f>
        <v>0.54913071474565356</v>
      </c>
      <c r="J41" s="127">
        <f t="shared" ref="J41" si="148">J42/J43</f>
        <v>0.56665067806218117</v>
      </c>
      <c r="K41" s="127">
        <f t="shared" ref="K41" si="149">K42/K43</f>
        <v>0.9638008107687448</v>
      </c>
      <c r="L41" s="127">
        <f t="shared" ref="L41" si="150">L42/L43</f>
        <v>1.0235358377604795</v>
      </c>
      <c r="M41" s="127">
        <f t="shared" ref="M41" si="151">M42/M43</f>
        <v>1.0240719902878155</v>
      </c>
      <c r="N41" s="127">
        <f t="shared" ref="N41" si="152">N42/N43</f>
        <v>0.61496507927789756</v>
      </c>
      <c r="O41" s="127">
        <f t="shared" ref="O41" si="153">O42/O43</f>
        <v>0.61192883580926183</v>
      </c>
      <c r="P41" s="127">
        <f t="shared" ref="P41" si="154">P42/P43</f>
        <v>0.63171402474913674</v>
      </c>
      <c r="R41" s="67" t="str">
        <f>$H$2</f>
        <v>Orange Polska S.A. (Polska)</v>
      </c>
      <c r="S41" s="48">
        <f>H44</f>
        <v>0.38720666161998485</v>
      </c>
      <c r="T41" s="48">
        <f t="shared" ref="T41" si="155">I44</f>
        <v>0.56601618277010946</v>
      </c>
      <c r="U41" s="48">
        <f t="shared" ref="U41" si="156">J44</f>
        <v>0.60807003421211514</v>
      </c>
      <c r="V41" s="48"/>
      <c r="W41" s="48"/>
      <c r="X41" s="48"/>
      <c r="Y41" s="48"/>
      <c r="Z41" s="48"/>
      <c r="AA41" s="48"/>
      <c r="AB41" s="48"/>
    </row>
    <row r="42" spans="1:52" x14ac:dyDescent="0.25">
      <c r="A42" s="72" t="str">
        <f t="shared" ref="A42:M42" si="157">A22</f>
        <v>zobowiązania ogółem</v>
      </c>
      <c r="B42" s="72">
        <f t="shared" si="157"/>
        <v>18125100</v>
      </c>
      <c r="C42" s="72">
        <f t="shared" si="157"/>
        <v>16821600</v>
      </c>
      <c r="D42" s="72">
        <f t="shared" si="157"/>
        <v>15639200</v>
      </c>
      <c r="E42" s="72">
        <f t="shared" si="157"/>
        <v>1332713.75</v>
      </c>
      <c r="F42" s="72">
        <f t="shared" si="157"/>
        <v>825279.68</v>
      </c>
      <c r="G42" s="72">
        <f t="shared" si="157"/>
        <v>860722.57000000007</v>
      </c>
      <c r="H42" s="72">
        <f t="shared" si="157"/>
        <v>13774000</v>
      </c>
      <c r="I42" s="72">
        <f t="shared" si="157"/>
        <v>12792000</v>
      </c>
      <c r="J42" s="72">
        <f t="shared" si="157"/>
        <v>12995000</v>
      </c>
      <c r="K42" s="72">
        <f t="shared" si="157"/>
        <v>8563988</v>
      </c>
      <c r="L42" s="72">
        <f t="shared" si="157"/>
        <v>8721076</v>
      </c>
      <c r="M42" s="72">
        <f t="shared" si="157"/>
        <v>9043548</v>
      </c>
      <c r="N42" s="67">
        <f t="shared" ref="N42:N43" si="158">AVERAGE(B42,E42,H42,K42)</f>
        <v>10448950.4375</v>
      </c>
      <c r="O42" s="67">
        <f t="shared" ref="O42:O43" si="159">AVERAGE(C42,F42,I42,L42)</f>
        <v>9789988.9199999999</v>
      </c>
      <c r="P42" s="67">
        <f t="shared" ref="P42:P43" si="160">AVERAGE(D42,G42,J42,M42)</f>
        <v>9634617.6425000001</v>
      </c>
      <c r="R42" s="67" t="str">
        <f>$K$2</f>
        <v>Play Communications S.A. (Polska)</v>
      </c>
      <c r="S42" s="48">
        <f>K44</f>
        <v>5.6265882799165556</v>
      </c>
      <c r="T42" s="48">
        <f t="shared" ref="T42" si="161">L44</f>
        <v>-11.35623173662847</v>
      </c>
      <c r="U42" s="48">
        <f t="shared" ref="U42" si="162">M44</f>
        <v>-9.9027655600976576</v>
      </c>
      <c r="V42" s="48"/>
      <c r="W42" s="48"/>
      <c r="X42" s="48"/>
      <c r="Y42" s="48"/>
      <c r="Z42" s="48"/>
      <c r="AA42" s="48"/>
      <c r="AB42" s="48"/>
    </row>
    <row r="43" spans="1:52" x14ac:dyDescent="0.25">
      <c r="A43" s="72" t="str">
        <f t="shared" ref="A43:M43" si="163">A9</f>
        <v>aktywa ogółem</v>
      </c>
      <c r="B43" s="72">
        <f t="shared" si="163"/>
        <v>32589600</v>
      </c>
      <c r="C43" s="72">
        <f t="shared" si="163"/>
        <v>30696800</v>
      </c>
      <c r="D43" s="72">
        <f t="shared" si="163"/>
        <v>27756000</v>
      </c>
      <c r="E43" s="72">
        <f t="shared" si="163"/>
        <v>2149271.39</v>
      </c>
      <c r="F43" s="72">
        <f t="shared" si="163"/>
        <v>1481959.03</v>
      </c>
      <c r="G43" s="72">
        <f t="shared" si="163"/>
        <v>1486228.52</v>
      </c>
      <c r="H43" s="72">
        <f t="shared" si="163"/>
        <v>24340000</v>
      </c>
      <c r="I43" s="72">
        <f t="shared" si="163"/>
        <v>23295000</v>
      </c>
      <c r="J43" s="72">
        <f t="shared" si="163"/>
        <v>22933000</v>
      </c>
      <c r="K43" s="72">
        <f t="shared" si="163"/>
        <v>8885641</v>
      </c>
      <c r="L43" s="72">
        <f t="shared" si="163"/>
        <v>8520538</v>
      </c>
      <c r="M43" s="72">
        <f t="shared" si="163"/>
        <v>8830969</v>
      </c>
      <c r="N43" s="67">
        <f t="shared" si="158"/>
        <v>16991128.0975</v>
      </c>
      <c r="O43" s="67">
        <f t="shared" si="159"/>
        <v>15998574.2575</v>
      </c>
      <c r="P43" s="67">
        <f t="shared" si="160"/>
        <v>15251549.379999999</v>
      </c>
      <c r="R43" s="67" t="str">
        <f>$N$2</f>
        <v>Branża</v>
      </c>
      <c r="S43" s="48">
        <f>N44</f>
        <v>0.47767523332849654</v>
      </c>
      <c r="T43" s="48">
        <f t="shared" ref="T43" si="164">O44</f>
        <v>0.5461652903101093</v>
      </c>
      <c r="U43" s="48">
        <f t="shared" ref="U43" si="165">P44</f>
        <v>0.56340110019552458</v>
      </c>
      <c r="V43" s="48"/>
      <c r="W43" s="48"/>
      <c r="X43" s="48"/>
      <c r="Y43" s="48"/>
      <c r="Z43" s="48"/>
      <c r="AA43" s="48"/>
      <c r="AB43" s="48"/>
    </row>
    <row r="44" spans="1:52" x14ac:dyDescent="0.25">
      <c r="A44" s="30" t="s">
        <v>847</v>
      </c>
      <c r="B44" s="127">
        <f t="shared" ref="B44" si="166">B45/B46</f>
        <v>0.38816751225384816</v>
      </c>
      <c r="C44" s="127">
        <f t="shared" ref="C44" si="167">C45/C46</f>
        <v>0.34555269427269097</v>
      </c>
      <c r="D44" s="127">
        <f t="shared" ref="D44" si="168">D45/D46</f>
        <v>0.32314637528060214</v>
      </c>
      <c r="E44" s="127">
        <f t="shared" ref="E44" si="169">E45/E46</f>
        <v>1.6541193948323709</v>
      </c>
      <c r="F44" s="127">
        <f t="shared" ref="F44" si="170">F45/F46</f>
        <v>1.2288521963085095</v>
      </c>
      <c r="G44" s="127">
        <f t="shared" ref="G44" si="171">G45/G46</f>
        <v>1.0872621505428788</v>
      </c>
      <c r="H44" s="127">
        <f t="shared" ref="H44" si="172">H45/H46</f>
        <v>0.38720666161998485</v>
      </c>
      <c r="I44" s="127">
        <f t="shared" ref="I44" si="173">I45/I46</f>
        <v>0.56601618277010946</v>
      </c>
      <c r="J44" s="127">
        <f t="shared" ref="J44" si="174">J45/J46</f>
        <v>0.60807003421211514</v>
      </c>
      <c r="K44" s="127">
        <f t="shared" ref="K44" si="175">K45/K46</f>
        <v>5.6265882799165556</v>
      </c>
      <c r="L44" s="127">
        <f t="shared" ref="L44" si="176">L45/L46</f>
        <v>-11.35623173662847</v>
      </c>
      <c r="M44" s="127">
        <f t="shared" ref="M44" si="177">M45/M46</f>
        <v>-9.9027655600976576</v>
      </c>
      <c r="N44" s="127">
        <f t="shared" ref="N44" si="178">N45/N46</f>
        <v>0.47767523332849654</v>
      </c>
      <c r="O44" s="127">
        <f t="shared" ref="O44" si="179">O45/O46</f>
        <v>0.5461652903101093</v>
      </c>
      <c r="P44" s="127">
        <f t="shared" ref="P44" si="180">P45/P46</f>
        <v>0.56340110019552458</v>
      </c>
      <c r="R44" s="30" t="str">
        <f>A50</f>
        <v>WSKAŹNIK ZADŁUŻENIA KAPITAŁÓW WŁASNYCH</v>
      </c>
      <c r="S44" s="33">
        <v>2019</v>
      </c>
      <c r="T44" s="33">
        <v>2018</v>
      </c>
      <c r="U44" s="33">
        <v>2017</v>
      </c>
      <c r="V44" s="33"/>
      <c r="W44" s="33"/>
      <c r="X44" s="33"/>
      <c r="Y44" s="33"/>
      <c r="Z44" s="33"/>
      <c r="AA44" s="33"/>
      <c r="AB44" s="33"/>
    </row>
    <row r="45" spans="1:52" x14ac:dyDescent="0.25">
      <c r="A45" s="72" t="str">
        <f t="shared" ref="A45:M45" si="181">A20</f>
        <v>zobowiązania krótkoterminowe</v>
      </c>
      <c r="B45" s="72">
        <f t="shared" si="181"/>
        <v>5868200</v>
      </c>
      <c r="C45" s="72">
        <f t="shared" si="181"/>
        <v>5018600</v>
      </c>
      <c r="D45" s="72">
        <f t="shared" si="181"/>
        <v>3915500</v>
      </c>
      <c r="E45" s="72">
        <f t="shared" si="181"/>
        <v>918223.13</v>
      </c>
      <c r="F45" s="72">
        <f t="shared" si="181"/>
        <v>572696.17000000004</v>
      </c>
      <c r="G45" s="72">
        <f t="shared" si="181"/>
        <v>502911.89</v>
      </c>
      <c r="H45" s="72">
        <f t="shared" si="181"/>
        <v>4092000</v>
      </c>
      <c r="I45" s="72">
        <f t="shared" si="181"/>
        <v>5946000</v>
      </c>
      <c r="J45" s="72">
        <f t="shared" si="181"/>
        <v>6043000</v>
      </c>
      <c r="K45" s="72">
        <f t="shared" si="181"/>
        <v>1809809</v>
      </c>
      <c r="L45" s="72">
        <f t="shared" si="181"/>
        <v>2277356</v>
      </c>
      <c r="M45" s="72">
        <f t="shared" si="181"/>
        <v>2105120</v>
      </c>
      <c r="N45" s="67">
        <f t="shared" ref="N45:N46" si="182">AVERAGE(B45,E45,H45,K45)</f>
        <v>3172058.0324999997</v>
      </c>
      <c r="O45" s="67">
        <f t="shared" ref="O45:O46" si="183">AVERAGE(C45,F45,I45,L45)</f>
        <v>3453663.0425</v>
      </c>
      <c r="P45" s="67">
        <f t="shared" ref="P45:P46" si="184">AVERAGE(D45,G45,J45,M45)</f>
        <v>3141632.9725000001</v>
      </c>
      <c r="R45" s="67" t="str">
        <f>$B$2</f>
        <v>Cyfrowy Polsat S.A. (Polska)</v>
      </c>
      <c r="S45" s="48">
        <f>B50</f>
        <v>1.1989323772796125</v>
      </c>
      <c r="T45" s="48">
        <f t="shared" ref="T45" si="185">C50</f>
        <v>1.158241183194018</v>
      </c>
      <c r="U45" s="48">
        <f t="shared" ref="U45" si="186">D50</f>
        <v>1.2907038161890929</v>
      </c>
      <c r="V45" s="48"/>
      <c r="W45" s="48"/>
      <c r="X45" s="48"/>
      <c r="Y45" s="48"/>
      <c r="Z45" s="48"/>
      <c r="AA45" s="48"/>
      <c r="AB45" s="48"/>
    </row>
    <row r="46" spans="1:52" x14ac:dyDescent="0.25">
      <c r="A46" s="72" t="str">
        <f t="shared" ref="A46:M46" si="187">A11</f>
        <v>kapitał własny</v>
      </c>
      <c r="B46" s="72">
        <f t="shared" si="187"/>
        <v>15117700</v>
      </c>
      <c r="C46" s="72">
        <f t="shared" si="187"/>
        <v>14523400</v>
      </c>
      <c r="D46" s="72">
        <f t="shared" si="187"/>
        <v>12116800</v>
      </c>
      <c r="E46" s="72">
        <f t="shared" si="187"/>
        <v>555112.97</v>
      </c>
      <c r="F46" s="72">
        <f t="shared" si="187"/>
        <v>466041.54</v>
      </c>
      <c r="G46" s="72">
        <f t="shared" si="187"/>
        <v>462548.88</v>
      </c>
      <c r="H46" s="72">
        <f t="shared" si="187"/>
        <v>10568000</v>
      </c>
      <c r="I46" s="72">
        <f t="shared" si="187"/>
        <v>10505000</v>
      </c>
      <c r="J46" s="72">
        <f t="shared" si="187"/>
        <v>9938000</v>
      </c>
      <c r="K46" s="72">
        <f t="shared" si="187"/>
        <v>321653</v>
      </c>
      <c r="L46" s="72">
        <f t="shared" si="187"/>
        <v>-200538</v>
      </c>
      <c r="M46" s="72">
        <f t="shared" si="187"/>
        <v>-212579</v>
      </c>
      <c r="N46" s="67">
        <f t="shared" si="182"/>
        <v>6640616.4924999997</v>
      </c>
      <c r="O46" s="67">
        <f t="shared" si="183"/>
        <v>6323475.8849999998</v>
      </c>
      <c r="P46" s="67">
        <f t="shared" si="184"/>
        <v>5576192.4700000007</v>
      </c>
      <c r="R46" s="67" t="str">
        <f>$E$2</f>
        <v>Telewizja Polska S.A. (Polska)</v>
      </c>
      <c r="S46" s="48">
        <f>E50</f>
        <v>2.4007973548159036</v>
      </c>
      <c r="T46" s="48">
        <f t="shared" ref="T46" si="188">F50</f>
        <v>1.7708285832202857</v>
      </c>
      <c r="U46" s="48">
        <f t="shared" ref="U46" si="189">G50</f>
        <v>1.860825108905247</v>
      </c>
      <c r="V46" s="48"/>
      <c r="W46" s="48"/>
      <c r="X46" s="48"/>
      <c r="Y46" s="48"/>
      <c r="Z46" s="48"/>
      <c r="AA46" s="48"/>
      <c r="AB46" s="48"/>
    </row>
    <row r="47" spans="1:52" x14ac:dyDescent="0.25">
      <c r="A47" s="30" t="s">
        <v>848</v>
      </c>
      <c r="B47" s="127">
        <f t="shared" ref="B47" si="190">B48/B49</f>
        <v>0.8107648650257645</v>
      </c>
      <c r="C47" s="127">
        <f t="shared" ref="C47" si="191">C48/C49</f>
        <v>0.81268848892132695</v>
      </c>
      <c r="D47" s="127">
        <f t="shared" ref="D47" si="192">D48/D49</f>
        <v>0.96755744090849072</v>
      </c>
      <c r="E47" s="127">
        <f t="shared" ref="E47" si="193">E48/E49</f>
        <v>0.7466779599835327</v>
      </c>
      <c r="F47" s="127">
        <f t="shared" ref="F47" si="194">F48/F49</f>
        <v>0.54197638691177619</v>
      </c>
      <c r="G47" s="127">
        <f t="shared" ref="G47" si="195">G48/G49</f>
        <v>0.7735629583623681</v>
      </c>
      <c r="H47" s="127">
        <f t="shared" ref="H47" si="196">H48/H49</f>
        <v>0.91616199848599544</v>
      </c>
      <c r="I47" s="127">
        <f t="shared" ref="I47" si="197">I48/I49</f>
        <v>0.6516896715849595</v>
      </c>
      <c r="J47" s="127">
        <f t="shared" ref="J47" si="198">J48/J49</f>
        <v>0.69953713020728514</v>
      </c>
      <c r="K47" s="127">
        <f t="shared" ref="K47" si="199">K48/K49</f>
        <v>20.99833982583716</v>
      </c>
      <c r="L47" s="127">
        <f t="shared" ref="L47" si="200">L48/L49</f>
        <v>-32.132164477555378</v>
      </c>
      <c r="M47" s="127">
        <f t="shared" ref="M47" si="201">M48/M49</f>
        <v>-32.639291745656912</v>
      </c>
      <c r="N47" s="127">
        <f t="shared" ref="N47" si="202">N48/N49</f>
        <v>1.0958157895759555</v>
      </c>
      <c r="O47" s="127">
        <f t="shared" ref="O47" si="203">O48/O49</f>
        <v>1.0020321090383979</v>
      </c>
      <c r="P47" s="127">
        <f t="shared" ref="P47" si="204">P48/P49</f>
        <v>1.1644118643558943</v>
      </c>
      <c r="R47" s="67" t="str">
        <f>$H$2</f>
        <v>Orange Polska S.A. (Polska)</v>
      </c>
      <c r="S47" s="48">
        <f>H50</f>
        <v>1.3033686601059804</v>
      </c>
      <c r="T47" s="48">
        <f t="shared" ref="T47" si="205">I50</f>
        <v>1.217705854355069</v>
      </c>
      <c r="U47" s="48">
        <f t="shared" ref="U47" si="206">J50</f>
        <v>1.3076071644194003</v>
      </c>
      <c r="V47" s="48"/>
      <c r="W47" s="48"/>
      <c r="X47" s="48"/>
      <c r="Y47" s="48"/>
      <c r="Z47" s="48"/>
      <c r="AA47" s="48"/>
      <c r="AB47" s="48"/>
    </row>
    <row r="48" spans="1:52" x14ac:dyDescent="0.25">
      <c r="A48" s="72" t="str">
        <f t="shared" ref="A48:M48" si="207">A21</f>
        <v>zobowiązania długoterminowe</v>
      </c>
      <c r="B48" s="72">
        <f t="shared" si="207"/>
        <v>12256900</v>
      </c>
      <c r="C48" s="72">
        <f t="shared" si="207"/>
        <v>11803000</v>
      </c>
      <c r="D48" s="72">
        <f t="shared" si="207"/>
        <v>11723700</v>
      </c>
      <c r="E48" s="72">
        <f t="shared" si="207"/>
        <v>414490.62</v>
      </c>
      <c r="F48" s="72">
        <f t="shared" si="207"/>
        <v>252583.51</v>
      </c>
      <c r="G48" s="72">
        <f t="shared" si="207"/>
        <v>357810.68</v>
      </c>
      <c r="H48" s="72">
        <f t="shared" si="207"/>
        <v>9682000</v>
      </c>
      <c r="I48" s="72">
        <f t="shared" si="207"/>
        <v>6846000</v>
      </c>
      <c r="J48" s="72">
        <f t="shared" si="207"/>
        <v>6952000</v>
      </c>
      <c r="K48" s="72">
        <f t="shared" si="207"/>
        <v>6754179</v>
      </c>
      <c r="L48" s="72">
        <f t="shared" si="207"/>
        <v>6443720</v>
      </c>
      <c r="M48" s="72">
        <f t="shared" si="207"/>
        <v>6938428</v>
      </c>
      <c r="N48" s="67">
        <f t="shared" ref="N48:N49" si="208">AVERAGE(B48,E48,H48,K48)</f>
        <v>7276892.4049999993</v>
      </c>
      <c r="O48" s="67">
        <f t="shared" ref="O48:O49" si="209">AVERAGE(C48,F48,I48,L48)</f>
        <v>6336325.8774999995</v>
      </c>
      <c r="P48" s="67">
        <f t="shared" ref="P48:P49" si="210">AVERAGE(D48,G48,J48,M48)</f>
        <v>6492984.6699999999</v>
      </c>
      <c r="R48" s="67" t="str">
        <f>$K$2</f>
        <v>Play Communications S.A. (Polska)</v>
      </c>
      <c r="S48" s="48">
        <f>K50</f>
        <v>26.624928105753717</v>
      </c>
      <c r="T48" s="48">
        <f t="shared" ref="T48" si="211">L50</f>
        <v>-43.488396214183844</v>
      </c>
      <c r="U48" s="48">
        <f t="shared" ref="U48" si="212">M50</f>
        <v>-42.542057305754568</v>
      </c>
      <c r="V48" s="48"/>
      <c r="W48" s="48"/>
      <c r="X48" s="48"/>
      <c r="Y48" s="48"/>
      <c r="Z48" s="48"/>
      <c r="AA48" s="48"/>
      <c r="AB48" s="48"/>
    </row>
    <row r="49" spans="1:28" x14ac:dyDescent="0.25">
      <c r="A49" s="72" t="str">
        <f t="shared" ref="A49:M49" si="213">A11</f>
        <v>kapitał własny</v>
      </c>
      <c r="B49" s="72">
        <f t="shared" si="213"/>
        <v>15117700</v>
      </c>
      <c r="C49" s="72">
        <f t="shared" si="213"/>
        <v>14523400</v>
      </c>
      <c r="D49" s="72">
        <f t="shared" si="213"/>
        <v>12116800</v>
      </c>
      <c r="E49" s="72">
        <f t="shared" si="213"/>
        <v>555112.97</v>
      </c>
      <c r="F49" s="72">
        <f t="shared" si="213"/>
        <v>466041.54</v>
      </c>
      <c r="G49" s="72">
        <f t="shared" si="213"/>
        <v>462548.88</v>
      </c>
      <c r="H49" s="72">
        <f t="shared" si="213"/>
        <v>10568000</v>
      </c>
      <c r="I49" s="72">
        <f t="shared" si="213"/>
        <v>10505000</v>
      </c>
      <c r="J49" s="72">
        <f t="shared" si="213"/>
        <v>9938000</v>
      </c>
      <c r="K49" s="72">
        <f t="shared" si="213"/>
        <v>321653</v>
      </c>
      <c r="L49" s="72">
        <f t="shared" si="213"/>
        <v>-200538</v>
      </c>
      <c r="M49" s="72">
        <f t="shared" si="213"/>
        <v>-212579</v>
      </c>
      <c r="N49" s="67">
        <f t="shared" si="208"/>
        <v>6640616.4924999997</v>
      </c>
      <c r="O49" s="67">
        <f t="shared" si="209"/>
        <v>6323475.8849999998</v>
      </c>
      <c r="P49" s="67">
        <f t="shared" si="210"/>
        <v>5576192.4700000007</v>
      </c>
      <c r="R49" s="67" t="str">
        <f>$N$2</f>
        <v>Branża</v>
      </c>
      <c r="S49" s="48">
        <f>N50</f>
        <v>1.5734910229044521</v>
      </c>
      <c r="T49" s="48">
        <f t="shared" ref="T49" si="214">O50</f>
        <v>1.5481973993485072</v>
      </c>
      <c r="U49" s="48">
        <f t="shared" ref="U49" si="215">P50</f>
        <v>1.7278129645514189</v>
      </c>
      <c r="V49" s="48"/>
      <c r="W49" s="48"/>
      <c r="X49" s="48"/>
      <c r="Y49" s="48"/>
      <c r="Z49" s="48"/>
      <c r="AA49" s="48"/>
      <c r="AB49" s="48"/>
    </row>
    <row r="50" spans="1:28" x14ac:dyDescent="0.25">
      <c r="A50" s="30" t="s">
        <v>849</v>
      </c>
      <c r="B50" s="127">
        <f t="shared" ref="B50:O50" si="216">B51/B52</f>
        <v>1.1989323772796125</v>
      </c>
      <c r="C50" s="127">
        <f t="shared" si="216"/>
        <v>1.158241183194018</v>
      </c>
      <c r="D50" s="127">
        <f t="shared" si="216"/>
        <v>1.2907038161890929</v>
      </c>
      <c r="E50" s="127">
        <f t="shared" si="216"/>
        <v>2.4007973548159036</v>
      </c>
      <c r="F50" s="127">
        <f t="shared" si="216"/>
        <v>1.7708285832202857</v>
      </c>
      <c r="G50" s="127">
        <f t="shared" si="216"/>
        <v>1.860825108905247</v>
      </c>
      <c r="H50" s="127">
        <f t="shared" si="216"/>
        <v>1.3033686601059804</v>
      </c>
      <c r="I50" s="127">
        <f t="shared" si="216"/>
        <v>1.217705854355069</v>
      </c>
      <c r="J50" s="127">
        <f t="shared" si="216"/>
        <v>1.3076071644194003</v>
      </c>
      <c r="K50" s="127">
        <f t="shared" si="216"/>
        <v>26.624928105753717</v>
      </c>
      <c r="L50" s="127">
        <f t="shared" si="216"/>
        <v>-43.488396214183844</v>
      </c>
      <c r="M50" s="127">
        <f t="shared" si="216"/>
        <v>-42.542057305754568</v>
      </c>
      <c r="N50" s="127">
        <f t="shared" si="216"/>
        <v>1.5734910229044521</v>
      </c>
      <c r="O50" s="127">
        <f t="shared" si="216"/>
        <v>1.5481973993485072</v>
      </c>
      <c r="P50" s="127">
        <f>P51/P52</f>
        <v>1.7278129645514189</v>
      </c>
      <c r="R50" s="30" t="str">
        <f>A56</f>
        <v>WSKAŹNIK ZSTOSOWANIA KAPITAŁÓW WŁASNYCH</v>
      </c>
      <c r="S50" s="33">
        <v>2019</v>
      </c>
      <c r="T50" s="33">
        <v>2018</v>
      </c>
      <c r="U50" s="33">
        <v>2017</v>
      </c>
      <c r="V50" s="33"/>
      <c r="W50" s="33"/>
      <c r="X50" s="33"/>
      <c r="Y50" s="33"/>
      <c r="Z50" s="33"/>
      <c r="AA50" s="33"/>
      <c r="AB50" s="33"/>
    </row>
    <row r="51" spans="1:28" x14ac:dyDescent="0.25">
      <c r="A51" s="72" t="str">
        <f t="shared" ref="A51:M51" si="217">A22</f>
        <v>zobowiązania ogółem</v>
      </c>
      <c r="B51" s="72">
        <f t="shared" si="217"/>
        <v>18125100</v>
      </c>
      <c r="C51" s="72">
        <f t="shared" si="217"/>
        <v>16821600</v>
      </c>
      <c r="D51" s="72">
        <f t="shared" si="217"/>
        <v>15639200</v>
      </c>
      <c r="E51" s="72">
        <f t="shared" si="217"/>
        <v>1332713.75</v>
      </c>
      <c r="F51" s="72">
        <f t="shared" si="217"/>
        <v>825279.68</v>
      </c>
      <c r="G51" s="72">
        <f t="shared" si="217"/>
        <v>860722.57000000007</v>
      </c>
      <c r="H51" s="72">
        <f t="shared" si="217"/>
        <v>13774000</v>
      </c>
      <c r="I51" s="72">
        <f t="shared" si="217"/>
        <v>12792000</v>
      </c>
      <c r="J51" s="72">
        <f t="shared" si="217"/>
        <v>12995000</v>
      </c>
      <c r="K51" s="72">
        <f t="shared" si="217"/>
        <v>8563988</v>
      </c>
      <c r="L51" s="72">
        <f t="shared" si="217"/>
        <v>8721076</v>
      </c>
      <c r="M51" s="72">
        <f t="shared" si="217"/>
        <v>9043548</v>
      </c>
      <c r="N51" s="67">
        <f t="shared" ref="N51:N52" si="218">AVERAGE(B51,E51,H51,K51)</f>
        <v>10448950.4375</v>
      </c>
      <c r="O51" s="67">
        <f t="shared" ref="O51:O52" si="219">AVERAGE(C51,F51,I51,L51)</f>
        <v>9789988.9199999999</v>
      </c>
      <c r="P51" s="67">
        <f t="shared" ref="P51:P52" si="220">AVERAGE(D51,G51,J51,M51)</f>
        <v>9634617.6425000001</v>
      </c>
      <c r="R51" s="67" t="str">
        <f>$B$2</f>
        <v>Cyfrowy Polsat S.A. (Polska)</v>
      </c>
      <c r="S51" s="48">
        <f>B56</f>
        <v>0.54764949447014455</v>
      </c>
      <c r="T51" s="48">
        <f t="shared" ref="T51" si="221">C56</f>
        <v>0.57463569424826211</v>
      </c>
      <c r="U51" s="48">
        <f t="shared" ref="U51" si="222">D56</f>
        <v>0.50858569959495481</v>
      </c>
      <c r="V51" s="48"/>
      <c r="W51" s="48"/>
      <c r="X51" s="48"/>
      <c r="Y51" s="48"/>
      <c r="Z51" s="48"/>
      <c r="AA51" s="48"/>
      <c r="AB51" s="48"/>
    </row>
    <row r="52" spans="1:28" x14ac:dyDescent="0.25">
      <c r="A52" s="72" t="str">
        <f t="shared" ref="A52:M52" si="223">A11</f>
        <v>kapitał własny</v>
      </c>
      <c r="B52" s="72">
        <f t="shared" si="223"/>
        <v>15117700</v>
      </c>
      <c r="C52" s="72">
        <f t="shared" si="223"/>
        <v>14523400</v>
      </c>
      <c r="D52" s="72">
        <f t="shared" si="223"/>
        <v>12116800</v>
      </c>
      <c r="E52" s="72">
        <f t="shared" si="223"/>
        <v>555112.97</v>
      </c>
      <c r="F52" s="72">
        <f t="shared" si="223"/>
        <v>466041.54</v>
      </c>
      <c r="G52" s="72">
        <f t="shared" si="223"/>
        <v>462548.88</v>
      </c>
      <c r="H52" s="72">
        <f t="shared" si="223"/>
        <v>10568000</v>
      </c>
      <c r="I52" s="72">
        <f t="shared" si="223"/>
        <v>10505000</v>
      </c>
      <c r="J52" s="72">
        <f t="shared" si="223"/>
        <v>9938000</v>
      </c>
      <c r="K52" s="72">
        <f t="shared" si="223"/>
        <v>321653</v>
      </c>
      <c r="L52" s="72">
        <f t="shared" si="223"/>
        <v>-200538</v>
      </c>
      <c r="M52" s="72">
        <f t="shared" si="223"/>
        <v>-212579</v>
      </c>
      <c r="N52" s="67">
        <f t="shared" si="218"/>
        <v>6640616.4924999997</v>
      </c>
      <c r="O52" s="67">
        <f t="shared" si="219"/>
        <v>6323475.8849999998</v>
      </c>
      <c r="P52" s="67">
        <f t="shared" si="220"/>
        <v>5576192.4700000007</v>
      </c>
      <c r="R52" s="67" t="str">
        <f>$E$2</f>
        <v>Telewizja Polska S.A. (Polska)</v>
      </c>
      <c r="S52" s="48">
        <f>E56</f>
        <v>0.54701207670189478</v>
      </c>
      <c r="T52" s="48">
        <f t="shared" ref="T52" si="224">F56</f>
        <v>0.53139211583589219</v>
      </c>
      <c r="U52" s="48">
        <f t="shared" ref="U52" si="225">G56</f>
        <v>0.61482543029410608</v>
      </c>
      <c r="V52" s="48"/>
      <c r="W52" s="48"/>
      <c r="X52" s="48"/>
      <c r="Y52" s="48"/>
      <c r="Z52" s="48"/>
      <c r="AA52" s="48"/>
      <c r="AB52" s="48"/>
    </row>
    <row r="53" spans="1:28" x14ac:dyDescent="0.25">
      <c r="R53" s="67" t="str">
        <f>$H$2</f>
        <v>Orange Polska S.A. (Polska)</v>
      </c>
      <c r="S53" s="48">
        <f>H56</f>
        <v>0.50693145296685371</v>
      </c>
      <c r="T53" s="48">
        <f t="shared" ref="T53" si="226">I56</f>
        <v>0.54356825002587184</v>
      </c>
      <c r="U53" s="48">
        <f t="shared" ref="U53" si="227">J56</f>
        <v>0.50549338758901319</v>
      </c>
      <c r="V53" s="48"/>
      <c r="W53" s="48"/>
      <c r="X53" s="48"/>
      <c r="Y53" s="48"/>
      <c r="Z53" s="48"/>
      <c r="AA53" s="48"/>
      <c r="AB53" s="48"/>
    </row>
    <row r="54" spans="1:28" x14ac:dyDescent="0.25">
      <c r="R54" s="67" t="str">
        <f>$K$2</f>
        <v>Play Communications S.A. (Polska)</v>
      </c>
      <c r="S54" s="48">
        <f>K56</f>
        <v>5.1886135795712003E-2</v>
      </c>
      <c r="T54" s="48">
        <f t="shared" ref="T54" si="228">L56</f>
        <v>-3.507134135315098E-2</v>
      </c>
      <c r="U54" s="48">
        <f t="shared" ref="U54" si="229">M56</f>
        <v>-3.8618940373986721E-2</v>
      </c>
      <c r="V54" s="48"/>
      <c r="W54" s="48"/>
      <c r="X54" s="48"/>
      <c r="Y54" s="48"/>
      <c r="Z54" s="48"/>
      <c r="AA54" s="48"/>
      <c r="AB54" s="48"/>
    </row>
    <row r="55" spans="1:28" x14ac:dyDescent="0.25">
      <c r="A55" s="63" t="s">
        <v>850</v>
      </c>
      <c r="R55" s="67" t="str">
        <f>$N$2</f>
        <v>Branża</v>
      </c>
      <c r="S55" s="48">
        <f>N56</f>
        <v>0.47717817639552651</v>
      </c>
      <c r="T55" s="48">
        <f t="shared" ref="T55" si="230">O56</f>
        <v>0.49406862464936735</v>
      </c>
      <c r="U55" s="48">
        <f t="shared" ref="U55" si="231">P56</f>
        <v>0.44841502565856556</v>
      </c>
      <c r="V55" s="48"/>
      <c r="W55" s="48"/>
      <c r="X55" s="48"/>
      <c r="Y55" s="48"/>
      <c r="Z55" s="48"/>
      <c r="AA55" s="48"/>
      <c r="AB55" s="48"/>
    </row>
    <row r="56" spans="1:28" x14ac:dyDescent="0.25">
      <c r="A56" s="30" t="s">
        <v>851</v>
      </c>
      <c r="B56" s="127">
        <f t="shared" ref="B56" si="232">B57/B58</f>
        <v>0.54764949447014455</v>
      </c>
      <c r="C56" s="127">
        <f t="shared" ref="C56" si="233">C57/C58</f>
        <v>0.57463569424826211</v>
      </c>
      <c r="D56" s="127">
        <f t="shared" ref="D56" si="234">D57/D58</f>
        <v>0.50858569959495481</v>
      </c>
      <c r="E56" s="127">
        <f t="shared" ref="E56" si="235">E57/E58</f>
        <v>0.54701207670189478</v>
      </c>
      <c r="F56" s="127">
        <f t="shared" ref="F56" si="236">F57/F58</f>
        <v>0.53139211583589219</v>
      </c>
      <c r="G56" s="127">
        <f t="shared" ref="G56" si="237">G57/G58</f>
        <v>0.61482543029410608</v>
      </c>
      <c r="H56" s="127">
        <f t="shared" ref="H56" si="238">H57/H58</f>
        <v>0.50693145296685371</v>
      </c>
      <c r="I56" s="127">
        <f t="shared" ref="I56" si="239">I57/I58</f>
        <v>0.54356825002587184</v>
      </c>
      <c r="J56" s="127">
        <f t="shared" ref="J56" si="240">J57/J58</f>
        <v>0.50549338758901319</v>
      </c>
      <c r="K56" s="127">
        <f t="shared" ref="K56" si="241">K57/K58</f>
        <v>5.1886135795712003E-2</v>
      </c>
      <c r="L56" s="127">
        <f t="shared" ref="L56" si="242">L57/L58</f>
        <v>-3.507134135315098E-2</v>
      </c>
      <c r="M56" s="127">
        <f t="shared" ref="M56" si="243">M57/M58</f>
        <v>-3.8618940373986721E-2</v>
      </c>
      <c r="N56" s="127">
        <f t="shared" ref="N56" si="244">N57/N58</f>
        <v>0.47717817639552651</v>
      </c>
      <c r="O56" s="127">
        <f t="shared" ref="O56" si="245">O57/O58</f>
        <v>0.49406862464936735</v>
      </c>
      <c r="P56" s="127">
        <f t="shared" ref="P56" si="246">P57/P58</f>
        <v>0.44841502565856556</v>
      </c>
      <c r="R56" s="30" t="str">
        <f>A41</f>
        <v>WSKAŹNIK OGÓLNEGO ZADŁUŻENIA</v>
      </c>
      <c r="S56" s="33">
        <v>2019</v>
      </c>
      <c r="T56" s="33">
        <v>2018</v>
      </c>
      <c r="U56" s="33">
        <v>2017</v>
      </c>
      <c r="V56" s="33"/>
      <c r="W56" s="33"/>
      <c r="X56" s="33"/>
      <c r="Y56" s="33"/>
      <c r="Z56" s="33"/>
      <c r="AA56" s="33"/>
      <c r="AB56" s="33"/>
    </row>
    <row r="57" spans="1:28" x14ac:dyDescent="0.25">
      <c r="A57" s="72" t="str">
        <f t="shared" ref="A57:M57" si="247">A11</f>
        <v>kapitał własny</v>
      </c>
      <c r="B57" s="72">
        <f t="shared" si="247"/>
        <v>15117700</v>
      </c>
      <c r="C57" s="72">
        <f t="shared" si="247"/>
        <v>14523400</v>
      </c>
      <c r="D57" s="72">
        <f t="shared" si="247"/>
        <v>12116800</v>
      </c>
      <c r="E57" s="72">
        <f t="shared" si="247"/>
        <v>555112.97</v>
      </c>
      <c r="F57" s="72">
        <f t="shared" si="247"/>
        <v>466041.54</v>
      </c>
      <c r="G57" s="72">
        <f t="shared" si="247"/>
        <v>462548.88</v>
      </c>
      <c r="H57" s="72">
        <f t="shared" si="247"/>
        <v>10568000</v>
      </c>
      <c r="I57" s="72">
        <f t="shared" si="247"/>
        <v>10505000</v>
      </c>
      <c r="J57" s="72">
        <f t="shared" si="247"/>
        <v>9938000</v>
      </c>
      <c r="K57" s="72">
        <f t="shared" si="247"/>
        <v>321653</v>
      </c>
      <c r="L57" s="72">
        <f t="shared" si="247"/>
        <v>-200538</v>
      </c>
      <c r="M57" s="72">
        <f t="shared" si="247"/>
        <v>-212579</v>
      </c>
      <c r="N57" s="67">
        <f t="shared" ref="N57" si="248">AVERAGE(B57,E57,H57,K57)</f>
        <v>6640616.4924999997</v>
      </c>
      <c r="O57" s="67">
        <f t="shared" ref="O57" si="249">AVERAGE(C57,F57,I57,L57)</f>
        <v>6323475.8849999998</v>
      </c>
      <c r="P57" s="67">
        <f t="shared" ref="P57" si="250">AVERAGE(D57,G57,J57,M57)</f>
        <v>5576192.4700000007</v>
      </c>
      <c r="R57" s="67" t="str">
        <f>$B$2</f>
        <v>Cyfrowy Polsat S.A. (Polska)</v>
      </c>
      <c r="S57" s="48">
        <f>B41</f>
        <v>0.5561620885190367</v>
      </c>
      <c r="T57" s="48">
        <f t="shared" ref="T57:U57" si="251">C41</f>
        <v>0.54799197310468839</v>
      </c>
      <c r="U57" s="48">
        <f t="shared" si="251"/>
        <v>0.56345294711053462</v>
      </c>
      <c r="V57" s="48"/>
      <c r="W57" s="48"/>
      <c r="X57" s="48"/>
      <c r="Y57" s="48"/>
      <c r="Z57" s="48"/>
      <c r="AA57" s="48"/>
      <c r="AB57" s="48"/>
    </row>
    <row r="58" spans="1:28" x14ac:dyDescent="0.25">
      <c r="A58" s="72" t="str">
        <f t="shared" ref="A58:M58" si="252">A17</f>
        <v>aktywa trwałe</v>
      </c>
      <c r="B58" s="72">
        <f t="shared" si="252"/>
        <v>27604700</v>
      </c>
      <c r="C58" s="72">
        <f t="shared" si="252"/>
        <v>25274100</v>
      </c>
      <c r="D58" s="72">
        <f t="shared" si="252"/>
        <v>23824500</v>
      </c>
      <c r="E58" s="72">
        <f t="shared" si="252"/>
        <v>1014809.35</v>
      </c>
      <c r="F58" s="72">
        <f t="shared" si="252"/>
        <v>877020.05</v>
      </c>
      <c r="G58" s="72">
        <f t="shared" si="252"/>
        <v>752325.55</v>
      </c>
      <c r="H58" s="72">
        <f t="shared" si="252"/>
        <v>20847000</v>
      </c>
      <c r="I58" s="72">
        <f t="shared" si="252"/>
        <v>19326000</v>
      </c>
      <c r="J58" s="72">
        <f t="shared" si="252"/>
        <v>19660000</v>
      </c>
      <c r="K58" s="72">
        <f t="shared" si="252"/>
        <v>6199209</v>
      </c>
      <c r="L58" s="72">
        <f t="shared" si="252"/>
        <v>5718002</v>
      </c>
      <c r="M58" s="72">
        <f t="shared" si="252"/>
        <v>5504527</v>
      </c>
      <c r="N58" s="67">
        <f t="shared" ref="N58" si="253">AVERAGE(B58,E58,H58,K58)</f>
        <v>13916429.5875</v>
      </c>
      <c r="O58" s="67">
        <f t="shared" ref="O58" si="254">AVERAGE(C58,F58,I58,L58)</f>
        <v>12798780.512499999</v>
      </c>
      <c r="P58" s="67">
        <f t="shared" ref="P58" si="255">AVERAGE(D58,G58,J58,M58)</f>
        <v>12435338.137499999</v>
      </c>
      <c r="R58" s="67" t="str">
        <f>$E$2</f>
        <v>Telewizja Polska S.A. (Polska)</v>
      </c>
      <c r="S58" s="48">
        <f>E41</f>
        <v>0.62007699734932031</v>
      </c>
      <c r="T58" s="48">
        <f t="shared" ref="T58:U58" si="256">F41</f>
        <v>0.55688427499915438</v>
      </c>
      <c r="U58" s="48">
        <f t="shared" si="256"/>
        <v>0.57913205029869841</v>
      </c>
      <c r="V58" s="48"/>
      <c r="W58" s="48"/>
      <c r="X58" s="48"/>
      <c r="Y58" s="48"/>
      <c r="Z58" s="48"/>
      <c r="AA58" s="48"/>
      <c r="AB58" s="48"/>
    </row>
    <row r="59" spans="1:28" x14ac:dyDescent="0.25">
      <c r="A59" s="30" t="s">
        <v>852</v>
      </c>
      <c r="B59" s="127">
        <f t="shared" ref="B59" si="257">B60/B61</f>
        <v>3.5049649942827337</v>
      </c>
      <c r="C59" s="127">
        <f t="shared" ref="C59" si="258">C60/C61</f>
        <v>2.9825363748686078</v>
      </c>
      <c r="D59" s="127">
        <f t="shared" ref="D59" si="259">D60/D61</f>
        <v>3.9779219127559458</v>
      </c>
      <c r="E59" s="127">
        <f t="shared" ref="E59" si="260">E60/E61</f>
        <v>1.4052108962588119</v>
      </c>
      <c r="F59" s="127">
        <f t="shared" ref="F59" si="261">F60/F61</f>
        <v>1.6793718434212985</v>
      </c>
      <c r="G59" s="127">
        <f t="shared" ref="G59" si="262">G60/G61</f>
        <v>1.3948432992443129</v>
      </c>
      <c r="H59" s="127">
        <f t="shared" ref="H59" si="263">H60/H61</f>
        <v>3.9427426281133697</v>
      </c>
      <c r="I59" s="127">
        <f t="shared" ref="I59" si="264">I60/I61</f>
        <v>3.2224741748551273</v>
      </c>
      <c r="J59" s="127">
        <f t="shared" ref="J59" si="265">J60/J61</f>
        <v>3.9703635808127102</v>
      </c>
      <c r="K59" s="127">
        <f t="shared" ref="K59" si="266">K60/K61</f>
        <v>3.1878670295767768</v>
      </c>
      <c r="L59" s="127">
        <f t="shared" ref="L59" si="267">L60/L61</f>
        <v>3.1118515515946985</v>
      </c>
      <c r="M59" s="127">
        <f t="shared" ref="M59" si="268">M60/M61</f>
        <v>2.7186850093884094</v>
      </c>
      <c r="N59" s="127">
        <f t="shared" ref="N59" si="269">N60/N61</f>
        <v>3.3663500897198539</v>
      </c>
      <c r="O59" s="127">
        <f t="shared" ref="O59" si="270">O60/O61</f>
        <v>3.0236631306684418</v>
      </c>
      <c r="P59" s="127">
        <f t="shared" ref="P59" si="271">P60/P61</f>
        <v>3.4355934540659732</v>
      </c>
      <c r="R59" s="67" t="str">
        <f>$H$2</f>
        <v>Orange Polska S.A. (Polska)</v>
      </c>
      <c r="S59" s="48">
        <f>H41</f>
        <v>0.5658997534921939</v>
      </c>
      <c r="T59" s="48">
        <f t="shared" ref="T59:U59" si="272">I41</f>
        <v>0.54913071474565356</v>
      </c>
      <c r="U59" s="48">
        <f t="shared" si="272"/>
        <v>0.56665067806218117</v>
      </c>
      <c r="V59" s="48"/>
      <c r="W59" s="48"/>
      <c r="X59" s="48"/>
      <c r="Y59" s="48"/>
      <c r="Z59" s="48"/>
      <c r="AA59" s="48"/>
      <c r="AB59" s="48"/>
    </row>
    <row r="60" spans="1:28" x14ac:dyDescent="0.25">
      <c r="A60" s="72" t="str">
        <f t="shared" ref="A60:M60" si="273">A19</f>
        <v xml:space="preserve">kapitał obcy </v>
      </c>
      <c r="B60" s="72">
        <f t="shared" si="273"/>
        <v>17471900</v>
      </c>
      <c r="C60" s="72">
        <f t="shared" si="273"/>
        <v>16173400</v>
      </c>
      <c r="D60" s="72">
        <f t="shared" si="273"/>
        <v>15639200</v>
      </c>
      <c r="E60" s="72">
        <f t="shared" si="273"/>
        <v>1594158.4200000002</v>
      </c>
      <c r="F60" s="72">
        <f t="shared" si="273"/>
        <v>1015917.49</v>
      </c>
      <c r="G60" s="72">
        <f t="shared" si="273"/>
        <v>1023679.64</v>
      </c>
      <c r="H60" s="72">
        <f t="shared" si="273"/>
        <v>13772000</v>
      </c>
      <c r="I60" s="72">
        <f t="shared" si="273"/>
        <v>12790000</v>
      </c>
      <c r="J60" s="72">
        <f t="shared" si="273"/>
        <v>12995000</v>
      </c>
      <c r="K60" s="72">
        <f t="shared" si="273"/>
        <v>8563988</v>
      </c>
      <c r="L60" s="72">
        <f t="shared" si="273"/>
        <v>8721076</v>
      </c>
      <c r="M60" s="72">
        <f t="shared" si="273"/>
        <v>9043548</v>
      </c>
      <c r="N60" s="67">
        <f t="shared" ref="N60" si="274">AVERAGE(B60,E60,H60,K60)</f>
        <v>10350511.605</v>
      </c>
      <c r="O60" s="67">
        <f t="shared" ref="O60" si="275">AVERAGE(C60,F60,I60,L60)</f>
        <v>9675098.3724999987</v>
      </c>
      <c r="P60" s="67">
        <f t="shared" ref="P60" si="276">AVERAGE(D60,G60,J60,M60)</f>
        <v>9675356.9100000001</v>
      </c>
      <c r="R60" s="67" t="str">
        <f>$K$2</f>
        <v>Play Communications S.A. (Polska)</v>
      </c>
      <c r="S60" s="48">
        <f>K41</f>
        <v>0.9638008107687448</v>
      </c>
      <c r="T60" s="48">
        <f t="shared" ref="T60:U60" si="277">L41</f>
        <v>1.0235358377604795</v>
      </c>
      <c r="U60" s="48">
        <f t="shared" si="277"/>
        <v>1.0240719902878155</v>
      </c>
      <c r="V60" s="48"/>
      <c r="W60" s="48"/>
      <c r="X60" s="48"/>
      <c r="Y60" s="48"/>
      <c r="Z60" s="48"/>
      <c r="AA60" s="48"/>
      <c r="AB60" s="48"/>
    </row>
    <row r="61" spans="1:28" x14ac:dyDescent="0.25">
      <c r="A61" s="72" t="str">
        <f t="shared" ref="A61:M61" si="278">A23</f>
        <v>aktywa obrotowe</v>
      </c>
      <c r="B61" s="72">
        <f t="shared" si="278"/>
        <v>4984900</v>
      </c>
      <c r="C61" s="72">
        <f t="shared" si="278"/>
        <v>5422700</v>
      </c>
      <c r="D61" s="72">
        <f t="shared" si="278"/>
        <v>3931500</v>
      </c>
      <c r="E61" s="72">
        <f t="shared" si="278"/>
        <v>1134462.04</v>
      </c>
      <c r="F61" s="72">
        <f t="shared" si="278"/>
        <v>604938.98</v>
      </c>
      <c r="G61" s="72">
        <f t="shared" si="278"/>
        <v>733902.97</v>
      </c>
      <c r="H61" s="72">
        <f t="shared" si="278"/>
        <v>3493000</v>
      </c>
      <c r="I61" s="72">
        <f t="shared" si="278"/>
        <v>3969000</v>
      </c>
      <c r="J61" s="72">
        <f t="shared" si="278"/>
        <v>3273000</v>
      </c>
      <c r="K61" s="72">
        <f t="shared" si="278"/>
        <v>2686432</v>
      </c>
      <c r="L61" s="72">
        <f t="shared" si="278"/>
        <v>2802536</v>
      </c>
      <c r="M61" s="72">
        <f t="shared" si="278"/>
        <v>3326442</v>
      </c>
      <c r="N61" s="67">
        <f t="shared" ref="N61" si="279">AVERAGE(B61,E61,H61,K61)</f>
        <v>3074698.51</v>
      </c>
      <c r="O61" s="67">
        <f t="shared" ref="O61" si="280">AVERAGE(C61,F61,I61,L61)</f>
        <v>3199793.7450000001</v>
      </c>
      <c r="P61" s="67">
        <f t="shared" ref="P61" si="281">AVERAGE(D61,G61,J61,M61)</f>
        <v>2816211.2424999997</v>
      </c>
      <c r="R61" s="67" t="str">
        <f>$N$2</f>
        <v>Branża</v>
      </c>
      <c r="S61" s="48">
        <f>N41</f>
        <v>0.61496507927789756</v>
      </c>
      <c r="T61" s="48">
        <f t="shared" ref="T61:U61" si="282">O41</f>
        <v>0.61192883580926183</v>
      </c>
      <c r="U61" s="48">
        <f t="shared" si="282"/>
        <v>0.63171402474913674</v>
      </c>
      <c r="V61" s="48"/>
      <c r="W61" s="48"/>
      <c r="X61" s="48"/>
      <c r="Y61" s="48"/>
      <c r="Z61" s="48"/>
      <c r="AA61" s="48"/>
      <c r="AB61" s="48"/>
    </row>
    <row r="62" spans="1:28" x14ac:dyDescent="0.25">
      <c r="R62" s="30" t="str">
        <f>A47</f>
        <v>WSKAŹNIK ZADŁUŻENIA DŁUGOTERMINOWEGO</v>
      </c>
      <c r="S62" s="33">
        <v>2019</v>
      </c>
      <c r="T62" s="33">
        <v>2018</v>
      </c>
      <c r="U62" s="33">
        <v>2017</v>
      </c>
      <c r="V62" s="33"/>
      <c r="W62" s="33"/>
      <c r="X62" s="33"/>
      <c r="Y62" s="33"/>
      <c r="Z62" s="33"/>
      <c r="AA62" s="33"/>
      <c r="AB62" s="33"/>
    </row>
    <row r="63" spans="1:28" x14ac:dyDescent="0.25">
      <c r="A63" s="63" t="s">
        <v>853</v>
      </c>
      <c r="R63" s="67" t="str">
        <f>$B$2</f>
        <v>Cyfrowy Polsat S.A. (Polska)</v>
      </c>
      <c r="S63" s="48">
        <f>B47</f>
        <v>0.8107648650257645</v>
      </c>
      <c r="T63" s="48">
        <f t="shared" ref="T63" si="283">C47</f>
        <v>0.81268848892132695</v>
      </c>
      <c r="U63" s="48">
        <f t="shared" ref="U63" si="284">D47</f>
        <v>0.96755744090849072</v>
      </c>
      <c r="V63" s="48"/>
      <c r="W63" s="48"/>
      <c r="X63" s="48"/>
      <c r="Y63" s="48"/>
      <c r="Z63" s="48"/>
      <c r="AA63" s="48"/>
      <c r="AB63" s="48"/>
    </row>
    <row r="64" spans="1:28" x14ac:dyDescent="0.25">
      <c r="A64" s="30" t="s">
        <v>854</v>
      </c>
      <c r="B64" s="127">
        <f t="shared" ref="B64" si="285">B65/B66</f>
        <v>0.44401496846551491</v>
      </c>
      <c r="C64" s="127">
        <f t="shared" ref="C64" si="286">C65/C66</f>
        <v>0.46699981403887775</v>
      </c>
      <c r="D64" s="127">
        <f t="shared" ref="D64" si="287">D65/D66</f>
        <v>0.49208587798274883</v>
      </c>
      <c r="E64" s="127">
        <f t="shared" ref="E64" si="288">E65/E66</f>
        <v>0.40844186151812656</v>
      </c>
      <c r="F64" s="127">
        <f t="shared" ref="F64" si="289">F65/F66</f>
        <v>0.28800197897414087</v>
      </c>
      <c r="G64" s="127">
        <f t="shared" ref="G64" si="290">G65/G66</f>
        <v>0.47560617873472455</v>
      </c>
      <c r="H64" s="127">
        <f t="shared" ref="H64" si="291">H65/H66</f>
        <v>0.46443133304552214</v>
      </c>
      <c r="I64" s="127">
        <f t="shared" ref="I64" si="292">I65/I66</f>
        <v>0.35423781434337165</v>
      </c>
      <c r="J64" s="127">
        <f t="shared" ref="J64" si="293">J65/J66</f>
        <v>0.35361139369277722</v>
      </c>
      <c r="K64" s="127">
        <f t="shared" ref="K64" si="294">K65/K66</f>
        <v>1.0895227116878943</v>
      </c>
      <c r="L64" s="127">
        <f t="shared" ref="L64" si="295">L65/L66</f>
        <v>1.1269181088079367</v>
      </c>
      <c r="M64" s="127">
        <f t="shared" ref="M64" si="296">M65/M66</f>
        <v>1.2604948617746812</v>
      </c>
      <c r="N64" s="127">
        <f t="shared" ref="N64" si="297">N65/N66</f>
        <v>0.52289938013527848</v>
      </c>
      <c r="O64" s="127">
        <f t="shared" ref="O64" si="298">O65/O66</f>
        <v>0.49507262596710616</v>
      </c>
      <c r="P64" s="127">
        <f t="shared" ref="P64" si="299">P65/P66</f>
        <v>0.52213977603228645</v>
      </c>
      <c r="R64" s="67" t="str">
        <f>$E$2</f>
        <v>Telewizja Polska S.A. (Polska)</v>
      </c>
      <c r="S64" s="48">
        <f>E47</f>
        <v>0.7466779599835327</v>
      </c>
      <c r="T64" s="48">
        <f t="shared" ref="T64" si="300">F47</f>
        <v>0.54197638691177619</v>
      </c>
      <c r="U64" s="48">
        <f t="shared" ref="U64" si="301">G47</f>
        <v>0.7735629583623681</v>
      </c>
      <c r="V64" s="48"/>
      <c r="W64" s="48"/>
      <c r="X64" s="48"/>
      <c r="Y64" s="48"/>
      <c r="Z64" s="48"/>
      <c r="AA64" s="48"/>
      <c r="AB64" s="48"/>
    </row>
    <row r="65" spans="1:28" x14ac:dyDescent="0.25">
      <c r="A65" s="72" t="str">
        <f t="shared" ref="A65:M65" si="302">A21</f>
        <v>zobowiązania długoterminowe</v>
      </c>
      <c r="B65" s="72">
        <f t="shared" si="302"/>
        <v>12256900</v>
      </c>
      <c r="C65" s="72">
        <f t="shared" si="302"/>
        <v>11803000</v>
      </c>
      <c r="D65" s="72">
        <f t="shared" si="302"/>
        <v>11723700</v>
      </c>
      <c r="E65" s="72">
        <f t="shared" si="302"/>
        <v>414490.62</v>
      </c>
      <c r="F65" s="72">
        <f t="shared" si="302"/>
        <v>252583.51</v>
      </c>
      <c r="G65" s="72">
        <f t="shared" si="302"/>
        <v>357810.68</v>
      </c>
      <c r="H65" s="72">
        <f t="shared" si="302"/>
        <v>9682000</v>
      </c>
      <c r="I65" s="72">
        <f t="shared" si="302"/>
        <v>6846000</v>
      </c>
      <c r="J65" s="72">
        <f t="shared" si="302"/>
        <v>6952000</v>
      </c>
      <c r="K65" s="72">
        <f t="shared" si="302"/>
        <v>6754179</v>
      </c>
      <c r="L65" s="72">
        <f t="shared" si="302"/>
        <v>6443720</v>
      </c>
      <c r="M65" s="72">
        <f t="shared" si="302"/>
        <v>6938428</v>
      </c>
      <c r="N65" s="67">
        <f t="shared" ref="N65:N66" si="303">AVERAGE(B65,E65,H65,K65)</f>
        <v>7276892.4049999993</v>
      </c>
      <c r="O65" s="67">
        <f t="shared" ref="O65:O66" si="304">AVERAGE(C65,F65,I65,L65)</f>
        <v>6336325.8774999995</v>
      </c>
      <c r="P65" s="67">
        <f t="shared" ref="P65:P66" si="305">AVERAGE(D65,G65,J65,M65)</f>
        <v>6492984.6699999999</v>
      </c>
      <c r="R65" s="67" t="str">
        <f>$H$2</f>
        <v>Orange Polska S.A. (Polska)</v>
      </c>
      <c r="S65" s="48">
        <f>H47</f>
        <v>0.91616199848599544</v>
      </c>
      <c r="T65" s="48">
        <f t="shared" ref="T65" si="306">I47</f>
        <v>0.6516896715849595</v>
      </c>
      <c r="U65" s="48">
        <f t="shared" ref="U65" si="307">J47</f>
        <v>0.69953713020728514</v>
      </c>
      <c r="V65" s="48"/>
      <c r="W65" s="48"/>
      <c r="X65" s="48"/>
      <c r="Y65" s="48"/>
      <c r="Z65" s="48"/>
      <c r="AA65" s="48"/>
      <c r="AB65" s="48"/>
    </row>
    <row r="66" spans="1:28" x14ac:dyDescent="0.25">
      <c r="A66" s="72" t="str">
        <f t="shared" ref="A66:M66" si="308">A17</f>
        <v>aktywa trwałe</v>
      </c>
      <c r="B66" s="72">
        <f t="shared" si="308"/>
        <v>27604700</v>
      </c>
      <c r="C66" s="72">
        <f t="shared" si="308"/>
        <v>25274100</v>
      </c>
      <c r="D66" s="72">
        <f t="shared" si="308"/>
        <v>23824500</v>
      </c>
      <c r="E66" s="72">
        <f t="shared" si="308"/>
        <v>1014809.35</v>
      </c>
      <c r="F66" s="72">
        <f t="shared" si="308"/>
        <v>877020.05</v>
      </c>
      <c r="G66" s="72">
        <f t="shared" si="308"/>
        <v>752325.55</v>
      </c>
      <c r="H66" s="72">
        <f t="shared" si="308"/>
        <v>20847000</v>
      </c>
      <c r="I66" s="72">
        <f t="shared" si="308"/>
        <v>19326000</v>
      </c>
      <c r="J66" s="72">
        <f t="shared" si="308"/>
        <v>19660000</v>
      </c>
      <c r="K66" s="72">
        <f t="shared" si="308"/>
        <v>6199209</v>
      </c>
      <c r="L66" s="72">
        <f t="shared" si="308"/>
        <v>5718002</v>
      </c>
      <c r="M66" s="72">
        <f t="shared" si="308"/>
        <v>5504527</v>
      </c>
      <c r="N66" s="67">
        <f t="shared" si="303"/>
        <v>13916429.5875</v>
      </c>
      <c r="O66" s="67">
        <f t="shared" si="304"/>
        <v>12798780.512499999</v>
      </c>
      <c r="P66" s="67">
        <f t="shared" si="305"/>
        <v>12435338.137499999</v>
      </c>
      <c r="R66" s="67" t="str">
        <f>$K$2</f>
        <v>Play Communications S.A. (Polska)</v>
      </c>
      <c r="S66" s="48">
        <f>K47</f>
        <v>20.99833982583716</v>
      </c>
      <c r="T66" s="48">
        <f t="shared" ref="T66" si="309">L47</f>
        <v>-32.132164477555378</v>
      </c>
      <c r="U66" s="48">
        <f t="shared" ref="U66" si="310">M47</f>
        <v>-32.639291745656912</v>
      </c>
      <c r="V66" s="48"/>
      <c r="W66" s="48"/>
      <c r="X66" s="48"/>
      <c r="Y66" s="48"/>
      <c r="Z66" s="48"/>
      <c r="AA66" s="48"/>
      <c r="AB66" s="48"/>
    </row>
    <row r="67" spans="1:28" x14ac:dyDescent="0.25">
      <c r="A67" s="30" t="s">
        <v>855</v>
      </c>
      <c r="B67" s="127">
        <f t="shared" ref="B67" si="311">B68/B69</f>
        <v>1.1771951292904572</v>
      </c>
      <c r="C67" s="127">
        <f t="shared" ref="C67" si="312">C68/C69</f>
        <v>0.92547992697364778</v>
      </c>
      <c r="D67" s="127">
        <f t="shared" ref="D67" si="313">D68/D69</f>
        <v>0.99593030649879177</v>
      </c>
      <c r="E67" s="127">
        <f t="shared" ref="E67" si="314">E68/E69</f>
        <v>0.80939079283781057</v>
      </c>
      <c r="F67" s="127">
        <f t="shared" ref="F67" si="315">F68/F69</f>
        <v>0.94670072343494882</v>
      </c>
      <c r="G67" s="127">
        <f t="shared" ref="G67" si="316">G68/G69</f>
        <v>0.68525664911807083</v>
      </c>
      <c r="H67" s="127">
        <f t="shared" ref="H67" si="317">H68/H69</f>
        <v>1.1714858288004582</v>
      </c>
      <c r="I67" s="127">
        <f t="shared" ref="I67" si="318">I68/I69</f>
        <v>1.4981103552532125</v>
      </c>
      <c r="J67" s="127">
        <f t="shared" ref="J67" si="319">J68/J69</f>
        <v>1.8463183623586923</v>
      </c>
      <c r="K67" s="127">
        <f t="shared" ref="K67" si="320">K68/K69</f>
        <v>0.67368502161975441</v>
      </c>
      <c r="L67" s="127">
        <f t="shared" ref="L67" si="321">L68/L69</f>
        <v>0.81260544021557612</v>
      </c>
      <c r="M67" s="127">
        <f t="shared" ref="M67" si="322">M68/M69</f>
        <v>0.63284434239346421</v>
      </c>
      <c r="N67" s="127">
        <f t="shared" ref="N67" si="323">N68/N69</f>
        <v>1.031664737919296</v>
      </c>
      <c r="O67" s="127">
        <f t="shared" ref="O67" si="324">O68/O69</f>
        <v>1.0793392692565564</v>
      </c>
      <c r="P67" s="127">
        <f t="shared" ref="P67" si="325">P68/P69</f>
        <v>1.1155530256711559</v>
      </c>
      <c r="R67" s="67" t="str">
        <f>$N$2</f>
        <v>Branża</v>
      </c>
      <c r="S67" s="48">
        <f>N47</f>
        <v>1.0958157895759555</v>
      </c>
      <c r="T67" s="48">
        <f t="shared" ref="T67" si="326">O47</f>
        <v>1.0020321090383979</v>
      </c>
      <c r="U67" s="48">
        <f t="shared" ref="U67" si="327">P47</f>
        <v>1.1644118643558943</v>
      </c>
      <c r="V67" s="48"/>
      <c r="W67" s="48"/>
      <c r="X67" s="48"/>
      <c r="Y67" s="48"/>
      <c r="Z67" s="48"/>
      <c r="AA67" s="48"/>
      <c r="AB67" s="48"/>
    </row>
    <row r="68" spans="1:28" x14ac:dyDescent="0.25">
      <c r="A68" s="72" t="str">
        <f t="shared" ref="A68:M68" si="328">A20</f>
        <v>zobowiązania krótkoterminowe</v>
      </c>
      <c r="B68" s="72">
        <f t="shared" si="328"/>
        <v>5868200</v>
      </c>
      <c r="C68" s="72">
        <f t="shared" si="328"/>
        <v>5018600</v>
      </c>
      <c r="D68" s="72">
        <f t="shared" si="328"/>
        <v>3915500</v>
      </c>
      <c r="E68" s="72">
        <f t="shared" si="328"/>
        <v>918223.13</v>
      </c>
      <c r="F68" s="72">
        <f t="shared" si="328"/>
        <v>572696.17000000004</v>
      </c>
      <c r="G68" s="72">
        <f t="shared" si="328"/>
        <v>502911.89</v>
      </c>
      <c r="H68" s="72">
        <f t="shared" si="328"/>
        <v>4092000</v>
      </c>
      <c r="I68" s="72">
        <f t="shared" si="328"/>
        <v>5946000</v>
      </c>
      <c r="J68" s="72">
        <f t="shared" si="328"/>
        <v>6043000</v>
      </c>
      <c r="K68" s="72">
        <f t="shared" si="328"/>
        <v>1809809</v>
      </c>
      <c r="L68" s="72">
        <f t="shared" si="328"/>
        <v>2277356</v>
      </c>
      <c r="M68" s="72">
        <f t="shared" si="328"/>
        <v>2105120</v>
      </c>
      <c r="N68" s="67">
        <f t="shared" ref="N68:P69" si="329">AVERAGE(B68,E68,H68,K68)</f>
        <v>3172058.0324999997</v>
      </c>
      <c r="O68" s="67">
        <f t="shared" si="329"/>
        <v>3453663.0425</v>
      </c>
      <c r="P68" s="67">
        <f t="shared" si="329"/>
        <v>3141632.9725000001</v>
      </c>
    </row>
    <row r="69" spans="1:28" x14ac:dyDescent="0.25">
      <c r="A69" s="72" t="str">
        <f t="shared" ref="A69:M69" si="330">A23</f>
        <v>aktywa obrotowe</v>
      </c>
      <c r="B69" s="72">
        <f t="shared" si="330"/>
        <v>4984900</v>
      </c>
      <c r="C69" s="72">
        <f t="shared" si="330"/>
        <v>5422700</v>
      </c>
      <c r="D69" s="72">
        <f t="shared" si="330"/>
        <v>3931500</v>
      </c>
      <c r="E69" s="72">
        <f t="shared" si="330"/>
        <v>1134462.04</v>
      </c>
      <c r="F69" s="72">
        <f t="shared" si="330"/>
        <v>604938.98</v>
      </c>
      <c r="G69" s="72">
        <f t="shared" si="330"/>
        <v>733902.97</v>
      </c>
      <c r="H69" s="72">
        <f t="shared" si="330"/>
        <v>3493000</v>
      </c>
      <c r="I69" s="72">
        <f t="shared" si="330"/>
        <v>3969000</v>
      </c>
      <c r="J69" s="72">
        <f t="shared" si="330"/>
        <v>3273000</v>
      </c>
      <c r="K69" s="72">
        <f t="shared" si="330"/>
        <v>2686432</v>
      </c>
      <c r="L69" s="72">
        <f t="shared" si="330"/>
        <v>2802536</v>
      </c>
      <c r="M69" s="72">
        <f t="shared" si="330"/>
        <v>3326442</v>
      </c>
      <c r="N69" s="67">
        <f t="shared" si="329"/>
        <v>3074698.51</v>
      </c>
      <c r="O69" s="67">
        <f t="shared" si="329"/>
        <v>3199793.7450000001</v>
      </c>
      <c r="P69" s="67">
        <f t="shared" si="329"/>
        <v>2816211.2424999997</v>
      </c>
    </row>
  </sheetData>
  <mergeCells count="24">
    <mergeCell ref="B1:D1"/>
    <mergeCell ref="E1:M1"/>
    <mergeCell ref="N1:P1"/>
    <mergeCell ref="B2:D2"/>
    <mergeCell ref="E2:G2"/>
    <mergeCell ref="H2:J2"/>
    <mergeCell ref="K2:M2"/>
    <mergeCell ref="N2:P2"/>
    <mergeCell ref="AD33:AD34"/>
    <mergeCell ref="AD12:AE12"/>
    <mergeCell ref="AD24:AE24"/>
    <mergeCell ref="AD25:AD26"/>
    <mergeCell ref="AD27:AD28"/>
    <mergeCell ref="AD13:AD14"/>
    <mergeCell ref="AD15:AD16"/>
    <mergeCell ref="AD17:AD18"/>
    <mergeCell ref="AD19:AD20"/>
    <mergeCell ref="AD21:AD22"/>
    <mergeCell ref="BJ1:BQ1"/>
    <mergeCell ref="AY1:BA1"/>
    <mergeCell ref="BB1:BD1"/>
    <mergeCell ref="AD29:AD30"/>
    <mergeCell ref="AD31:AD32"/>
    <mergeCell ref="AM1:AT1"/>
  </mergeCells>
  <phoneticPr fontId="7" type="noConversion"/>
  <conditionalFormatting sqref="AF13:AH13 AF15:AH15 AF17:AH17 AF19:AH19 AF21:AH21">
    <cfRule type="cellIs" dxfId="5" priority="9" operator="lessThan">
      <formula>1</formula>
    </cfRule>
    <cfRule type="cellIs" dxfId="4" priority="10" operator="greaterThanOrEqual">
      <formula>1</formula>
    </cfRule>
  </conditionalFormatting>
  <conditionalFormatting sqref="AF14:AH14 AF16:AH16 AF18:AH18 AF20:AH20 AF22:AH22">
    <cfRule type="cellIs" dxfId="3" priority="7" operator="lessThanOrEqual">
      <formula>1</formula>
    </cfRule>
    <cfRule type="cellIs" dxfId="2" priority="8" operator="greaterThan">
      <formula>1</formula>
    </cfRule>
  </conditionalFormatting>
  <conditionalFormatting sqref="AF25:AH34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BD59-6E53-4E70-B6AC-565C85F439EC}">
  <sheetPr>
    <tabColor theme="5"/>
  </sheetPr>
  <dimension ref="A1:U34"/>
  <sheetViews>
    <sheetView topLeftCell="Q4" workbookViewId="0">
      <selection activeCell="R22" sqref="R22:U22"/>
    </sheetView>
  </sheetViews>
  <sheetFormatPr defaultRowHeight="15" x14ac:dyDescent="0.25"/>
  <cols>
    <col min="1" max="1" width="36.85546875" bestFit="1" customWidth="1"/>
    <col min="2" max="4" width="12.5703125" bestFit="1" customWidth="1"/>
    <col min="5" max="7" width="11" hidden="1" customWidth="1"/>
    <col min="8" max="10" width="13.7109375" bestFit="1" customWidth="1"/>
    <col min="11" max="13" width="10.5703125" hidden="1" customWidth="1"/>
    <col min="14" max="16" width="0" hidden="1" customWidth="1"/>
    <col min="18" max="18" width="32.140625" bestFit="1" customWidth="1"/>
    <col min="19" max="19" width="15.7109375" bestFit="1" customWidth="1"/>
    <col min="20" max="21" width="14.7109375" bestFit="1" customWidth="1"/>
  </cols>
  <sheetData>
    <row r="1" spans="1:21" x14ac:dyDescent="0.25">
      <c r="A1" s="36"/>
      <c r="B1" s="184" t="s">
        <v>255</v>
      </c>
      <c r="C1" s="184"/>
      <c r="D1" s="184"/>
      <c r="E1" s="185" t="s">
        <v>254</v>
      </c>
      <c r="F1" s="185"/>
      <c r="G1" s="185"/>
      <c r="H1" s="185"/>
      <c r="I1" s="185"/>
      <c r="J1" s="185"/>
      <c r="K1" s="185"/>
      <c r="L1" s="185"/>
      <c r="M1" s="185"/>
      <c r="N1" s="186" t="s">
        <v>301</v>
      </c>
      <c r="O1" s="179"/>
      <c r="P1" s="179"/>
      <c r="R1" s="53" t="s">
        <v>896</v>
      </c>
    </row>
    <row r="2" spans="1:21" x14ac:dyDescent="0.25">
      <c r="A2" s="37" t="s">
        <v>256</v>
      </c>
      <c r="B2" s="187" t="s">
        <v>4</v>
      </c>
      <c r="C2" s="187"/>
      <c r="D2" s="187"/>
      <c r="E2" s="188" t="s">
        <v>248</v>
      </c>
      <c r="F2" s="188"/>
      <c r="G2" s="188"/>
      <c r="H2" s="189" t="s">
        <v>246</v>
      </c>
      <c r="I2" s="189"/>
      <c r="J2" s="189"/>
      <c r="K2" s="190" t="s">
        <v>247</v>
      </c>
      <c r="L2" s="190"/>
      <c r="M2" s="190"/>
      <c r="N2" s="191" t="s">
        <v>298</v>
      </c>
      <c r="O2" s="191"/>
      <c r="P2" s="191"/>
    </row>
    <row r="3" spans="1:21" x14ac:dyDescent="0.25">
      <c r="A3" s="37" t="s">
        <v>257</v>
      </c>
      <c r="B3" s="33">
        <v>2019</v>
      </c>
      <c r="C3" s="33">
        <v>2018</v>
      </c>
      <c r="D3" s="33">
        <v>2017</v>
      </c>
      <c r="E3" s="33">
        <v>2019</v>
      </c>
      <c r="F3" s="33">
        <v>2018</v>
      </c>
      <c r="G3" s="33">
        <v>2017</v>
      </c>
      <c r="H3" s="33">
        <v>2019</v>
      </c>
      <c r="I3" s="33">
        <v>2018</v>
      </c>
      <c r="J3" s="33">
        <v>2017</v>
      </c>
      <c r="K3" s="33">
        <v>2019</v>
      </c>
      <c r="L3" s="33">
        <v>2018</v>
      </c>
      <c r="M3" s="33">
        <v>2017</v>
      </c>
      <c r="N3" s="33">
        <v>2019</v>
      </c>
      <c r="O3" s="33">
        <v>2018</v>
      </c>
      <c r="P3" s="33">
        <v>2017</v>
      </c>
      <c r="R3" s="30" t="str">
        <f>A13</f>
        <v>ZYSKOWNOŚĆ AKCJI ZWYKŁYCH</v>
      </c>
      <c r="S3" s="33">
        <v>2019</v>
      </c>
      <c r="T3" s="33">
        <v>2018</v>
      </c>
      <c r="U3" s="33">
        <v>2017</v>
      </c>
    </row>
    <row r="4" spans="1:21" x14ac:dyDescent="0.25">
      <c r="A4" s="53" t="s">
        <v>876</v>
      </c>
      <c r="B4" s="67">
        <f>'CYFROWY POLSAT SA'!B234*-1</f>
        <v>594800</v>
      </c>
      <c r="C4" s="67">
        <f>'CYFROWY POLSAT SA'!C234*-1</f>
        <v>0</v>
      </c>
      <c r="D4" s="67">
        <f>'CYFROWY POLSAT SA'!D234*-1</f>
        <v>204700</v>
      </c>
      <c r="E4" s="134">
        <f>'KONKURENCJA R.N.TV'!B234</f>
        <v>0</v>
      </c>
      <c r="F4" s="134">
        <f>'KONKURENCJA R.N.TV'!C234</f>
        <v>0</v>
      </c>
      <c r="G4" s="134">
        <f>'KONKURENCJA R.N.TV'!D234</f>
        <v>0</v>
      </c>
      <c r="H4" s="67">
        <f>'KONKURENCJA R.O.KOM.'!D234*-1</f>
        <v>0</v>
      </c>
      <c r="I4" s="67">
        <f>'KONKURENCJA R.O.KOM.'!E234*-1</f>
        <v>368264</v>
      </c>
      <c r="J4" s="67">
        <f>'KONKURENCJA R.O.KOM.'!F234*-1</f>
        <v>652498</v>
      </c>
      <c r="K4" s="67">
        <f>'KONKURENCJA R.O.KOM.'!G234*-1</f>
        <v>0</v>
      </c>
      <c r="L4" s="67">
        <f>'KONKURENCJA R.O.KOM.'!H234*-1</f>
        <v>0</v>
      </c>
      <c r="M4" s="67">
        <f>'KONKURENCJA R.O.KOM.'!I234*-1</f>
        <v>0</v>
      </c>
      <c r="N4" s="67"/>
      <c r="O4" s="67"/>
      <c r="P4" s="67"/>
      <c r="R4" s="67" t="str">
        <f>$B$2</f>
        <v>Cyfrowy Polsat S.A. (Polska)</v>
      </c>
      <c r="S4" s="144">
        <f>B13</f>
        <v>2.692324024654206E-3</v>
      </c>
      <c r="T4" s="144">
        <f>C13</f>
        <v>1.4110007212351791E-3</v>
      </c>
      <c r="U4" s="144">
        <f>D13</f>
        <v>2.0542087029750806E-3</v>
      </c>
    </row>
    <row r="5" spans="1:21" x14ac:dyDescent="0.25">
      <c r="A5" s="53" t="s">
        <v>880</v>
      </c>
      <c r="B5" s="66">
        <f>'CYFROWY POLSAT SA'!B147</f>
        <v>280711014</v>
      </c>
      <c r="C5" s="55" t="str">
        <f>'CYFROWY POLSAT SA'!C147</f>
        <v>460128515</v>
      </c>
      <c r="D5" s="55" t="str">
        <f>'CYFROWY POLSAT SA'!D147</f>
        <v>460128515</v>
      </c>
      <c r="E5" s="55" t="str">
        <f>'KONKURENCJA R.N.TV'!B147</f>
        <v>0</v>
      </c>
      <c r="F5" s="55" t="str">
        <f>'KONKURENCJA R.N.TV'!C147</f>
        <v>0</v>
      </c>
      <c r="G5" s="55" t="str">
        <f>'KONKURENCJA R.N.TV'!D147</f>
        <v>0</v>
      </c>
      <c r="H5" s="55">
        <f>'KONKURENCJA R.O.KOM.'!B147</f>
        <v>1312357479</v>
      </c>
      <c r="I5" s="55">
        <f>'KONKURENCJA R.O.KOM.'!C147</f>
        <v>874904986</v>
      </c>
      <c r="J5" s="55">
        <f>'KONKURENCJA R.O.KOM.'!D147</f>
        <v>874904986</v>
      </c>
      <c r="K5" s="55">
        <f>'KONKURENCJA R.O.KOM.'!E147</f>
        <v>0</v>
      </c>
      <c r="L5" s="55" t="str">
        <f>'KONKURENCJA R.O.KOM.'!F147</f>
        <v> </v>
      </c>
      <c r="M5" s="55" t="str">
        <f>'KONKURENCJA R.O.KOM.'!G147</f>
        <v> </v>
      </c>
      <c r="N5" s="67"/>
      <c r="O5" s="67"/>
      <c r="P5" s="67"/>
      <c r="R5" s="67" t="str">
        <f>$H$2</f>
        <v>Orange Polska S.A. (Polska)</v>
      </c>
      <c r="S5" s="144">
        <f>H13</f>
        <v>6.934086287932833E-5</v>
      </c>
      <c r="T5" s="144">
        <f>I13</f>
        <v>1.1429812562526647E-5</v>
      </c>
      <c r="U5" s="144">
        <f>J13</f>
        <v>-6.8578875375159884E-5</v>
      </c>
    </row>
    <row r="6" spans="1:21" x14ac:dyDescent="0.25">
      <c r="A6" s="53" t="s">
        <v>881</v>
      </c>
      <c r="B6" s="137" t="str">
        <f>'CYFROWY POLSAT SA'!B148</f>
        <v>358835002</v>
      </c>
      <c r="C6" s="55" t="str">
        <f>'CYFROWY POLSAT SA'!C148</f>
        <v>179417501</v>
      </c>
      <c r="D6" s="55" t="str">
        <f>'CYFROWY POLSAT SA'!D148</f>
        <v>179417501</v>
      </c>
      <c r="E6" s="55" t="str">
        <f>'KONKURENCJA R.N.TV'!B148</f>
        <v>0</v>
      </c>
      <c r="F6" s="55" t="str">
        <f>'KONKURENCJA R.N.TV'!C148</f>
        <v>0</v>
      </c>
      <c r="G6" s="55" t="str">
        <f>'KONKURENCJA R.N.TV'!D148</f>
        <v>0</v>
      </c>
      <c r="H6" s="55">
        <f>'KONKURENCJA R.O.KOM.'!B148</f>
        <v>0</v>
      </c>
      <c r="I6" s="55">
        <f>'KONKURENCJA R.O.KOM.'!C148</f>
        <v>437452493</v>
      </c>
      <c r="J6" s="55">
        <f>'KONKURENCJA R.O.KOM.'!D148</f>
        <v>437452493</v>
      </c>
      <c r="K6" s="55">
        <f>'KONKURENCJA R.O.KOM.'!E148</f>
        <v>0</v>
      </c>
      <c r="L6" s="55" t="str">
        <f>'KONKURENCJA R.O.KOM.'!F148</f>
        <v> </v>
      </c>
      <c r="M6" s="55" t="str">
        <f>'KONKURENCJA R.O.KOM.'!G148</f>
        <v> </v>
      </c>
      <c r="N6" s="67"/>
      <c r="O6" s="67"/>
      <c r="P6" s="67"/>
      <c r="R6" s="67" t="s">
        <v>298</v>
      </c>
      <c r="S6" s="144">
        <f>MEDIAN(S4,S5)</f>
        <v>1.3808324437667671E-3</v>
      </c>
      <c r="T6" s="144">
        <f t="shared" ref="T6:U6" si="0">MEDIAN(T4,T5)</f>
        <v>7.1121526689885291E-4</v>
      </c>
      <c r="U6" s="144">
        <f t="shared" si="0"/>
        <v>9.9281491379996046E-4</v>
      </c>
    </row>
    <row r="7" spans="1:21" x14ac:dyDescent="0.25">
      <c r="A7" s="53" t="s">
        <v>883</v>
      </c>
      <c r="B7" s="55">
        <f>B6+B5</f>
        <v>639546016</v>
      </c>
      <c r="C7" s="55">
        <f t="shared" ref="C7:D7" si="1">C6+C5</f>
        <v>639546016</v>
      </c>
      <c r="D7" s="55">
        <f t="shared" si="1"/>
        <v>639546016</v>
      </c>
      <c r="E7" s="55">
        <f t="shared" ref="E7" si="2">E6+E5</f>
        <v>0</v>
      </c>
      <c r="F7" s="55">
        <f t="shared" ref="F7" si="3">F6+F5</f>
        <v>0</v>
      </c>
      <c r="G7" s="55">
        <f t="shared" ref="G7" si="4">G6+G5</f>
        <v>0</v>
      </c>
      <c r="H7" s="55">
        <f>H5+H6</f>
        <v>1312357479</v>
      </c>
      <c r="I7" s="55">
        <f t="shared" ref="I7:J7" si="5">I5+I6</f>
        <v>1312357479</v>
      </c>
      <c r="J7" s="55">
        <f t="shared" si="5"/>
        <v>1312357479</v>
      </c>
      <c r="K7" s="55">
        <f t="shared" ref="K7" si="6">K6+K5</f>
        <v>0</v>
      </c>
      <c r="L7" s="55" t="e">
        <f t="shared" ref="L7" si="7">L6+L5</f>
        <v>#VALUE!</v>
      </c>
      <c r="M7" s="55" t="e">
        <f t="shared" ref="M7" si="8">M6+M5</f>
        <v>#VALUE!</v>
      </c>
      <c r="N7" s="67"/>
      <c r="O7" s="67"/>
      <c r="P7" s="67"/>
      <c r="R7" s="30" t="str">
        <f>A17</f>
        <v>ZYSK NA 1 AKCJĘ (w zł)</v>
      </c>
      <c r="S7" s="33">
        <v>2019</v>
      </c>
      <c r="T7" s="33">
        <v>2018</v>
      </c>
      <c r="U7" s="33">
        <v>2017</v>
      </c>
    </row>
    <row r="8" spans="1:21" x14ac:dyDescent="0.25">
      <c r="A8" s="53" t="s">
        <v>310</v>
      </c>
      <c r="B8" s="67">
        <f>'CYFROWY POLSAT SA'!B62</f>
        <v>1114600</v>
      </c>
      <c r="C8" s="67">
        <f>'CYFROWY POLSAT SA'!C62</f>
        <v>816100</v>
      </c>
      <c r="D8" s="67">
        <f>'CYFROWY POLSAT SA'!D62</f>
        <v>945200</v>
      </c>
      <c r="E8" s="55">
        <f>'KONKURENCJA R.N.TV'!B62</f>
        <v>89071.43</v>
      </c>
      <c r="F8" s="55">
        <f>'KONKURENCJA R.N.TV'!C62</f>
        <v>3492.65</v>
      </c>
      <c r="G8" s="55">
        <f>'KONKURENCJA R.N.TV'!D62</f>
        <v>563.79999999999995</v>
      </c>
      <c r="H8" s="55">
        <f>'KONKURENCJA R.O.KOM.'!B62</f>
        <v>91000</v>
      </c>
      <c r="I8" s="55">
        <f>'KONKURENCJA R.O.KOM.'!C62</f>
        <v>10000</v>
      </c>
      <c r="J8" s="55">
        <f>'KONKURENCJA R.O.KOM.'!D62</f>
        <v>-60000</v>
      </c>
      <c r="K8" s="55">
        <f>'KONKURENCJA R.O.KOM.'!E62</f>
        <v>866937</v>
      </c>
      <c r="L8" s="55">
        <f>'KONKURENCJA R.O.KOM.'!F62</f>
        <v>744604</v>
      </c>
      <c r="M8" s="55">
        <f>'KONKURENCJA R.O.KOM.'!G62</f>
        <v>387346</v>
      </c>
      <c r="N8" s="67"/>
      <c r="O8" s="67"/>
      <c r="P8" s="67"/>
      <c r="R8" s="67" t="str">
        <f>$B$2</f>
        <v>Cyfrowy Polsat S.A. (Polska)</v>
      </c>
      <c r="S8" s="55">
        <f>B17</f>
        <v>1.7427987542963603</v>
      </c>
      <c r="T8" s="55">
        <f>C17</f>
        <v>1.2760614241712358</v>
      </c>
      <c r="U8" s="55">
        <f>D17</f>
        <v>1.4779233649389194</v>
      </c>
    </row>
    <row r="9" spans="1:21" x14ac:dyDescent="0.25">
      <c r="A9" s="53" t="s">
        <v>895</v>
      </c>
      <c r="B9" s="67">
        <v>26.99</v>
      </c>
      <c r="C9" s="67">
        <v>23.48</v>
      </c>
      <c r="D9" s="67">
        <v>25.08</v>
      </c>
      <c r="E9" s="55"/>
      <c r="F9" s="55"/>
      <c r="G9" s="55"/>
      <c r="H9" s="55">
        <v>6.12</v>
      </c>
      <c r="I9" s="55">
        <v>4.92</v>
      </c>
      <c r="J9" s="55">
        <v>5.21</v>
      </c>
      <c r="K9" s="55"/>
      <c r="L9" s="55"/>
      <c r="M9" s="55"/>
      <c r="N9" s="67"/>
      <c r="O9" s="67"/>
      <c r="P9" s="67"/>
      <c r="R9" s="67" t="str">
        <f>$H$2</f>
        <v>Orange Polska S.A. (Polska)</v>
      </c>
      <c r="S9" s="55">
        <f>H17</f>
        <v>6.9340862879328335E-2</v>
      </c>
      <c r="T9" s="55">
        <f>I17</f>
        <v>7.6198750416844319E-3</v>
      </c>
      <c r="U9" s="55">
        <f>J17</f>
        <v>-4.5719250250106584E-2</v>
      </c>
    </row>
    <row r="10" spans="1:21" x14ac:dyDescent="0.25">
      <c r="A10" s="53" t="s">
        <v>884</v>
      </c>
      <c r="B10" s="141">
        <v>639546</v>
      </c>
      <c r="C10" s="141">
        <v>594778</v>
      </c>
      <c r="D10" s="67">
        <v>0</v>
      </c>
      <c r="E10" s="55"/>
      <c r="F10" s="55"/>
      <c r="G10" s="55"/>
      <c r="H10" s="55">
        <v>0</v>
      </c>
      <c r="I10" s="55">
        <v>0</v>
      </c>
      <c r="J10" s="55">
        <v>0</v>
      </c>
      <c r="K10" s="55"/>
      <c r="L10" s="55"/>
      <c r="M10" s="55"/>
      <c r="N10" s="67"/>
      <c r="O10" s="67"/>
      <c r="P10" s="67"/>
      <c r="R10" s="67" t="s">
        <v>298</v>
      </c>
      <c r="S10" s="55">
        <f>MEDIAN(S8,S9)</f>
        <v>0.90606980858784425</v>
      </c>
      <c r="T10" s="55">
        <f t="shared" ref="T10:U10" si="9">MEDIAN(T8,T9)</f>
        <v>0.64184064960646015</v>
      </c>
      <c r="U10" s="55">
        <f t="shared" si="9"/>
        <v>0.71610205734440635</v>
      </c>
    </row>
    <row r="11" spans="1:21" x14ac:dyDescent="0.25">
      <c r="A11" s="53" t="s">
        <v>886</v>
      </c>
      <c r="B11" s="67">
        <v>1</v>
      </c>
      <c r="C11" s="67">
        <v>0.9</v>
      </c>
      <c r="D11" s="67"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67"/>
      <c r="O11" s="67"/>
      <c r="P11" s="67"/>
      <c r="R11" s="30" t="str">
        <f>A20</f>
        <v>DYWIDENDA NA 1 AKCJĘ (w zł)</v>
      </c>
      <c r="S11" s="33">
        <v>2019</v>
      </c>
      <c r="T11" s="33">
        <v>2018</v>
      </c>
      <c r="U11" s="33">
        <v>2017</v>
      </c>
    </row>
    <row r="12" spans="1:21" x14ac:dyDescent="0.25">
      <c r="A12" s="53"/>
      <c r="B12" s="67"/>
      <c r="C12" s="67"/>
      <c r="D12" s="67"/>
      <c r="E12" s="55"/>
      <c r="F12" s="55"/>
      <c r="G12" s="55"/>
      <c r="H12" s="55"/>
      <c r="I12" s="55"/>
      <c r="J12" s="55"/>
      <c r="K12" s="55"/>
      <c r="L12" s="55"/>
      <c r="M12" s="55"/>
      <c r="N12" s="67"/>
      <c r="O12" s="67"/>
      <c r="P12" s="67"/>
      <c r="R12" s="67" t="str">
        <f>$B$2</f>
        <v>Cyfrowy Polsat S.A. (Polska)</v>
      </c>
      <c r="S12" s="55">
        <f>B20</f>
        <v>0.99999997498225368</v>
      </c>
      <c r="T12" s="55">
        <f>C20</f>
        <v>0.93000032072750805</v>
      </c>
      <c r="U12" s="55">
        <f>D20</f>
        <v>0</v>
      </c>
    </row>
    <row r="13" spans="1:21" x14ac:dyDescent="0.25">
      <c r="A13" s="30" t="s">
        <v>875</v>
      </c>
      <c r="B13" s="140">
        <f>(B14-B15)/B16</f>
        <v>2.692324024654206E-3</v>
      </c>
      <c r="C13" s="140">
        <f t="shared" ref="C13:D13" si="10">(C14-C15)/C16</f>
        <v>1.4110007212351791E-3</v>
      </c>
      <c r="D13" s="140">
        <f t="shared" si="10"/>
        <v>2.0542087029750806E-3</v>
      </c>
      <c r="E13" s="140" t="e">
        <f t="shared" ref="E13" si="11">(E14-E15)/E16</f>
        <v>#DIV/0!</v>
      </c>
      <c r="F13" s="140" t="e">
        <f t="shared" ref="F13" si="12">(F14-F15)/F16</f>
        <v>#DIV/0!</v>
      </c>
      <c r="G13" s="140" t="e">
        <f t="shared" ref="G13" si="13">(G14-G15)/G16</f>
        <v>#DIV/0!</v>
      </c>
      <c r="H13" s="140">
        <f t="shared" ref="H13" si="14">(H14-H15)/H16</f>
        <v>6.934086287932833E-5</v>
      </c>
      <c r="I13" s="140">
        <f t="shared" ref="I13" si="15">(I14-I15)/I16</f>
        <v>1.1429812562526647E-5</v>
      </c>
      <c r="J13" s="140">
        <f t="shared" ref="J13" si="16">(J14-J15)/J16</f>
        <v>-6.8578875375159884E-5</v>
      </c>
      <c r="K13" s="55"/>
      <c r="L13" s="55"/>
      <c r="M13" s="55"/>
      <c r="N13" s="67"/>
      <c r="O13" s="67"/>
      <c r="P13" s="67"/>
      <c r="R13" s="67" t="str">
        <f>$H$2</f>
        <v>Orange Polska S.A. (Polska)</v>
      </c>
      <c r="S13" s="55">
        <f>H20</f>
        <v>0</v>
      </c>
      <c r="T13" s="55">
        <f>I20</f>
        <v>0</v>
      </c>
      <c r="U13" s="55">
        <f>J20</f>
        <v>0</v>
      </c>
    </row>
    <row r="14" spans="1:21" x14ac:dyDescent="0.25">
      <c r="A14" s="53" t="str">
        <f>A8</f>
        <v>zysk netto</v>
      </c>
      <c r="B14" s="53">
        <f t="shared" ref="B14:J14" si="17">B8</f>
        <v>1114600</v>
      </c>
      <c r="C14" s="53">
        <f t="shared" si="17"/>
        <v>816100</v>
      </c>
      <c r="D14" s="53">
        <f t="shared" si="17"/>
        <v>945200</v>
      </c>
      <c r="E14" s="53">
        <f t="shared" si="17"/>
        <v>89071.43</v>
      </c>
      <c r="F14" s="53">
        <f t="shared" si="17"/>
        <v>3492.65</v>
      </c>
      <c r="G14" s="53">
        <f t="shared" si="17"/>
        <v>563.79999999999995</v>
      </c>
      <c r="H14" s="53">
        <f t="shared" si="17"/>
        <v>91000</v>
      </c>
      <c r="I14" s="53">
        <f t="shared" si="17"/>
        <v>10000</v>
      </c>
      <c r="J14" s="53">
        <f t="shared" si="17"/>
        <v>-60000</v>
      </c>
      <c r="K14" s="55"/>
      <c r="L14" s="55"/>
      <c r="M14" s="55"/>
      <c r="N14" s="67"/>
      <c r="O14" s="67"/>
      <c r="P14" s="67"/>
      <c r="R14" s="67" t="s">
        <v>298</v>
      </c>
      <c r="S14" s="55">
        <f>MEDIAN(S12,S13)</f>
        <v>0.49999998749112684</v>
      </c>
      <c r="T14" s="55">
        <f t="shared" ref="T14:U14" si="18">MEDIAN(T12,T13)</f>
        <v>0.46500016036375402</v>
      </c>
      <c r="U14" s="55">
        <f t="shared" si="18"/>
        <v>0</v>
      </c>
    </row>
    <row r="15" spans="1:21" x14ac:dyDescent="0.25">
      <c r="A15" s="53" t="s">
        <v>885</v>
      </c>
      <c r="B15" s="66">
        <f>B10/B7*B6</f>
        <v>358834.99302275694</v>
      </c>
      <c r="C15" s="66">
        <f>C10/C7*C6</f>
        <v>166858.33347412801</v>
      </c>
      <c r="D15" s="138">
        <f>D10/D7*D6</f>
        <v>0</v>
      </c>
      <c r="E15" s="138" t="e">
        <f t="shared" ref="E15:J15" si="19">E10/E7*E6</f>
        <v>#DIV/0!</v>
      </c>
      <c r="F15" s="138" t="e">
        <f t="shared" si="19"/>
        <v>#DIV/0!</v>
      </c>
      <c r="G15" s="138" t="e">
        <f t="shared" si="19"/>
        <v>#DIV/0!</v>
      </c>
      <c r="H15" s="138">
        <f t="shared" si="19"/>
        <v>0</v>
      </c>
      <c r="I15" s="138">
        <f t="shared" si="19"/>
        <v>0</v>
      </c>
      <c r="J15" s="138">
        <f t="shared" si="19"/>
        <v>0</v>
      </c>
      <c r="K15" s="55"/>
      <c r="L15" s="55"/>
      <c r="M15" s="55"/>
      <c r="N15" s="67"/>
      <c r="O15" s="67"/>
      <c r="P15" s="67"/>
      <c r="R15" s="30" t="str">
        <f>A23</f>
        <v>STOPA WYPŁATY DYWIDENDY</v>
      </c>
      <c r="S15" s="33">
        <v>2019</v>
      </c>
      <c r="T15" s="33">
        <v>2018</v>
      </c>
      <c r="U15" s="33">
        <v>2017</v>
      </c>
    </row>
    <row r="16" spans="1:21" x14ac:dyDescent="0.25">
      <c r="A16" s="53" t="str">
        <f>A5</f>
        <v>liczba akcji zwykłych</v>
      </c>
      <c r="B16" s="53">
        <f t="shared" ref="B16:J16" si="20">B5</f>
        <v>280711014</v>
      </c>
      <c r="C16" s="53" t="str">
        <f t="shared" si="20"/>
        <v>460128515</v>
      </c>
      <c r="D16" s="53" t="str">
        <f t="shared" si="20"/>
        <v>460128515</v>
      </c>
      <c r="E16" s="53" t="str">
        <f t="shared" si="20"/>
        <v>0</v>
      </c>
      <c r="F16" s="53" t="str">
        <f t="shared" si="20"/>
        <v>0</v>
      </c>
      <c r="G16" s="53" t="str">
        <f t="shared" si="20"/>
        <v>0</v>
      </c>
      <c r="H16" s="53">
        <f t="shared" si="20"/>
        <v>1312357479</v>
      </c>
      <c r="I16" s="53">
        <f t="shared" si="20"/>
        <v>874904986</v>
      </c>
      <c r="J16" s="53">
        <f t="shared" si="20"/>
        <v>874904986</v>
      </c>
      <c r="K16" s="55"/>
      <c r="L16" s="55"/>
      <c r="M16" s="55"/>
      <c r="N16" s="67"/>
      <c r="O16" s="67"/>
      <c r="P16" s="67"/>
      <c r="R16" s="67" t="str">
        <f>$B$2</f>
        <v>Cyfrowy Polsat S.A. (Polska)</v>
      </c>
      <c r="S16" s="60">
        <f>B23</f>
        <v>0.57378970034092946</v>
      </c>
      <c r="T16" s="60">
        <f>C23</f>
        <v>0.72880529346893763</v>
      </c>
      <c r="U16" s="60">
        <f>D23</f>
        <v>0</v>
      </c>
    </row>
    <row r="17" spans="1:21" s="67" customFormat="1" x14ac:dyDescent="0.25">
      <c r="A17" s="30" t="s">
        <v>891</v>
      </c>
      <c r="B17" s="58">
        <f>B18/B19*1000</f>
        <v>1.7427987542963603</v>
      </c>
      <c r="C17" s="58">
        <f t="shared" ref="C17:D17" si="21">C18/C19*1000</f>
        <v>1.2760614241712358</v>
      </c>
      <c r="D17" s="58">
        <f t="shared" si="21"/>
        <v>1.4779233649389194</v>
      </c>
      <c r="E17" s="58" t="e">
        <f t="shared" ref="E17" si="22">E18/E19*1000</f>
        <v>#DIV/0!</v>
      </c>
      <c r="F17" s="58" t="e">
        <f t="shared" ref="F17" si="23">F18/F19*1000</f>
        <v>#DIV/0!</v>
      </c>
      <c r="G17" s="58" t="e">
        <f t="shared" ref="G17" si="24">G18/G19*1000</f>
        <v>#DIV/0!</v>
      </c>
      <c r="H17" s="58">
        <f t="shared" ref="H17" si="25">H18/H19*1000</f>
        <v>6.9340862879328335E-2</v>
      </c>
      <c r="I17" s="58">
        <f t="shared" ref="I17" si="26">I18/I19*1000</f>
        <v>7.6198750416844319E-3</v>
      </c>
      <c r="J17" s="58">
        <f t="shared" ref="J17" si="27">J18/J19*1000</f>
        <v>-4.5719250250106584E-2</v>
      </c>
      <c r="K17" s="55"/>
      <c r="L17" s="55"/>
      <c r="M17" s="55"/>
      <c r="R17" s="67" t="str">
        <f>$H$2</f>
        <v>Orange Polska S.A. (Polska)</v>
      </c>
      <c r="S17" s="60">
        <f>H23</f>
        <v>0</v>
      </c>
      <c r="T17" s="60">
        <f>I23</f>
        <v>0</v>
      </c>
      <c r="U17" s="60">
        <f>J23</f>
        <v>0</v>
      </c>
    </row>
    <row r="18" spans="1:21" s="67" customFormat="1" x14ac:dyDescent="0.25">
      <c r="A18" s="53" t="str">
        <f>A8</f>
        <v>zysk netto</v>
      </c>
      <c r="B18" s="53">
        <f t="shared" ref="B18:J18" si="28">B8</f>
        <v>1114600</v>
      </c>
      <c r="C18" s="53">
        <f t="shared" si="28"/>
        <v>816100</v>
      </c>
      <c r="D18" s="53">
        <f t="shared" si="28"/>
        <v>945200</v>
      </c>
      <c r="E18" s="53">
        <f t="shared" si="28"/>
        <v>89071.43</v>
      </c>
      <c r="F18" s="53">
        <f t="shared" si="28"/>
        <v>3492.65</v>
      </c>
      <c r="G18" s="53">
        <f t="shared" si="28"/>
        <v>563.79999999999995</v>
      </c>
      <c r="H18" s="53">
        <f t="shared" si="28"/>
        <v>91000</v>
      </c>
      <c r="I18" s="53">
        <f t="shared" si="28"/>
        <v>10000</v>
      </c>
      <c r="J18" s="53">
        <f t="shared" si="28"/>
        <v>-60000</v>
      </c>
      <c r="K18" s="55"/>
      <c r="L18" s="55"/>
      <c r="M18" s="55"/>
      <c r="R18" s="67" t="s">
        <v>298</v>
      </c>
      <c r="S18" s="60">
        <f>MEDIAN(S16,S17)</f>
        <v>0.28689485017046473</v>
      </c>
      <c r="T18" s="60">
        <f t="shared" ref="T18:U18" si="29">MEDIAN(T16,T17)</f>
        <v>0.36440264673446882</v>
      </c>
      <c r="U18" s="60">
        <f t="shared" si="29"/>
        <v>0</v>
      </c>
    </row>
    <row r="19" spans="1:21" s="67" customFormat="1" x14ac:dyDescent="0.25">
      <c r="A19" s="53" t="str">
        <f>A7</f>
        <v>liczba wyemitowanych akcji ogółem</v>
      </c>
      <c r="B19" s="53">
        <f t="shared" ref="B19:J19" si="30">B7</f>
        <v>639546016</v>
      </c>
      <c r="C19" s="53">
        <f t="shared" si="30"/>
        <v>639546016</v>
      </c>
      <c r="D19" s="53">
        <f t="shared" si="30"/>
        <v>639546016</v>
      </c>
      <c r="E19" s="53">
        <f t="shared" si="30"/>
        <v>0</v>
      </c>
      <c r="F19" s="53">
        <f t="shared" si="30"/>
        <v>0</v>
      </c>
      <c r="G19" s="53">
        <f t="shared" si="30"/>
        <v>0</v>
      </c>
      <c r="H19" s="53">
        <f t="shared" si="30"/>
        <v>1312357479</v>
      </c>
      <c r="I19" s="53">
        <f t="shared" si="30"/>
        <v>1312357479</v>
      </c>
      <c r="J19" s="53">
        <f t="shared" si="30"/>
        <v>1312357479</v>
      </c>
      <c r="K19" s="55"/>
      <c r="L19" s="55"/>
      <c r="M19" s="55"/>
      <c r="R19" s="30" t="str">
        <f>A26</f>
        <v>RYNKOWA STOPA DYWIDENDY</v>
      </c>
      <c r="S19" s="33">
        <v>2019</v>
      </c>
      <c r="T19" s="33">
        <v>2018</v>
      </c>
      <c r="U19" s="33">
        <v>2017</v>
      </c>
    </row>
    <row r="20" spans="1:21" x14ac:dyDescent="0.25">
      <c r="A20" s="30" t="s">
        <v>887</v>
      </c>
      <c r="B20" s="142">
        <f>B21/B22*1000</f>
        <v>0.99999997498225368</v>
      </c>
      <c r="C20" s="142">
        <f t="shared" ref="C20:D20" si="31">C21/C22*1000</f>
        <v>0.93000032072750805</v>
      </c>
      <c r="D20" s="30">
        <f t="shared" si="31"/>
        <v>0</v>
      </c>
      <c r="E20" s="30" t="e">
        <f t="shared" ref="E20" si="32">E21/E22*1000</f>
        <v>#DIV/0!</v>
      </c>
      <c r="F20" s="30" t="e">
        <f t="shared" ref="F20" si="33">F21/F22*1000</f>
        <v>#DIV/0!</v>
      </c>
      <c r="G20" s="30" t="e">
        <f t="shared" ref="G20" si="34">G21/G22*1000</f>
        <v>#DIV/0!</v>
      </c>
      <c r="H20" s="30">
        <f t="shared" ref="H20" si="35">H21/H22*1000</f>
        <v>0</v>
      </c>
      <c r="I20" s="30">
        <f t="shared" ref="I20" si="36">I21/I22*1000</f>
        <v>0</v>
      </c>
      <c r="J20" s="30">
        <f t="shared" ref="J20" si="37">J21/J22*1000</f>
        <v>0</v>
      </c>
      <c r="K20" s="67"/>
      <c r="L20" s="67"/>
      <c r="M20" s="67"/>
      <c r="N20" s="67"/>
      <c r="O20" s="67"/>
      <c r="P20" s="67"/>
      <c r="R20" s="67" t="str">
        <f>$B$2</f>
        <v>Cyfrowy Polsat S.A. (Polska)</v>
      </c>
      <c r="S20" s="55">
        <f>B26</f>
        <v>23695.665061133754</v>
      </c>
      <c r="T20" s="55">
        <f>C26</f>
        <v>25331.260647359453</v>
      </c>
      <c r="U20" s="55">
        <f>D26</f>
        <v>0</v>
      </c>
    </row>
    <row r="21" spans="1:21" x14ac:dyDescent="0.25">
      <c r="A21" s="63" t="str">
        <f>A10</f>
        <v>dywidendy ogółem</v>
      </c>
      <c r="B21" s="63">
        <f t="shared" ref="B21:J21" si="38">B10</f>
        <v>639546</v>
      </c>
      <c r="C21" s="63">
        <f t="shared" si="38"/>
        <v>594778</v>
      </c>
      <c r="D21" s="63">
        <f t="shared" si="38"/>
        <v>0</v>
      </c>
      <c r="E21" s="63">
        <f t="shared" si="38"/>
        <v>0</v>
      </c>
      <c r="F21" s="63">
        <f t="shared" si="38"/>
        <v>0</v>
      </c>
      <c r="G21" s="63">
        <f t="shared" si="38"/>
        <v>0</v>
      </c>
      <c r="H21" s="63">
        <f t="shared" si="38"/>
        <v>0</v>
      </c>
      <c r="I21" s="63">
        <f t="shared" si="38"/>
        <v>0</v>
      </c>
      <c r="J21" s="63">
        <f t="shared" si="38"/>
        <v>0</v>
      </c>
      <c r="K21" s="67"/>
      <c r="L21" s="67"/>
      <c r="M21" s="67"/>
      <c r="N21" s="67"/>
      <c r="O21" s="67"/>
      <c r="P21" s="67"/>
      <c r="R21" s="67" t="str">
        <f>$H$2</f>
        <v>Orange Polska S.A. (Polska)</v>
      </c>
      <c r="S21" s="55">
        <f>H26</f>
        <v>0</v>
      </c>
      <c r="T21" s="55">
        <f>I26</f>
        <v>0</v>
      </c>
      <c r="U21" s="55">
        <f>J26</f>
        <v>0</v>
      </c>
    </row>
    <row r="22" spans="1:21" x14ac:dyDescent="0.25">
      <c r="A22" s="63" t="str">
        <f>A7</f>
        <v>liczba wyemitowanych akcji ogółem</v>
      </c>
      <c r="B22" s="63">
        <f t="shared" ref="B22:J22" si="39">B7</f>
        <v>639546016</v>
      </c>
      <c r="C22" s="63">
        <f t="shared" si="39"/>
        <v>639546016</v>
      </c>
      <c r="D22" s="63">
        <f t="shared" si="39"/>
        <v>639546016</v>
      </c>
      <c r="E22" s="63">
        <f t="shared" si="39"/>
        <v>0</v>
      </c>
      <c r="F22" s="63">
        <f t="shared" si="39"/>
        <v>0</v>
      </c>
      <c r="G22" s="63">
        <f t="shared" si="39"/>
        <v>0</v>
      </c>
      <c r="H22" s="63">
        <f t="shared" si="39"/>
        <v>1312357479</v>
      </c>
      <c r="I22" s="63">
        <f t="shared" si="39"/>
        <v>1312357479</v>
      </c>
      <c r="J22" s="63">
        <f t="shared" si="39"/>
        <v>1312357479</v>
      </c>
      <c r="K22" s="67"/>
      <c r="L22" s="67"/>
      <c r="M22" s="67"/>
      <c r="N22" s="67"/>
      <c r="O22" s="67"/>
      <c r="P22" s="67"/>
      <c r="R22" s="67" t="s">
        <v>298</v>
      </c>
      <c r="S22" s="55">
        <f>MEDIAN(S20,S21)</f>
        <v>11847.832530566877</v>
      </c>
      <c r="T22" s="55">
        <f t="shared" ref="T22:U22" si="40">MEDIAN(T20,T21)</f>
        <v>12665.630323679727</v>
      </c>
      <c r="U22" s="55">
        <f t="shared" si="40"/>
        <v>0</v>
      </c>
    </row>
    <row r="23" spans="1:21" x14ac:dyDescent="0.25">
      <c r="A23" s="30" t="s">
        <v>888</v>
      </c>
      <c r="B23" s="59">
        <f>B24/B25</f>
        <v>0.57378970034092946</v>
      </c>
      <c r="C23" s="59">
        <f t="shared" ref="C23:D23" si="41">C24/C25</f>
        <v>0.72880529346893763</v>
      </c>
      <c r="D23" s="59">
        <f t="shared" si="41"/>
        <v>0</v>
      </c>
      <c r="E23" s="59" t="e">
        <f t="shared" ref="E23" si="42">E24/E25</f>
        <v>#DIV/0!</v>
      </c>
      <c r="F23" s="59" t="e">
        <f t="shared" ref="F23" si="43">F24/F25</f>
        <v>#DIV/0!</v>
      </c>
      <c r="G23" s="59" t="e">
        <f t="shared" ref="G23" si="44">G24/G25</f>
        <v>#DIV/0!</v>
      </c>
      <c r="H23" s="59">
        <f t="shared" ref="H23" si="45">H24/H25</f>
        <v>0</v>
      </c>
      <c r="I23" s="59">
        <f t="shared" ref="I23" si="46">I24/I25</f>
        <v>0</v>
      </c>
      <c r="J23" s="59">
        <f t="shared" ref="J23" si="47">J24/J25</f>
        <v>0</v>
      </c>
      <c r="K23" s="67"/>
      <c r="L23" s="67"/>
      <c r="M23" s="67"/>
      <c r="N23" s="67"/>
      <c r="O23" s="67"/>
      <c r="P23" s="67"/>
      <c r="R23" s="30" t="str">
        <f>A29</f>
        <v>WARTOŚĆ GIEŁDOWA SPÓŁKI</v>
      </c>
      <c r="S23" s="33">
        <v>2019</v>
      </c>
      <c r="T23" s="33">
        <v>2018</v>
      </c>
      <c r="U23" s="33">
        <v>2017</v>
      </c>
    </row>
    <row r="24" spans="1:21" x14ac:dyDescent="0.25">
      <c r="A24" s="63" t="s">
        <v>889</v>
      </c>
      <c r="B24" s="139">
        <f>B20</f>
        <v>0.99999997498225368</v>
      </c>
      <c r="C24" s="139">
        <f t="shared" ref="C24:J24" si="48">C20</f>
        <v>0.93000032072750805</v>
      </c>
      <c r="D24" s="139">
        <f t="shared" si="48"/>
        <v>0</v>
      </c>
      <c r="E24" s="139" t="e">
        <f t="shared" si="48"/>
        <v>#DIV/0!</v>
      </c>
      <c r="F24" s="139" t="e">
        <f t="shared" si="48"/>
        <v>#DIV/0!</v>
      </c>
      <c r="G24" s="139" t="e">
        <f t="shared" si="48"/>
        <v>#DIV/0!</v>
      </c>
      <c r="H24" s="139">
        <f t="shared" si="48"/>
        <v>0</v>
      </c>
      <c r="I24" s="139">
        <f t="shared" si="48"/>
        <v>0</v>
      </c>
      <c r="J24" s="139">
        <f t="shared" si="48"/>
        <v>0</v>
      </c>
      <c r="K24" s="67"/>
      <c r="L24" s="67"/>
      <c r="M24" s="67"/>
      <c r="N24" s="67"/>
      <c r="O24" s="67"/>
      <c r="P24" s="67"/>
      <c r="R24" s="67" t="str">
        <f>$B$2</f>
        <v>Cyfrowy Polsat S.A. (Polska)</v>
      </c>
      <c r="S24" s="66">
        <f>B29</f>
        <v>17261346971.84</v>
      </c>
      <c r="T24" s="66">
        <f>C29</f>
        <v>15016540455.68</v>
      </c>
      <c r="U24" s="66">
        <f>D29</f>
        <v>16039814081.279999</v>
      </c>
    </row>
    <row r="25" spans="1:21" x14ac:dyDescent="0.25">
      <c r="A25" s="63" t="s">
        <v>890</v>
      </c>
      <c r="B25" s="55">
        <f>B17</f>
        <v>1.7427987542963603</v>
      </c>
      <c r="C25" s="55">
        <f t="shared" ref="C25:J25" si="49">C17</f>
        <v>1.2760614241712358</v>
      </c>
      <c r="D25" s="55">
        <f t="shared" si="49"/>
        <v>1.4779233649389194</v>
      </c>
      <c r="E25" s="55" t="e">
        <f t="shared" si="49"/>
        <v>#DIV/0!</v>
      </c>
      <c r="F25" s="55" t="e">
        <f t="shared" si="49"/>
        <v>#DIV/0!</v>
      </c>
      <c r="G25" s="55" t="e">
        <f t="shared" si="49"/>
        <v>#DIV/0!</v>
      </c>
      <c r="H25" s="55">
        <f t="shared" si="49"/>
        <v>6.9340862879328335E-2</v>
      </c>
      <c r="I25" s="55">
        <f t="shared" si="49"/>
        <v>7.6198750416844319E-3</v>
      </c>
      <c r="J25" s="55">
        <f t="shared" si="49"/>
        <v>-4.5719250250106584E-2</v>
      </c>
      <c r="K25" s="67"/>
      <c r="L25" s="67"/>
      <c r="M25" s="67"/>
      <c r="N25" s="67"/>
      <c r="O25" s="67"/>
      <c r="P25" s="67"/>
      <c r="R25" s="67" t="str">
        <f>$H$2</f>
        <v>Orange Polska S.A. (Polska)</v>
      </c>
      <c r="S25" s="66">
        <f>H29</f>
        <v>8031627771.4800005</v>
      </c>
      <c r="T25" s="66">
        <f>I29</f>
        <v>6456798796.6800003</v>
      </c>
      <c r="U25" s="66">
        <f>J29</f>
        <v>6837382465.5900002</v>
      </c>
    </row>
    <row r="26" spans="1:21" x14ac:dyDescent="0.25">
      <c r="A26" s="30" t="s">
        <v>892</v>
      </c>
      <c r="B26" s="58">
        <f>B27/B28</f>
        <v>23695.665061133754</v>
      </c>
      <c r="C26" s="58">
        <f t="shared" ref="C26:D26" si="50">C27/C28</f>
        <v>25331.260647359453</v>
      </c>
      <c r="D26" s="58">
        <f t="shared" si="50"/>
        <v>0</v>
      </c>
      <c r="E26" s="58" t="e">
        <f t="shared" ref="E26" si="51">E27/E28</f>
        <v>#DIV/0!</v>
      </c>
      <c r="F26" s="58" t="e">
        <f t="shared" ref="F26" si="52">F27/F28</f>
        <v>#DIV/0!</v>
      </c>
      <c r="G26" s="58" t="e">
        <f t="shared" ref="G26" si="53">G27/G28</f>
        <v>#DIV/0!</v>
      </c>
      <c r="H26" s="58">
        <f t="shared" ref="H26" si="54">H27/H28</f>
        <v>0</v>
      </c>
      <c r="I26" s="58">
        <f t="shared" ref="I26" si="55">I27/I28</f>
        <v>0</v>
      </c>
      <c r="J26" s="58">
        <f t="shared" ref="J26" si="56">J27/J28</f>
        <v>0</v>
      </c>
      <c r="K26" s="67"/>
      <c r="L26" s="67"/>
      <c r="M26" s="67"/>
      <c r="N26" s="67"/>
      <c r="O26" s="67"/>
      <c r="P26" s="67"/>
      <c r="R26" s="67" t="s">
        <v>298</v>
      </c>
      <c r="S26" s="66">
        <f>MEDIAN(S24,S25)</f>
        <v>12646487371.66</v>
      </c>
      <c r="T26" s="66">
        <f t="shared" ref="T26:U26" si="57">MEDIAN(T24,T25)</f>
        <v>10736669626.18</v>
      </c>
      <c r="U26" s="66">
        <f t="shared" si="57"/>
        <v>11438598273.434999</v>
      </c>
    </row>
    <row r="27" spans="1:21" x14ac:dyDescent="0.25">
      <c r="A27" t="str">
        <f>A10</f>
        <v>dywidendy ogółem</v>
      </c>
      <c r="B27" s="67">
        <f t="shared" ref="B27:J27" si="58">B10</f>
        <v>639546</v>
      </c>
      <c r="C27" s="67">
        <f t="shared" si="58"/>
        <v>594778</v>
      </c>
      <c r="D27" s="67">
        <f t="shared" si="58"/>
        <v>0</v>
      </c>
      <c r="E27" s="67">
        <f t="shared" si="58"/>
        <v>0</v>
      </c>
      <c r="F27" s="67">
        <f t="shared" si="58"/>
        <v>0</v>
      </c>
      <c r="G27" s="67">
        <f t="shared" si="58"/>
        <v>0</v>
      </c>
      <c r="H27" s="67">
        <f t="shared" si="58"/>
        <v>0</v>
      </c>
      <c r="I27" s="67">
        <f t="shared" si="58"/>
        <v>0</v>
      </c>
      <c r="J27" s="67">
        <f t="shared" si="58"/>
        <v>0</v>
      </c>
      <c r="R27" s="30" t="str">
        <f>A32</f>
        <v>CENA/ZYSK</v>
      </c>
      <c r="S27" s="33">
        <v>2019</v>
      </c>
      <c r="T27" s="33">
        <v>2018</v>
      </c>
      <c r="U27" s="33">
        <v>2017</v>
      </c>
    </row>
    <row r="28" spans="1:21" x14ac:dyDescent="0.25">
      <c r="A28" t="str">
        <f>A9</f>
        <v>średnia cena 1 akcji (w zł )</v>
      </c>
      <c r="B28" s="67">
        <f t="shared" ref="B28:M28" si="59">B9</f>
        <v>26.99</v>
      </c>
      <c r="C28" s="67">
        <f t="shared" si="59"/>
        <v>23.48</v>
      </c>
      <c r="D28" s="67">
        <f t="shared" si="59"/>
        <v>25.08</v>
      </c>
      <c r="E28" s="67">
        <f t="shared" si="59"/>
        <v>0</v>
      </c>
      <c r="F28" s="67">
        <f t="shared" si="59"/>
        <v>0</v>
      </c>
      <c r="G28" s="67">
        <f t="shared" si="59"/>
        <v>0</v>
      </c>
      <c r="H28" s="67">
        <f t="shared" si="59"/>
        <v>6.12</v>
      </c>
      <c r="I28" s="67">
        <f t="shared" si="59"/>
        <v>4.92</v>
      </c>
      <c r="J28" s="67">
        <f t="shared" si="59"/>
        <v>5.21</v>
      </c>
      <c r="K28" s="67">
        <f t="shared" si="59"/>
        <v>0</v>
      </c>
      <c r="L28" s="67">
        <f t="shared" si="59"/>
        <v>0</v>
      </c>
      <c r="M28" s="67">
        <f t="shared" si="59"/>
        <v>0</v>
      </c>
      <c r="R28" s="67" t="str">
        <f>$B$2</f>
        <v>Cyfrowy Polsat S.A. (Polska)</v>
      </c>
      <c r="S28" s="55">
        <f>B32</f>
        <v>15.486584399641124</v>
      </c>
      <c r="T28" s="55">
        <f>C32</f>
        <v>18.400368160372505</v>
      </c>
      <c r="U28" s="55">
        <f>D32</f>
        <v>16.969756751248411</v>
      </c>
    </row>
    <row r="29" spans="1:21" x14ac:dyDescent="0.25">
      <c r="A29" s="30" t="s">
        <v>893</v>
      </c>
      <c r="B29" s="30">
        <f>B30*B31</f>
        <v>17261346971.84</v>
      </c>
      <c r="C29" s="30">
        <f t="shared" ref="C29:D29" si="60">C30*C31</f>
        <v>15016540455.68</v>
      </c>
      <c r="D29" s="30">
        <f t="shared" si="60"/>
        <v>16039814081.279999</v>
      </c>
      <c r="E29" s="30">
        <f t="shared" ref="E29" si="61">E30*E31</f>
        <v>0</v>
      </c>
      <c r="F29" s="30">
        <f t="shared" ref="F29" si="62">F30*F31</f>
        <v>0</v>
      </c>
      <c r="G29" s="30">
        <f t="shared" ref="G29" si="63">G30*G31</f>
        <v>0</v>
      </c>
      <c r="H29" s="30">
        <f t="shared" ref="H29" si="64">H30*H31</f>
        <v>8031627771.4800005</v>
      </c>
      <c r="I29" s="30">
        <f t="shared" ref="I29" si="65">I30*I31</f>
        <v>6456798796.6800003</v>
      </c>
      <c r="J29" s="30">
        <f t="shared" ref="J29" si="66">J30*J31</f>
        <v>6837382465.5900002</v>
      </c>
      <c r="R29" s="67" t="str">
        <f>$H$2</f>
        <v>Orange Polska S.A. (Polska)</v>
      </c>
      <c r="S29" s="55">
        <f>H32</f>
        <v>88.259645840439546</v>
      </c>
      <c r="T29" s="55">
        <f>I32</f>
        <v>645.6798796679999</v>
      </c>
      <c r="U29" s="55">
        <f>J32</f>
        <v>-113.95637442650001</v>
      </c>
    </row>
    <row r="30" spans="1:21" x14ac:dyDescent="0.25">
      <c r="A30" t="str">
        <f>A9</f>
        <v>średnia cena 1 akcji (w zł )</v>
      </c>
      <c r="B30" s="67">
        <f t="shared" ref="B30:J30" si="67">B9</f>
        <v>26.99</v>
      </c>
      <c r="C30" s="67">
        <f t="shared" si="67"/>
        <v>23.48</v>
      </c>
      <c r="D30" s="67">
        <f t="shared" si="67"/>
        <v>25.08</v>
      </c>
      <c r="E30" s="67">
        <f t="shared" si="67"/>
        <v>0</v>
      </c>
      <c r="F30" s="67">
        <f t="shared" si="67"/>
        <v>0</v>
      </c>
      <c r="G30" s="67">
        <f t="shared" si="67"/>
        <v>0</v>
      </c>
      <c r="H30" s="67">
        <f t="shared" si="67"/>
        <v>6.12</v>
      </c>
      <c r="I30" s="67">
        <f t="shared" si="67"/>
        <v>4.92</v>
      </c>
      <c r="J30" s="67">
        <f t="shared" si="67"/>
        <v>5.21</v>
      </c>
      <c r="R30" t="s">
        <v>298</v>
      </c>
      <c r="S30" s="67">
        <v>34.6</v>
      </c>
      <c r="T30">
        <v>28.8</v>
      </c>
      <c r="U30" s="67">
        <v>46.7</v>
      </c>
    </row>
    <row r="31" spans="1:21" x14ac:dyDescent="0.25">
      <c r="A31" t="str">
        <f>A7</f>
        <v>liczba wyemitowanych akcji ogółem</v>
      </c>
      <c r="B31" s="67">
        <f t="shared" ref="B31:J31" si="68">B7</f>
        <v>639546016</v>
      </c>
      <c r="C31" s="67">
        <f t="shared" si="68"/>
        <v>639546016</v>
      </c>
      <c r="D31" s="67">
        <f t="shared" si="68"/>
        <v>639546016</v>
      </c>
      <c r="E31" s="67">
        <f t="shared" si="68"/>
        <v>0</v>
      </c>
      <c r="F31" s="67">
        <f t="shared" si="68"/>
        <v>0</v>
      </c>
      <c r="G31" s="67">
        <f t="shared" si="68"/>
        <v>0</v>
      </c>
      <c r="H31" s="67">
        <f t="shared" si="68"/>
        <v>1312357479</v>
      </c>
      <c r="I31" s="67">
        <f t="shared" si="68"/>
        <v>1312357479</v>
      </c>
      <c r="J31" s="67">
        <f t="shared" si="68"/>
        <v>1312357479</v>
      </c>
    </row>
    <row r="32" spans="1:21" x14ac:dyDescent="0.25">
      <c r="A32" s="30" t="s">
        <v>894</v>
      </c>
      <c r="B32" s="58">
        <f>B33/B34</f>
        <v>15.486584399641124</v>
      </c>
      <c r="C32" s="58">
        <f t="shared" ref="C32:D32" si="69">C33/C34</f>
        <v>18.400368160372505</v>
      </c>
      <c r="D32" s="58">
        <f t="shared" si="69"/>
        <v>16.969756751248411</v>
      </c>
      <c r="E32" s="58" t="e">
        <f t="shared" ref="E32" si="70">E33/E34</f>
        <v>#DIV/0!</v>
      </c>
      <c r="F32" s="58" t="e">
        <f t="shared" ref="F32" si="71">F33/F34</f>
        <v>#DIV/0!</v>
      </c>
      <c r="G32" s="58" t="e">
        <f t="shared" ref="G32" si="72">G33/G34</f>
        <v>#DIV/0!</v>
      </c>
      <c r="H32" s="58">
        <f>H33/H34</f>
        <v>88.259645840439546</v>
      </c>
      <c r="I32" s="58">
        <f t="shared" ref="I32" si="73">I33/I34</f>
        <v>645.6798796679999</v>
      </c>
      <c r="J32" s="58">
        <f t="shared" ref="J32" si="74">J33/J34</f>
        <v>-113.95637442650001</v>
      </c>
    </row>
    <row r="33" spans="1:10" x14ac:dyDescent="0.25">
      <c r="A33" t="str">
        <f>A9</f>
        <v>średnia cena 1 akcji (w zł )</v>
      </c>
      <c r="B33" s="67">
        <f t="shared" ref="B33:J33" si="75">B9</f>
        <v>26.99</v>
      </c>
      <c r="C33" s="67">
        <f t="shared" si="75"/>
        <v>23.48</v>
      </c>
      <c r="D33" s="67">
        <f t="shared" si="75"/>
        <v>25.08</v>
      </c>
      <c r="E33" s="67">
        <f t="shared" si="75"/>
        <v>0</v>
      </c>
      <c r="F33" s="67">
        <f t="shared" si="75"/>
        <v>0</v>
      </c>
      <c r="G33" s="67">
        <f t="shared" si="75"/>
        <v>0</v>
      </c>
      <c r="H33" s="67">
        <f t="shared" si="75"/>
        <v>6.12</v>
      </c>
      <c r="I33" s="67">
        <f t="shared" si="75"/>
        <v>4.92</v>
      </c>
      <c r="J33" s="67">
        <f t="shared" si="75"/>
        <v>5.21</v>
      </c>
    </row>
    <row r="34" spans="1:10" x14ac:dyDescent="0.25">
      <c r="A34" t="str">
        <f>A25</f>
        <v>zysk netto na 1 akcję (w zł )</v>
      </c>
      <c r="B34" s="55">
        <f t="shared" ref="B34:J34" si="76">B25</f>
        <v>1.7427987542963603</v>
      </c>
      <c r="C34" s="55">
        <f t="shared" si="76"/>
        <v>1.2760614241712358</v>
      </c>
      <c r="D34" s="55">
        <f t="shared" si="76"/>
        <v>1.4779233649389194</v>
      </c>
      <c r="E34" s="55" t="e">
        <f t="shared" si="76"/>
        <v>#DIV/0!</v>
      </c>
      <c r="F34" s="55" t="e">
        <f t="shared" si="76"/>
        <v>#DIV/0!</v>
      </c>
      <c r="G34" s="55" t="e">
        <f t="shared" si="76"/>
        <v>#DIV/0!</v>
      </c>
      <c r="H34" s="55">
        <f t="shared" si="76"/>
        <v>6.9340862879328335E-2</v>
      </c>
      <c r="I34" s="55">
        <f t="shared" si="76"/>
        <v>7.6198750416844319E-3</v>
      </c>
      <c r="J34" s="55">
        <f t="shared" si="76"/>
        <v>-4.5719250250106584E-2</v>
      </c>
    </row>
  </sheetData>
  <mergeCells count="8">
    <mergeCell ref="B1:D1"/>
    <mergeCell ref="E1:M1"/>
    <mergeCell ref="N1:P1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CYFROWY POLSAT SA</vt:lpstr>
      <vt:lpstr>KONKURENCJA R.N.TV</vt:lpstr>
      <vt:lpstr>KONKURENCJA R.O.KOM.</vt:lpstr>
      <vt:lpstr>A. SYNTETYCZNA</vt:lpstr>
      <vt:lpstr>A.PŁYNNOŚCI</vt:lpstr>
      <vt:lpstr>A.RENTOWNOŚCI</vt:lpstr>
      <vt:lpstr>A. SYTUACJI M-K.</vt:lpstr>
      <vt:lpstr>A. POZYCJI RYNKOWEJ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Veena</cp:lastModifiedBy>
  <dcterms:created xsi:type="dcterms:W3CDTF">2021-03-08T13:39:14Z</dcterms:created>
  <dcterms:modified xsi:type="dcterms:W3CDTF">2022-04-08T00:02:40Z</dcterms:modified>
  <cp:category/>
</cp:coreProperties>
</file>