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"/>
    </mc:Choice>
  </mc:AlternateContent>
  <xr:revisionPtr revIDLastSave="0" documentId="13_ncr:1_{ADC67825-449A-4EE0-8C24-4AA097DBCBED}" xr6:coauthVersionLast="36" xr6:coauthVersionMax="36" xr10:uidLastSave="{00000000-0000-0000-0000-000000000000}"/>
  <bookViews>
    <workbookView xWindow="0" yWindow="0" windowWidth="13500" windowHeight="8256" xr2:uid="{A0E1BD83-2856-435F-BF61-7256E6E48750}"/>
  </bookViews>
  <sheets>
    <sheet name="Financials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H39" i="1"/>
  <c r="H38" i="1"/>
  <c r="I46" i="1"/>
  <c r="H46" i="1"/>
  <c r="H45" i="1"/>
  <c r="J57" i="1"/>
  <c r="J45" i="1" s="1"/>
  <c r="I56" i="1"/>
  <c r="I57" i="1"/>
  <c r="I45" i="1" s="1"/>
  <c r="I55" i="1"/>
  <c r="I38" i="1" s="1"/>
  <c r="J56" i="1"/>
  <c r="J46" i="1" s="1"/>
  <c r="J55" i="1"/>
  <c r="J38" i="1" s="1"/>
  <c r="J39" i="1"/>
  <c r="E54" i="1"/>
  <c r="F54" i="1"/>
  <c r="G54" i="1"/>
  <c r="D54" i="1"/>
  <c r="E55" i="1"/>
  <c r="F55" i="1"/>
  <c r="G55" i="1"/>
  <c r="D55" i="1"/>
  <c r="E56" i="1"/>
  <c r="F56" i="1"/>
  <c r="G56" i="1"/>
  <c r="D56" i="1"/>
  <c r="E57" i="1"/>
  <c r="F57" i="1"/>
  <c r="G57" i="1"/>
  <c r="D57" i="1"/>
  <c r="H88" i="1"/>
  <c r="G88" i="1"/>
  <c r="G89" i="1" s="1"/>
  <c r="E89" i="1"/>
  <c r="F88" i="1"/>
  <c r="F89" i="1" s="1"/>
  <c r="E88" i="1"/>
  <c r="F86" i="1"/>
  <c r="G86" i="1"/>
  <c r="E86" i="1"/>
  <c r="F84" i="1"/>
  <c r="G84" i="1"/>
  <c r="E84" i="1"/>
  <c r="E27" i="1"/>
  <c r="F27" i="1"/>
  <c r="G27" i="1"/>
  <c r="D27" i="1"/>
  <c r="J80" i="1"/>
  <c r="F81" i="1"/>
  <c r="G81" i="1"/>
  <c r="E81" i="1"/>
  <c r="H43" i="1"/>
  <c r="I43" i="1" s="1"/>
  <c r="F80" i="1"/>
  <c r="G80" i="1"/>
  <c r="E80" i="1"/>
  <c r="F72" i="1"/>
  <c r="G72" i="1"/>
  <c r="E72" i="1"/>
  <c r="F71" i="1"/>
  <c r="G71" i="1"/>
  <c r="E71" i="1"/>
  <c r="F70" i="1"/>
  <c r="G70" i="1"/>
  <c r="E70" i="1"/>
  <c r="E68" i="1"/>
  <c r="F68" i="1"/>
  <c r="G68" i="1"/>
  <c r="E69" i="1"/>
  <c r="F69" i="1"/>
  <c r="G69" i="1"/>
  <c r="D69" i="1"/>
  <c r="D68" i="1"/>
  <c r="H59" i="1"/>
  <c r="G60" i="1"/>
  <c r="G76" i="1" s="1"/>
  <c r="G77" i="1" s="1"/>
  <c r="E62" i="1"/>
  <c r="F59" i="1" s="1"/>
  <c r="F60" i="1" s="1"/>
  <c r="F76" i="1" s="1"/>
  <c r="F77" i="1" s="1"/>
  <c r="F62" i="1"/>
  <c r="G59" i="1" s="1"/>
  <c r="G62" i="1"/>
  <c r="E61" i="1"/>
  <c r="F61" i="1"/>
  <c r="G61" i="1"/>
  <c r="D61" i="1"/>
  <c r="D62" i="1"/>
  <c r="E59" i="1" s="1"/>
  <c r="J58" i="1"/>
  <c r="I58" i="1"/>
  <c r="E58" i="1"/>
  <c r="F58" i="1"/>
  <c r="G58" i="1"/>
  <c r="D58" i="1"/>
  <c r="E52" i="1"/>
  <c r="F52" i="1"/>
  <c r="G52" i="1"/>
  <c r="D52" i="1"/>
  <c r="J53" i="1"/>
  <c r="I53" i="1"/>
  <c r="J52" i="1"/>
  <c r="I52" i="1"/>
  <c r="E53" i="1"/>
  <c r="F53" i="1"/>
  <c r="G53" i="1"/>
  <c r="J51" i="1"/>
  <c r="I51" i="1"/>
  <c r="D53" i="1"/>
  <c r="E51" i="1"/>
  <c r="F51" i="1"/>
  <c r="G51" i="1"/>
  <c r="D51" i="1"/>
  <c r="J43" i="1" l="1"/>
  <c r="E60" i="1"/>
  <c r="E76" i="1" s="1"/>
  <c r="E77" i="1" s="1"/>
  <c r="D47" i="1"/>
  <c r="E47" i="1"/>
  <c r="F47" i="1"/>
  <c r="G47" i="1"/>
  <c r="D40" i="1"/>
  <c r="E40" i="1"/>
  <c r="F40" i="1"/>
  <c r="G40" i="1"/>
  <c r="I27" i="1" l="1"/>
  <c r="J27" i="1"/>
  <c r="J25" i="1"/>
  <c r="I25" i="1"/>
  <c r="E25" i="1"/>
  <c r="F25" i="1"/>
  <c r="G25" i="1"/>
  <c r="D25" i="1"/>
  <c r="J28" i="1"/>
  <c r="I28" i="1"/>
  <c r="J24" i="1"/>
  <c r="I24" i="1"/>
  <c r="J23" i="1"/>
  <c r="I23" i="1"/>
  <c r="J26" i="1"/>
  <c r="I26" i="1"/>
  <c r="E26" i="1"/>
  <c r="F26" i="1"/>
  <c r="G26" i="1"/>
  <c r="D26" i="1"/>
  <c r="E24" i="1"/>
  <c r="F24" i="1"/>
  <c r="G24" i="1"/>
  <c r="D24" i="1"/>
  <c r="H10" i="1"/>
  <c r="F23" i="1"/>
  <c r="G23" i="1"/>
  <c r="H35" i="1" l="1"/>
  <c r="H62" i="1"/>
  <c r="H15" i="1"/>
  <c r="I10" i="1"/>
  <c r="H11" i="1"/>
  <c r="H69" i="1" l="1"/>
  <c r="H61" i="1"/>
  <c r="H37" i="1"/>
  <c r="H60" i="1"/>
  <c r="H76" i="1" s="1"/>
  <c r="H77" i="1" s="1"/>
  <c r="I59" i="1"/>
  <c r="H70" i="1"/>
  <c r="H42" i="1"/>
  <c r="H16" i="1" s="1"/>
  <c r="H36" i="1"/>
  <c r="H71" i="1" s="1"/>
  <c r="I62" i="1"/>
  <c r="I35" i="1"/>
  <c r="I15" i="1"/>
  <c r="I11" i="1"/>
  <c r="J10" i="1"/>
  <c r="H81" i="1" l="1"/>
  <c r="H84" i="1" s="1"/>
  <c r="H68" i="1"/>
  <c r="I70" i="1"/>
  <c r="H72" i="1"/>
  <c r="J62" i="1"/>
  <c r="J35" i="1"/>
  <c r="I36" i="1"/>
  <c r="I71" i="1" s="1"/>
  <c r="I42" i="1"/>
  <c r="I16" i="1" s="1"/>
  <c r="I61" i="1"/>
  <c r="I60" i="1" s="1"/>
  <c r="I76" i="1" s="1"/>
  <c r="I77" i="1" s="1"/>
  <c r="I69" i="1"/>
  <c r="I37" i="1"/>
  <c r="J59" i="1"/>
  <c r="J11" i="1"/>
  <c r="J15" i="1"/>
  <c r="E23" i="1"/>
  <c r="H12" i="1"/>
  <c r="I12" i="1"/>
  <c r="E12" i="1"/>
  <c r="E14" i="1" s="1"/>
  <c r="F12" i="1"/>
  <c r="F14" i="1" s="1"/>
  <c r="G12" i="1"/>
  <c r="G14" i="1" s="1"/>
  <c r="D12" i="1"/>
  <c r="D14" i="1" s="1"/>
  <c r="E7" i="1"/>
  <c r="F7" i="1" s="1"/>
  <c r="G7" i="1" s="1"/>
  <c r="H7" i="1" s="1"/>
  <c r="I7" i="1" s="1"/>
  <c r="J7" i="1" s="1"/>
  <c r="I81" i="1" l="1"/>
  <c r="I84" i="1" s="1"/>
  <c r="I68" i="1"/>
  <c r="I72" i="1"/>
  <c r="J70" i="1"/>
  <c r="J37" i="1"/>
  <c r="J69" i="1"/>
  <c r="J61" i="1"/>
  <c r="J60" i="1" s="1"/>
  <c r="J76" i="1" s="1"/>
  <c r="J77" i="1" s="1"/>
  <c r="J12" i="1"/>
  <c r="J13" i="1" s="1"/>
  <c r="J14" i="1" s="1"/>
  <c r="J42" i="1"/>
  <c r="J16" i="1" s="1"/>
  <c r="J36" i="1"/>
  <c r="J71" i="1" s="1"/>
  <c r="F17" i="1"/>
  <c r="F29" i="1"/>
  <c r="G17" i="1"/>
  <c r="G29" i="1"/>
  <c r="E17" i="1"/>
  <c r="E29" i="1"/>
  <c r="D17" i="1"/>
  <c r="D19" i="1" s="1"/>
  <c r="D67" i="1" s="1"/>
  <c r="D29" i="1"/>
  <c r="I13" i="1"/>
  <c r="I14" i="1" s="1"/>
  <c r="H13" i="1"/>
  <c r="H14" i="1" s="1"/>
  <c r="J81" i="1" l="1"/>
  <c r="J84" i="1" s="1"/>
  <c r="J68" i="1"/>
  <c r="J72" i="1"/>
  <c r="H17" i="1"/>
  <c r="H29" i="1"/>
  <c r="F30" i="1"/>
  <c r="F28" i="1"/>
  <c r="I17" i="1"/>
  <c r="I29" i="1"/>
  <c r="D28" i="1"/>
  <c r="D30" i="1"/>
  <c r="E30" i="1"/>
  <c r="E28" i="1"/>
  <c r="G28" i="1"/>
  <c r="G30" i="1"/>
  <c r="J17" i="1"/>
  <c r="J30" i="1" s="1"/>
  <c r="J29" i="1"/>
  <c r="G19" i="1"/>
  <c r="G67" i="1" s="1"/>
  <c r="G73" i="1" s="1"/>
  <c r="E19" i="1"/>
  <c r="E67" i="1" s="1"/>
  <c r="E73" i="1" s="1"/>
  <c r="F19" i="1"/>
  <c r="F67" i="1" s="1"/>
  <c r="F73" i="1" s="1"/>
  <c r="I18" i="1" l="1"/>
  <c r="I19" i="1" s="1"/>
  <c r="I30" i="1"/>
  <c r="H18" i="1"/>
  <c r="H19" i="1" s="1"/>
  <c r="H30" i="1"/>
  <c r="J18" i="1"/>
  <c r="J19" i="1" s="1"/>
  <c r="J67" i="1" s="1"/>
  <c r="J73" i="1" s="1"/>
  <c r="J86" i="1" s="1"/>
  <c r="H67" i="1" l="1"/>
  <c r="H73" i="1" s="1"/>
  <c r="H86" i="1" s="1"/>
  <c r="H89" i="1" s="1"/>
  <c r="H34" i="1" s="1"/>
  <c r="H44" i="1"/>
  <c r="H47" i="1" s="1"/>
  <c r="I67" i="1"/>
  <c r="I73" i="1" s="1"/>
  <c r="I86" i="1" s="1"/>
  <c r="I44" i="1" l="1"/>
  <c r="J44" i="1" s="1"/>
  <c r="J47" i="1" s="1"/>
  <c r="I88" i="1"/>
  <c r="I89" i="1" s="1"/>
  <c r="I34" i="1" s="1"/>
  <c r="H40" i="1"/>
  <c r="I47" i="1" l="1"/>
  <c r="J88" i="1"/>
  <c r="J89" i="1" s="1"/>
  <c r="J34" i="1" s="1"/>
  <c r="J40" i="1" s="1"/>
  <c r="I40" i="1"/>
</calcChain>
</file>

<file path=xl/sharedStrings.xml><?xml version="1.0" encoding="utf-8"?>
<sst xmlns="http://schemas.openxmlformats.org/spreadsheetml/2006/main" count="90" uniqueCount="72">
  <si>
    <t>INR (Crores)</t>
  </si>
  <si>
    <t>Income Statement</t>
  </si>
  <si>
    <t>Revenue</t>
  </si>
  <si>
    <t>COGS</t>
  </si>
  <si>
    <t>Gross Profit</t>
  </si>
  <si>
    <t>EBITDA</t>
  </si>
  <si>
    <t>Depreciation</t>
  </si>
  <si>
    <t>Interest</t>
  </si>
  <si>
    <t>EBT</t>
  </si>
  <si>
    <t>Taxes</t>
  </si>
  <si>
    <t>Net Income</t>
  </si>
  <si>
    <t>Revenue Growth</t>
  </si>
  <si>
    <t>COGS % of Revenue</t>
  </si>
  <si>
    <t>Depreciation % Sales</t>
  </si>
  <si>
    <t>NA</t>
  </si>
  <si>
    <t>Taxes % of EBT</t>
  </si>
  <si>
    <t>Balance Sheet</t>
  </si>
  <si>
    <t>Cash</t>
  </si>
  <si>
    <t>Receivables</t>
  </si>
  <si>
    <t>Inventory</t>
  </si>
  <si>
    <t>Fixed Assets</t>
  </si>
  <si>
    <t>Total Assets</t>
  </si>
  <si>
    <t>Payables</t>
  </si>
  <si>
    <t>Financial Debt</t>
  </si>
  <si>
    <t>Equity</t>
  </si>
  <si>
    <t>Liabilities &amp; Shareholder Equity</t>
  </si>
  <si>
    <t>CashFlow Statement</t>
  </si>
  <si>
    <t>CashFlow from Operating</t>
  </si>
  <si>
    <t>Addback Interest</t>
  </si>
  <si>
    <t>Addback D&amp;A</t>
  </si>
  <si>
    <t>Change in Receivables</t>
  </si>
  <si>
    <t>Change in Inventory</t>
  </si>
  <si>
    <t>Change in Payables</t>
  </si>
  <si>
    <t>CFO</t>
  </si>
  <si>
    <t>CashFlow from Investing</t>
  </si>
  <si>
    <t>CAPEX</t>
  </si>
  <si>
    <t>CFI</t>
  </si>
  <si>
    <t>CashFlow from Financing</t>
  </si>
  <si>
    <t>Change in Debt</t>
  </si>
  <si>
    <t>Interest Changes</t>
  </si>
  <si>
    <t>Equity Financing</t>
  </si>
  <si>
    <t>Dividends</t>
  </si>
  <si>
    <t>CFF</t>
  </si>
  <si>
    <t>Change in Cash</t>
  </si>
  <si>
    <t>Cash Beginning</t>
  </si>
  <si>
    <t>Cash end of Month</t>
  </si>
  <si>
    <t>Other Expenses</t>
  </si>
  <si>
    <t>Other Expenses % Sales</t>
  </si>
  <si>
    <t>EBITDA Margin</t>
  </si>
  <si>
    <t>EBT % Sales</t>
  </si>
  <si>
    <t>Other Current Liabilities</t>
  </si>
  <si>
    <t>Other Non-current Assets</t>
  </si>
  <si>
    <t>Other Current Assets</t>
  </si>
  <si>
    <t>Other Non-current Liabilities</t>
  </si>
  <si>
    <t>Assumptions Drivers- Income Statement</t>
  </si>
  <si>
    <t>Assumptions Drivers- Balance Sheet</t>
  </si>
  <si>
    <t>Receivable Days</t>
  </si>
  <si>
    <t>Payable Days</t>
  </si>
  <si>
    <t>Inventory Days</t>
  </si>
  <si>
    <t>Capital Asset Turnover Ratio</t>
  </si>
  <si>
    <t>Opening PPE</t>
  </si>
  <si>
    <t>Add/Del</t>
  </si>
  <si>
    <t>Depriciation</t>
  </si>
  <si>
    <t>Closing PPE</t>
  </si>
  <si>
    <t>Assets</t>
  </si>
  <si>
    <t>Interest % Debt</t>
  </si>
  <si>
    <t>Other Non Current Assets % sales</t>
  </si>
  <si>
    <t>Other Current Assets % sales</t>
  </si>
  <si>
    <t>Other Non Current Liabilities % sales</t>
  </si>
  <si>
    <t>Other Current Liabilities % sales</t>
  </si>
  <si>
    <t>#</t>
  </si>
  <si>
    <t>FINANCIAL FORECASTING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</si>
</sst>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&quot;A&quot;"/>
    <numFmt numFmtId="165" formatCode="0&quot;E&quot;"/>
    <numFmt numFmtId="166" formatCode="#,##0.00;\(#,##0.00\)"/>
    <numFmt numFmtId="167" formatCode="0.0%"/>
  </numFmts>
  <fonts count="1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Calibri"/>
      <family val="2"/>
    </font>
    <font>
      <sz val="11"/>
      <color theme="4" tint="-0.249977111117893"/>
      <name val="Calibri"/>
      <family val="2"/>
    </font>
    <font>
      <sz val="11"/>
      <color theme="2" tint="-0.499984740745262"/>
      <name val="Calibri"/>
      <family val="2"/>
    </font>
    <font>
      <sz val="11"/>
      <color theme="1"/>
      <name val="Calibri"/>
      <family val="2"/>
      <scheme val="minor"/>
    </font>
    <font>
      <sz val="11"/>
      <color rgb="FF152F8F"/>
      <name val="Calibri"/>
      <family val="2"/>
    </font>
    <font>
      <b/>
      <u/>
      <sz val="11"/>
      <color theme="1"/>
      <name val="Calibri"/>
      <family val="2"/>
    </font>
    <font>
      <b/>
      <sz val="2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90">
    <xf numFmtId="0" fontId="0" fillId="0" borderId="0" xfId="0"/>
    <xf numFmtId="0" fontId="0" fillId="0" borderId="1" xfId="0" applyBorder="1"/>
    <xf numFmtId="4" fontId="0" fillId="0" borderId="1" xfId="0" applyNumberFormat="1" applyBorder="1"/>
    <xf numFmtId="0" fontId="0" fillId="0" borderId="2" xfId="0" applyBorder="1"/>
    <xf numFmtId="4" fontId="0" fillId="0" borderId="2" xfId="0" applyNumberFormat="1" applyBorder="1"/>
    <xf numFmtId="0" fontId="0" fillId="0" borderId="3" xfId="0" applyBorder="1"/>
    <xf numFmtId="166" fontId="0" fillId="0" borderId="0" xfId="0" applyNumberFormat="1"/>
    <xf numFmtId="166" fontId="4" fillId="0" borderId="1" xfId="0" applyNumberFormat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8" xfId="0" applyFont="1" applyBorder="1"/>
    <xf numFmtId="166" fontId="6" fillId="0" borderId="0" xfId="0" applyNumberFormat="1" applyFont="1" applyBorder="1"/>
    <xf numFmtId="166" fontId="0" fillId="0" borderId="0" xfId="0" applyNumberFormat="1" applyBorder="1"/>
    <xf numFmtId="4" fontId="0" fillId="0" borderId="0" xfId="0" applyNumberFormat="1" applyBorder="1"/>
    <xf numFmtId="166" fontId="4" fillId="0" borderId="0" xfId="0" applyNumberFormat="1" applyFont="1" applyBorder="1"/>
    <xf numFmtId="4" fontId="0" fillId="0" borderId="7" xfId="0" applyNumberFormat="1" applyBorder="1"/>
    <xf numFmtId="4" fontId="0" fillId="0" borderId="9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4" xfId="0" applyBorder="1"/>
    <xf numFmtId="4" fontId="0" fillId="0" borderId="5" xfId="0" applyNumberFormat="1" applyBorder="1"/>
    <xf numFmtId="0" fontId="1" fillId="0" borderId="13" xfId="0" applyFont="1" applyBorder="1"/>
    <xf numFmtId="10" fontId="0" fillId="0" borderId="0" xfId="1" applyNumberFormat="1" applyFont="1" applyBorder="1"/>
    <xf numFmtId="10" fontId="4" fillId="0" borderId="0" xfId="1" applyNumberFormat="1" applyFont="1" applyBorder="1"/>
    <xf numFmtId="10" fontId="0" fillId="0" borderId="7" xfId="1" applyNumberFormat="1" applyFont="1" applyBorder="1"/>
    <xf numFmtId="10" fontId="0" fillId="0" borderId="0" xfId="0" applyNumberFormat="1" applyBorder="1"/>
    <xf numFmtId="10" fontId="0" fillId="0" borderId="7" xfId="0" applyNumberFormat="1" applyBorder="1"/>
    <xf numFmtId="2" fontId="0" fillId="0" borderId="0" xfId="1" applyNumberFormat="1" applyFont="1" applyBorder="1"/>
    <xf numFmtId="10" fontId="0" fillId="0" borderId="1" xfId="1" applyNumberFormat="1" applyFont="1" applyBorder="1"/>
    <xf numFmtId="0" fontId="2" fillId="2" borderId="10" xfId="0" applyFont="1" applyFill="1" applyBorder="1"/>
    <xf numFmtId="0" fontId="2" fillId="2" borderId="11" xfId="0" applyFont="1" applyFill="1" applyBorder="1"/>
    <xf numFmtId="164" fontId="2" fillId="2" borderId="11" xfId="0" applyNumberFormat="1" applyFont="1" applyFill="1" applyBorder="1"/>
    <xf numFmtId="165" fontId="2" fillId="2" borderId="11" xfId="0" applyNumberFormat="1" applyFont="1" applyFill="1" applyBorder="1"/>
    <xf numFmtId="165" fontId="2" fillId="2" borderId="12" xfId="0" applyNumberFormat="1" applyFont="1" applyFill="1" applyBorder="1"/>
    <xf numFmtId="0" fontId="1" fillId="0" borderId="10" xfId="0" applyFont="1" applyBorder="1"/>
    <xf numFmtId="0" fontId="1" fillId="0" borderId="0" xfId="0" applyFont="1" applyBorder="1"/>
    <xf numFmtId="10" fontId="0" fillId="0" borderId="0" xfId="1" applyNumberFormat="1" applyFont="1" applyBorder="1" applyAlignment="1">
      <alignment horizontal="right" indent="1"/>
    </xf>
    <xf numFmtId="2" fontId="0" fillId="0" borderId="9" xfId="1" applyNumberFormat="1" applyFont="1" applyBorder="1"/>
    <xf numFmtId="0" fontId="0" fillId="0" borderId="6" xfId="0" applyFill="1" applyBorder="1"/>
    <xf numFmtId="0" fontId="7" fillId="0" borderId="0" xfId="0" applyFont="1" applyBorder="1"/>
    <xf numFmtId="166" fontId="7" fillId="0" borderId="0" xfId="0" applyNumberFormat="1" applyFont="1" applyBorder="1"/>
    <xf numFmtId="0" fontId="0" fillId="0" borderId="0" xfId="0" applyFill="1" applyBorder="1"/>
    <xf numFmtId="0" fontId="8" fillId="0" borderId="0" xfId="0" applyFont="1" applyFill="1" applyBorder="1"/>
    <xf numFmtId="2" fontId="0" fillId="0" borderId="0" xfId="0" applyNumberFormat="1" applyFill="1" applyBorder="1"/>
    <xf numFmtId="43" fontId="0" fillId="0" borderId="0" xfId="2" applyFont="1"/>
    <xf numFmtId="10" fontId="0" fillId="0" borderId="0" xfId="1" applyNumberFormat="1" applyFont="1"/>
    <xf numFmtId="2" fontId="0" fillId="0" borderId="0" xfId="0" applyNumberFormat="1"/>
    <xf numFmtId="166" fontId="0" fillId="0" borderId="7" xfId="0" applyNumberFormat="1" applyBorder="1"/>
    <xf numFmtId="43" fontId="0" fillId="0" borderId="0" xfId="2" applyFont="1" applyBorder="1" applyAlignment="1">
      <alignment horizontal="right" indent="1"/>
    </xf>
    <xf numFmtId="2" fontId="0" fillId="0" borderId="7" xfId="0" applyNumberFormat="1" applyFill="1" applyBorder="1"/>
    <xf numFmtId="0" fontId="1" fillId="3" borderId="6" xfId="0" applyFont="1" applyFill="1" applyBorder="1"/>
    <xf numFmtId="0" fontId="0" fillId="3" borderId="0" xfId="0" applyFill="1" applyBorder="1"/>
    <xf numFmtId="0" fontId="0" fillId="3" borderId="7" xfId="0" applyFill="1" applyBorder="1"/>
    <xf numFmtId="0" fontId="3" fillId="3" borderId="6" xfId="0" applyFont="1" applyFill="1" applyBorder="1"/>
    <xf numFmtId="166" fontId="0" fillId="3" borderId="0" xfId="0" applyNumberFormat="1" applyFill="1" applyBorder="1"/>
    <xf numFmtId="0" fontId="3" fillId="4" borderId="4" xfId="0" applyFont="1" applyFill="1" applyBorder="1"/>
    <xf numFmtId="0" fontId="0" fillId="4" borderId="2" xfId="0" applyFill="1" applyBorder="1"/>
    <xf numFmtId="0" fontId="0" fillId="4" borderId="5" xfId="0" applyFill="1" applyBorder="1"/>
    <xf numFmtId="0" fontId="1" fillId="0" borderId="11" xfId="0" applyFont="1" applyBorder="1"/>
    <xf numFmtId="4" fontId="1" fillId="0" borderId="11" xfId="0" applyNumberFormat="1" applyFont="1" applyBorder="1"/>
    <xf numFmtId="4" fontId="1" fillId="0" borderId="12" xfId="0" applyNumberFormat="1" applyFont="1" applyBorder="1"/>
    <xf numFmtId="4" fontId="1" fillId="0" borderId="1" xfId="0" applyNumberFormat="1" applyFont="1" applyBorder="1"/>
    <xf numFmtId="4" fontId="1" fillId="0" borderId="9" xfId="0" applyNumberFormat="1" applyFont="1" applyBorder="1"/>
    <xf numFmtId="166" fontId="9" fillId="0" borderId="0" xfId="0" applyNumberFormat="1" applyFont="1" applyBorder="1"/>
    <xf numFmtId="2" fontId="9" fillId="0" borderId="0" xfId="0" applyNumberFormat="1" applyFont="1" applyBorder="1"/>
    <xf numFmtId="0" fontId="9" fillId="0" borderId="0" xfId="0" applyFont="1" applyBorder="1"/>
    <xf numFmtId="0" fontId="9" fillId="0" borderId="7" xfId="0" applyFont="1" applyBorder="1"/>
    <xf numFmtId="10" fontId="0" fillId="0" borderId="9" xfId="1" applyNumberFormat="1" applyFont="1" applyBorder="1"/>
    <xf numFmtId="10" fontId="1" fillId="0" borderId="1" xfId="1" applyNumberFormat="1" applyFont="1" applyBorder="1" applyAlignment="1">
      <alignment horizontal="right" indent="1"/>
    </xf>
    <xf numFmtId="0" fontId="8" fillId="0" borderId="1" xfId="0" applyFont="1" applyFill="1" applyBorder="1"/>
    <xf numFmtId="0" fontId="0" fillId="0" borderId="1" xfId="0" applyFill="1" applyBorder="1"/>
    <xf numFmtId="2" fontId="0" fillId="0" borderId="1" xfId="0" applyNumberFormat="1" applyFill="1" applyBorder="1"/>
    <xf numFmtId="2" fontId="0" fillId="0" borderId="9" xfId="0" applyNumberFormat="1" applyFill="1" applyBorder="1"/>
    <xf numFmtId="166" fontId="1" fillId="0" borderId="1" xfId="0" applyNumberFormat="1" applyFont="1" applyBorder="1"/>
    <xf numFmtId="166" fontId="10" fillId="0" borderId="9" xfId="0" applyNumberFormat="1" applyFont="1" applyBorder="1"/>
    <xf numFmtId="166" fontId="1" fillId="0" borderId="9" xfId="0" applyNumberFormat="1" applyFont="1" applyBorder="1"/>
    <xf numFmtId="4" fontId="1" fillId="0" borderId="3" xfId="0" applyNumberFormat="1" applyFont="1" applyBorder="1"/>
    <xf numFmtId="4" fontId="1" fillId="0" borderId="14" xfId="0" applyNumberFormat="1" applyFont="1" applyBorder="1"/>
    <xf numFmtId="10" fontId="6" fillId="0" borderId="0" xfId="1" applyNumberFormat="1" applyFont="1" applyBorder="1"/>
    <xf numFmtId="10" fontId="0" fillId="0" borderId="0" xfId="1" applyNumberFormat="1" applyFont="1" applyFill="1" applyBorder="1"/>
    <xf numFmtId="166" fontId="7" fillId="0" borderId="5" xfId="0" applyNumberFormat="1" applyFont="1" applyBorder="1"/>
    <xf numFmtId="43" fontId="9" fillId="0" borderId="0" xfId="2" applyFont="1" applyBorder="1"/>
    <xf numFmtId="43" fontId="0" fillId="0" borderId="0" xfId="2" applyFont="1" applyFill="1" applyBorder="1"/>
    <xf numFmtId="43" fontId="0" fillId="0" borderId="7" xfId="2" applyFont="1" applyBorder="1"/>
    <xf numFmtId="167" fontId="6" fillId="0" borderId="0" xfId="1" applyNumberFormat="1" applyFont="1" applyBorder="1"/>
    <xf numFmtId="0" fontId="11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52F8F"/>
      <color rgb="FF133D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350520</xdr:colOff>
      <xdr:row>5</xdr:row>
      <xdr:rowOff>30480</xdr:rowOff>
    </xdr:to>
    <xdr:pic>
      <xdr:nvPicPr>
        <xdr:cNvPr id="2" name="Picture 1" descr="SRF Limited - Wikipedia">
          <a:extLst>
            <a:ext uri="{FF2B5EF4-FFF2-40B4-BE49-F238E27FC236}">
              <a16:creationId xmlns:a16="http://schemas.microsoft.com/office/drawing/2014/main" id="{53F063BB-0794-4303-B13F-8A86649E2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2430780" cy="944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335280</xdr:colOff>
      <xdr:row>8</xdr:row>
      <xdr:rowOff>0</xdr:rowOff>
    </xdr:from>
    <xdr:to>
      <xdr:col>15</xdr:col>
      <xdr:colOff>495300</xdr:colOff>
      <xdr:row>24</xdr:row>
      <xdr:rowOff>15240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4C83DEA-E0A9-416F-ABEB-0AFD59D0E727}"/>
            </a:ext>
          </a:extLst>
        </xdr:cNvPr>
        <xdr:cNvSpPr txBox="1"/>
      </xdr:nvSpPr>
      <xdr:spPr>
        <a:xfrm>
          <a:off x="7711440" y="1463040"/>
          <a:ext cx="3467100" cy="2956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Basic</a:t>
          </a:r>
          <a:r>
            <a:rPr lang="en-IN" sz="1100" b="1" baseline="0"/>
            <a:t> Assumptions for 2025 onwards (assumptions would be constant for the forecast period):</a:t>
          </a:r>
        </a:p>
        <a:p>
          <a:r>
            <a:rPr lang="en-IN" sz="1100" baseline="0"/>
            <a:t>1. Revenue- 10%</a:t>
          </a:r>
        </a:p>
        <a:p>
          <a:r>
            <a:rPr lang="en-IN" sz="1100" baseline="0"/>
            <a:t>2. COGS % of Sales- 52%</a:t>
          </a:r>
        </a:p>
        <a:p>
          <a:r>
            <a:rPr lang="en-IN" sz="1100" baseline="0"/>
            <a:t>3. OtherExpenses- 20%</a:t>
          </a:r>
        </a:p>
        <a:p>
          <a:r>
            <a:rPr lang="en-IN" sz="1100" baseline="0"/>
            <a:t>4. Depreciation % of Sales- 5%</a:t>
          </a:r>
        </a:p>
        <a:p>
          <a:r>
            <a:rPr lang="en-IN" sz="1100" baseline="0"/>
            <a:t>5. Interest % Debt- 5%</a:t>
          </a:r>
        </a:p>
        <a:p>
          <a:r>
            <a:rPr lang="en-IN" sz="1100" baseline="0"/>
            <a:t>6. Taxes % of EBT- 25%</a:t>
          </a:r>
        </a:p>
        <a:p>
          <a:r>
            <a:rPr lang="en-IN" sz="1100" baseline="0"/>
            <a:t>7. Receivable Days- 48</a:t>
          </a:r>
        </a:p>
        <a:p>
          <a:r>
            <a:rPr lang="en-IN" sz="1100" baseline="0"/>
            <a:t>8. Payable Days- 120</a:t>
          </a:r>
        </a:p>
        <a:p>
          <a:r>
            <a:rPr lang="en-IN" sz="1100" baseline="0"/>
            <a:t>9. Inventory Days- 115</a:t>
          </a:r>
        </a:p>
        <a:p>
          <a:r>
            <a:rPr lang="en-IN" sz="1100" baseline="0"/>
            <a:t>10. Capital Asset Turnover Ratio- 1.15</a:t>
          </a:r>
        </a:p>
        <a:p>
          <a:r>
            <a:rPr lang="en-IN" sz="1100" baseline="0"/>
            <a:t>11. Change in debt- 400 Cr in the first year and in coming years management plans to repay 200 Cr every year.</a:t>
          </a:r>
        </a:p>
        <a:p>
          <a:r>
            <a:rPr lang="en-IN" sz="1100"/>
            <a:t>12. Other</a:t>
          </a:r>
          <a:r>
            <a:rPr lang="en-IN" sz="1100" baseline="0"/>
            <a:t> Current Assets % sales- 9%</a:t>
          </a:r>
        </a:p>
        <a:p>
          <a:r>
            <a:rPr lang="en-IN" sz="1100" baseline="0"/>
            <a:t>13. Other Non Current Liabilities % sales- 11%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558C-1328-4A39-96FA-96C9130A16CC}">
  <dimension ref="A2:S90"/>
  <sheetViews>
    <sheetView showGridLines="0" tabSelected="1" zoomScale="110" zoomScaleNormal="11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54" sqref="K54"/>
    </sheetView>
  </sheetViews>
  <sheetFormatPr defaultRowHeight="14.4" x14ac:dyDescent="0.3"/>
  <cols>
    <col min="1" max="1" width="2.21875" customWidth="1"/>
    <col min="2" max="2" width="15.33203125" customWidth="1"/>
    <col min="3" max="3" width="15" customWidth="1"/>
    <col min="4" max="4" width="10.6640625" customWidth="1"/>
    <col min="5" max="5" width="11" customWidth="1"/>
    <col min="6" max="6" width="10.6640625" customWidth="1"/>
    <col min="7" max="7" width="10.44140625" bestFit="1" customWidth="1"/>
    <col min="8" max="8" width="10.5546875" customWidth="1"/>
    <col min="9" max="9" width="11.21875" customWidth="1"/>
    <col min="10" max="10" width="10.44140625" customWidth="1"/>
    <col min="14" max="14" width="12.6640625" customWidth="1"/>
  </cols>
  <sheetData>
    <row r="2" spans="1:10" ht="14.4" customHeight="1" x14ac:dyDescent="0.3">
      <c r="D2" s="89" t="s">
        <v>71</v>
      </c>
      <c r="E2" s="89"/>
      <c r="F2" s="89"/>
      <c r="G2" s="89"/>
      <c r="H2" s="89"/>
      <c r="I2" s="89"/>
    </row>
    <row r="3" spans="1:10" ht="14.4" customHeight="1" x14ac:dyDescent="0.3">
      <c r="D3" s="89"/>
      <c r="E3" s="89"/>
      <c r="F3" s="89"/>
      <c r="G3" s="89"/>
      <c r="H3" s="89"/>
      <c r="I3" s="89"/>
    </row>
    <row r="4" spans="1:10" ht="14.4" customHeight="1" x14ac:dyDescent="0.3">
      <c r="D4" s="89"/>
      <c r="E4" s="89"/>
      <c r="F4" s="89"/>
      <c r="G4" s="89"/>
      <c r="H4" s="89"/>
      <c r="I4" s="89"/>
    </row>
    <row r="7" spans="1:10" x14ac:dyDescent="0.3">
      <c r="B7" s="33" t="s">
        <v>0</v>
      </c>
      <c r="C7" s="34"/>
      <c r="D7" s="35">
        <v>2021</v>
      </c>
      <c r="E7" s="35">
        <f>D7+1</f>
        <v>2022</v>
      </c>
      <c r="F7" s="35">
        <f>E7+1</f>
        <v>2023</v>
      </c>
      <c r="G7" s="35">
        <f t="shared" ref="G7:J7" si="0">F7+1</f>
        <v>2024</v>
      </c>
      <c r="H7" s="36">
        <f t="shared" si="0"/>
        <v>2025</v>
      </c>
      <c r="I7" s="36">
        <f t="shared" si="0"/>
        <v>2026</v>
      </c>
      <c r="J7" s="37">
        <f t="shared" si="0"/>
        <v>2027</v>
      </c>
    </row>
    <row r="9" spans="1:10" x14ac:dyDescent="0.3">
      <c r="A9" t="s">
        <v>70</v>
      </c>
      <c r="B9" s="59" t="s">
        <v>1</v>
      </c>
      <c r="C9" s="60"/>
      <c r="D9" s="60"/>
      <c r="E9" s="60"/>
      <c r="F9" s="60"/>
      <c r="G9" s="60"/>
      <c r="H9" s="60"/>
      <c r="I9" s="60"/>
      <c r="J9" s="61"/>
    </row>
    <row r="10" spans="1:10" x14ac:dyDescent="0.3">
      <c r="B10" s="8" t="s">
        <v>2</v>
      </c>
      <c r="C10" s="9"/>
      <c r="D10" s="18">
        <v>7051.62</v>
      </c>
      <c r="E10" s="18">
        <v>10088.75</v>
      </c>
      <c r="F10" s="18">
        <v>12179.9</v>
      </c>
      <c r="G10" s="18">
        <v>10906.09</v>
      </c>
      <c r="H10" s="17">
        <f>G10*(1+H23)</f>
        <v>11996.699000000001</v>
      </c>
      <c r="I10" s="17">
        <f>H10*(1+I23)</f>
        <v>13196.368900000001</v>
      </c>
      <c r="J10" s="19">
        <f>I10*(1+J23)</f>
        <v>14516.005790000003</v>
      </c>
    </row>
    <row r="11" spans="1:10" x14ac:dyDescent="0.3">
      <c r="B11" s="11" t="s">
        <v>3</v>
      </c>
      <c r="C11" s="1"/>
      <c r="D11" s="7">
        <v>3844.91</v>
      </c>
      <c r="E11" s="7">
        <v>5350.76</v>
      </c>
      <c r="F11" s="7">
        <v>6320.34</v>
      </c>
      <c r="G11" s="7">
        <v>5955.9</v>
      </c>
      <c r="H11" s="2">
        <f>H10*H24</f>
        <v>6238.2834800000001</v>
      </c>
      <c r="I11" s="2">
        <f>I10*I24</f>
        <v>6862.111828000001</v>
      </c>
      <c r="J11" s="20">
        <f>J10*J24</f>
        <v>7548.3230108000016</v>
      </c>
    </row>
    <row r="12" spans="1:10" x14ac:dyDescent="0.3">
      <c r="B12" s="8" t="s">
        <v>4</v>
      </c>
      <c r="C12" s="9"/>
      <c r="D12" s="17">
        <f t="shared" ref="D12:J12" si="1">D10-D11</f>
        <v>3206.71</v>
      </c>
      <c r="E12" s="17">
        <f t="shared" si="1"/>
        <v>4737.99</v>
      </c>
      <c r="F12" s="17">
        <f t="shared" si="1"/>
        <v>5859.5599999999995</v>
      </c>
      <c r="G12" s="17">
        <f t="shared" si="1"/>
        <v>4950.1900000000005</v>
      </c>
      <c r="H12" s="17">
        <f t="shared" si="1"/>
        <v>5758.4155200000005</v>
      </c>
      <c r="I12" s="17">
        <f t="shared" si="1"/>
        <v>6334.2570720000003</v>
      </c>
      <c r="J12" s="19">
        <f t="shared" si="1"/>
        <v>6967.6827792000013</v>
      </c>
    </row>
    <row r="13" spans="1:10" x14ac:dyDescent="0.3">
      <c r="B13" s="8" t="s">
        <v>46</v>
      </c>
      <c r="C13" s="9"/>
      <c r="D13" s="7">
        <v>1401.93</v>
      </c>
      <c r="E13" s="7">
        <v>2069.27</v>
      </c>
      <c r="F13" s="7">
        <v>2559.44</v>
      </c>
      <c r="G13" s="7">
        <v>2440.86</v>
      </c>
      <c r="H13" s="21">
        <f>H12*H25</f>
        <v>1151.6831040000002</v>
      </c>
      <c r="I13" s="21">
        <f>I12*I25</f>
        <v>1266.8514144000001</v>
      </c>
      <c r="J13" s="22">
        <f>J12*J25</f>
        <v>1393.5365558400003</v>
      </c>
    </row>
    <row r="14" spans="1:10" x14ac:dyDescent="0.3">
      <c r="B14" s="23" t="s">
        <v>5</v>
      </c>
      <c r="C14" s="3"/>
      <c r="D14" s="4">
        <f t="shared" ref="D14:J14" si="2">D12-D13</f>
        <v>1804.78</v>
      </c>
      <c r="E14" s="4">
        <f t="shared" si="2"/>
        <v>2668.72</v>
      </c>
      <c r="F14" s="4">
        <f t="shared" si="2"/>
        <v>3300.1199999999994</v>
      </c>
      <c r="G14" s="4">
        <f t="shared" si="2"/>
        <v>2509.3300000000004</v>
      </c>
      <c r="H14" s="4">
        <f t="shared" si="2"/>
        <v>4606.7324160000007</v>
      </c>
      <c r="I14" s="4">
        <f t="shared" si="2"/>
        <v>5067.4056576000003</v>
      </c>
      <c r="J14" s="24">
        <f t="shared" si="2"/>
        <v>5574.1462233600014</v>
      </c>
    </row>
    <row r="15" spans="1:10" x14ac:dyDescent="0.3">
      <c r="B15" s="8" t="s">
        <v>6</v>
      </c>
      <c r="C15" s="9"/>
      <c r="D15" s="18">
        <v>383.6</v>
      </c>
      <c r="E15" s="18">
        <v>419.23</v>
      </c>
      <c r="F15" s="18">
        <v>468.44</v>
      </c>
      <c r="G15" s="18">
        <v>555.85</v>
      </c>
      <c r="H15" s="21">
        <f>H10*H26</f>
        <v>599.83495000000005</v>
      </c>
      <c r="I15" s="21">
        <f>I10*I26</f>
        <v>659.81844500000011</v>
      </c>
      <c r="J15" s="22">
        <f>J10*J26</f>
        <v>725.80028950000019</v>
      </c>
    </row>
    <row r="16" spans="1:10" x14ac:dyDescent="0.3">
      <c r="B16" s="8" t="s">
        <v>7</v>
      </c>
      <c r="C16" s="9"/>
      <c r="D16" s="18">
        <v>111.21</v>
      </c>
      <c r="E16" s="18">
        <v>94.45</v>
      </c>
      <c r="F16" s="18">
        <v>175.82</v>
      </c>
      <c r="G16" s="18">
        <v>235.6</v>
      </c>
      <c r="H16" s="31">
        <f>AVERAGE(H43,H42)*H27</f>
        <v>151.56131284931507</v>
      </c>
      <c r="I16" s="31">
        <f t="shared" ref="I16:J16" si="3">AVERAGE(I43,I42)*I27</f>
        <v>151.6886691342466</v>
      </c>
      <c r="J16" s="41">
        <f t="shared" si="3"/>
        <v>152.32876104767124</v>
      </c>
    </row>
    <row r="17" spans="1:15" x14ac:dyDescent="0.3">
      <c r="B17" s="23" t="s">
        <v>8</v>
      </c>
      <c r="C17" s="3"/>
      <c r="D17" s="4">
        <f t="shared" ref="D17:J17" si="4">D14-(D15+D16)</f>
        <v>1309.97</v>
      </c>
      <c r="E17" s="4">
        <f t="shared" si="4"/>
        <v>2155.04</v>
      </c>
      <c r="F17" s="4">
        <f t="shared" si="4"/>
        <v>2655.8599999999997</v>
      </c>
      <c r="G17" s="4">
        <f t="shared" si="4"/>
        <v>1717.8800000000003</v>
      </c>
      <c r="H17" s="4">
        <f t="shared" si="4"/>
        <v>3855.3361531506857</v>
      </c>
      <c r="I17" s="4">
        <f t="shared" si="4"/>
        <v>4255.8985434657534</v>
      </c>
      <c r="J17" s="24">
        <f t="shared" si="4"/>
        <v>4696.0171728123296</v>
      </c>
    </row>
    <row r="18" spans="1:15" x14ac:dyDescent="0.3">
      <c r="B18" s="8" t="s">
        <v>9</v>
      </c>
      <c r="C18" s="9"/>
      <c r="D18" s="18">
        <v>384.91</v>
      </c>
      <c r="E18" s="18">
        <v>648.03</v>
      </c>
      <c r="F18" s="18">
        <v>632.5</v>
      </c>
      <c r="G18" s="18">
        <v>343.85</v>
      </c>
      <c r="H18" s="21">
        <f>H17*H28</f>
        <v>963.83403828767143</v>
      </c>
      <c r="I18" s="21">
        <f>I17*I28</f>
        <v>1063.9746358664383</v>
      </c>
      <c r="J18" s="22">
        <f>J17*J28</f>
        <v>1174.0042932030824</v>
      </c>
    </row>
    <row r="19" spans="1:15" ht="15" thickBot="1" x14ac:dyDescent="0.35">
      <c r="B19" s="25" t="s">
        <v>10</v>
      </c>
      <c r="C19" s="5"/>
      <c r="D19" s="80">
        <f t="shared" ref="D19:J19" si="5">D17-D18</f>
        <v>925.06</v>
      </c>
      <c r="E19" s="80">
        <f t="shared" si="5"/>
        <v>1507.01</v>
      </c>
      <c r="F19" s="80">
        <f t="shared" si="5"/>
        <v>2023.3599999999997</v>
      </c>
      <c r="G19" s="80">
        <f t="shared" si="5"/>
        <v>1374.0300000000002</v>
      </c>
      <c r="H19" s="80">
        <f t="shared" si="5"/>
        <v>2891.5021148630144</v>
      </c>
      <c r="I19" s="80">
        <f t="shared" si="5"/>
        <v>3191.923907599315</v>
      </c>
      <c r="J19" s="81">
        <f t="shared" si="5"/>
        <v>3522.0128796092472</v>
      </c>
    </row>
    <row r="20" spans="1:15" ht="15" thickTop="1" x14ac:dyDescent="0.3">
      <c r="B20" s="14"/>
      <c r="C20" s="1"/>
      <c r="D20" s="2"/>
      <c r="E20" s="2"/>
      <c r="F20" s="2"/>
      <c r="G20" s="2"/>
      <c r="H20" s="2"/>
      <c r="I20" s="2"/>
      <c r="J20" s="20"/>
    </row>
    <row r="22" spans="1:15" x14ac:dyDescent="0.3">
      <c r="A22" t="s">
        <v>70</v>
      </c>
      <c r="B22" s="59" t="s">
        <v>54</v>
      </c>
      <c r="C22" s="60"/>
      <c r="D22" s="60"/>
      <c r="E22" s="60"/>
      <c r="F22" s="60"/>
      <c r="G22" s="60"/>
      <c r="H22" s="60"/>
      <c r="I22" s="60"/>
      <c r="J22" s="61"/>
    </row>
    <row r="23" spans="1:15" x14ac:dyDescent="0.3">
      <c r="B23" s="8" t="s">
        <v>11</v>
      </c>
      <c r="C23" s="9"/>
      <c r="D23" s="40" t="s">
        <v>14</v>
      </c>
      <c r="E23" s="26">
        <f>(E10/D10)-1</f>
        <v>0.43069961228767295</v>
      </c>
      <c r="F23" s="26">
        <f>(F10/E10)-1</f>
        <v>0.20727543055383468</v>
      </c>
      <c r="G23" s="26">
        <f>(G10/F10)-1</f>
        <v>-0.10458296045123516</v>
      </c>
      <c r="H23" s="27">
        <v>0.1</v>
      </c>
      <c r="I23" s="26">
        <f t="shared" ref="I23:I28" si="6">H23</f>
        <v>0.1</v>
      </c>
      <c r="J23" s="28">
        <f t="shared" ref="J23:J28" si="7">H23</f>
        <v>0.1</v>
      </c>
    </row>
    <row r="24" spans="1:15" x14ac:dyDescent="0.3">
      <c r="B24" s="8" t="s">
        <v>12</v>
      </c>
      <c r="C24" s="9"/>
      <c r="D24" s="26">
        <f>D11/D10</f>
        <v>0.54525201301261272</v>
      </c>
      <c r="E24" s="26">
        <f>E11/E10</f>
        <v>0.53036897534382355</v>
      </c>
      <c r="F24" s="26">
        <f>F11/F10</f>
        <v>0.51891559043998725</v>
      </c>
      <c r="G24" s="26">
        <f>G11/G10</f>
        <v>0.54610772513338879</v>
      </c>
      <c r="H24" s="27">
        <v>0.52</v>
      </c>
      <c r="I24" s="26">
        <f t="shared" si="6"/>
        <v>0.52</v>
      </c>
      <c r="J24" s="28">
        <f t="shared" si="7"/>
        <v>0.52</v>
      </c>
    </row>
    <row r="25" spans="1:15" x14ac:dyDescent="0.3">
      <c r="B25" s="8" t="s">
        <v>47</v>
      </c>
      <c r="C25" s="9"/>
      <c r="D25" s="26">
        <f>D13/D10</f>
        <v>0.19880963523275505</v>
      </c>
      <c r="E25" s="26">
        <f>E13/E10</f>
        <v>0.20510667823070253</v>
      </c>
      <c r="F25" s="26">
        <f>F13/F10</f>
        <v>0.21013637221980477</v>
      </c>
      <c r="G25" s="26">
        <f>G13/G10</f>
        <v>0.22380706559362706</v>
      </c>
      <c r="H25" s="27">
        <v>0.2</v>
      </c>
      <c r="I25" s="29">
        <f t="shared" si="6"/>
        <v>0.2</v>
      </c>
      <c r="J25" s="30">
        <f t="shared" si="7"/>
        <v>0.2</v>
      </c>
    </row>
    <row r="26" spans="1:15" x14ac:dyDescent="0.3">
      <c r="B26" s="8" t="s">
        <v>13</v>
      </c>
      <c r="C26" s="9"/>
      <c r="D26" s="26">
        <f>D15/D10</f>
        <v>5.4398847357061221E-2</v>
      </c>
      <c r="E26" s="26">
        <f>E15/E10</f>
        <v>4.1554206418039898E-2</v>
      </c>
      <c r="F26" s="26">
        <f>F15/F10</f>
        <v>3.846008587919441E-2</v>
      </c>
      <c r="G26" s="26">
        <f>G15/G10</f>
        <v>5.0966936821537329E-2</v>
      </c>
      <c r="H26" s="27">
        <v>0.05</v>
      </c>
      <c r="I26" s="26">
        <f t="shared" si="6"/>
        <v>0.05</v>
      </c>
      <c r="J26" s="28">
        <f t="shared" si="7"/>
        <v>0.05</v>
      </c>
    </row>
    <row r="27" spans="1:15" x14ac:dyDescent="0.3">
      <c r="B27" s="8" t="s">
        <v>65</v>
      </c>
      <c r="C27" s="9"/>
      <c r="D27" s="26">
        <f>D16/D43</f>
        <v>5.0908674753948266E-2</v>
      </c>
      <c r="E27" s="26">
        <f t="shared" ref="E27:G27" si="8">E16/E43</f>
        <v>3.4037262604057802E-2</v>
      </c>
      <c r="F27" s="26">
        <f t="shared" si="8"/>
        <v>5.7849608128294379E-2</v>
      </c>
      <c r="G27" s="26">
        <f t="shared" si="8"/>
        <v>6.5235870868417908E-2</v>
      </c>
      <c r="H27" s="27">
        <v>0.05</v>
      </c>
      <c r="I27" s="26">
        <f t="shared" si="6"/>
        <v>0.05</v>
      </c>
      <c r="J27" s="28">
        <f t="shared" si="7"/>
        <v>0.05</v>
      </c>
    </row>
    <row r="28" spans="1:15" x14ac:dyDescent="0.3">
      <c r="B28" s="8" t="s">
        <v>15</v>
      </c>
      <c r="C28" s="9"/>
      <c r="D28" s="26">
        <f>D18/D17</f>
        <v>0.29383115643869706</v>
      </c>
      <c r="E28" s="26">
        <f t="shared" ref="E28:G28" si="9">E18/E17</f>
        <v>0.30070439527804588</v>
      </c>
      <c r="F28" s="26">
        <f t="shared" si="9"/>
        <v>0.23815261346607128</v>
      </c>
      <c r="G28" s="26">
        <f t="shared" si="9"/>
        <v>0.20015949891727008</v>
      </c>
      <c r="H28" s="27">
        <v>0.25</v>
      </c>
      <c r="I28" s="29">
        <f t="shared" si="6"/>
        <v>0.25</v>
      </c>
      <c r="J28" s="30">
        <f t="shared" si="7"/>
        <v>0.25</v>
      </c>
      <c r="O28" s="6"/>
    </row>
    <row r="29" spans="1:15" x14ac:dyDescent="0.3">
      <c r="B29" s="8" t="s">
        <v>48</v>
      </c>
      <c r="C29" s="9"/>
      <c r="D29" s="26">
        <f>D14/D10</f>
        <v>0.25593835175463225</v>
      </c>
      <c r="E29" s="26">
        <f t="shared" ref="E29:J29" si="10">E14/E10</f>
        <v>0.2645243464254739</v>
      </c>
      <c r="F29" s="26">
        <f t="shared" si="10"/>
        <v>0.270948037340208</v>
      </c>
      <c r="G29" s="26">
        <f t="shared" si="10"/>
        <v>0.2300852092729842</v>
      </c>
      <c r="H29" s="26">
        <f t="shared" si="10"/>
        <v>0.38400000000000006</v>
      </c>
      <c r="I29" s="26">
        <f t="shared" si="10"/>
        <v>0.38400000000000001</v>
      </c>
      <c r="J29" s="28">
        <f t="shared" si="10"/>
        <v>0.38400000000000001</v>
      </c>
      <c r="O29" s="6"/>
    </row>
    <row r="30" spans="1:15" x14ac:dyDescent="0.3">
      <c r="B30" s="11" t="s">
        <v>49</v>
      </c>
      <c r="C30" s="1"/>
      <c r="D30" s="32">
        <f t="shared" ref="D30:J30" si="11">D17/D10</f>
        <v>0.1857686602511196</v>
      </c>
      <c r="E30" s="32">
        <f t="shared" si="11"/>
        <v>0.21360822698550366</v>
      </c>
      <c r="F30" s="32">
        <f t="shared" si="11"/>
        <v>0.21805269337186675</v>
      </c>
      <c r="G30" s="32">
        <f t="shared" si="11"/>
        <v>0.15751566326703706</v>
      </c>
      <c r="H30" s="32">
        <f t="shared" si="11"/>
        <v>0.32136641530730126</v>
      </c>
      <c r="I30" s="32">
        <f t="shared" si="11"/>
        <v>0.32250527214844327</v>
      </c>
      <c r="J30" s="71">
        <f t="shared" si="11"/>
        <v>0.32350615181260056</v>
      </c>
      <c r="O30" s="6"/>
    </row>
    <row r="32" spans="1:15" x14ac:dyDescent="0.3">
      <c r="A32" t="s">
        <v>70</v>
      </c>
      <c r="B32" s="59" t="s">
        <v>16</v>
      </c>
      <c r="C32" s="60"/>
      <c r="D32" s="60"/>
      <c r="E32" s="60"/>
      <c r="F32" s="60"/>
      <c r="G32" s="60"/>
      <c r="H32" s="60"/>
      <c r="I32" s="60"/>
      <c r="J32" s="61"/>
      <c r="L32" s="49"/>
      <c r="M32" s="49"/>
      <c r="N32" s="49"/>
      <c r="O32" s="49"/>
    </row>
    <row r="33" spans="2:19" x14ac:dyDescent="0.3">
      <c r="B33" s="57" t="s">
        <v>64</v>
      </c>
      <c r="C33" s="55"/>
      <c r="D33" s="55"/>
      <c r="E33" s="55"/>
      <c r="F33" s="55"/>
      <c r="G33" s="55"/>
      <c r="H33" s="55"/>
      <c r="I33" s="55"/>
      <c r="J33" s="56"/>
    </row>
    <row r="34" spans="2:19" x14ac:dyDescent="0.3">
      <c r="B34" s="8" t="s">
        <v>17</v>
      </c>
      <c r="C34" s="9"/>
      <c r="D34" s="67">
        <v>230.43</v>
      </c>
      <c r="E34" s="67">
        <v>346.93</v>
      </c>
      <c r="F34" s="67">
        <v>945.33000000000015</v>
      </c>
      <c r="G34" s="67">
        <v>1734.1999999999994</v>
      </c>
      <c r="H34" s="16">
        <f>H89</f>
        <v>6223.6604170595583</v>
      </c>
      <c r="I34" s="16">
        <f t="shared" ref="I34:J34" si="12">I89</f>
        <v>8174.9899177278403</v>
      </c>
      <c r="J34" s="51">
        <f t="shared" si="12"/>
        <v>10338.320174712951</v>
      </c>
    </row>
    <row r="35" spans="2:19" x14ac:dyDescent="0.3">
      <c r="B35" s="8" t="s">
        <v>18</v>
      </c>
      <c r="C35" s="9"/>
      <c r="D35" s="67">
        <v>1012</v>
      </c>
      <c r="E35" s="67">
        <v>1350.99</v>
      </c>
      <c r="F35" s="67">
        <v>1436.38</v>
      </c>
      <c r="G35" s="67">
        <v>1538</v>
      </c>
      <c r="H35" s="16">
        <f>(H51*H10)/365</f>
        <v>1577.648087671233</v>
      </c>
      <c r="I35" s="16">
        <f>(I51*I10)/365</f>
        <v>1735.4128964383563</v>
      </c>
      <c r="J35" s="51">
        <f>(J51*J10)/365</f>
        <v>1908.9541860821921</v>
      </c>
    </row>
    <row r="36" spans="2:19" x14ac:dyDescent="0.3">
      <c r="B36" s="8" t="s">
        <v>19</v>
      </c>
      <c r="C36" s="9"/>
      <c r="D36" s="67">
        <v>1286.7</v>
      </c>
      <c r="E36" s="67">
        <v>1750.88</v>
      </c>
      <c r="F36" s="67">
        <v>1848.67</v>
      </c>
      <c r="G36" s="67">
        <v>1901.01</v>
      </c>
      <c r="H36" s="16">
        <f>(H53*H11)/365</f>
        <v>1965.4865758904109</v>
      </c>
      <c r="I36" s="16">
        <f>(I53*I11)/365</f>
        <v>2162.0352334794525</v>
      </c>
      <c r="J36" s="51">
        <f>(J53*J11)/365</f>
        <v>2378.2387568273975</v>
      </c>
    </row>
    <row r="37" spans="2:19" x14ac:dyDescent="0.3">
      <c r="B37" s="8" t="s">
        <v>20</v>
      </c>
      <c r="C37" s="9"/>
      <c r="D37" s="67">
        <v>6331.71</v>
      </c>
      <c r="E37" s="67">
        <v>7731.02</v>
      </c>
      <c r="F37" s="67">
        <v>9803.15</v>
      </c>
      <c r="G37" s="67">
        <v>11183.34</v>
      </c>
      <c r="H37" s="16">
        <f>H62</f>
        <v>10431.912173913044</v>
      </c>
      <c r="I37" s="16">
        <f t="shared" ref="I37:J37" si="13">I62</f>
        <v>11475.10339130435</v>
      </c>
      <c r="J37" s="51">
        <f t="shared" si="13"/>
        <v>12622.613730434787</v>
      </c>
    </row>
    <row r="38" spans="2:19" x14ac:dyDescent="0.3">
      <c r="B38" s="8" t="s">
        <v>52</v>
      </c>
      <c r="C38" s="9"/>
      <c r="D38" s="67">
        <v>1128.29</v>
      </c>
      <c r="E38" s="67">
        <v>904.63</v>
      </c>
      <c r="F38" s="67">
        <v>1182.69</v>
      </c>
      <c r="G38" s="67">
        <v>1180.94</v>
      </c>
      <c r="H38" s="16">
        <f>H10*H55</f>
        <v>1079.70291</v>
      </c>
      <c r="I38" s="16">
        <f t="shared" ref="I38:J38" si="14">I10*I55</f>
        <v>1187.6732010000001</v>
      </c>
      <c r="J38" s="51">
        <f t="shared" si="14"/>
        <v>1306.4405211000003</v>
      </c>
      <c r="S38" s="50"/>
    </row>
    <row r="39" spans="2:19" x14ac:dyDescent="0.3">
      <c r="B39" s="8" t="s">
        <v>51</v>
      </c>
      <c r="C39" s="9"/>
      <c r="D39" s="67">
        <v>722.17000000000007</v>
      </c>
      <c r="E39" s="67">
        <v>872.19</v>
      </c>
      <c r="F39" s="67">
        <v>744.79</v>
      </c>
      <c r="G39" s="67">
        <v>1191.3699999999999</v>
      </c>
      <c r="H39" s="16">
        <f>H10*H54</f>
        <v>719.80194000000006</v>
      </c>
      <c r="I39" s="16">
        <f t="shared" ref="I39:J39" si="15">I10*I54</f>
        <v>663.07266957074012</v>
      </c>
      <c r="J39" s="51">
        <f t="shared" si="15"/>
        <v>614.69478118334018</v>
      </c>
    </row>
    <row r="40" spans="2:19" x14ac:dyDescent="0.3">
      <c r="B40" s="14" t="s">
        <v>21</v>
      </c>
      <c r="C40" s="1"/>
      <c r="D40" s="77">
        <f t="shared" ref="D40:F40" si="16">SUM(D34:D39)</f>
        <v>10711.300000000001</v>
      </c>
      <c r="E40" s="77">
        <f t="shared" si="16"/>
        <v>12956.64</v>
      </c>
      <c r="F40" s="77">
        <f t="shared" si="16"/>
        <v>15961.009999999998</v>
      </c>
      <c r="G40" s="77">
        <f>SUM(G34:G39)</f>
        <v>18728.859999999997</v>
      </c>
      <c r="H40" s="77">
        <f t="shared" ref="H40:J40" si="17">SUM(H34:H39)</f>
        <v>21998.212104534246</v>
      </c>
      <c r="I40" s="77">
        <f t="shared" si="17"/>
        <v>25398.287309520743</v>
      </c>
      <c r="J40" s="79">
        <f t="shared" si="17"/>
        <v>29169.26215034067</v>
      </c>
    </row>
    <row r="41" spans="2:19" x14ac:dyDescent="0.3">
      <c r="B41" s="54" t="s">
        <v>25</v>
      </c>
      <c r="C41" s="55"/>
      <c r="D41" s="58"/>
      <c r="E41" s="58"/>
      <c r="F41" s="58"/>
      <c r="G41" s="58"/>
      <c r="H41" s="55"/>
      <c r="I41" s="55"/>
      <c r="J41" s="56"/>
    </row>
    <row r="42" spans="2:19" x14ac:dyDescent="0.3">
      <c r="B42" s="8" t="s">
        <v>22</v>
      </c>
      <c r="C42" s="9"/>
      <c r="D42" s="67">
        <v>1196.49</v>
      </c>
      <c r="E42" s="67">
        <v>1340.37</v>
      </c>
      <c r="F42" s="67">
        <v>1649.17</v>
      </c>
      <c r="G42" s="67">
        <v>1567.81</v>
      </c>
      <c r="H42" s="16">
        <f>(H52*H11)/365</f>
        <v>2050.9425139726027</v>
      </c>
      <c r="I42" s="16">
        <f>(I52*I11)/365</f>
        <v>2256.0367653698636</v>
      </c>
      <c r="J42" s="51">
        <f>(J52*J11)/365</f>
        <v>2481.6404419068499</v>
      </c>
    </row>
    <row r="43" spans="2:19" x14ac:dyDescent="0.3">
      <c r="B43" s="8" t="s">
        <v>23</v>
      </c>
      <c r="C43" s="9"/>
      <c r="D43" s="67">
        <v>2184.5</v>
      </c>
      <c r="E43" s="67">
        <v>2774.9</v>
      </c>
      <c r="F43" s="67">
        <v>3039.26</v>
      </c>
      <c r="G43" s="67">
        <v>3611.51</v>
      </c>
      <c r="H43" s="16">
        <f>G43+H80</f>
        <v>4011.51</v>
      </c>
      <c r="I43" s="16">
        <f>H43+I80</f>
        <v>3811.51</v>
      </c>
      <c r="J43" s="51">
        <f>I43+J80</f>
        <v>3611.51</v>
      </c>
    </row>
    <row r="44" spans="2:19" x14ac:dyDescent="0.3">
      <c r="B44" s="8" t="s">
        <v>24</v>
      </c>
      <c r="C44" s="9"/>
      <c r="D44" s="67">
        <v>6295.27</v>
      </c>
      <c r="E44" s="67">
        <v>7624.7999999999993</v>
      </c>
      <c r="F44" s="67">
        <v>9253.5500000000011</v>
      </c>
      <c r="G44" s="67">
        <v>11013.71</v>
      </c>
      <c r="H44" s="16">
        <f>G44+H19-H83</f>
        <v>13905.212114863014</v>
      </c>
      <c r="I44" s="16">
        <f t="shared" ref="I44:J44" si="18">H44+I19-I83</f>
        <v>17097.136022462328</v>
      </c>
      <c r="J44" s="51">
        <f t="shared" si="18"/>
        <v>20619.148902071574</v>
      </c>
    </row>
    <row r="45" spans="2:19" x14ac:dyDescent="0.3">
      <c r="B45" s="42" t="s">
        <v>50</v>
      </c>
      <c r="D45" s="67">
        <v>605.98</v>
      </c>
      <c r="E45" s="67">
        <v>309.95999999999998</v>
      </c>
      <c r="F45" s="67">
        <v>723.05</v>
      </c>
      <c r="G45" s="67">
        <v>825.07</v>
      </c>
      <c r="H45" s="16">
        <f>H10*H57</f>
        <v>710.91238604099999</v>
      </c>
      <c r="I45" s="16">
        <f t="shared" ref="I45:J45" si="19">I10*I57</f>
        <v>782.0036246451001</v>
      </c>
      <c r="J45" s="51">
        <f t="shared" si="19"/>
        <v>860.20398710961013</v>
      </c>
    </row>
    <row r="46" spans="2:19" x14ac:dyDescent="0.3">
      <c r="B46" s="42" t="s">
        <v>53</v>
      </c>
      <c r="D46" s="67">
        <v>429.06</v>
      </c>
      <c r="E46" s="67">
        <v>906.61</v>
      </c>
      <c r="F46" s="67">
        <v>1295.98</v>
      </c>
      <c r="G46" s="67">
        <v>1710.76</v>
      </c>
      <c r="H46" s="16">
        <f>H10*H56</f>
        <v>1319.63689</v>
      </c>
      <c r="I46" s="16">
        <f t="shared" ref="I46:J46" si="20">I10*I56</f>
        <v>1451.6005790000002</v>
      </c>
      <c r="J46" s="51">
        <f t="shared" si="20"/>
        <v>1596.7606369000002</v>
      </c>
    </row>
    <row r="47" spans="2:19" x14ac:dyDescent="0.3">
      <c r="B47" s="14" t="s">
        <v>25</v>
      </c>
      <c r="C47" s="1"/>
      <c r="D47" s="77">
        <f t="shared" ref="D47:J47" si="21">SUM(D42:D46)</f>
        <v>10711.3</v>
      </c>
      <c r="E47" s="77">
        <f t="shared" si="21"/>
        <v>12956.64</v>
      </c>
      <c r="F47" s="77">
        <f t="shared" si="21"/>
        <v>15961.01</v>
      </c>
      <c r="G47" s="77">
        <f t="shared" si="21"/>
        <v>18728.859999999997</v>
      </c>
      <c r="H47" s="77">
        <f t="shared" si="21"/>
        <v>21998.213904876618</v>
      </c>
      <c r="I47" s="77">
        <f t="shared" si="21"/>
        <v>25398.286991477296</v>
      </c>
      <c r="J47" s="78">
        <f t="shared" si="21"/>
        <v>29169.263967988034</v>
      </c>
    </row>
    <row r="48" spans="2:19" x14ac:dyDescent="0.3">
      <c r="B48" s="43"/>
      <c r="C48" s="43"/>
      <c r="D48" s="44"/>
      <c r="E48" s="44"/>
      <c r="F48" s="44"/>
      <c r="G48" s="44"/>
      <c r="H48" s="44"/>
      <c r="I48" s="44"/>
      <c r="J48" s="84"/>
      <c r="N48" s="6"/>
    </row>
    <row r="49" spans="1:15" x14ac:dyDescent="0.3">
      <c r="B49" s="39"/>
      <c r="C49" s="9"/>
      <c r="D49" s="16"/>
      <c r="E49" s="16"/>
      <c r="F49" s="16"/>
      <c r="G49" s="16"/>
      <c r="H49" s="9"/>
      <c r="I49" s="9"/>
      <c r="J49" s="12"/>
    </row>
    <row r="50" spans="1:15" x14ac:dyDescent="0.3">
      <c r="A50" t="s">
        <v>70</v>
      </c>
      <c r="B50" s="59" t="s">
        <v>55</v>
      </c>
      <c r="C50" s="60"/>
      <c r="D50" s="60"/>
      <c r="E50" s="60"/>
      <c r="F50" s="60"/>
      <c r="G50" s="60"/>
      <c r="H50" s="60"/>
      <c r="I50" s="60"/>
      <c r="J50" s="61"/>
    </row>
    <row r="51" spans="1:15" x14ac:dyDescent="0.3">
      <c r="B51" s="46" t="s">
        <v>56</v>
      </c>
      <c r="C51" s="45"/>
      <c r="D51" s="16">
        <f>D35/D10*365</f>
        <v>52.382289459726984</v>
      </c>
      <c r="E51" s="16">
        <f>E35/E10*365</f>
        <v>48.877348531780456</v>
      </c>
      <c r="F51" s="16">
        <f>F35/F10*365</f>
        <v>43.044581646811558</v>
      </c>
      <c r="G51" s="16">
        <f>G35/G10*365</f>
        <v>51.473076052003968</v>
      </c>
      <c r="H51" s="67">
        <v>48</v>
      </c>
      <c r="I51" s="16">
        <f>H51</f>
        <v>48</v>
      </c>
      <c r="J51" s="51">
        <f t="shared" ref="J51:J58" si="22">H51</f>
        <v>48</v>
      </c>
      <c r="L51" s="49"/>
      <c r="M51" s="49"/>
      <c r="N51" s="49"/>
      <c r="O51" s="49"/>
    </row>
    <row r="52" spans="1:15" x14ac:dyDescent="0.3">
      <c r="B52" s="46" t="s">
        <v>57</v>
      </c>
      <c r="C52" s="45"/>
      <c r="D52" s="47">
        <f>D42/D11*365</f>
        <v>113.58363394721853</v>
      </c>
      <c r="E52" s="47">
        <f>E42/E11*365</f>
        <v>91.432815151492491</v>
      </c>
      <c r="F52" s="47">
        <f>F42/F11*365</f>
        <v>95.239662739662734</v>
      </c>
      <c r="G52" s="47">
        <f>G42/G11*365</f>
        <v>96.081305931933045</v>
      </c>
      <c r="H52" s="67">
        <v>120</v>
      </c>
      <c r="I52" s="16">
        <f>H52</f>
        <v>120</v>
      </c>
      <c r="J52" s="51">
        <f t="shared" si="22"/>
        <v>120</v>
      </c>
      <c r="L52" s="48"/>
    </row>
    <row r="53" spans="1:15" x14ac:dyDescent="0.3">
      <c r="B53" s="46" t="s">
        <v>58</v>
      </c>
      <c r="C53" s="45"/>
      <c r="D53" s="47">
        <f>D36/D11*365</f>
        <v>122.14733244731347</v>
      </c>
      <c r="E53" s="47">
        <f>E36/E11*365</f>
        <v>119.4355941959647</v>
      </c>
      <c r="F53" s="47">
        <f>F36/F11*365</f>
        <v>106.76079926079926</v>
      </c>
      <c r="G53" s="47">
        <f>G36/G11*365</f>
        <v>116.50105777464364</v>
      </c>
      <c r="H53" s="67">
        <v>115</v>
      </c>
      <c r="I53" s="47">
        <f>H53</f>
        <v>115</v>
      </c>
      <c r="J53" s="51">
        <f t="shared" si="22"/>
        <v>115</v>
      </c>
    </row>
    <row r="54" spans="1:15" x14ac:dyDescent="0.3">
      <c r="B54" s="46" t="s">
        <v>66</v>
      </c>
      <c r="C54" s="45"/>
      <c r="D54" s="49">
        <f>D39/D10</f>
        <v>0.10241192803923072</v>
      </c>
      <c r="E54" s="49">
        <f>E39/E10</f>
        <v>8.6451740800396484E-2</v>
      </c>
      <c r="F54" s="49">
        <f>F39/F10</f>
        <v>6.114910631450176E-2</v>
      </c>
      <c r="G54" s="49">
        <f>G39/G10</f>
        <v>0.10923896648569743</v>
      </c>
      <c r="H54" s="82">
        <v>0.06</v>
      </c>
      <c r="I54" s="83">
        <v>5.0246600000000002E-2</v>
      </c>
      <c r="J54" s="28">
        <v>4.2346000000000002E-2</v>
      </c>
      <c r="K54" s="49"/>
      <c r="L54" s="49"/>
    </row>
    <row r="55" spans="1:15" x14ac:dyDescent="0.3">
      <c r="B55" s="46" t="s">
        <v>67</v>
      </c>
      <c r="C55" s="45"/>
      <c r="D55" s="49">
        <f>D38/D10</f>
        <v>0.16000436779066371</v>
      </c>
      <c r="E55" s="49">
        <f>E38/E10</f>
        <v>8.9667203568331064E-2</v>
      </c>
      <c r="F55" s="49">
        <f>F38/F10</f>
        <v>9.710178244484767E-2</v>
      </c>
      <c r="G55" s="49">
        <f>G38/G10</f>
        <v>0.1082826200774063</v>
      </c>
      <c r="H55" s="82">
        <v>0.09</v>
      </c>
      <c r="I55" s="83">
        <f>H55</f>
        <v>0.09</v>
      </c>
      <c r="J55" s="28">
        <f t="shared" si="22"/>
        <v>0.09</v>
      </c>
    </row>
    <row r="56" spans="1:15" x14ac:dyDescent="0.3">
      <c r="B56" s="46" t="s">
        <v>68</v>
      </c>
      <c r="C56" s="45"/>
      <c r="D56" s="49">
        <f>D46/D10</f>
        <v>6.0845592927582598E-2</v>
      </c>
      <c r="E56" s="49">
        <f>E46/E10</f>
        <v>8.9863461776731504E-2</v>
      </c>
      <c r="F56" s="49">
        <f>F46/F10</f>
        <v>0.10640317243983942</v>
      </c>
      <c r="G56" s="49">
        <f>G46/G10</f>
        <v>0.15686281701324672</v>
      </c>
      <c r="H56" s="82">
        <v>0.11</v>
      </c>
      <c r="I56" s="83">
        <f t="shared" ref="I56:I57" si="23">H56</f>
        <v>0.11</v>
      </c>
      <c r="J56" s="28">
        <f t="shared" si="22"/>
        <v>0.11</v>
      </c>
    </row>
    <row r="57" spans="1:15" x14ac:dyDescent="0.3">
      <c r="B57" s="46" t="s">
        <v>69</v>
      </c>
      <c r="C57" s="45"/>
      <c r="D57" s="49">
        <f>D45/D10</f>
        <v>8.5934863194556718E-2</v>
      </c>
      <c r="E57" s="49">
        <f>E45/E10</f>
        <v>3.0723330442324368E-2</v>
      </c>
      <c r="F57" s="49">
        <f>F45/F10</f>
        <v>5.9364198392433433E-2</v>
      </c>
      <c r="G57" s="49">
        <f>G45/G10</f>
        <v>7.5652227333535674E-2</v>
      </c>
      <c r="H57" s="88">
        <v>5.9258999999999999E-2</v>
      </c>
      <c r="I57" s="83">
        <f t="shared" si="23"/>
        <v>5.9258999999999999E-2</v>
      </c>
      <c r="J57" s="28">
        <f t="shared" si="22"/>
        <v>5.9258999999999999E-2</v>
      </c>
    </row>
    <row r="58" spans="1:15" x14ac:dyDescent="0.3">
      <c r="B58" s="46" t="s">
        <v>59</v>
      </c>
      <c r="C58" s="45"/>
      <c r="D58" s="47">
        <f>D10/D37</f>
        <v>1.1136991428855711</v>
      </c>
      <c r="E58" s="47">
        <f>E10/E37</f>
        <v>1.304970107437311</v>
      </c>
      <c r="F58" s="47">
        <f>F10/F37</f>
        <v>1.2424475806245951</v>
      </c>
      <c r="G58" s="47">
        <f>G10/G37</f>
        <v>0.97520865859394423</v>
      </c>
      <c r="H58" s="85">
        <v>1.1499999999999999</v>
      </c>
      <c r="I58" s="86">
        <f>H58</f>
        <v>1.1499999999999999</v>
      </c>
      <c r="J58" s="87">
        <f t="shared" si="22"/>
        <v>1.1499999999999999</v>
      </c>
      <c r="L58" s="50"/>
    </row>
    <row r="59" spans="1:15" x14ac:dyDescent="0.3">
      <c r="B59" s="46" t="s">
        <v>60</v>
      </c>
      <c r="C59" s="45"/>
      <c r="D59" s="40" t="s">
        <v>14</v>
      </c>
      <c r="E59" s="47">
        <f>D62</f>
        <v>6331.71</v>
      </c>
      <c r="F59" s="47">
        <f t="shared" ref="F59:G59" si="24">E62</f>
        <v>7731.02</v>
      </c>
      <c r="G59" s="47">
        <f t="shared" si="24"/>
        <v>9803.15</v>
      </c>
      <c r="H59" s="47">
        <f>G62</f>
        <v>11183.34</v>
      </c>
      <c r="I59" s="47">
        <f t="shared" ref="I59:J59" si="25">H62</f>
        <v>10431.912173913044</v>
      </c>
      <c r="J59" s="53">
        <f t="shared" si="25"/>
        <v>11475.10339130435</v>
      </c>
      <c r="L59" s="50"/>
    </row>
    <row r="60" spans="1:15" x14ac:dyDescent="0.3">
      <c r="B60" s="46" t="s">
        <v>61</v>
      </c>
      <c r="C60" s="45"/>
      <c r="D60" s="40" t="s">
        <v>14</v>
      </c>
      <c r="E60" s="47">
        <f>(E62+E61)-E59</f>
        <v>1818.54</v>
      </c>
      <c r="F60" s="47">
        <f t="shared" ref="F60:G60" si="26">(F62+F61)-F59</f>
        <v>2540.5699999999997</v>
      </c>
      <c r="G60" s="47">
        <f t="shared" si="26"/>
        <v>1936.0400000000009</v>
      </c>
      <c r="H60" s="47">
        <f t="shared" ref="H60" si="27">(H62+H61)-H59</f>
        <v>-151.59287608695558</v>
      </c>
      <c r="I60" s="47">
        <f t="shared" ref="I60" si="28">(I62+I61)-I59</f>
        <v>1703.0096623913068</v>
      </c>
      <c r="J60" s="53">
        <f t="shared" ref="J60" si="29">(J62+J61)-J59</f>
        <v>1873.3106286304373</v>
      </c>
      <c r="L60" s="50"/>
    </row>
    <row r="61" spans="1:15" x14ac:dyDescent="0.3">
      <c r="B61" s="46" t="s">
        <v>62</v>
      </c>
      <c r="C61" s="45"/>
      <c r="D61" s="52">
        <f t="shared" ref="D61:J61" si="30">D15</f>
        <v>383.6</v>
      </c>
      <c r="E61" s="52">
        <f t="shared" si="30"/>
        <v>419.23</v>
      </c>
      <c r="F61" s="52">
        <f t="shared" si="30"/>
        <v>468.44</v>
      </c>
      <c r="G61" s="52">
        <f t="shared" si="30"/>
        <v>555.85</v>
      </c>
      <c r="H61" s="47">
        <f t="shared" si="30"/>
        <v>599.83495000000005</v>
      </c>
      <c r="I61" s="47">
        <f t="shared" si="30"/>
        <v>659.81844500000011</v>
      </c>
      <c r="J61" s="53">
        <f t="shared" si="30"/>
        <v>725.80028950000019</v>
      </c>
    </row>
    <row r="62" spans="1:15" x14ac:dyDescent="0.3">
      <c r="B62" s="73" t="s">
        <v>63</v>
      </c>
      <c r="C62" s="74"/>
      <c r="D62" s="75">
        <f>D37</f>
        <v>6331.71</v>
      </c>
      <c r="E62" s="75">
        <f>E37</f>
        <v>7731.02</v>
      </c>
      <c r="F62" s="75">
        <f>F37</f>
        <v>9803.15</v>
      </c>
      <c r="G62" s="75">
        <f>G37</f>
        <v>11183.34</v>
      </c>
      <c r="H62" s="75">
        <f>H10/H58</f>
        <v>10431.912173913044</v>
      </c>
      <c r="I62" s="75">
        <f>I10/I58</f>
        <v>11475.10339130435</v>
      </c>
      <c r="J62" s="76">
        <f>J10/J58</f>
        <v>12622.613730434787</v>
      </c>
    </row>
    <row r="63" spans="1:15" x14ac:dyDescent="0.3">
      <c r="B63" s="46"/>
      <c r="C63" s="45"/>
      <c r="D63" s="47"/>
      <c r="E63" s="47"/>
      <c r="F63" s="47"/>
      <c r="G63" s="47"/>
      <c r="H63" s="15"/>
      <c r="I63" s="47"/>
      <c r="J63" s="16"/>
    </row>
    <row r="65" spans="1:10" x14ac:dyDescent="0.3">
      <c r="A65" t="s">
        <v>70</v>
      </c>
      <c r="B65" s="59" t="s">
        <v>26</v>
      </c>
      <c r="C65" s="60"/>
      <c r="D65" s="60"/>
      <c r="E65" s="60"/>
      <c r="F65" s="60"/>
      <c r="G65" s="60"/>
      <c r="H65" s="60"/>
      <c r="I65" s="60"/>
      <c r="J65" s="61"/>
    </row>
    <row r="66" spans="1:10" x14ac:dyDescent="0.3">
      <c r="B66" s="54" t="s">
        <v>27</v>
      </c>
      <c r="C66" s="55"/>
      <c r="D66" s="55"/>
      <c r="E66" s="55"/>
      <c r="F66" s="55"/>
      <c r="G66" s="55"/>
      <c r="H66" s="55"/>
      <c r="I66" s="55"/>
      <c r="J66" s="56"/>
    </row>
    <row r="67" spans="1:10" x14ac:dyDescent="0.3">
      <c r="B67" s="8" t="s">
        <v>10</v>
      </c>
      <c r="C67" s="9"/>
      <c r="D67" s="17">
        <f>D19</f>
        <v>925.06</v>
      </c>
      <c r="E67" s="17">
        <f t="shared" ref="E67:J67" si="31">E19</f>
        <v>1507.01</v>
      </c>
      <c r="F67" s="17">
        <f t="shared" si="31"/>
        <v>2023.3599999999997</v>
      </c>
      <c r="G67" s="17">
        <f t="shared" si="31"/>
        <v>1374.0300000000002</v>
      </c>
      <c r="H67" s="17">
        <f t="shared" si="31"/>
        <v>2891.5021148630144</v>
      </c>
      <c r="I67" s="17">
        <f t="shared" si="31"/>
        <v>3191.923907599315</v>
      </c>
      <c r="J67" s="19">
        <f t="shared" si="31"/>
        <v>3522.0128796092472</v>
      </c>
    </row>
    <row r="68" spans="1:10" x14ac:dyDescent="0.3">
      <c r="B68" s="8" t="s">
        <v>28</v>
      </c>
      <c r="C68" s="9"/>
      <c r="D68" s="16">
        <f>D16</f>
        <v>111.21</v>
      </c>
      <c r="E68" s="16">
        <f t="shared" ref="E68:J68" si="32">E16</f>
        <v>94.45</v>
      </c>
      <c r="F68" s="16">
        <f t="shared" si="32"/>
        <v>175.82</v>
      </c>
      <c r="G68" s="16">
        <f t="shared" si="32"/>
        <v>235.6</v>
      </c>
      <c r="H68" s="16">
        <f t="shared" si="32"/>
        <v>151.56131284931507</v>
      </c>
      <c r="I68" s="16">
        <f t="shared" si="32"/>
        <v>151.6886691342466</v>
      </c>
      <c r="J68" s="51">
        <f t="shared" si="32"/>
        <v>152.32876104767124</v>
      </c>
    </row>
    <row r="69" spans="1:10" x14ac:dyDescent="0.3">
      <c r="B69" s="8" t="s">
        <v>29</v>
      </c>
      <c r="C69" s="9"/>
      <c r="D69" s="16">
        <f>D15</f>
        <v>383.6</v>
      </c>
      <c r="E69" s="16">
        <f t="shared" ref="E69:J69" si="33">E15</f>
        <v>419.23</v>
      </c>
      <c r="F69" s="16">
        <f t="shared" si="33"/>
        <v>468.44</v>
      </c>
      <c r="G69" s="16">
        <f t="shared" si="33"/>
        <v>555.85</v>
      </c>
      <c r="H69" s="16">
        <f t="shared" si="33"/>
        <v>599.83495000000005</v>
      </c>
      <c r="I69" s="16">
        <f t="shared" si="33"/>
        <v>659.81844500000011</v>
      </c>
      <c r="J69" s="51">
        <f t="shared" si="33"/>
        <v>725.80028950000019</v>
      </c>
    </row>
    <row r="70" spans="1:10" x14ac:dyDescent="0.3">
      <c r="B70" s="8" t="s">
        <v>30</v>
      </c>
      <c r="C70" s="9"/>
      <c r="D70" s="40" t="s">
        <v>14</v>
      </c>
      <c r="E70" s="17">
        <f t="shared" ref="E70:J71" si="34">E35-D35</f>
        <v>338.99</v>
      </c>
      <c r="F70" s="17">
        <f t="shared" si="34"/>
        <v>85.3900000000001</v>
      </c>
      <c r="G70" s="17">
        <f t="shared" si="34"/>
        <v>101.61999999999989</v>
      </c>
      <c r="H70" s="17">
        <f t="shared" si="34"/>
        <v>39.648087671233043</v>
      </c>
      <c r="I70" s="17">
        <f t="shared" si="34"/>
        <v>157.76480876712321</v>
      </c>
      <c r="J70" s="19">
        <f t="shared" si="34"/>
        <v>173.54128964383585</v>
      </c>
    </row>
    <row r="71" spans="1:10" x14ac:dyDescent="0.3">
      <c r="B71" s="8" t="s">
        <v>31</v>
      </c>
      <c r="C71" s="9"/>
      <c r="D71" s="40" t="s">
        <v>14</v>
      </c>
      <c r="E71" s="17">
        <f t="shared" si="34"/>
        <v>464.18000000000006</v>
      </c>
      <c r="F71" s="17">
        <f t="shared" si="34"/>
        <v>97.789999999999964</v>
      </c>
      <c r="G71" s="17">
        <f t="shared" si="34"/>
        <v>52.339999999999918</v>
      </c>
      <c r="H71" s="17">
        <f t="shared" si="34"/>
        <v>64.476575890410913</v>
      </c>
      <c r="I71" s="17">
        <f t="shared" si="34"/>
        <v>196.54865758904157</v>
      </c>
      <c r="J71" s="19">
        <f t="shared" si="34"/>
        <v>216.20352334794507</v>
      </c>
    </row>
    <row r="72" spans="1:10" x14ac:dyDescent="0.3">
      <c r="B72" s="8" t="s">
        <v>32</v>
      </c>
      <c r="C72" s="9"/>
      <c r="D72" s="40" t="s">
        <v>14</v>
      </c>
      <c r="E72" s="17">
        <f t="shared" ref="E72:J72" si="35">E42-D42</f>
        <v>143.87999999999988</v>
      </c>
      <c r="F72" s="17">
        <f t="shared" si="35"/>
        <v>308.80000000000018</v>
      </c>
      <c r="G72" s="17">
        <f t="shared" si="35"/>
        <v>-81.360000000000127</v>
      </c>
      <c r="H72" s="17">
        <f t="shared" si="35"/>
        <v>483.13251397260274</v>
      </c>
      <c r="I72" s="17">
        <f t="shared" si="35"/>
        <v>205.0942513972609</v>
      </c>
      <c r="J72" s="19">
        <f t="shared" si="35"/>
        <v>225.60367653698631</v>
      </c>
    </row>
    <row r="73" spans="1:10" x14ac:dyDescent="0.3">
      <c r="B73" s="38" t="s">
        <v>33</v>
      </c>
      <c r="C73" s="13"/>
      <c r="D73" s="62"/>
      <c r="E73" s="63">
        <f>E67+E68+E69-E70-E71+E72</f>
        <v>1361.3999999999999</v>
      </c>
      <c r="F73" s="63">
        <f>F67+F68+F69-F70-F71+F72</f>
        <v>2793.24</v>
      </c>
      <c r="G73" s="63">
        <f t="shared" ref="G73" si="36">G67+G68+G69-G70-G71-G72</f>
        <v>2092.88</v>
      </c>
      <c r="H73" s="63">
        <f>H67+H68+H69-H70-H71+H72</f>
        <v>4021.9062281232882</v>
      </c>
      <c r="I73" s="63">
        <f t="shared" ref="I73:J73" si="37">I67+I68+I69-I70-I71+I72</f>
        <v>3854.2118067746574</v>
      </c>
      <c r="J73" s="64">
        <f t="shared" si="37"/>
        <v>4236.0007937021237</v>
      </c>
    </row>
    <row r="74" spans="1:10" x14ac:dyDescent="0.3">
      <c r="B74" s="8"/>
      <c r="C74" s="9"/>
      <c r="D74" s="9"/>
      <c r="E74" s="9"/>
      <c r="F74" s="9"/>
      <c r="G74" s="9"/>
      <c r="H74" s="9"/>
      <c r="I74" s="9"/>
      <c r="J74" s="10"/>
    </row>
    <row r="75" spans="1:10" x14ac:dyDescent="0.3">
      <c r="B75" s="54" t="s">
        <v>34</v>
      </c>
      <c r="C75" s="55"/>
      <c r="D75" s="55"/>
      <c r="E75" s="55"/>
      <c r="F75" s="55"/>
      <c r="G75" s="55"/>
      <c r="H75" s="55"/>
      <c r="I75" s="55"/>
      <c r="J75" s="56"/>
    </row>
    <row r="76" spans="1:10" x14ac:dyDescent="0.3">
      <c r="B76" s="8" t="s">
        <v>35</v>
      </c>
      <c r="C76" s="9"/>
      <c r="D76" s="40" t="s">
        <v>14</v>
      </c>
      <c r="E76" s="21">
        <f>-E60</f>
        <v>-1818.54</v>
      </c>
      <c r="F76" s="21">
        <f t="shared" ref="F76:J76" si="38">-F60</f>
        <v>-2540.5699999999997</v>
      </c>
      <c r="G76" s="21">
        <f t="shared" si="38"/>
        <v>-1936.0400000000009</v>
      </c>
      <c r="H76" s="21">
        <f t="shared" si="38"/>
        <v>151.59287608695558</v>
      </c>
      <c r="I76" s="21">
        <f t="shared" si="38"/>
        <v>-1703.0096623913068</v>
      </c>
      <c r="J76" s="22">
        <f t="shared" si="38"/>
        <v>-1873.3106286304373</v>
      </c>
    </row>
    <row r="77" spans="1:10" x14ac:dyDescent="0.3">
      <c r="B77" s="38" t="s">
        <v>36</v>
      </c>
      <c r="C77" s="13"/>
      <c r="D77" s="62"/>
      <c r="E77" s="63">
        <f>SUM(E76)</f>
        <v>-1818.54</v>
      </c>
      <c r="F77" s="63">
        <f t="shared" ref="F77:J77" si="39">SUM(F76)</f>
        <v>-2540.5699999999997</v>
      </c>
      <c r="G77" s="63">
        <f t="shared" si="39"/>
        <v>-1936.0400000000009</v>
      </c>
      <c r="H77" s="63">
        <f t="shared" si="39"/>
        <v>151.59287608695558</v>
      </c>
      <c r="I77" s="63">
        <f t="shared" si="39"/>
        <v>-1703.0096623913068</v>
      </c>
      <c r="J77" s="64">
        <f t="shared" si="39"/>
        <v>-1873.3106286304373</v>
      </c>
    </row>
    <row r="78" spans="1:10" x14ac:dyDescent="0.3">
      <c r="B78" s="8"/>
      <c r="C78" s="9"/>
      <c r="D78" s="9"/>
      <c r="E78" s="9"/>
      <c r="F78" s="9"/>
      <c r="G78" s="9"/>
      <c r="H78" s="9"/>
      <c r="I78" s="9"/>
      <c r="J78" s="10"/>
    </row>
    <row r="79" spans="1:10" x14ac:dyDescent="0.3">
      <c r="B79" s="54" t="s">
        <v>37</v>
      </c>
      <c r="C79" s="55"/>
      <c r="D79" s="55"/>
      <c r="E79" s="55"/>
      <c r="F79" s="55"/>
      <c r="G79" s="55"/>
      <c r="H79" s="55"/>
      <c r="I79" s="55"/>
      <c r="J79" s="56"/>
    </row>
    <row r="80" spans="1:10" x14ac:dyDescent="0.3">
      <c r="B80" s="8" t="s">
        <v>38</v>
      </c>
      <c r="C80" s="9"/>
      <c r="D80" s="40" t="s">
        <v>14</v>
      </c>
      <c r="E80" s="17">
        <f>E43-D43</f>
        <v>590.40000000000009</v>
      </c>
      <c r="F80" s="17">
        <f>F43-E43</f>
        <v>264.36000000000013</v>
      </c>
      <c r="G80" s="17">
        <f>G43-F43</f>
        <v>572.25</v>
      </c>
      <c r="H80" s="68">
        <v>400</v>
      </c>
      <c r="I80" s="68">
        <v>-200</v>
      </c>
      <c r="J80" s="22">
        <f>I80</f>
        <v>-200</v>
      </c>
    </row>
    <row r="81" spans="2:10" x14ac:dyDescent="0.3">
      <c r="B81" s="8" t="s">
        <v>39</v>
      </c>
      <c r="C81" s="9"/>
      <c r="D81" s="40" t="s">
        <v>14</v>
      </c>
      <c r="E81" s="17">
        <f>E16-D16</f>
        <v>-16.759999999999991</v>
      </c>
      <c r="F81" s="17">
        <f>F16-E16</f>
        <v>81.36999999999999</v>
      </c>
      <c r="G81" s="17">
        <f>G16-F16</f>
        <v>59.78</v>
      </c>
      <c r="H81" s="17">
        <f t="shared" ref="H81:J81" si="40">H16-G16</f>
        <v>-84.038687150684922</v>
      </c>
      <c r="I81" s="17">
        <f t="shared" si="40"/>
        <v>0.12735628493152262</v>
      </c>
      <c r="J81" s="19">
        <f t="shared" si="40"/>
        <v>0.64009191342464078</v>
      </c>
    </row>
    <row r="82" spans="2:10" x14ac:dyDescent="0.3">
      <c r="B82" s="8" t="s">
        <v>40</v>
      </c>
      <c r="C82" s="9"/>
      <c r="D82" s="40" t="s">
        <v>14</v>
      </c>
      <c r="E82" s="69">
        <v>0</v>
      </c>
      <c r="F82" s="69">
        <v>0</v>
      </c>
      <c r="G82" s="69">
        <v>0</v>
      </c>
      <c r="H82" s="69">
        <v>0</v>
      </c>
      <c r="I82" s="69">
        <v>0</v>
      </c>
      <c r="J82" s="70">
        <v>0</v>
      </c>
    </row>
    <row r="83" spans="2:10" x14ac:dyDescent="0.3">
      <c r="B83" s="8" t="s">
        <v>41</v>
      </c>
      <c r="C83" s="9"/>
      <c r="D83" s="40" t="s">
        <v>14</v>
      </c>
      <c r="E83" s="69">
        <v>0</v>
      </c>
      <c r="F83" s="69">
        <v>0</v>
      </c>
      <c r="G83" s="69">
        <v>0</v>
      </c>
      <c r="H83" s="69">
        <v>0</v>
      </c>
      <c r="I83" s="69">
        <v>0</v>
      </c>
      <c r="J83" s="70">
        <v>0</v>
      </c>
    </row>
    <row r="84" spans="2:10" x14ac:dyDescent="0.3">
      <c r="B84" s="38" t="s">
        <v>42</v>
      </c>
      <c r="C84" s="13"/>
      <c r="D84" s="62"/>
      <c r="E84" s="63">
        <f>SUM(E80:E83)</f>
        <v>573.6400000000001</v>
      </c>
      <c r="F84" s="63">
        <f t="shared" ref="F84:J84" si="41">SUM(F80:F83)</f>
        <v>345.73000000000013</v>
      </c>
      <c r="G84" s="63">
        <f t="shared" si="41"/>
        <v>632.03</v>
      </c>
      <c r="H84" s="63">
        <f t="shared" si="41"/>
        <v>315.96131284931505</v>
      </c>
      <c r="I84" s="63">
        <f t="shared" si="41"/>
        <v>-199.87264371506848</v>
      </c>
      <c r="J84" s="64">
        <f t="shared" si="41"/>
        <v>-199.35990808657536</v>
      </c>
    </row>
    <row r="85" spans="2:10" x14ac:dyDescent="0.3">
      <c r="B85" s="8"/>
      <c r="C85" s="9"/>
      <c r="D85" s="9"/>
      <c r="E85" s="9"/>
      <c r="F85" s="9"/>
      <c r="G85" s="9"/>
      <c r="H85" s="9"/>
      <c r="I85" s="9"/>
      <c r="J85" s="10"/>
    </row>
    <row r="86" spans="2:10" x14ac:dyDescent="0.3">
      <c r="B86" s="14" t="s">
        <v>43</v>
      </c>
      <c r="C86" s="1"/>
      <c r="D86" s="1"/>
      <c r="E86" s="65">
        <f>SUM(E73,E77,E84)</f>
        <v>116.5</v>
      </c>
      <c r="F86" s="65">
        <f t="shared" ref="F86:J86" si="42">SUM(F73,F77,F84)</f>
        <v>598.4000000000002</v>
      </c>
      <c r="G86" s="65">
        <f t="shared" si="42"/>
        <v>788.86999999999921</v>
      </c>
      <c r="H86" s="65">
        <f t="shared" si="42"/>
        <v>4489.4604170595585</v>
      </c>
      <c r="I86" s="65">
        <f t="shared" si="42"/>
        <v>1951.329500668282</v>
      </c>
      <c r="J86" s="66">
        <f t="shared" si="42"/>
        <v>2163.3302569851112</v>
      </c>
    </row>
    <row r="87" spans="2:10" x14ac:dyDescent="0.3">
      <c r="B87" s="8"/>
      <c r="C87" s="9"/>
      <c r="D87" s="9"/>
      <c r="E87" s="9"/>
      <c r="F87" s="9"/>
      <c r="G87" s="9"/>
      <c r="H87" s="9"/>
      <c r="I87" s="9"/>
      <c r="J87" s="10"/>
    </row>
    <row r="88" spans="2:10" x14ac:dyDescent="0.3">
      <c r="B88" s="8" t="s">
        <v>44</v>
      </c>
      <c r="C88" s="9"/>
      <c r="D88" s="40" t="s">
        <v>14</v>
      </c>
      <c r="E88" s="16">
        <f>D34</f>
        <v>230.43</v>
      </c>
      <c r="F88" s="16">
        <f t="shared" ref="F88:J88" si="43">E34</f>
        <v>346.93</v>
      </c>
      <c r="G88" s="16">
        <f t="shared" si="43"/>
        <v>945.33000000000015</v>
      </c>
      <c r="H88" s="16">
        <f t="shared" si="43"/>
        <v>1734.1999999999994</v>
      </c>
      <c r="I88" s="16">
        <f t="shared" si="43"/>
        <v>6223.6604170595583</v>
      </c>
      <c r="J88" s="51">
        <f t="shared" si="43"/>
        <v>8174.9899177278403</v>
      </c>
    </row>
    <row r="89" spans="2:10" x14ac:dyDescent="0.3">
      <c r="B89" s="14" t="s">
        <v>45</v>
      </c>
      <c r="C89" s="1"/>
      <c r="D89" s="72" t="s">
        <v>14</v>
      </c>
      <c r="E89" s="65">
        <f>E88+E86</f>
        <v>346.93</v>
      </c>
      <c r="F89" s="65">
        <f t="shared" ref="F89:J89" si="44">F88+F86</f>
        <v>945.33000000000015</v>
      </c>
      <c r="G89" s="65">
        <f t="shared" si="44"/>
        <v>1734.1999999999994</v>
      </c>
      <c r="H89" s="65">
        <f t="shared" si="44"/>
        <v>6223.6604170595583</v>
      </c>
      <c r="I89" s="65">
        <f t="shared" si="44"/>
        <v>8174.9899177278403</v>
      </c>
      <c r="J89" s="66">
        <f t="shared" si="44"/>
        <v>10338.320174712951</v>
      </c>
    </row>
    <row r="90" spans="2:10" x14ac:dyDescent="0.3">
      <c r="B90" s="11"/>
      <c r="C90" s="1"/>
      <c r="D90" s="1"/>
      <c r="E90" s="1"/>
      <c r="F90" s="1"/>
      <c r="G90" s="1"/>
      <c r="H90" s="1"/>
      <c r="I90" s="1"/>
      <c r="J90" s="12"/>
    </row>
  </sheetData>
  <mergeCells count="1">
    <mergeCell ref="D2:I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2024-06-25T06:24:03Z</dcterms:created>
  <dcterms:modified xsi:type="dcterms:W3CDTF">2024-10-04T08:52:54Z</dcterms:modified>
</cp:coreProperties>
</file>