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9fc6295d5e4eb4/01 Meine Dokumente/08 Hobby/01 Gaming/Satisfactory/"/>
    </mc:Choice>
  </mc:AlternateContent>
  <xr:revisionPtr revIDLastSave="6012" documentId="11_92483E2D04E89AD36523F29B863E8C1851038389" xr6:coauthVersionLast="47" xr6:coauthVersionMax="47" xr10:uidLastSave="{5AD24270-37A0-49A0-8A35-3D1340D44F13}"/>
  <bookViews>
    <workbookView xWindow="51090" yWindow="0" windowWidth="25815" windowHeight="20985" xr2:uid="{3507C858-F7AE-4AE2-9F44-E1CE3F6B89DB}"/>
  </bookViews>
  <sheets>
    <sheet name="Rezepte" sheetId="1" r:id="rId1"/>
    <sheet name="Tabelle1" sheetId="5" r:id="rId2"/>
    <sheet name="Planung" sheetId="11" r:id="rId3"/>
    <sheet name="Tabelle2" sheetId="12" r:id="rId4"/>
    <sheet name="Miner Future" sheetId="2" r:id="rId5"/>
    <sheet name="Ressourcen" sheetId="4" r:id="rId6"/>
    <sheet name="Fuel &amp; Stuff" sheetId="8" r:id="rId7"/>
    <sheet name="Trains" sheetId="10" r:id="rId8"/>
    <sheet name="Planung alt 1" sheetId="3" r:id="rId9"/>
    <sheet name="Planung alt 2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  <c r="F68" i="1"/>
  <c r="F67" i="1"/>
  <c r="AF77" i="11"/>
  <c r="AF79" i="11"/>
  <c r="AF78" i="11"/>
  <c r="Z79" i="11"/>
  <c r="Y79" i="11"/>
  <c r="AA74" i="11"/>
  <c r="Y74" i="11"/>
  <c r="X74" i="11"/>
  <c r="X73" i="11"/>
  <c r="G12" i="12"/>
  <c r="G11" i="12"/>
  <c r="H12" i="12"/>
  <c r="H11" i="12"/>
  <c r="AB69" i="11"/>
  <c r="Y69" i="11"/>
  <c r="AP69" i="11"/>
  <c r="AO69" i="11"/>
  <c r="AN69" i="11"/>
  <c r="AM69" i="11"/>
  <c r="AL69" i="11"/>
  <c r="AK69" i="11"/>
  <c r="AJ69" i="11"/>
  <c r="AI69" i="11"/>
  <c r="AH69" i="11"/>
  <c r="AG69" i="11"/>
  <c r="AF69" i="11"/>
  <c r="V69" i="11"/>
  <c r="S69" i="11"/>
  <c r="O69" i="11"/>
  <c r="M69" i="11"/>
  <c r="N69" i="11" s="1"/>
  <c r="J69" i="11"/>
  <c r="AB67" i="11"/>
  <c r="AB66" i="11"/>
  <c r="AB65" i="11"/>
  <c r="AB64" i="11"/>
  <c r="Y67" i="11"/>
  <c r="Y66" i="11"/>
  <c r="Y65" i="11"/>
  <c r="Y64" i="11"/>
  <c r="V67" i="11"/>
  <c r="V66" i="11"/>
  <c r="V65" i="11"/>
  <c r="V64" i="11"/>
  <c r="AB61" i="11"/>
  <c r="AB60" i="11"/>
  <c r="Y61" i="11"/>
  <c r="Y60" i="11"/>
  <c r="V61" i="11"/>
  <c r="V60" i="11"/>
  <c r="S67" i="11"/>
  <c r="S66" i="11"/>
  <c r="O66" i="11"/>
  <c r="M66" i="11"/>
  <c r="N66" i="11" s="1"/>
  <c r="J66" i="11"/>
  <c r="O67" i="11"/>
  <c r="M67" i="11"/>
  <c r="N67" i="11" s="1"/>
  <c r="J67" i="11"/>
  <c r="D242" i="1"/>
  <c r="D243" i="1"/>
  <c r="D251" i="1"/>
  <c r="D246" i="1"/>
  <c r="D247" i="1"/>
  <c r="R246" i="1"/>
  <c r="D250" i="1"/>
  <c r="V263" i="1"/>
  <c r="T263" i="1"/>
  <c r="U263" i="1" s="1"/>
  <c r="Q263" i="1"/>
  <c r="L263" i="1"/>
  <c r="D263" i="1"/>
  <c r="D215" i="1"/>
  <c r="D219" i="1"/>
  <c r="D218" i="1"/>
  <c r="D217" i="1"/>
  <c r="D236" i="1"/>
  <c r="D235" i="1"/>
  <c r="D224" i="1"/>
  <c r="D222" i="1"/>
  <c r="D221" i="1"/>
  <c r="D228" i="1"/>
  <c r="D227" i="1"/>
  <c r="D226" i="1"/>
  <c r="D231" i="1"/>
  <c r="D230" i="1"/>
  <c r="D233" i="1"/>
  <c r="D26" i="1"/>
  <c r="D239" i="1"/>
  <c r="D238" i="1"/>
  <c r="N3" i="11"/>
  <c r="P3" i="11" s="1"/>
  <c r="N4" i="11"/>
  <c r="P4" i="11" s="1"/>
  <c r="N5" i="11"/>
  <c r="P5" i="11" s="1"/>
  <c r="N6" i="11"/>
  <c r="P6" i="11" s="1"/>
  <c r="N7" i="11"/>
  <c r="P7" i="11" s="1"/>
  <c r="N8" i="11"/>
  <c r="P8" i="11" s="1"/>
  <c r="N9" i="11"/>
  <c r="P9" i="11" s="1"/>
  <c r="N10" i="11"/>
  <c r="P10" i="11" s="1"/>
  <c r="N11" i="11"/>
  <c r="P11" i="11" s="1"/>
  <c r="N12" i="11"/>
  <c r="P12" i="11" s="1"/>
  <c r="N2" i="11"/>
  <c r="P2" i="11" s="1"/>
  <c r="S78" i="11"/>
  <c r="S5" i="11"/>
  <c r="S4" i="11"/>
  <c r="S2" i="11"/>
  <c r="G14" i="10"/>
  <c r="I14" i="10" s="1"/>
  <c r="G13" i="10"/>
  <c r="I13" i="10" s="1"/>
  <c r="G15" i="10"/>
  <c r="I15" i="10" s="1"/>
  <c r="G12" i="10"/>
  <c r="I12" i="10" s="1"/>
  <c r="B10" i="10"/>
  <c r="P5" i="9"/>
  <c r="P2" i="9"/>
  <c r="P4" i="9"/>
  <c r="P76" i="9"/>
  <c r="C26" i="8"/>
  <c r="L26" i="8"/>
  <c r="J26" i="8"/>
  <c r="H25" i="8"/>
  <c r="I25" i="8" s="1"/>
  <c r="L24" i="8"/>
  <c r="J24" i="8"/>
  <c r="H23" i="8"/>
  <c r="I23" i="8" s="1"/>
  <c r="H72" i="8"/>
  <c r="H12" i="8"/>
  <c r="H48" i="8"/>
  <c r="H44" i="8"/>
  <c r="H46" i="8"/>
  <c r="R48" i="8"/>
  <c r="Q48" i="8"/>
  <c r="S48" i="8" s="1"/>
  <c r="R46" i="8"/>
  <c r="Q46" i="8"/>
  <c r="R44" i="8"/>
  <c r="Q44" i="8"/>
  <c r="I43" i="8"/>
  <c r="I31" i="8"/>
  <c r="R62" i="8"/>
  <c r="Q62" i="8"/>
  <c r="R60" i="8"/>
  <c r="Q60" i="8"/>
  <c r="Q21" i="8"/>
  <c r="Q19" i="8"/>
  <c r="Q32" i="8"/>
  <c r="R21" i="8"/>
  <c r="R19" i="8"/>
  <c r="S19" i="8" s="1"/>
  <c r="R36" i="8"/>
  <c r="R34" i="8"/>
  <c r="R32" i="8"/>
  <c r="Q36" i="8"/>
  <c r="Q34" i="8"/>
  <c r="J13" i="8"/>
  <c r="U16" i="4"/>
  <c r="W16" i="4"/>
  <c r="U15" i="4"/>
  <c r="W15" i="4"/>
  <c r="U14" i="4"/>
  <c r="U11" i="4"/>
  <c r="W11" i="4"/>
  <c r="U10" i="4"/>
  <c r="V10" i="4"/>
  <c r="U9" i="4"/>
  <c r="V9" i="4"/>
  <c r="M56" i="4"/>
  <c r="O56" i="4"/>
  <c r="M55" i="4"/>
  <c r="M54" i="4"/>
  <c r="M46" i="4"/>
  <c r="O46" i="4"/>
  <c r="M45" i="4"/>
  <c r="O45" i="4"/>
  <c r="M44" i="4"/>
  <c r="O44" i="4"/>
  <c r="M51" i="4"/>
  <c r="O51" i="4"/>
  <c r="M50" i="4"/>
  <c r="N50" i="4"/>
  <c r="M49" i="4"/>
  <c r="M41" i="4"/>
  <c r="O41" i="4"/>
  <c r="M40" i="4"/>
  <c r="O40" i="4"/>
  <c r="M39" i="4"/>
  <c r="N39" i="4"/>
  <c r="M16" i="4"/>
  <c r="O16" i="4"/>
  <c r="M15" i="4"/>
  <c r="N15" i="4"/>
  <c r="M14" i="4"/>
  <c r="M31" i="4"/>
  <c r="O31" i="4"/>
  <c r="M30" i="4"/>
  <c r="M29" i="4"/>
  <c r="O29" i="4"/>
  <c r="M26" i="4"/>
  <c r="O26" i="4"/>
  <c r="M25" i="4"/>
  <c r="O25" i="4"/>
  <c r="M24" i="4"/>
  <c r="O24" i="4"/>
  <c r="M11" i="4"/>
  <c r="N11" i="4"/>
  <c r="M10" i="4"/>
  <c r="N10" i="4"/>
  <c r="M9" i="4"/>
  <c r="O9" i="4"/>
  <c r="M21" i="4"/>
  <c r="O21" i="4"/>
  <c r="M20" i="4"/>
  <c r="O20" i="4"/>
  <c r="M19" i="4"/>
  <c r="M36" i="4"/>
  <c r="O36" i="4"/>
  <c r="M35" i="4"/>
  <c r="O35" i="4"/>
  <c r="M34" i="4"/>
  <c r="G26" i="4"/>
  <c r="G24" i="4"/>
  <c r="E7" i="4"/>
  <c r="E21" i="4"/>
  <c r="E20" i="4"/>
  <c r="G20" i="4"/>
  <c r="E19" i="4"/>
  <c r="F19" i="4"/>
  <c r="E11" i="4"/>
  <c r="F11" i="4"/>
  <c r="E10" i="4"/>
  <c r="G10" i="4"/>
  <c r="E9" i="4"/>
  <c r="G9" i="4"/>
  <c r="E26" i="4"/>
  <c r="F26" i="4"/>
  <c r="E25" i="4"/>
  <c r="G25" i="4"/>
  <c r="E24" i="4"/>
  <c r="F24" i="4"/>
  <c r="E15" i="4"/>
  <c r="G15" i="4"/>
  <c r="E16" i="4"/>
  <c r="F16" i="4"/>
  <c r="E14" i="4"/>
  <c r="G14" i="4"/>
  <c r="E6" i="4"/>
  <c r="P78" i="3"/>
  <c r="D262" i="1"/>
  <c r="D261" i="1"/>
  <c r="D260" i="1"/>
  <c r="D257" i="1"/>
  <c r="D256" i="1"/>
  <c r="D255" i="1"/>
  <c r="U17" i="4"/>
  <c r="W10" i="4"/>
  <c r="V14" i="4"/>
  <c r="W14" i="4"/>
  <c r="W17" i="4"/>
  <c r="V16" i="4"/>
  <c r="V15" i="4"/>
  <c r="V11" i="4"/>
  <c r="V12" i="4"/>
  <c r="W9" i="4"/>
  <c r="W12" i="4"/>
  <c r="U12" i="4"/>
  <c r="F21" i="4"/>
  <c r="M57" i="4"/>
  <c r="N55" i="4"/>
  <c r="N30" i="4"/>
  <c r="N54" i="4"/>
  <c r="O54" i="4"/>
  <c r="O55" i="4"/>
  <c r="N56" i="4"/>
  <c r="O47" i="4"/>
  <c r="N44" i="4"/>
  <c r="N45" i="4"/>
  <c r="N46" i="4"/>
  <c r="M47" i="4"/>
  <c r="M52" i="4"/>
  <c r="O50" i="4"/>
  <c r="N51" i="4"/>
  <c r="N49" i="4"/>
  <c r="O49" i="4"/>
  <c r="N40" i="4"/>
  <c r="N41" i="4"/>
  <c r="O39" i="4"/>
  <c r="O42" i="4"/>
  <c r="M42" i="4"/>
  <c r="M17" i="4"/>
  <c r="O14" i="4"/>
  <c r="O15" i="4"/>
  <c r="N16" i="4"/>
  <c r="N14" i="4"/>
  <c r="O30" i="4"/>
  <c r="O32" i="4"/>
  <c r="N29" i="4"/>
  <c r="N31" i="4"/>
  <c r="M32" i="4"/>
  <c r="O27" i="4"/>
  <c r="N26" i="4"/>
  <c r="M27" i="4"/>
  <c r="N24" i="4"/>
  <c r="N25" i="4"/>
  <c r="O10" i="4"/>
  <c r="O11" i="4"/>
  <c r="M12" i="4"/>
  <c r="N9" i="4"/>
  <c r="N12" i="4"/>
  <c r="M22" i="4"/>
  <c r="N19" i="4"/>
  <c r="O19" i="4"/>
  <c r="O22" i="4"/>
  <c r="N20" i="4"/>
  <c r="N21" i="4"/>
  <c r="M37" i="4"/>
  <c r="N34" i="4"/>
  <c r="O34" i="4"/>
  <c r="O37" i="4"/>
  <c r="N35" i="4"/>
  <c r="N36" i="4"/>
  <c r="G19" i="4"/>
  <c r="G21" i="4"/>
  <c r="F20" i="4"/>
  <c r="F22" i="4"/>
  <c r="F14" i="4"/>
  <c r="F17" i="4"/>
  <c r="F15" i="4"/>
  <c r="F25" i="4"/>
  <c r="F27" i="4"/>
  <c r="G27" i="4"/>
  <c r="G11" i="4"/>
  <c r="F10" i="4"/>
  <c r="G12" i="4"/>
  <c r="F9" i="4"/>
  <c r="F12" i="4"/>
  <c r="G16" i="4"/>
  <c r="G17" i="4"/>
  <c r="E22" i="4"/>
  <c r="E12" i="4"/>
  <c r="E27" i="4"/>
  <c r="E17" i="4"/>
  <c r="D68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F22" i="2"/>
  <c r="G22" i="2"/>
  <c r="I22" i="2"/>
  <c r="M22" i="2"/>
  <c r="N22" i="2"/>
  <c r="O22" i="2"/>
  <c r="P22" i="2"/>
  <c r="T22" i="2"/>
  <c r="U22" i="2"/>
  <c r="W22" i="2"/>
  <c r="F23" i="2"/>
  <c r="G23" i="2"/>
  <c r="H23" i="2"/>
  <c r="I23" i="2"/>
  <c r="M23" i="2"/>
  <c r="N23" i="2"/>
  <c r="P23" i="2"/>
  <c r="T23" i="2"/>
  <c r="U23" i="2"/>
  <c r="W23" i="2"/>
  <c r="F24" i="2"/>
  <c r="G24" i="2"/>
  <c r="I24" i="2"/>
  <c r="M24" i="2"/>
  <c r="N24" i="2"/>
  <c r="P24" i="2"/>
  <c r="T24" i="2"/>
  <c r="U24" i="2"/>
  <c r="W24" i="2"/>
  <c r="H27" i="2"/>
  <c r="I27" i="2"/>
  <c r="J27" i="2"/>
  <c r="M27" i="2"/>
  <c r="O27" i="2"/>
  <c r="P27" i="2"/>
  <c r="Q27" i="2"/>
  <c r="H28" i="2"/>
  <c r="I28" i="2"/>
  <c r="J28" i="2"/>
  <c r="M28" i="2"/>
  <c r="O28" i="2"/>
  <c r="P28" i="2"/>
  <c r="Q28" i="2"/>
  <c r="H29" i="2"/>
  <c r="I29" i="2"/>
  <c r="J29" i="2"/>
  <c r="M29" i="2"/>
  <c r="O29" i="2"/>
  <c r="P29" i="2"/>
  <c r="Q29" i="2"/>
  <c r="H32" i="2"/>
  <c r="I32" i="2"/>
  <c r="J32" i="2"/>
  <c r="M32" i="2"/>
  <c r="O32" i="2"/>
  <c r="P32" i="2"/>
  <c r="Q32" i="2"/>
  <c r="H33" i="2"/>
  <c r="I33" i="2"/>
  <c r="J33" i="2"/>
  <c r="M33" i="2"/>
  <c r="O33" i="2"/>
  <c r="P33" i="2"/>
  <c r="Q33" i="2"/>
  <c r="H34" i="2"/>
  <c r="I34" i="2"/>
  <c r="J34" i="2"/>
  <c r="M34" i="2"/>
  <c r="O34" i="2"/>
  <c r="P34" i="2"/>
  <c r="Q34" i="2"/>
  <c r="H37" i="2"/>
  <c r="I37" i="2"/>
  <c r="J37" i="2"/>
  <c r="M37" i="2"/>
  <c r="O37" i="2"/>
  <c r="P37" i="2"/>
  <c r="Q37" i="2"/>
  <c r="H38" i="2"/>
  <c r="I38" i="2"/>
  <c r="J38" i="2"/>
  <c r="M38" i="2"/>
  <c r="O38" i="2"/>
  <c r="P38" i="2"/>
  <c r="Q38" i="2"/>
  <c r="H39" i="2"/>
  <c r="I39" i="2"/>
  <c r="J39" i="2"/>
  <c r="M39" i="2"/>
  <c r="O39" i="2"/>
  <c r="P39" i="2"/>
  <c r="Q39" i="2"/>
  <c r="H42" i="2"/>
  <c r="I42" i="2"/>
  <c r="J42" i="2"/>
  <c r="M42" i="2"/>
  <c r="O42" i="2"/>
  <c r="P42" i="2"/>
  <c r="Q42" i="2"/>
  <c r="H43" i="2"/>
  <c r="I43" i="2"/>
  <c r="J43" i="2"/>
  <c r="M43" i="2"/>
  <c r="O43" i="2"/>
  <c r="P43" i="2"/>
  <c r="Q43" i="2"/>
  <c r="H44" i="2"/>
  <c r="I44" i="2"/>
  <c r="J44" i="2"/>
  <c r="M44" i="2"/>
  <c r="O44" i="2"/>
  <c r="P44" i="2"/>
  <c r="Q44" i="2"/>
  <c r="H47" i="2"/>
  <c r="I47" i="2"/>
  <c r="J47" i="2"/>
  <c r="M47" i="2"/>
  <c r="O47" i="2"/>
  <c r="P47" i="2"/>
  <c r="Q47" i="2"/>
  <c r="H48" i="2"/>
  <c r="I48" i="2"/>
  <c r="J48" i="2"/>
  <c r="M48" i="2"/>
  <c r="O48" i="2"/>
  <c r="P48" i="2"/>
  <c r="Q48" i="2"/>
  <c r="H49" i="2"/>
  <c r="I49" i="2"/>
  <c r="J49" i="2"/>
  <c r="M49" i="2"/>
  <c r="O49" i="2"/>
  <c r="P49" i="2"/>
  <c r="Q49" i="2"/>
  <c r="H52" i="2"/>
  <c r="I52" i="2"/>
  <c r="J52" i="2"/>
  <c r="J55" i="2"/>
  <c r="M52" i="2"/>
  <c r="O52" i="2"/>
  <c r="P52" i="2"/>
  <c r="Q52" i="2"/>
  <c r="H53" i="2"/>
  <c r="I53" i="2"/>
  <c r="J53" i="2"/>
  <c r="M53" i="2"/>
  <c r="O53" i="2"/>
  <c r="P53" i="2"/>
  <c r="P55" i="2"/>
  <c r="Q53" i="2"/>
  <c r="H54" i="2"/>
  <c r="I54" i="2"/>
  <c r="J54" i="2"/>
  <c r="M54" i="2"/>
  <c r="O54" i="2"/>
  <c r="P54" i="2"/>
  <c r="Q54" i="2"/>
  <c r="H57" i="2"/>
  <c r="I57" i="2"/>
  <c r="J57" i="2"/>
  <c r="M57" i="2"/>
  <c r="O57" i="2"/>
  <c r="P57" i="2"/>
  <c r="Q57" i="2"/>
  <c r="H58" i="2"/>
  <c r="I58" i="2"/>
  <c r="J58" i="2"/>
  <c r="M58" i="2"/>
  <c r="O58" i="2"/>
  <c r="P58" i="2"/>
  <c r="Q58" i="2"/>
  <c r="H59" i="2"/>
  <c r="I59" i="2"/>
  <c r="J59" i="2"/>
  <c r="M59" i="2"/>
  <c r="O59" i="2"/>
  <c r="P59" i="2"/>
  <c r="Q59" i="2"/>
  <c r="H62" i="2"/>
  <c r="I62" i="2"/>
  <c r="J62" i="2"/>
  <c r="M62" i="2"/>
  <c r="O62" i="2"/>
  <c r="P62" i="2"/>
  <c r="Q62" i="2"/>
  <c r="H63" i="2"/>
  <c r="I63" i="2"/>
  <c r="J63" i="2"/>
  <c r="M63" i="2"/>
  <c r="O63" i="2"/>
  <c r="P63" i="2"/>
  <c r="Q63" i="2"/>
  <c r="H64" i="2"/>
  <c r="I64" i="2"/>
  <c r="J64" i="2"/>
  <c r="M64" i="2"/>
  <c r="O64" i="2"/>
  <c r="P64" i="2"/>
  <c r="Q64" i="2"/>
  <c r="H68" i="2"/>
  <c r="I68" i="2"/>
  <c r="J68" i="2"/>
  <c r="G62" i="1"/>
  <c r="D62" i="1"/>
  <c r="N61" i="1"/>
  <c r="M61" i="1"/>
  <c r="L61" i="1"/>
  <c r="E61" i="1" s="1"/>
  <c r="D61" i="1"/>
  <c r="N60" i="1"/>
  <c r="M60" i="1"/>
  <c r="L60" i="1"/>
  <c r="E60" i="1" s="1"/>
  <c r="D60" i="1"/>
  <c r="N59" i="1"/>
  <c r="M59" i="1"/>
  <c r="L59" i="1"/>
  <c r="E59" i="1" s="1"/>
  <c r="D59" i="1"/>
  <c r="D58" i="1"/>
  <c r="N57" i="1"/>
  <c r="M57" i="1"/>
  <c r="L57" i="1"/>
  <c r="E57" i="1" s="1"/>
  <c r="D57" i="1"/>
  <c r="N56" i="1"/>
  <c r="M56" i="1"/>
  <c r="L56" i="1"/>
  <c r="E56" i="1" s="1"/>
  <c r="D56" i="1"/>
  <c r="N55" i="1"/>
  <c r="M55" i="1"/>
  <c r="L55" i="1"/>
  <c r="E55" i="1" s="1"/>
  <c r="D55" i="1"/>
  <c r="D54" i="1"/>
  <c r="E53" i="1"/>
  <c r="D53" i="1"/>
  <c r="N51" i="1"/>
  <c r="M51" i="1"/>
  <c r="L51" i="1"/>
  <c r="E51" i="1" s="1"/>
  <c r="D51" i="1"/>
  <c r="G48" i="1"/>
  <c r="D48" i="1"/>
  <c r="N47" i="1"/>
  <c r="M47" i="1"/>
  <c r="L47" i="1"/>
  <c r="E47" i="1" s="1"/>
  <c r="D47" i="1"/>
  <c r="N46" i="1"/>
  <c r="M46" i="1"/>
  <c r="L46" i="1"/>
  <c r="E46" i="1" s="1"/>
  <c r="D46" i="1"/>
  <c r="N45" i="1"/>
  <c r="M45" i="1"/>
  <c r="L45" i="1"/>
  <c r="E45" i="1" s="1"/>
  <c r="D45" i="1"/>
  <c r="D44" i="1"/>
  <c r="G43" i="1"/>
  <c r="D43" i="1"/>
  <c r="N42" i="1"/>
  <c r="M42" i="1"/>
  <c r="L42" i="1"/>
  <c r="E42" i="1" s="1"/>
  <c r="D42" i="1"/>
  <c r="N41" i="1"/>
  <c r="M41" i="1"/>
  <c r="L41" i="1"/>
  <c r="E41" i="1" s="1"/>
  <c r="D41" i="1"/>
  <c r="N40" i="1"/>
  <c r="M40" i="1"/>
  <c r="L40" i="1"/>
  <c r="E40" i="1" s="1"/>
  <c r="D40" i="1"/>
  <c r="D39" i="1"/>
  <c r="G38" i="1"/>
  <c r="D38" i="1"/>
  <c r="N37" i="1"/>
  <c r="M37" i="1"/>
  <c r="L37" i="1"/>
  <c r="E37" i="1" s="1"/>
  <c r="D37" i="1"/>
  <c r="N36" i="1"/>
  <c r="M36" i="1"/>
  <c r="L36" i="1"/>
  <c r="E36" i="1" s="1"/>
  <c r="D36" i="1"/>
  <c r="N35" i="1"/>
  <c r="M35" i="1"/>
  <c r="L35" i="1"/>
  <c r="E35" i="1" s="1"/>
  <c r="D35" i="1"/>
  <c r="D34" i="1"/>
  <c r="G33" i="1"/>
  <c r="D33" i="1"/>
  <c r="N32" i="1"/>
  <c r="M32" i="1"/>
  <c r="L32" i="1"/>
  <c r="E32" i="1" s="1"/>
  <c r="D32" i="1"/>
  <c r="N31" i="1"/>
  <c r="M31" i="1"/>
  <c r="L31" i="1"/>
  <c r="E31" i="1" s="1"/>
  <c r="D31" i="1"/>
  <c r="N30" i="1"/>
  <c r="M30" i="1"/>
  <c r="L30" i="1"/>
  <c r="E30" i="1" s="1"/>
  <c r="D30" i="1"/>
  <c r="D29" i="1"/>
  <c r="G28" i="1"/>
  <c r="D28" i="1"/>
  <c r="N27" i="1"/>
  <c r="M27" i="1"/>
  <c r="L27" i="1"/>
  <c r="E27" i="1" s="1"/>
  <c r="D27" i="1"/>
  <c r="N26" i="1"/>
  <c r="M26" i="1"/>
  <c r="L26" i="1"/>
  <c r="E26" i="1" s="1"/>
  <c r="N25" i="1"/>
  <c r="M25" i="1"/>
  <c r="L25" i="1"/>
  <c r="E25" i="1" s="1"/>
  <c r="D25" i="1"/>
  <c r="D24" i="1"/>
  <c r="G23" i="1"/>
  <c r="D23" i="1"/>
  <c r="N22" i="1"/>
  <c r="M22" i="1"/>
  <c r="L22" i="1"/>
  <c r="E22" i="1" s="1"/>
  <c r="D22" i="1"/>
  <c r="N21" i="1"/>
  <c r="M21" i="1"/>
  <c r="L21" i="1"/>
  <c r="E21" i="1" s="1"/>
  <c r="D21" i="1"/>
  <c r="N20" i="1"/>
  <c r="M20" i="1"/>
  <c r="L20" i="1"/>
  <c r="E20" i="1" s="1"/>
  <c r="D20" i="1"/>
  <c r="D19" i="1"/>
  <c r="G18" i="1"/>
  <c r="D18" i="1"/>
  <c r="N17" i="1"/>
  <c r="M17" i="1"/>
  <c r="L17" i="1"/>
  <c r="E17" i="1" s="1"/>
  <c r="D17" i="1"/>
  <c r="N16" i="1"/>
  <c r="M16" i="1"/>
  <c r="L16" i="1"/>
  <c r="E16" i="1" s="1"/>
  <c r="D16" i="1"/>
  <c r="N15" i="1"/>
  <c r="M15" i="1"/>
  <c r="L15" i="1"/>
  <c r="E15" i="1" s="1"/>
  <c r="D15" i="1"/>
  <c r="D14" i="1"/>
  <c r="G13" i="1"/>
  <c r="D13" i="1"/>
  <c r="N12" i="1"/>
  <c r="M12" i="1"/>
  <c r="L12" i="1"/>
  <c r="E12" i="1" s="1"/>
  <c r="D12" i="1"/>
  <c r="N11" i="1"/>
  <c r="M11" i="1"/>
  <c r="L11" i="1"/>
  <c r="E11" i="1" s="1"/>
  <c r="D11" i="1"/>
  <c r="N10" i="1"/>
  <c r="M10" i="1"/>
  <c r="L10" i="1"/>
  <c r="E10" i="1" s="1"/>
  <c r="D10" i="1"/>
  <c r="D9" i="1"/>
  <c r="G8" i="1"/>
  <c r="D8" i="1"/>
  <c r="M7" i="1"/>
  <c r="J7" i="1"/>
  <c r="K7" i="1" s="1"/>
  <c r="D7" i="1"/>
  <c r="M6" i="1"/>
  <c r="J6" i="1"/>
  <c r="K6" i="1" s="1"/>
  <c r="L6" i="1" s="1"/>
  <c r="E6" i="1" s="1"/>
  <c r="D6" i="1"/>
  <c r="M5" i="1"/>
  <c r="J5" i="1"/>
  <c r="K5" i="1" s="1"/>
  <c r="N5" i="1" s="1"/>
  <c r="D5" i="1"/>
  <c r="D184" i="1"/>
  <c r="D186" i="1"/>
  <c r="D187" i="1"/>
  <c r="D160" i="1"/>
  <c r="D159" i="1"/>
  <c r="D158" i="1"/>
  <c r="D145" i="1"/>
  <c r="D144" i="1"/>
  <c r="D135" i="1"/>
  <c r="D134" i="1"/>
  <c r="D133" i="1"/>
  <c r="D182" i="1"/>
  <c r="D131" i="1"/>
  <c r="D130" i="1"/>
  <c r="D117" i="1"/>
  <c r="D84" i="1"/>
  <c r="D83" i="1"/>
  <c r="D128" i="1"/>
  <c r="D127" i="1"/>
  <c r="D180" i="1"/>
  <c r="D179" i="1"/>
  <c r="D178" i="1"/>
  <c r="D176" i="1"/>
  <c r="D175" i="1"/>
  <c r="D125" i="1"/>
  <c r="D124" i="1"/>
  <c r="D122" i="1"/>
  <c r="D121" i="1"/>
  <c r="D120" i="1"/>
  <c r="D119" i="1"/>
  <c r="D112" i="1"/>
  <c r="D111" i="1"/>
  <c r="D110" i="1"/>
  <c r="D109" i="1"/>
  <c r="D167" i="1"/>
  <c r="D166" i="1"/>
  <c r="D115" i="1"/>
  <c r="D114" i="1"/>
  <c r="D173" i="1"/>
  <c r="D172" i="1"/>
  <c r="D156" i="1"/>
  <c r="D155" i="1"/>
  <c r="D154" i="1"/>
  <c r="D147" i="1"/>
  <c r="D107" i="1"/>
  <c r="D106" i="1"/>
  <c r="D164" i="1"/>
  <c r="D163" i="1"/>
  <c r="D162" i="1"/>
  <c r="D76" i="1"/>
  <c r="D75" i="1"/>
  <c r="D104" i="1"/>
  <c r="D103" i="1"/>
  <c r="D102" i="1"/>
  <c r="D101" i="1"/>
  <c r="D152" i="1"/>
  <c r="D151" i="1"/>
  <c r="D150" i="1"/>
  <c r="D149" i="1"/>
  <c r="D170" i="1"/>
  <c r="D169" i="1"/>
  <c r="D142" i="1"/>
  <c r="D99" i="1"/>
  <c r="D98" i="1"/>
  <c r="D97" i="1"/>
  <c r="D95" i="1"/>
  <c r="D94" i="1"/>
  <c r="D196" i="1"/>
  <c r="D195" i="1"/>
  <c r="D194" i="1"/>
  <c r="D192" i="1"/>
  <c r="D191" i="1"/>
  <c r="D190" i="1"/>
  <c r="D188" i="1"/>
  <c r="D140" i="1"/>
  <c r="D139" i="1"/>
  <c r="D138" i="1"/>
  <c r="D137" i="1"/>
  <c r="D92" i="1"/>
  <c r="D91" i="1"/>
  <c r="D90" i="1"/>
  <c r="D88" i="1"/>
  <c r="D87" i="1"/>
  <c r="D86" i="1"/>
  <c r="D81" i="1"/>
  <c r="D80" i="1"/>
  <c r="D79" i="1"/>
  <c r="D78" i="1"/>
  <c r="D73" i="1"/>
  <c r="D72" i="1"/>
  <c r="D71" i="1"/>
  <c r="D69" i="1"/>
  <c r="D68" i="1"/>
  <c r="D67" i="1"/>
  <c r="D211" i="1"/>
  <c r="D213" i="1"/>
  <c r="D212" i="1"/>
  <c r="D209" i="1"/>
  <c r="D208" i="1"/>
  <c r="D207" i="1"/>
  <c r="T261" i="1"/>
  <c r="T260" i="1"/>
  <c r="V261" i="1"/>
  <c r="Q261" i="1"/>
  <c r="V260" i="1"/>
  <c r="Q260" i="1"/>
  <c r="D205" i="1"/>
  <c r="D204" i="1"/>
  <c r="D203" i="1"/>
  <c r="D202" i="1"/>
  <c r="D200" i="1"/>
  <c r="D198" i="1"/>
  <c r="Q257" i="1"/>
  <c r="T257" i="1"/>
  <c r="V257" i="1"/>
  <c r="V256" i="1"/>
  <c r="V255" i="1"/>
  <c r="T256" i="1"/>
  <c r="T255" i="1"/>
  <c r="Q256" i="1"/>
  <c r="Q255" i="1"/>
  <c r="V17" i="4"/>
  <c r="N52" i="4"/>
  <c r="O57" i="4"/>
  <c r="N57" i="4"/>
  <c r="N47" i="4"/>
  <c r="N42" i="4"/>
  <c r="O52" i="4"/>
  <c r="O12" i="4"/>
  <c r="N17" i="4"/>
  <c r="O17" i="4"/>
  <c r="N32" i="4"/>
  <c r="N27" i="4"/>
  <c r="N22" i="4"/>
  <c r="N37" i="4"/>
  <c r="G22" i="4"/>
  <c r="Q23" i="2"/>
  <c r="O23" i="2"/>
  <c r="J24" i="2"/>
  <c r="H24" i="2"/>
  <c r="X22" i="2"/>
  <c r="V22" i="2"/>
  <c r="I55" i="2"/>
  <c r="Q22" i="2"/>
  <c r="Q55" i="2"/>
  <c r="O24" i="2"/>
  <c r="Q24" i="2"/>
  <c r="V24" i="2"/>
  <c r="X24" i="2"/>
  <c r="V23" i="2"/>
  <c r="X23" i="2"/>
  <c r="H22" i="2"/>
  <c r="J22" i="2"/>
  <c r="J23" i="2"/>
  <c r="P69" i="11" l="1"/>
  <c r="P66" i="11"/>
  <c r="P67" i="11"/>
  <c r="R219" i="1"/>
  <c r="O217" i="1"/>
  <c r="R217" i="1"/>
  <c r="O218" i="1"/>
  <c r="R218" i="1"/>
  <c r="O219" i="1"/>
  <c r="AD198" i="1"/>
  <c r="AD256" i="1" s="1"/>
  <c r="AI186" i="1"/>
  <c r="AN60" i="11" s="1"/>
  <c r="AE255" i="1"/>
  <c r="AJ255" i="1"/>
  <c r="AB207" i="1"/>
  <c r="AH204" i="1"/>
  <c r="AH200" i="1" s="1"/>
  <c r="AH257" i="1" s="1"/>
  <c r="AC203" i="1"/>
  <c r="AI198" i="1"/>
  <c r="AI256" i="1" s="1"/>
  <c r="AD196" i="1"/>
  <c r="AD190" i="1" s="1"/>
  <c r="AJ194" i="1"/>
  <c r="AE191" i="1"/>
  <c r="AE80" i="1" s="1"/>
  <c r="AH205" i="1"/>
  <c r="AI255" i="1"/>
  <c r="AA207" i="1"/>
  <c r="AF66" i="11" s="1"/>
  <c r="AG204" i="1"/>
  <c r="AG200" i="1" s="1"/>
  <c r="AG257" i="1" s="1"/>
  <c r="AB203" i="1"/>
  <c r="AH198" i="1"/>
  <c r="AH256" i="1" s="1"/>
  <c r="AC196" i="1"/>
  <c r="AC190" i="1" s="1"/>
  <c r="AI194" i="1"/>
  <c r="AD191" i="1"/>
  <c r="AD80" i="1" s="1"/>
  <c r="L224" i="1"/>
  <c r="AH255" i="1"/>
  <c r="AK205" i="1"/>
  <c r="AF204" i="1"/>
  <c r="AF200" i="1" s="1"/>
  <c r="AF257" i="1" s="1"/>
  <c r="AA203" i="1"/>
  <c r="AG198" i="1"/>
  <c r="AG256" i="1" s="1"/>
  <c r="AB196" i="1"/>
  <c r="AB190" i="1" s="1"/>
  <c r="AH194" i="1"/>
  <c r="AC191" i="1"/>
  <c r="AE62" i="9" s="1"/>
  <c r="O224" i="1"/>
  <c r="AG255" i="1"/>
  <c r="AJ205" i="1"/>
  <c r="AE204" i="1"/>
  <c r="AE200" i="1" s="1"/>
  <c r="AE257" i="1" s="1"/>
  <c r="AK202" i="1"/>
  <c r="AF198" i="1"/>
  <c r="AF256" i="1" s="1"/>
  <c r="AA196" i="1"/>
  <c r="AA190" i="1" s="1"/>
  <c r="AG194" i="1"/>
  <c r="AB191" i="1"/>
  <c r="AB80" i="1" s="1"/>
  <c r="R224" i="1"/>
  <c r="AF255" i="1"/>
  <c r="AI205" i="1"/>
  <c r="AD204" i="1"/>
  <c r="AD200" i="1" s="1"/>
  <c r="AD257" i="1" s="1"/>
  <c r="AJ202" i="1"/>
  <c r="AE198" i="1"/>
  <c r="AE256" i="1" s="1"/>
  <c r="AK195" i="1"/>
  <c r="AF194" i="1"/>
  <c r="AA191" i="1"/>
  <c r="AC62" i="9" s="1"/>
  <c r="AK186" i="1"/>
  <c r="O235" i="1"/>
  <c r="AD255" i="1"/>
  <c r="AG205" i="1"/>
  <c r="AB204" i="1"/>
  <c r="AB200" i="1" s="1"/>
  <c r="AH202" i="1"/>
  <c r="AC198" i="1"/>
  <c r="AE66" i="9" s="1"/>
  <c r="AI195" i="1"/>
  <c r="AD194" i="1"/>
  <c r="AJ186" i="1"/>
  <c r="AL63" i="3" s="1"/>
  <c r="AI202" i="1"/>
  <c r="R235" i="1"/>
  <c r="AK207" i="1"/>
  <c r="AF205" i="1"/>
  <c r="AA204" i="1"/>
  <c r="AA208" i="1" s="1"/>
  <c r="AG202" i="1"/>
  <c r="AB198" i="1"/>
  <c r="AH195" i="1"/>
  <c r="AC194" i="1"/>
  <c r="AC204" i="1"/>
  <c r="AC200" i="1" s="1"/>
  <c r="R222" i="1"/>
  <c r="AJ207" i="1"/>
  <c r="AE205" i="1"/>
  <c r="AK203" i="1"/>
  <c r="AF202" i="1"/>
  <c r="AA198" i="1"/>
  <c r="AC68" i="3" s="1"/>
  <c r="AG195" i="1"/>
  <c r="AB194" i="1"/>
  <c r="AH186" i="1"/>
  <c r="AJ63" i="3" s="1"/>
  <c r="AE194" i="1"/>
  <c r="O236" i="1"/>
  <c r="AI207" i="1"/>
  <c r="AN66" i="11" s="1"/>
  <c r="AD205" i="1"/>
  <c r="AJ203" i="1"/>
  <c r="AE202" i="1"/>
  <c r="AK196" i="1"/>
  <c r="AK187" i="1" s="1"/>
  <c r="AF195" i="1"/>
  <c r="AA194" i="1"/>
  <c r="AG186" i="1"/>
  <c r="AI61" i="9" s="1"/>
  <c r="AJ195" i="1"/>
  <c r="R236" i="1"/>
  <c r="AH207" i="1"/>
  <c r="AC205" i="1"/>
  <c r="AI203" i="1"/>
  <c r="AD202" i="1"/>
  <c r="AJ196" i="1"/>
  <c r="AJ187" i="1" s="1"/>
  <c r="AE195" i="1"/>
  <c r="AK191" i="1"/>
  <c r="AF186" i="1"/>
  <c r="AG207" i="1"/>
  <c r="AL66" i="11" s="1"/>
  <c r="AB205" i="1"/>
  <c r="AH203" i="1"/>
  <c r="AC202" i="1"/>
  <c r="AI196" i="1"/>
  <c r="AI187" i="1" s="1"/>
  <c r="AD195" i="1"/>
  <c r="AJ191" i="1"/>
  <c r="AE186" i="1"/>
  <c r="AF207" i="1"/>
  <c r="AK66" i="11" s="1"/>
  <c r="AA205" i="1"/>
  <c r="AG203" i="1"/>
  <c r="AB202" i="1"/>
  <c r="AH196" i="1"/>
  <c r="AH187" i="1" s="1"/>
  <c r="AC195" i="1"/>
  <c r="AI191" i="1"/>
  <c r="AK64" i="3" s="1"/>
  <c r="AD186" i="1"/>
  <c r="AF61" i="9" s="1"/>
  <c r="AE207" i="1"/>
  <c r="AK204" i="1"/>
  <c r="AK209" i="1" s="1"/>
  <c r="AF203" i="1"/>
  <c r="AA202" i="1"/>
  <c r="AG196" i="1"/>
  <c r="AG187" i="1" s="1"/>
  <c r="AB195" i="1"/>
  <c r="AH191" i="1"/>
  <c r="AM61" i="11" s="1"/>
  <c r="AC186" i="1"/>
  <c r="AE61" i="9" s="1"/>
  <c r="AD207" i="1"/>
  <c r="AJ204" i="1"/>
  <c r="AJ200" i="1" s="1"/>
  <c r="AE203" i="1"/>
  <c r="AK198" i="1"/>
  <c r="AK256" i="1" s="1"/>
  <c r="AF196" i="1"/>
  <c r="AF187" i="1" s="1"/>
  <c r="AA195" i="1"/>
  <c r="AG191" i="1"/>
  <c r="AI62" i="9" s="1"/>
  <c r="AB186" i="1"/>
  <c r="AD63" i="3" s="1"/>
  <c r="AK255" i="1"/>
  <c r="AC207" i="1"/>
  <c r="AI204" i="1"/>
  <c r="AI200" i="1" s="1"/>
  <c r="AI257" i="1" s="1"/>
  <c r="AD203" i="1"/>
  <c r="AJ198" i="1"/>
  <c r="AJ256" i="1" s="1"/>
  <c r="AE196" i="1"/>
  <c r="AE190" i="1" s="1"/>
  <c r="AK194" i="1"/>
  <c r="AF191" i="1"/>
  <c r="AF80" i="1" s="1"/>
  <c r="AA186" i="1"/>
  <c r="AF60" i="11" s="1"/>
  <c r="O221" i="1"/>
  <c r="R221" i="1"/>
  <c r="O222" i="1"/>
  <c r="R228" i="1"/>
  <c r="O226" i="1"/>
  <c r="R226" i="1"/>
  <c r="O227" i="1"/>
  <c r="P40" i="2"/>
  <c r="R227" i="1"/>
  <c r="I60" i="2"/>
  <c r="O55" i="2"/>
  <c r="P30" i="2"/>
  <c r="R231" i="1"/>
  <c r="M13" i="1"/>
  <c r="M28" i="1"/>
  <c r="W25" i="2"/>
  <c r="P60" i="2"/>
  <c r="I50" i="2"/>
  <c r="Q45" i="2"/>
  <c r="O230" i="1"/>
  <c r="R230" i="1"/>
  <c r="I65" i="2"/>
  <c r="O231" i="1"/>
  <c r="J65" i="2"/>
  <c r="J40" i="2"/>
  <c r="P25" i="2"/>
  <c r="H55" i="2"/>
  <c r="I40" i="2"/>
  <c r="R233" i="1"/>
  <c r="Q60" i="2"/>
  <c r="M33" i="1"/>
  <c r="N62" i="1"/>
  <c r="J60" i="2"/>
  <c r="P50" i="2"/>
  <c r="J30" i="2"/>
  <c r="I25" i="2"/>
  <c r="J50" i="2"/>
  <c r="I35" i="2"/>
  <c r="Q30" i="2"/>
  <c r="O233" i="1"/>
  <c r="M48" i="1"/>
  <c r="Q65" i="2"/>
  <c r="P45" i="2"/>
  <c r="Q35" i="2"/>
  <c r="M62" i="1"/>
  <c r="N43" i="1"/>
  <c r="N48" i="1"/>
  <c r="N6" i="1"/>
  <c r="Q25" i="2"/>
  <c r="P65" i="2"/>
  <c r="Q50" i="2"/>
  <c r="J45" i="2"/>
  <c r="P35" i="2"/>
  <c r="I30" i="2"/>
  <c r="J35" i="2"/>
  <c r="R238" i="1"/>
  <c r="L7" i="1"/>
  <c r="E7" i="1" s="1"/>
  <c r="N7" i="1"/>
  <c r="I45" i="2"/>
  <c r="Q40" i="2"/>
  <c r="J25" i="2"/>
  <c r="N28" i="1"/>
  <c r="N38" i="1"/>
  <c r="N13" i="1"/>
  <c r="N33" i="1"/>
  <c r="M43" i="1"/>
  <c r="M38" i="1"/>
  <c r="O130" i="1"/>
  <c r="M18" i="1"/>
  <c r="N23" i="1"/>
  <c r="M8" i="1"/>
  <c r="X25" i="2"/>
  <c r="O169" i="1"/>
  <c r="M23" i="1"/>
  <c r="L5" i="1"/>
  <c r="E5" i="1" s="1"/>
  <c r="O150" i="1"/>
  <c r="V34" i="3"/>
  <c r="R147" i="1"/>
  <c r="S29" i="3"/>
  <c r="S47" i="3"/>
  <c r="L208" i="1"/>
  <c r="S48" i="3"/>
  <c r="L95" i="1"/>
  <c r="O213" i="1"/>
  <c r="O110" i="1"/>
  <c r="S57" i="3"/>
  <c r="O80" i="1"/>
  <c r="L83" i="1"/>
  <c r="R203" i="1"/>
  <c r="V60" i="3"/>
  <c r="O208" i="1"/>
  <c r="O144" i="1"/>
  <c r="M23" i="3"/>
  <c r="U261" i="1"/>
  <c r="L109" i="1"/>
  <c r="L114" i="1"/>
  <c r="L84" i="1"/>
  <c r="R115" i="1"/>
  <c r="O131" i="1"/>
  <c r="O87" i="1"/>
  <c r="R186" i="1"/>
  <c r="J19" i="3"/>
  <c r="Y35" i="3"/>
  <c r="R87" i="1"/>
  <c r="R144" i="1"/>
  <c r="J26" i="3"/>
  <c r="V26" i="3"/>
  <c r="P49" i="3"/>
  <c r="P45" i="3"/>
  <c r="J44" i="3"/>
  <c r="J30" i="3"/>
  <c r="J33" i="3"/>
  <c r="J28" i="3"/>
  <c r="M47" i="3"/>
  <c r="M17" i="3"/>
  <c r="S58" i="3"/>
  <c r="P37" i="3"/>
  <c r="Y41" i="3"/>
  <c r="S35" i="3"/>
  <c r="P25" i="3"/>
  <c r="Y60" i="3"/>
  <c r="N72" i="3"/>
  <c r="J70" i="3"/>
  <c r="N69" i="3"/>
  <c r="R182" i="1"/>
  <c r="R175" i="1"/>
  <c r="O111" i="1"/>
  <c r="O154" i="1"/>
  <c r="O76" i="1"/>
  <c r="O102" i="1"/>
  <c r="R95" i="1"/>
  <c r="Y14" i="3"/>
  <c r="S40" i="3"/>
  <c r="S23" i="3"/>
  <c r="N35" i="3"/>
  <c r="N20" i="3"/>
  <c r="N48" i="3"/>
  <c r="M44" i="3"/>
  <c r="J36" i="3"/>
  <c r="M25" i="3"/>
  <c r="V44" i="3"/>
  <c r="S18" i="3"/>
  <c r="V19" i="3"/>
  <c r="V33" i="3"/>
  <c r="V61" i="3"/>
  <c r="M64" i="3"/>
  <c r="M71" i="3"/>
  <c r="P64" i="3"/>
  <c r="O187" i="1"/>
  <c r="O117" i="1"/>
  <c r="R176" i="1"/>
  <c r="O112" i="1"/>
  <c r="O155" i="1"/>
  <c r="R164" i="1"/>
  <c r="O151" i="1"/>
  <c r="L97" i="1"/>
  <c r="O191" i="1"/>
  <c r="R140" i="1"/>
  <c r="R78" i="1"/>
  <c r="O69" i="1"/>
  <c r="R198" i="1"/>
  <c r="U255" i="1"/>
  <c r="Y45" i="3"/>
  <c r="Y28" i="3"/>
  <c r="V46" i="3"/>
  <c r="V49" i="3"/>
  <c r="M29" i="3"/>
  <c r="N37" i="3"/>
  <c r="N57" i="3"/>
  <c r="M49" i="3"/>
  <c r="N17" i="3"/>
  <c r="Y57" i="3"/>
  <c r="V56" i="3"/>
  <c r="P35" i="3"/>
  <c r="Y34" i="3"/>
  <c r="V27" i="3"/>
  <c r="P71" i="3"/>
  <c r="J61" i="3"/>
  <c r="J71" i="3"/>
  <c r="L187" i="1"/>
  <c r="R117" i="1"/>
  <c r="O120" i="1"/>
  <c r="R112" i="1"/>
  <c r="R155" i="1"/>
  <c r="O97" i="1"/>
  <c r="R151" i="1"/>
  <c r="R99" i="1"/>
  <c r="R191" i="1"/>
  <c r="O90" i="1"/>
  <c r="L87" i="1"/>
  <c r="R72" i="1"/>
  <c r="R202" i="1"/>
  <c r="U256" i="1"/>
  <c r="V32" i="3"/>
  <c r="P63" i="3"/>
  <c r="Y49" i="3"/>
  <c r="S16" i="3"/>
  <c r="M20" i="3"/>
  <c r="M36" i="3"/>
  <c r="N46" i="3"/>
  <c r="J17" i="3"/>
  <c r="M16" i="3"/>
  <c r="P58" i="3"/>
  <c r="Y16" i="3"/>
  <c r="Y37" i="3"/>
  <c r="S36" i="3"/>
  <c r="P33" i="3"/>
  <c r="Y25" i="3"/>
  <c r="P70" i="3"/>
  <c r="J63" i="3"/>
  <c r="M51" i="3"/>
  <c r="O186" i="1"/>
  <c r="O83" i="1"/>
  <c r="R125" i="1"/>
  <c r="O166" i="1"/>
  <c r="R156" i="1"/>
  <c r="R75" i="1"/>
  <c r="R149" i="1"/>
  <c r="O94" i="1"/>
  <c r="L190" i="1"/>
  <c r="R91" i="1"/>
  <c r="O79" i="1"/>
  <c r="R68" i="1"/>
  <c r="R204" i="1"/>
  <c r="O200" i="1"/>
  <c r="Y31" i="3"/>
  <c r="P46" i="3"/>
  <c r="Y23" i="3"/>
  <c r="J48" i="3"/>
  <c r="J27" i="3"/>
  <c r="M37" i="3"/>
  <c r="J35" i="3"/>
  <c r="J32" i="3"/>
  <c r="M28" i="3"/>
  <c r="P44" i="3"/>
  <c r="P56" i="3"/>
  <c r="Y20" i="3"/>
  <c r="S41" i="3"/>
  <c r="P27" i="3"/>
  <c r="P32" i="3"/>
  <c r="P69" i="3"/>
  <c r="M63" i="3"/>
  <c r="J72" i="3"/>
  <c r="L186" i="1"/>
  <c r="R83" i="1"/>
  <c r="R120" i="1"/>
  <c r="R166" i="1"/>
  <c r="R107" i="1"/>
  <c r="L76" i="1"/>
  <c r="O152" i="1"/>
  <c r="R94" i="1"/>
  <c r="R192" i="1"/>
  <c r="O92" i="1"/>
  <c r="R69" i="1"/>
  <c r="L73" i="1"/>
  <c r="R207" i="1"/>
  <c r="L260" i="1"/>
  <c r="P16" i="3"/>
  <c r="P40" i="3"/>
  <c r="P28" i="3"/>
  <c r="J57" i="3"/>
  <c r="N16" i="3"/>
  <c r="M45" i="3"/>
  <c r="J31" i="3"/>
  <c r="N49" i="3"/>
  <c r="M32" i="3"/>
  <c r="S51" i="3"/>
  <c r="P18" i="3"/>
  <c r="V36" i="3"/>
  <c r="S34" i="3"/>
  <c r="P17" i="3"/>
  <c r="S61" i="3"/>
  <c r="J64" i="3"/>
  <c r="N64" i="3"/>
  <c r="R187" i="1"/>
  <c r="O84" i="1"/>
  <c r="O109" i="1"/>
  <c r="O114" i="1"/>
  <c r="L147" i="1"/>
  <c r="R76" i="1"/>
  <c r="R152" i="1"/>
  <c r="O95" i="1"/>
  <c r="O190" i="1"/>
  <c r="R92" i="1"/>
  <c r="R79" i="1"/>
  <c r="O73" i="1"/>
  <c r="L209" i="1"/>
  <c r="U260" i="1"/>
  <c r="P26" i="3"/>
  <c r="V47" i="3"/>
  <c r="M27" i="3"/>
  <c r="N41" i="3"/>
  <c r="J40" i="3"/>
  <c r="N58" i="3"/>
  <c r="J29" i="3"/>
  <c r="M30" i="3"/>
  <c r="V45" i="3"/>
  <c r="V57" i="3"/>
  <c r="S37" i="3"/>
  <c r="Y19" i="3"/>
  <c r="V29" i="3"/>
  <c r="V30" i="3"/>
  <c r="S81" i="3"/>
  <c r="N51" i="3"/>
  <c r="M60" i="3"/>
  <c r="O145" i="1"/>
  <c r="R128" i="1"/>
  <c r="O119" i="1"/>
  <c r="R114" i="1"/>
  <c r="O106" i="1"/>
  <c r="R103" i="1"/>
  <c r="R170" i="1"/>
  <c r="O195" i="1"/>
  <c r="R188" i="1"/>
  <c r="L81" i="1"/>
  <c r="R80" i="1"/>
  <c r="O71" i="1"/>
  <c r="O204" i="1"/>
  <c r="L203" i="1"/>
  <c r="P47" i="3"/>
  <c r="V14" i="3"/>
  <c r="M33" i="3"/>
  <c r="N36" i="3"/>
  <c r="J46" i="3"/>
  <c r="M48" i="3"/>
  <c r="J34" i="3"/>
  <c r="J20" i="3"/>
  <c r="Y58" i="3"/>
  <c r="V48" i="3"/>
  <c r="S20" i="3"/>
  <c r="P67" i="3"/>
  <c r="Y33" i="3"/>
  <c r="V25" i="3"/>
  <c r="N70" i="3"/>
  <c r="J68" i="3"/>
  <c r="M68" i="3"/>
  <c r="R145" i="1"/>
  <c r="R178" i="1"/>
  <c r="R119" i="1"/>
  <c r="O115" i="1"/>
  <c r="R106" i="1"/>
  <c r="O101" i="1"/>
  <c r="R97" i="1"/>
  <c r="R195" i="1"/>
  <c r="O138" i="1"/>
  <c r="R81" i="1"/>
  <c r="O78" i="1"/>
  <c r="R208" i="1"/>
  <c r="R213" i="1"/>
  <c r="L204" i="1"/>
  <c r="P14" i="3"/>
  <c r="Y46" i="3"/>
  <c r="M56" i="3"/>
  <c r="M19" i="3"/>
  <c r="N18" i="3"/>
  <c r="M58" i="3"/>
  <c r="N31" i="3"/>
  <c r="J37" i="3"/>
  <c r="Y44" i="3"/>
  <c r="Y56" i="3"/>
  <c r="V37" i="3"/>
  <c r="S28" i="3"/>
  <c r="Y27" i="3"/>
  <c r="Y32" i="3"/>
  <c r="P82" i="3"/>
  <c r="J69" i="3"/>
  <c r="N68" i="3"/>
  <c r="R134" i="1"/>
  <c r="O179" i="1"/>
  <c r="O122" i="1"/>
  <c r="R172" i="1"/>
  <c r="O162" i="1"/>
  <c r="R101" i="1"/>
  <c r="O99" i="1"/>
  <c r="R190" i="1"/>
  <c r="R90" i="1"/>
  <c r="O81" i="1"/>
  <c r="R71" i="1"/>
  <c r="R200" i="1"/>
  <c r="O205" i="1"/>
  <c r="L205" i="1"/>
  <c r="S26" i="3"/>
  <c r="Y40" i="3"/>
  <c r="J25" i="3"/>
  <c r="M35" i="3"/>
  <c r="N56" i="3"/>
  <c r="N28" i="3"/>
  <c r="N26" i="3"/>
  <c r="N25" i="3"/>
  <c r="P57" i="3"/>
  <c r="Y18" i="3"/>
  <c r="V20" i="3"/>
  <c r="P34" i="3"/>
  <c r="S32" i="3"/>
  <c r="Y17" i="3"/>
  <c r="J51" i="3"/>
  <c r="N60" i="3"/>
  <c r="M61" i="3"/>
  <c r="O135" i="1"/>
  <c r="R179" i="1"/>
  <c r="R122" i="1"/>
  <c r="R154" i="1"/>
  <c r="R162" i="1"/>
  <c r="O104" i="1"/>
  <c r="O142" i="1"/>
  <c r="O196" i="1"/>
  <c r="O139" i="1"/>
  <c r="O88" i="1"/>
  <c r="L67" i="1"/>
  <c r="O202" i="1"/>
  <c r="O207" i="1"/>
  <c r="L255" i="1"/>
  <c r="S31" i="3"/>
  <c r="P60" i="3"/>
  <c r="P51" i="3"/>
  <c r="N47" i="3"/>
  <c r="M57" i="3"/>
  <c r="N40" i="3"/>
  <c r="J16" i="3"/>
  <c r="M14" i="3"/>
  <c r="N30" i="3"/>
  <c r="P48" i="3"/>
  <c r="V28" i="3"/>
  <c r="Y36" i="3"/>
  <c r="P29" i="3"/>
  <c r="P30" i="3"/>
  <c r="V51" i="3"/>
  <c r="P81" i="3"/>
  <c r="M69" i="3"/>
  <c r="S82" i="3"/>
  <c r="R131" i="1"/>
  <c r="R180" i="1"/>
  <c r="R167" i="1"/>
  <c r="O172" i="1"/>
  <c r="O163" i="1"/>
  <c r="R104" i="1"/>
  <c r="R142" i="1"/>
  <c r="L194" i="1"/>
  <c r="R139" i="1"/>
  <c r="L86" i="1"/>
  <c r="L69" i="1"/>
  <c r="R205" i="1"/>
  <c r="U257" i="1"/>
  <c r="L256" i="1"/>
  <c r="S14" i="3"/>
  <c r="J45" i="3"/>
  <c r="M40" i="3"/>
  <c r="P20" i="3"/>
  <c r="S33" i="3"/>
  <c r="M70" i="3"/>
  <c r="R127" i="1"/>
  <c r="R163" i="1"/>
  <c r="O194" i="1"/>
  <c r="L78" i="1"/>
  <c r="L200" i="1"/>
  <c r="P23" i="3"/>
  <c r="J23" i="3"/>
  <c r="M26" i="3"/>
  <c r="S56" i="3"/>
  <c r="S27" i="3"/>
  <c r="N63" i="3"/>
  <c r="O175" i="1"/>
  <c r="O164" i="1"/>
  <c r="L191" i="1"/>
  <c r="O67" i="1"/>
  <c r="L261" i="1"/>
  <c r="L107" i="1"/>
  <c r="S46" i="3"/>
  <c r="M46" i="3"/>
  <c r="J41" i="3"/>
  <c r="V18" i="3"/>
  <c r="Y30" i="3"/>
  <c r="M72" i="3"/>
  <c r="R124" i="1"/>
  <c r="O75" i="1"/>
  <c r="O192" i="1"/>
  <c r="O68" i="1"/>
  <c r="L202" i="1"/>
  <c r="V40" i="3"/>
  <c r="J49" i="3"/>
  <c r="N32" i="3"/>
  <c r="S30" i="3"/>
  <c r="N67" i="3"/>
  <c r="R110" i="1"/>
  <c r="R102" i="1"/>
  <c r="R138" i="1"/>
  <c r="O72" i="1"/>
  <c r="L257" i="1"/>
  <c r="L101" i="1"/>
  <c r="L98" i="1"/>
  <c r="Y26" i="3"/>
  <c r="M41" i="3"/>
  <c r="J56" i="3"/>
  <c r="P36" i="3"/>
  <c r="S25" i="3"/>
  <c r="N71" i="3"/>
  <c r="O121" i="1"/>
  <c r="O103" i="1"/>
  <c r="O188" i="1"/>
  <c r="R67" i="1"/>
  <c r="L104" i="1"/>
  <c r="N14" i="3"/>
  <c r="N33" i="3"/>
  <c r="P41" i="3"/>
  <c r="P61" i="3"/>
  <c r="Y61" i="3"/>
  <c r="R121" i="1"/>
  <c r="R150" i="1"/>
  <c r="O137" i="1"/>
  <c r="L71" i="1"/>
  <c r="S60" i="3"/>
  <c r="M31" i="3"/>
  <c r="J18" i="3"/>
  <c r="S17" i="3"/>
  <c r="Y51" i="3"/>
  <c r="R111" i="1"/>
  <c r="R169" i="1"/>
  <c r="R137" i="1"/>
  <c r="R73" i="1"/>
  <c r="L99" i="1"/>
  <c r="P19" i="3"/>
  <c r="J14" i="3"/>
  <c r="N27" i="3"/>
  <c r="P31" i="3"/>
  <c r="P72" i="3"/>
  <c r="R109" i="1"/>
  <c r="O149" i="1"/>
  <c r="O140" i="1"/>
  <c r="O209" i="1"/>
  <c r="J47" i="3"/>
  <c r="V17" i="3"/>
  <c r="S49" i="3"/>
  <c r="M18" i="3"/>
  <c r="S45" i="3"/>
  <c r="V41" i="3"/>
  <c r="P68" i="3"/>
  <c r="N29" i="3"/>
  <c r="N44" i="3"/>
  <c r="S44" i="3"/>
  <c r="S19" i="3"/>
  <c r="M82" i="3"/>
  <c r="G82" i="3" s="1"/>
  <c r="Q82" i="3" s="1"/>
  <c r="R135" i="1"/>
  <c r="R173" i="1"/>
  <c r="R98" i="1"/>
  <c r="R88" i="1"/>
  <c r="O203" i="1"/>
  <c r="L75" i="1"/>
  <c r="V31" i="3"/>
  <c r="N34" i="3"/>
  <c r="N45" i="3"/>
  <c r="V58" i="3"/>
  <c r="V35" i="3"/>
  <c r="M81" i="3"/>
  <c r="G81" i="3" s="1"/>
  <c r="Q81" i="3" s="1"/>
  <c r="R130" i="1"/>
  <c r="O147" i="1"/>
  <c r="L94" i="1"/>
  <c r="O86" i="1"/>
  <c r="R209" i="1"/>
  <c r="Y47" i="3"/>
  <c r="J58" i="3"/>
  <c r="N23" i="3"/>
  <c r="Y48" i="3"/>
  <c r="Y29" i="3"/>
  <c r="J67" i="3"/>
  <c r="R84" i="1"/>
  <c r="O156" i="1"/>
  <c r="R194" i="1"/>
  <c r="R86" i="1"/>
  <c r="L207" i="1"/>
  <c r="L90" i="1"/>
  <c r="O198" i="1"/>
  <c r="O167" i="1"/>
  <c r="L142" i="1"/>
  <c r="L196" i="1"/>
  <c r="L102" i="1"/>
  <c r="V16" i="3"/>
  <c r="O212" i="1"/>
  <c r="O91" i="1"/>
  <c r="M34" i="3"/>
  <c r="O178" i="1"/>
  <c r="L106" i="1"/>
  <c r="R212" i="1"/>
  <c r="R196" i="1"/>
  <c r="N61" i="3"/>
  <c r="N19" i="3"/>
  <c r="V23" i="3"/>
  <c r="O107" i="1"/>
  <c r="L195" i="1"/>
  <c r="M67" i="3"/>
  <c r="O98" i="1"/>
  <c r="J60" i="3"/>
  <c r="Y54" i="11"/>
  <c r="N18" i="1"/>
  <c r="AG137" i="1"/>
  <c r="AK88" i="1"/>
  <c r="AF87" i="1"/>
  <c r="AH17" i="9" s="1"/>
  <c r="AA86" i="1"/>
  <c r="AG83" i="1"/>
  <c r="AI16" i="3" s="1"/>
  <c r="AB81" i="1"/>
  <c r="AH76" i="1"/>
  <c r="AI73" i="1"/>
  <c r="AD72" i="1"/>
  <c r="AE69" i="1"/>
  <c r="N16" i="9"/>
  <c r="S26" i="9"/>
  <c r="J28" i="9"/>
  <c r="N36" i="9"/>
  <c r="M41" i="9"/>
  <c r="S44" i="9"/>
  <c r="AB26" i="11"/>
  <c r="S31" i="11"/>
  <c r="O58" i="11"/>
  <c r="AF137" i="1"/>
  <c r="AJ88" i="1"/>
  <c r="AE87" i="1"/>
  <c r="AG17" i="9" s="1"/>
  <c r="AK84" i="1"/>
  <c r="AF83" i="1"/>
  <c r="AH16" i="9" s="1"/>
  <c r="AA81" i="1"/>
  <c r="AG76" i="1"/>
  <c r="AG75" i="1"/>
  <c r="AI14" i="3" s="1"/>
  <c r="AH73" i="1"/>
  <c r="AC72" i="1"/>
  <c r="AE71" i="1"/>
  <c r="AG40" i="3" s="1"/>
  <c r="AD69" i="1"/>
  <c r="AK67" i="1"/>
  <c r="AK104" i="1" s="1"/>
  <c r="AC67" i="1"/>
  <c r="AE23" i="3" s="1"/>
  <c r="J14" i="9"/>
  <c r="P16" i="9"/>
  <c r="V26" i="9"/>
  <c r="M28" i="9"/>
  <c r="P41" i="9"/>
  <c r="M54" i="9"/>
  <c r="J68" i="9"/>
  <c r="Y31" i="11"/>
  <c r="M60" i="11"/>
  <c r="N60" i="11" s="1"/>
  <c r="AE137" i="1"/>
  <c r="AI88" i="1"/>
  <c r="AD87" i="1"/>
  <c r="AI17" i="11" s="1"/>
  <c r="AJ84" i="1"/>
  <c r="AE83" i="1"/>
  <c r="AG16" i="9" s="1"/>
  <c r="AK78" i="1"/>
  <c r="AM31" i="3" s="1"/>
  <c r="AF76" i="1"/>
  <c r="AG73" i="1"/>
  <c r="AB72" i="1"/>
  <c r="AC69" i="1"/>
  <c r="M14" i="9"/>
  <c r="S16" i="9"/>
  <c r="J18" i="9"/>
  <c r="Y26" i="9"/>
  <c r="N28" i="9"/>
  <c r="N30" i="9"/>
  <c r="M32" i="9"/>
  <c r="S34" i="9"/>
  <c r="V41" i="9"/>
  <c r="P54" i="9"/>
  <c r="S61" i="11"/>
  <c r="AD137" i="1"/>
  <c r="AH88" i="1"/>
  <c r="AC87" i="1"/>
  <c r="AH17" i="11" s="1"/>
  <c r="AI84" i="1"/>
  <c r="AD83" i="1"/>
  <c r="AF16" i="3" s="1"/>
  <c r="AJ78" i="1"/>
  <c r="AL31" i="9" s="1"/>
  <c r="AE76" i="1"/>
  <c r="AF75" i="1"/>
  <c r="AH14" i="3" s="1"/>
  <c r="AF73" i="1"/>
  <c r="AA72" i="1"/>
  <c r="AD71" i="1"/>
  <c r="AD106" i="1" s="1"/>
  <c r="AB69" i="1"/>
  <c r="AJ67" i="1"/>
  <c r="AJ90" i="1" s="1"/>
  <c r="AB67" i="1"/>
  <c r="AB104" i="1" s="1"/>
  <c r="N14" i="9"/>
  <c r="P18" i="9"/>
  <c r="V28" i="9"/>
  <c r="P30" i="9"/>
  <c r="P32" i="9"/>
  <c r="V34" i="9"/>
  <c r="V54" i="9"/>
  <c r="Y27" i="11"/>
  <c r="O32" i="11"/>
  <c r="AC137" i="1"/>
  <c r="AG88" i="1"/>
  <c r="AB87" i="1"/>
  <c r="AD17" i="9" s="1"/>
  <c r="AH84" i="1"/>
  <c r="AC83" i="1"/>
  <c r="AH16" i="11" s="1"/>
  <c r="AI78" i="1"/>
  <c r="AK31" i="3" s="1"/>
  <c r="AD76" i="1"/>
  <c r="AE73" i="1"/>
  <c r="AA69" i="1"/>
  <c r="P14" i="9"/>
  <c r="S18" i="9"/>
  <c r="J20" i="9"/>
  <c r="Y28" i="9"/>
  <c r="V30" i="9"/>
  <c r="Y34" i="9"/>
  <c r="N45" i="9"/>
  <c r="M69" i="9"/>
  <c r="V32" i="11"/>
  <c r="AB137" i="1"/>
  <c r="AF88" i="1"/>
  <c r="AA87" i="1"/>
  <c r="AC17" i="9" s="1"/>
  <c r="AG84" i="1"/>
  <c r="AB83" i="1"/>
  <c r="AD16" i="9" s="1"/>
  <c r="AH78" i="1"/>
  <c r="AJ31" i="3" s="1"/>
  <c r="AC76" i="1"/>
  <c r="AE75" i="1"/>
  <c r="AE102" i="1" s="1"/>
  <c r="AG19" i="3" s="1"/>
  <c r="AD73" i="1"/>
  <c r="AK71" i="1"/>
  <c r="AM40" i="3" s="1"/>
  <c r="AC71" i="1"/>
  <c r="AE40" i="3" s="1"/>
  <c r="AK68" i="1"/>
  <c r="AI67" i="1"/>
  <c r="AI104" i="1" s="1"/>
  <c r="AA67" i="1"/>
  <c r="AC23" i="3" s="1"/>
  <c r="S14" i="9"/>
  <c r="V18" i="9"/>
  <c r="M20" i="9"/>
  <c r="J37" i="9"/>
  <c r="M55" i="9"/>
  <c r="M33" i="11"/>
  <c r="N33" i="11" s="1"/>
  <c r="AA137" i="1"/>
  <c r="AE88" i="1"/>
  <c r="AK86" i="1"/>
  <c r="AF84" i="1"/>
  <c r="AA83" i="1"/>
  <c r="AC16" i="9" s="1"/>
  <c r="AG78" i="1"/>
  <c r="AI31" i="3" s="1"/>
  <c r="AB76" i="1"/>
  <c r="AC73" i="1"/>
  <c r="AJ68" i="1"/>
  <c r="V14" i="9"/>
  <c r="P20" i="9"/>
  <c r="V37" i="9"/>
  <c r="M42" i="9"/>
  <c r="P55" i="9"/>
  <c r="J70" i="9"/>
  <c r="V28" i="11"/>
  <c r="S33" i="11"/>
  <c r="AD88" i="1"/>
  <c r="AJ86" i="1"/>
  <c r="AE84" i="1"/>
  <c r="AK81" i="1"/>
  <c r="AF78" i="1"/>
  <c r="AH31" i="3" s="1"/>
  <c r="AA76" i="1"/>
  <c r="AD75" i="1"/>
  <c r="AD114" i="1" s="1"/>
  <c r="AF18" i="9" s="1"/>
  <c r="AB73" i="1"/>
  <c r="AJ71" i="1"/>
  <c r="AJ107" i="1" s="1"/>
  <c r="AB71" i="1"/>
  <c r="AB107" i="1" s="1"/>
  <c r="AI68" i="1"/>
  <c r="AH67" i="1"/>
  <c r="AH94" i="1" s="1"/>
  <c r="Y14" i="9"/>
  <c r="V20" i="9"/>
  <c r="M25" i="9"/>
  <c r="P42" i="9"/>
  <c r="N70" i="9"/>
  <c r="M14" i="11"/>
  <c r="N14" i="11" s="1"/>
  <c r="AB28" i="11"/>
  <c r="AC88" i="1"/>
  <c r="AI86" i="1"/>
  <c r="AD84" i="1"/>
  <c r="AJ81" i="1"/>
  <c r="AE78" i="1"/>
  <c r="AG31" i="3" s="1"/>
  <c r="AA73" i="1"/>
  <c r="AH68" i="1"/>
  <c r="J17" i="9"/>
  <c r="Y25" i="9"/>
  <c r="N27" i="9"/>
  <c r="O34" i="11"/>
  <c r="AG66" i="9"/>
  <c r="AB88" i="1"/>
  <c r="AH86" i="1"/>
  <c r="AC84" i="1"/>
  <c r="AI81" i="1"/>
  <c r="AD78" i="1"/>
  <c r="AF31" i="3" s="1"/>
  <c r="AK75" i="1"/>
  <c r="AM14" i="9" s="1"/>
  <c r="AC75" i="1"/>
  <c r="AC102" i="1" s="1"/>
  <c r="AH19" i="11" s="1"/>
  <c r="AK72" i="1"/>
  <c r="AI71" i="1"/>
  <c r="AI101" i="1" s="1"/>
  <c r="AA71" i="1"/>
  <c r="AA106" i="1" s="1"/>
  <c r="AF41" i="11" s="1"/>
  <c r="AG68" i="1"/>
  <c r="AG67" i="1"/>
  <c r="AG90" i="1" s="1"/>
  <c r="AI25" i="9" s="1"/>
  <c r="M17" i="9"/>
  <c r="P27" i="9"/>
  <c r="J31" i="9"/>
  <c r="N35" i="9"/>
  <c r="M56" i="9"/>
  <c r="S29" i="11"/>
  <c r="AA88" i="1"/>
  <c r="AG86" i="1"/>
  <c r="AB84" i="1"/>
  <c r="AH81" i="1"/>
  <c r="AC78" i="1"/>
  <c r="AE31" i="3" s="1"/>
  <c r="AJ72" i="1"/>
  <c r="AK69" i="1"/>
  <c r="AF68" i="1"/>
  <c r="N17" i="9"/>
  <c r="S27" i="9"/>
  <c r="J29" i="9"/>
  <c r="M31" i="9"/>
  <c r="M33" i="9"/>
  <c r="S35" i="9"/>
  <c r="M79" i="9"/>
  <c r="G79" i="9" s="1"/>
  <c r="T79" i="9" s="1"/>
  <c r="Y29" i="11"/>
  <c r="M35" i="11"/>
  <c r="N35" i="11" s="1"/>
  <c r="AK87" i="1"/>
  <c r="AF86" i="1"/>
  <c r="AA84" i="1"/>
  <c r="AG81" i="1"/>
  <c r="AB78" i="1"/>
  <c r="AD31" i="3" s="1"/>
  <c r="AJ75" i="1"/>
  <c r="AL14" i="3" s="1"/>
  <c r="AB75" i="1"/>
  <c r="AD14" i="3" s="1"/>
  <c r="AI72" i="1"/>
  <c r="AH71" i="1"/>
  <c r="AH101" i="1" s="1"/>
  <c r="AJ69" i="1"/>
  <c r="AE68" i="1"/>
  <c r="AF67" i="1"/>
  <c r="AK23" i="11" s="1"/>
  <c r="V17" i="9"/>
  <c r="M19" i="9"/>
  <c r="S29" i="9"/>
  <c r="P31" i="9"/>
  <c r="Y33" i="9"/>
  <c r="P40" i="9"/>
  <c r="M43" i="9"/>
  <c r="V47" i="9"/>
  <c r="S79" i="9"/>
  <c r="AC70" i="3"/>
  <c r="AK137" i="1"/>
  <c r="AJ87" i="1"/>
  <c r="AO17" i="11" s="1"/>
  <c r="AE86" i="1"/>
  <c r="AK83" i="1"/>
  <c r="AM16" i="9" s="1"/>
  <c r="AF81" i="1"/>
  <c r="AA78" i="1"/>
  <c r="AC31" i="3" s="1"/>
  <c r="AH72" i="1"/>
  <c r="AI69" i="1"/>
  <c r="AD68" i="1"/>
  <c r="Y17" i="9"/>
  <c r="N19" i="9"/>
  <c r="V29" i="9"/>
  <c r="V31" i="9"/>
  <c r="V40" i="9"/>
  <c r="Y43" i="9"/>
  <c r="O30" i="11"/>
  <c r="AB53" i="11"/>
  <c r="AJ137" i="1"/>
  <c r="AI87" i="1"/>
  <c r="AK17" i="9" s="1"/>
  <c r="AD86" i="1"/>
  <c r="AJ83" i="1"/>
  <c r="AO16" i="11" s="1"/>
  <c r="AE81" i="1"/>
  <c r="AK76" i="1"/>
  <c r="AI75" i="1"/>
  <c r="AK14" i="3" s="1"/>
  <c r="AA75" i="1"/>
  <c r="AA114" i="1" s="1"/>
  <c r="AF18" i="11" s="1"/>
  <c r="AG72" i="1"/>
  <c r="AG71" i="1"/>
  <c r="AH69" i="1"/>
  <c r="AC68" i="1"/>
  <c r="AE67" i="1"/>
  <c r="AG23" i="3" s="1"/>
  <c r="P19" i="9"/>
  <c r="V30" i="11"/>
  <c r="V19" i="11"/>
  <c r="J41" i="11"/>
  <c r="J18" i="11"/>
  <c r="M48" i="11"/>
  <c r="N48" i="11" s="1"/>
  <c r="O46" i="11"/>
  <c r="S45" i="11"/>
  <c r="V44" i="11"/>
  <c r="Y43" i="11"/>
  <c r="AB42" i="11"/>
  <c r="M29" i="11"/>
  <c r="N29" i="11" s="1"/>
  <c r="O28" i="11"/>
  <c r="S27" i="11"/>
  <c r="V26" i="11"/>
  <c r="Y25" i="11"/>
  <c r="AB23" i="11"/>
  <c r="M49" i="9"/>
  <c r="P47" i="9"/>
  <c r="V46" i="9"/>
  <c r="M40" i="9"/>
  <c r="P37" i="9"/>
  <c r="V36" i="9"/>
  <c r="M30" i="9"/>
  <c r="P29" i="9"/>
  <c r="J23" i="11"/>
  <c r="J42" i="11"/>
  <c r="J19" i="11"/>
  <c r="M46" i="11"/>
  <c r="N46" i="11" s="1"/>
  <c r="O45" i="11"/>
  <c r="S44" i="11"/>
  <c r="V43" i="11"/>
  <c r="Y42" i="11"/>
  <c r="AB41" i="11"/>
  <c r="M28" i="11"/>
  <c r="N28" i="11" s="1"/>
  <c r="O27" i="11"/>
  <c r="S26" i="11"/>
  <c r="V25" i="11"/>
  <c r="Y23" i="11"/>
  <c r="AB20" i="11"/>
  <c r="Y59" i="9"/>
  <c r="J49" i="9"/>
  <c r="N47" i="9"/>
  <c r="S46" i="9"/>
  <c r="Y45" i="9"/>
  <c r="J40" i="9"/>
  <c r="N37" i="9"/>
  <c r="S36" i="9"/>
  <c r="Y35" i="9"/>
  <c r="J30" i="9"/>
  <c r="N29" i="9"/>
  <c r="S28" i="9"/>
  <c r="Y27" i="9"/>
  <c r="J19" i="9"/>
  <c r="N18" i="9"/>
  <c r="S17" i="9"/>
  <c r="Y16" i="9"/>
  <c r="J25" i="11"/>
  <c r="J43" i="11"/>
  <c r="J20" i="11"/>
  <c r="M45" i="11"/>
  <c r="N45" i="11" s="1"/>
  <c r="O44" i="11"/>
  <c r="S43" i="11"/>
  <c r="V42" i="11"/>
  <c r="Y41" i="11"/>
  <c r="AB40" i="11"/>
  <c r="M27" i="11"/>
  <c r="N27" i="11" s="1"/>
  <c r="O26" i="11"/>
  <c r="S25" i="11"/>
  <c r="V23" i="11"/>
  <c r="Y20" i="11"/>
  <c r="AB19" i="11"/>
  <c r="AB18" i="11"/>
  <c r="P61" i="9"/>
  <c r="V59" i="9"/>
  <c r="M47" i="9"/>
  <c r="P46" i="9"/>
  <c r="V45" i="9"/>
  <c r="M37" i="9"/>
  <c r="P36" i="9"/>
  <c r="V35" i="9"/>
  <c r="M29" i="9"/>
  <c r="P28" i="9"/>
  <c r="V27" i="9"/>
  <c r="M18" i="9"/>
  <c r="P17" i="9"/>
  <c r="V16" i="9"/>
  <c r="J26" i="11"/>
  <c r="J44" i="11"/>
  <c r="M44" i="11"/>
  <c r="N44" i="11" s="1"/>
  <c r="O43" i="11"/>
  <c r="S42" i="11"/>
  <c r="V41" i="11"/>
  <c r="Y40" i="11"/>
  <c r="AB37" i="11"/>
  <c r="M26" i="11"/>
  <c r="N26" i="11" s="1"/>
  <c r="O25" i="11"/>
  <c r="S23" i="11"/>
  <c r="V20" i="11"/>
  <c r="Y19" i="11"/>
  <c r="Y18" i="11"/>
  <c r="AB17" i="11"/>
  <c r="P62" i="9"/>
  <c r="N61" i="9"/>
  <c r="S59" i="9"/>
  <c r="Y58" i="9"/>
  <c r="J47" i="9"/>
  <c r="N46" i="9"/>
  <c r="S45" i="9"/>
  <c r="Y44" i="9"/>
  <c r="J27" i="11"/>
  <c r="J45" i="11"/>
  <c r="M43" i="11"/>
  <c r="N43" i="11" s="1"/>
  <c r="O42" i="11"/>
  <c r="S41" i="11"/>
  <c r="V40" i="11"/>
  <c r="Y37" i="11"/>
  <c r="AB36" i="11"/>
  <c r="M25" i="11"/>
  <c r="N25" i="11" s="1"/>
  <c r="O23" i="11"/>
  <c r="S20" i="11"/>
  <c r="S19" i="11"/>
  <c r="V18" i="11"/>
  <c r="Y17" i="11"/>
  <c r="AB16" i="11"/>
  <c r="P65" i="9"/>
  <c r="N62" i="9"/>
  <c r="M61" i="9"/>
  <c r="P59" i="9"/>
  <c r="V58" i="9"/>
  <c r="M46" i="9"/>
  <c r="P45" i="9"/>
  <c r="V44" i="9"/>
  <c r="M36" i="9"/>
  <c r="P35" i="9"/>
  <c r="J28" i="11"/>
  <c r="J46" i="11"/>
  <c r="M42" i="11"/>
  <c r="N42" i="11" s="1"/>
  <c r="O41" i="11"/>
  <c r="S40" i="11"/>
  <c r="V37" i="11"/>
  <c r="Y36" i="11"/>
  <c r="AB35" i="11"/>
  <c r="M23" i="11"/>
  <c r="N23" i="11" s="1"/>
  <c r="O20" i="11"/>
  <c r="O19" i="11"/>
  <c r="S18" i="11"/>
  <c r="V17" i="11"/>
  <c r="Y16" i="11"/>
  <c r="AB14" i="11"/>
  <c r="P66" i="9"/>
  <c r="N65" i="9"/>
  <c r="M62" i="9"/>
  <c r="J61" i="9"/>
  <c r="N59" i="9"/>
  <c r="S58" i="9"/>
  <c r="Y56" i="9"/>
  <c r="J46" i="9"/>
  <c r="J29" i="11"/>
  <c r="J48" i="11"/>
  <c r="AB58" i="11"/>
  <c r="M41" i="11"/>
  <c r="N41" i="11" s="1"/>
  <c r="O40" i="11"/>
  <c r="S37" i="11"/>
  <c r="V36" i="11"/>
  <c r="Y35" i="11"/>
  <c r="AB34" i="11"/>
  <c r="M20" i="11"/>
  <c r="N20" i="11" s="1"/>
  <c r="M19" i="11"/>
  <c r="N19" i="11" s="1"/>
  <c r="O18" i="11"/>
  <c r="S17" i="11"/>
  <c r="V16" i="11"/>
  <c r="Y14" i="11"/>
  <c r="P67" i="9"/>
  <c r="N66" i="9"/>
  <c r="M65" i="9"/>
  <c r="J62" i="9"/>
  <c r="M59" i="9"/>
  <c r="P58" i="9"/>
  <c r="V56" i="9"/>
  <c r="M45" i="9"/>
  <c r="P44" i="9"/>
  <c r="V43" i="9"/>
  <c r="M35" i="9"/>
  <c r="P34" i="9"/>
  <c r="V33" i="9"/>
  <c r="M27" i="9"/>
  <c r="P26" i="9"/>
  <c r="V25" i="9"/>
  <c r="M16" i="9"/>
  <c r="J30" i="11"/>
  <c r="J53" i="11"/>
  <c r="Y58" i="11"/>
  <c r="AB57" i="11"/>
  <c r="M40" i="11"/>
  <c r="N40" i="11" s="1"/>
  <c r="O37" i="11"/>
  <c r="S36" i="11"/>
  <c r="V35" i="11"/>
  <c r="Y34" i="11"/>
  <c r="AB33" i="11"/>
  <c r="M18" i="11"/>
  <c r="N18" i="11" s="1"/>
  <c r="O17" i="11"/>
  <c r="S16" i="11"/>
  <c r="V14" i="11"/>
  <c r="S80" i="9"/>
  <c r="P68" i="9"/>
  <c r="N67" i="9"/>
  <c r="M66" i="9"/>
  <c r="J65" i="9"/>
  <c r="J59" i="9"/>
  <c r="N58" i="9"/>
  <c r="S56" i="9"/>
  <c r="Y55" i="9"/>
  <c r="J45" i="9"/>
  <c r="N44" i="9"/>
  <c r="S43" i="9"/>
  <c r="Y42" i="9"/>
  <c r="J35" i="9"/>
  <c r="N34" i="9"/>
  <c r="S33" i="9"/>
  <c r="Y32" i="9"/>
  <c r="J27" i="9"/>
  <c r="N26" i="9"/>
  <c r="S25" i="9"/>
  <c r="Y23" i="9"/>
  <c r="J31" i="11"/>
  <c r="J54" i="11"/>
  <c r="S60" i="11"/>
  <c r="V58" i="11"/>
  <c r="Y57" i="11"/>
  <c r="AB55" i="11"/>
  <c r="M37" i="11"/>
  <c r="N37" i="11" s="1"/>
  <c r="O36" i="11"/>
  <c r="S35" i="11"/>
  <c r="V34" i="11"/>
  <c r="Y33" i="11"/>
  <c r="AB32" i="11"/>
  <c r="M17" i="11"/>
  <c r="N17" i="11" s="1"/>
  <c r="O16" i="11"/>
  <c r="S14" i="11"/>
  <c r="P80" i="9"/>
  <c r="P69" i="9"/>
  <c r="N68" i="9"/>
  <c r="M67" i="9"/>
  <c r="J66" i="9"/>
  <c r="M58" i="9"/>
  <c r="P56" i="9"/>
  <c r="V55" i="9"/>
  <c r="M44" i="9"/>
  <c r="P43" i="9"/>
  <c r="V42" i="9"/>
  <c r="M34" i="9"/>
  <c r="P33" i="9"/>
  <c r="V32" i="9"/>
  <c r="M26" i="9"/>
  <c r="P25" i="9"/>
  <c r="V23" i="9"/>
  <c r="J32" i="11"/>
  <c r="J55" i="11"/>
  <c r="O60" i="11"/>
  <c r="S58" i="11"/>
  <c r="V57" i="11"/>
  <c r="Y55" i="11"/>
  <c r="AB54" i="11"/>
  <c r="M36" i="11"/>
  <c r="N36" i="11" s="1"/>
  <c r="O35" i="11"/>
  <c r="S34" i="11"/>
  <c r="V33" i="11"/>
  <c r="Y32" i="11"/>
  <c r="AB31" i="11"/>
  <c r="M16" i="11"/>
  <c r="N16" i="11" s="1"/>
  <c r="O14" i="11"/>
  <c r="M80" i="9"/>
  <c r="G80" i="9" s="1"/>
  <c r="Q80" i="9" s="1"/>
  <c r="P70" i="9"/>
  <c r="N69" i="9"/>
  <c r="M68" i="9"/>
  <c r="J67" i="9"/>
  <c r="J58" i="9"/>
  <c r="N56" i="9"/>
  <c r="S55" i="9"/>
  <c r="Y54" i="9"/>
  <c r="J44" i="9"/>
  <c r="N43" i="9"/>
  <c r="S42" i="9"/>
  <c r="Y41" i="9"/>
  <c r="J34" i="9"/>
  <c r="N33" i="9"/>
  <c r="S32" i="9"/>
  <c r="Y31" i="9"/>
  <c r="J26" i="9"/>
  <c r="N25" i="9"/>
  <c r="S23" i="9"/>
  <c r="Y20" i="9"/>
  <c r="J33" i="11"/>
  <c r="J34" i="11"/>
  <c r="J58" i="11"/>
  <c r="O61" i="11"/>
  <c r="M58" i="11"/>
  <c r="N58" i="11" s="1"/>
  <c r="O57" i="11"/>
  <c r="S55" i="11"/>
  <c r="V54" i="11"/>
  <c r="Y53" i="11"/>
  <c r="AB48" i="11"/>
  <c r="M34" i="11"/>
  <c r="N34" i="11" s="1"/>
  <c r="O33" i="11"/>
  <c r="S32" i="11"/>
  <c r="V31" i="11"/>
  <c r="Y30" i="11"/>
  <c r="AB29" i="11"/>
  <c r="J14" i="11"/>
  <c r="P79" i="9"/>
  <c r="M70" i="9"/>
  <c r="J69" i="9"/>
  <c r="J56" i="9"/>
  <c r="N55" i="9"/>
  <c r="S54" i="9"/>
  <c r="Y49" i="9"/>
  <c r="J43" i="9"/>
  <c r="N42" i="9"/>
  <c r="S41" i="9"/>
  <c r="Y40" i="9"/>
  <c r="J33" i="9"/>
  <c r="N32" i="9"/>
  <c r="S31" i="9"/>
  <c r="Y30" i="9"/>
  <c r="J25" i="9"/>
  <c r="N23" i="9"/>
  <c r="S20" i="9"/>
  <c r="Y19" i="9"/>
  <c r="J35" i="11"/>
  <c r="J60" i="11"/>
  <c r="M61" i="11"/>
  <c r="N61" i="11" s="1"/>
  <c r="M57" i="11"/>
  <c r="N57" i="11" s="1"/>
  <c r="O55" i="11"/>
  <c r="S54" i="11"/>
  <c r="V53" i="11"/>
  <c r="Y48" i="11"/>
  <c r="AB46" i="11"/>
  <c r="J36" i="11"/>
  <c r="J61" i="11"/>
  <c r="M55" i="11"/>
  <c r="N55" i="11" s="1"/>
  <c r="O54" i="11"/>
  <c r="S53" i="11"/>
  <c r="V48" i="11"/>
  <c r="Y46" i="11"/>
  <c r="AB45" i="11"/>
  <c r="M32" i="11"/>
  <c r="N32" i="11" s="1"/>
  <c r="O31" i="11"/>
  <c r="S30" i="11"/>
  <c r="V29" i="11"/>
  <c r="Y28" i="11"/>
  <c r="AB27" i="11"/>
  <c r="J55" i="9"/>
  <c r="N54" i="9"/>
  <c r="S49" i="9"/>
  <c r="Y47" i="9"/>
  <c r="J42" i="9"/>
  <c r="N41" i="9"/>
  <c r="S40" i="9"/>
  <c r="Y37" i="9"/>
  <c r="J32" i="9"/>
  <c r="N31" i="9"/>
  <c r="S30" i="9"/>
  <c r="Y29" i="9"/>
  <c r="J23" i="9"/>
  <c r="N20" i="9"/>
  <c r="S19" i="9"/>
  <c r="Y18" i="9"/>
  <c r="J37" i="11"/>
  <c r="J16" i="11"/>
  <c r="M54" i="11"/>
  <c r="N54" i="11" s="1"/>
  <c r="O53" i="11"/>
  <c r="S48" i="11"/>
  <c r="V46" i="11"/>
  <c r="Y45" i="11"/>
  <c r="AB44" i="11"/>
  <c r="J40" i="11"/>
  <c r="J17" i="11"/>
  <c r="M53" i="11"/>
  <c r="N53" i="11" s="1"/>
  <c r="O48" i="11"/>
  <c r="S46" i="11"/>
  <c r="V45" i="11"/>
  <c r="Y44" i="11"/>
  <c r="AB43" i="11"/>
  <c r="M30" i="11"/>
  <c r="N30" i="11" s="1"/>
  <c r="O29" i="11"/>
  <c r="S28" i="11"/>
  <c r="V27" i="11"/>
  <c r="Y26" i="11"/>
  <c r="AB25" i="11"/>
  <c r="J54" i="9"/>
  <c r="N49" i="9"/>
  <c r="S47" i="9"/>
  <c r="Y46" i="9"/>
  <c r="J41" i="9"/>
  <c r="N40" i="9"/>
  <c r="S37" i="9"/>
  <c r="Y36" i="9"/>
  <c r="AI137" i="1"/>
  <c r="AH87" i="1"/>
  <c r="AC86" i="1"/>
  <c r="AI83" i="1"/>
  <c r="AN16" i="11" s="1"/>
  <c r="AD81" i="1"/>
  <c r="AJ76" i="1"/>
  <c r="AK73" i="1"/>
  <c r="AF72" i="1"/>
  <c r="AG69" i="1"/>
  <c r="AB68" i="1"/>
  <c r="V19" i="9"/>
  <c r="M23" i="9"/>
  <c r="P49" i="9"/>
  <c r="AB30" i="11"/>
  <c r="V55" i="11"/>
  <c r="AH137" i="1"/>
  <c r="AG87" i="1"/>
  <c r="AB86" i="1"/>
  <c r="AH83" i="1"/>
  <c r="AJ16" i="9" s="1"/>
  <c r="AC81" i="1"/>
  <c r="AI76" i="1"/>
  <c r="AH75" i="1"/>
  <c r="AH114" i="1" s="1"/>
  <c r="AJ73" i="1"/>
  <c r="AE72" i="1"/>
  <c r="AF71" i="1"/>
  <c r="AF106" i="1" s="1"/>
  <c r="AF69" i="1"/>
  <c r="AA68" i="1"/>
  <c r="AD67" i="1"/>
  <c r="AD98" i="1" s="1"/>
  <c r="J16" i="9"/>
  <c r="P23" i="9"/>
  <c r="J36" i="9"/>
  <c r="V49" i="9"/>
  <c r="M31" i="11"/>
  <c r="N31" i="11" s="1"/>
  <c r="S57" i="11"/>
  <c r="J57" i="11"/>
  <c r="G16" i="10"/>
  <c r="I16" i="10" s="1"/>
  <c r="G17" i="10"/>
  <c r="I17" i="10" s="1"/>
  <c r="G18" i="10"/>
  <c r="I18" i="10" s="1"/>
  <c r="S44" i="8"/>
  <c r="S46" i="8"/>
  <c r="L45" i="8"/>
  <c r="L47" i="8"/>
  <c r="L49" i="8"/>
  <c r="J45" i="8"/>
  <c r="J47" i="8"/>
  <c r="J49" i="8"/>
  <c r="J73" i="8"/>
  <c r="C78" i="8" s="1"/>
  <c r="H77" i="8" s="1"/>
  <c r="I72" i="8"/>
  <c r="C30" i="8"/>
  <c r="C42" i="8"/>
  <c r="H41" i="8" s="1"/>
  <c r="E42" i="8" s="1"/>
  <c r="J42" i="8"/>
  <c r="H42" i="8" s="1"/>
  <c r="I42" i="8" s="1"/>
  <c r="I41" i="8"/>
  <c r="S60" i="8"/>
  <c r="S62" i="8"/>
  <c r="I12" i="8"/>
  <c r="S32" i="8"/>
  <c r="S21" i="8"/>
  <c r="C57" i="8"/>
  <c r="H56" i="8" s="1"/>
  <c r="I56" i="8" s="1"/>
  <c r="S34" i="8"/>
  <c r="S36" i="8"/>
  <c r="T36" i="8" s="1"/>
  <c r="T19" i="8"/>
  <c r="T21" i="8"/>
  <c r="T34" i="8"/>
  <c r="C16" i="8"/>
  <c r="H15" i="8" s="1"/>
  <c r="J16" i="8" s="1"/>
  <c r="C17" i="8" s="1"/>
  <c r="H29" i="8"/>
  <c r="I29" i="8" s="1"/>
  <c r="AE65" i="9" l="1"/>
  <c r="AE69" i="9"/>
  <c r="AH66" i="11"/>
  <c r="AE260" i="1"/>
  <c r="AJ66" i="11"/>
  <c r="AJ260" i="1"/>
  <c r="AO66" i="11"/>
  <c r="AK260" i="1"/>
  <c r="AP66" i="11"/>
  <c r="AD71" i="3"/>
  <c r="AG66" i="11"/>
  <c r="AF71" i="3"/>
  <c r="AI66" i="11"/>
  <c r="AH260" i="1"/>
  <c r="AM66" i="11"/>
  <c r="AM69" i="9"/>
  <c r="AE209" i="1"/>
  <c r="AG69" i="9"/>
  <c r="AF66" i="9"/>
  <c r="AD68" i="9"/>
  <c r="AC65" i="9"/>
  <c r="AB209" i="1"/>
  <c r="AD208" i="1"/>
  <c r="AK208" i="1"/>
  <c r="AJ211" i="1"/>
  <c r="AO67" i="11" s="1"/>
  <c r="AJ68" i="9"/>
  <c r="AB188" i="1"/>
  <c r="AI65" i="9"/>
  <c r="AL68" i="3"/>
  <c r="AH209" i="1"/>
  <c r="AH208" i="1"/>
  <c r="AJ188" i="1"/>
  <c r="AG190" i="1"/>
  <c r="AC211" i="1"/>
  <c r="AH67" i="11" s="1"/>
  <c r="AI190" i="1"/>
  <c r="AD211" i="1"/>
  <c r="AJ213" i="1"/>
  <c r="AA187" i="1"/>
  <c r="AG213" i="1"/>
  <c r="AB211" i="1"/>
  <c r="AG67" i="11" s="1"/>
  <c r="AB208" i="1"/>
  <c r="AD188" i="1"/>
  <c r="AK188" i="1"/>
  <c r="AM68" i="9"/>
  <c r="AC187" i="1"/>
  <c r="AG192" i="1"/>
  <c r="AI192" i="1"/>
  <c r="AK66" i="9"/>
  <c r="AF209" i="1"/>
  <c r="AF208" i="1"/>
  <c r="AH211" i="1"/>
  <c r="AC212" i="1"/>
  <c r="AF65" i="9"/>
  <c r="AK200" i="1"/>
  <c r="AK257" i="1" s="1"/>
  <c r="AC208" i="1"/>
  <c r="AK190" i="1"/>
  <c r="AC209" i="1"/>
  <c r="AE212" i="1"/>
  <c r="AI208" i="1"/>
  <c r="AC188" i="1"/>
  <c r="AC213" i="1"/>
  <c r="AJ257" i="1"/>
  <c r="AD65" i="9"/>
  <c r="AD209" i="1"/>
  <c r="AD212" i="1"/>
  <c r="AF192" i="1"/>
  <c r="AB212" i="1"/>
  <c r="AJ209" i="1"/>
  <c r="AD213" i="1"/>
  <c r="AA213" i="1"/>
  <c r="AJ190" i="1"/>
  <c r="AE192" i="1"/>
  <c r="AI209" i="1"/>
  <c r="AF212" i="1"/>
  <c r="AF211" i="1"/>
  <c r="AC192" i="1"/>
  <c r="AH188" i="1"/>
  <c r="AJ192" i="1"/>
  <c r="AL64" i="3"/>
  <c r="AD187" i="1"/>
  <c r="AC69" i="9"/>
  <c r="AE187" i="1"/>
  <c r="AA212" i="1"/>
  <c r="AH192" i="1"/>
  <c r="AA209" i="1"/>
  <c r="AA200" i="1"/>
  <c r="AA211" i="1" s="1"/>
  <c r="AF67" i="11" s="1"/>
  <c r="AK192" i="1"/>
  <c r="AE213" i="1"/>
  <c r="AJ208" i="1"/>
  <c r="AD260" i="1"/>
  <c r="AJ212" i="1"/>
  <c r="AE188" i="1"/>
  <c r="AI212" i="1"/>
  <c r="AP60" i="11"/>
  <c r="AK212" i="1"/>
  <c r="AA188" i="1"/>
  <c r="AI213" i="1"/>
  <c r="AK69" i="9"/>
  <c r="AD66" i="9"/>
  <c r="AM66" i="9"/>
  <c r="AF260" i="1"/>
  <c r="AI260" i="1"/>
  <c r="AG212" i="1"/>
  <c r="AK213" i="1"/>
  <c r="AB213" i="1"/>
  <c r="AG208" i="1"/>
  <c r="AJ67" i="3"/>
  <c r="AB187" i="1"/>
  <c r="AF213" i="1"/>
  <c r="AG209" i="1"/>
  <c r="AH63" i="3"/>
  <c r="AH69" i="9"/>
  <c r="AH190" i="1"/>
  <c r="AI211" i="1"/>
  <c r="AI188" i="1"/>
  <c r="AJ66" i="9"/>
  <c r="O30" i="2"/>
  <c r="AF190" i="1"/>
  <c r="AG260" i="1"/>
  <c r="AA192" i="1"/>
  <c r="AD192" i="1"/>
  <c r="AE208" i="1"/>
  <c r="AG211" i="1"/>
  <c r="AF188" i="1"/>
  <c r="AG68" i="9"/>
  <c r="AH212" i="1"/>
  <c r="AH213" i="1"/>
  <c r="AH67" i="3"/>
  <c r="AG188" i="1"/>
  <c r="O40" i="2"/>
  <c r="AE211" i="1"/>
  <c r="AB192" i="1"/>
  <c r="AL17" i="11"/>
  <c r="L28" i="1"/>
  <c r="E28" i="1" s="1"/>
  <c r="I76" i="1" s="1"/>
  <c r="T76" i="1" s="1"/>
  <c r="E76" i="1" s="1"/>
  <c r="H60" i="2"/>
  <c r="L62" i="1"/>
  <c r="E62" i="1" s="1"/>
  <c r="I205" i="1" s="1"/>
  <c r="T205" i="1" s="1"/>
  <c r="E205" i="1" s="1"/>
  <c r="H50" i="2"/>
  <c r="L33" i="1"/>
  <c r="E33" i="1" s="1"/>
  <c r="I84" i="1" s="1"/>
  <c r="T84" i="1" s="1"/>
  <c r="E84" i="1" s="1"/>
  <c r="L13" i="1"/>
  <c r="E13" i="1" s="1"/>
  <c r="I71" i="1" s="1"/>
  <c r="T71" i="1" s="1"/>
  <c r="E71" i="1" s="1"/>
  <c r="L236" i="1" s="1"/>
  <c r="L38" i="1"/>
  <c r="E38" i="1" s="1"/>
  <c r="V25" i="2"/>
  <c r="H65" i="2"/>
  <c r="O60" i="2"/>
  <c r="O45" i="2"/>
  <c r="H40" i="2"/>
  <c r="H30" i="2"/>
  <c r="O50" i="2"/>
  <c r="O25" i="2"/>
  <c r="L43" i="1"/>
  <c r="E43" i="1" s="1"/>
  <c r="I86" i="1" s="1"/>
  <c r="T86" i="1" s="1"/>
  <c r="E86" i="1" s="1"/>
  <c r="H35" i="2"/>
  <c r="N8" i="1"/>
  <c r="L8" i="1" s="1"/>
  <c r="E8" i="1" s="1"/>
  <c r="H25" i="2"/>
  <c r="L48" i="1"/>
  <c r="E48" i="1" s="1"/>
  <c r="O35" i="2"/>
  <c r="O65" i="2"/>
  <c r="H45" i="2"/>
  <c r="L18" i="1"/>
  <c r="E18" i="1" s="1"/>
  <c r="I81" i="1" s="1"/>
  <c r="T81" i="1" s="1"/>
  <c r="E81" i="1" s="1"/>
  <c r="AN61" i="11"/>
  <c r="AM23" i="9"/>
  <c r="AK98" i="1"/>
  <c r="AH60" i="11"/>
  <c r="AJ16" i="11"/>
  <c r="P35" i="11"/>
  <c r="AH23" i="11"/>
  <c r="AC90" i="1"/>
  <c r="AE25" i="9" s="1"/>
  <c r="AJ65" i="9"/>
  <c r="P14" i="11"/>
  <c r="AK61" i="11"/>
  <c r="AJ40" i="11"/>
  <c r="AP23" i="11"/>
  <c r="AK90" i="1"/>
  <c r="AM25" i="9" s="1"/>
  <c r="AK140" i="1"/>
  <c r="AM26" i="9" s="1"/>
  <c r="AG40" i="9"/>
  <c r="AG16" i="11"/>
  <c r="P33" i="11"/>
  <c r="AM61" i="9"/>
  <c r="AH62" i="9"/>
  <c r="AH68" i="9"/>
  <c r="AB90" i="1"/>
  <c r="AD25" i="3" s="1"/>
  <c r="AG60" i="11"/>
  <c r="AG65" i="9"/>
  <c r="AL66" i="9"/>
  <c r="AL14" i="11"/>
  <c r="AH65" i="9"/>
  <c r="AL16" i="11"/>
  <c r="AL23" i="9"/>
  <c r="AO23" i="11"/>
  <c r="AD61" i="9"/>
  <c r="AJ94" i="1"/>
  <c r="Q79" i="9"/>
  <c r="AC40" i="9"/>
  <c r="AI16" i="9"/>
  <c r="AD101" i="1"/>
  <c r="AH40" i="11"/>
  <c r="AG102" i="1"/>
  <c r="AI19" i="9" s="1"/>
  <c r="P32" i="11"/>
  <c r="AC106" i="1"/>
  <c r="AH41" i="11" s="1"/>
  <c r="AE40" i="9"/>
  <c r="P58" i="11"/>
  <c r="P48" i="11"/>
  <c r="AI14" i="9"/>
  <c r="AK17" i="11"/>
  <c r="AI61" i="11"/>
  <c r="AF62" i="9"/>
  <c r="AG40" i="11"/>
  <c r="AF40" i="9"/>
  <c r="AC101" i="1"/>
  <c r="AD40" i="9"/>
  <c r="AK14" i="9"/>
  <c r="AI40" i="11"/>
  <c r="P60" i="11"/>
  <c r="AO40" i="11"/>
  <c r="AG114" i="1"/>
  <c r="AL18" i="11" s="1"/>
  <c r="AB106" i="1"/>
  <c r="AG41" i="11" s="1"/>
  <c r="AG103" i="1"/>
  <c r="P55" i="11"/>
  <c r="AG31" i="9"/>
  <c r="AJ31" i="11"/>
  <c r="AK61" i="9"/>
  <c r="P30" i="11"/>
  <c r="AH31" i="11"/>
  <c r="AI98" i="1"/>
  <c r="AN23" i="11"/>
  <c r="P28" i="11"/>
  <c r="T82" i="3"/>
  <c r="AL16" i="9"/>
  <c r="AF14" i="11"/>
  <c r="AL68" i="9"/>
  <c r="AK14" i="11"/>
  <c r="AI90" i="1"/>
  <c r="AK25" i="3" s="1"/>
  <c r="AF69" i="9"/>
  <c r="AF102" i="1"/>
  <c r="AF110" i="1" s="1"/>
  <c r="P25" i="11"/>
  <c r="AK31" i="9"/>
  <c r="AN31" i="11"/>
  <c r="AJ61" i="11"/>
  <c r="AK16" i="11"/>
  <c r="AK31" i="11"/>
  <c r="P31" i="11"/>
  <c r="AH14" i="9"/>
  <c r="AH31" i="9"/>
  <c r="AA90" i="1"/>
  <c r="AC25" i="9" s="1"/>
  <c r="AO31" i="11"/>
  <c r="AC31" i="9"/>
  <c r="P27" i="11"/>
  <c r="AF40" i="11"/>
  <c r="AF23" i="11"/>
  <c r="AF68" i="9"/>
  <c r="AL40" i="9"/>
  <c r="AP40" i="11"/>
  <c r="AF16" i="11"/>
  <c r="AJ106" i="1"/>
  <c r="AL41" i="9" s="1"/>
  <c r="AJ114" i="1"/>
  <c r="AL18" i="9" s="1"/>
  <c r="AA140" i="1"/>
  <c r="AC26" i="3" s="1"/>
  <c r="AC23" i="9"/>
  <c r="T81" i="3"/>
  <c r="D11" i="3" s="1"/>
  <c r="AF114" i="1"/>
  <c r="AF112" i="1" s="1"/>
  <c r="P16" i="11"/>
  <c r="AL40" i="11"/>
  <c r="AD31" i="9"/>
  <c r="AB94" i="1"/>
  <c r="F67" i="3"/>
  <c r="AJ62" i="9"/>
  <c r="P37" i="11"/>
  <c r="AL61" i="9"/>
  <c r="AL61" i="11"/>
  <c r="AK115" i="1"/>
  <c r="AI71" i="3"/>
  <c r="AF140" i="1"/>
  <c r="AK26" i="11" s="1"/>
  <c r="AH61" i="11"/>
  <c r="AM40" i="9"/>
  <c r="AF104" i="1"/>
  <c r="AG31" i="11"/>
  <c r="P26" i="11"/>
  <c r="AH23" i="9"/>
  <c r="AG23" i="11"/>
  <c r="AC140" i="1"/>
  <c r="AH26" i="11" s="1"/>
  <c r="AG61" i="11"/>
  <c r="AC98" i="1"/>
  <c r="AI69" i="9"/>
  <c r="AE16" i="9"/>
  <c r="AF31" i="11"/>
  <c r="P23" i="11"/>
  <c r="AK106" i="1"/>
  <c r="AP41" i="11" s="1"/>
  <c r="AO60" i="11"/>
  <c r="AB140" i="1"/>
  <c r="AG26" i="11" s="1"/>
  <c r="AC94" i="1"/>
  <c r="AA94" i="1"/>
  <c r="P20" i="11"/>
  <c r="AK102" i="1"/>
  <c r="AK109" i="1" s="1"/>
  <c r="AP20" i="11" s="1"/>
  <c r="AI31" i="11"/>
  <c r="AE19" i="9"/>
  <c r="D10" i="3"/>
  <c r="G10" i="3" s="1"/>
  <c r="L10" i="3" s="1"/>
  <c r="AE17" i="9"/>
  <c r="AG17" i="11"/>
  <c r="AJ31" i="9"/>
  <c r="AI68" i="9"/>
  <c r="P46" i="11"/>
  <c r="AJ19" i="11"/>
  <c r="AJ14" i="11"/>
  <c r="P18" i="11"/>
  <c r="AE68" i="9"/>
  <c r="P54" i="11"/>
  <c r="P17" i="11"/>
  <c r="P42" i="11"/>
  <c r="P45" i="11"/>
  <c r="AM23" i="11"/>
  <c r="P40" i="11"/>
  <c r="AI60" i="11"/>
  <c r="AC68" i="9"/>
  <c r="P34" i="11"/>
  <c r="AD69" i="9"/>
  <c r="AM31" i="11"/>
  <c r="AL25" i="9"/>
  <c r="AO25" i="11"/>
  <c r="AG14" i="9"/>
  <c r="AF14" i="9"/>
  <c r="AG23" i="9"/>
  <c r="AM60" i="11"/>
  <c r="AK101" i="1"/>
  <c r="AE23" i="9"/>
  <c r="AG19" i="9"/>
  <c r="AI31" i="9"/>
  <c r="AI40" i="3"/>
  <c r="AE14" i="9"/>
  <c r="AC40" i="3"/>
  <c r="P36" i="11"/>
  <c r="AC66" i="9"/>
  <c r="AK23" i="9"/>
  <c r="AJ40" i="9"/>
  <c r="P53" i="11"/>
  <c r="P57" i="11"/>
  <c r="AJ23" i="11"/>
  <c r="P43" i="11"/>
  <c r="P44" i="11"/>
  <c r="AK40" i="9"/>
  <c r="AH140" i="1"/>
  <c r="AH147" i="1" s="1"/>
  <c r="AL31" i="11"/>
  <c r="AC61" i="9"/>
  <c r="AI66" i="9"/>
  <c r="AH104" i="1"/>
  <c r="AH90" i="1"/>
  <c r="AJ25" i="3" s="1"/>
  <c r="P61" i="11"/>
  <c r="AE107" i="1"/>
  <c r="AF31" i="9"/>
  <c r="AJ98" i="1"/>
  <c r="AE101" i="1"/>
  <c r="AI114" i="1"/>
  <c r="AN18" i="11" s="1"/>
  <c r="K61" i="9"/>
  <c r="AI106" i="1"/>
  <c r="AI119" i="1" s="1"/>
  <c r="AN40" i="11"/>
  <c r="AH106" i="1"/>
  <c r="AM41" i="11" s="1"/>
  <c r="AA104" i="1"/>
  <c r="AF115" i="1"/>
  <c r="P29" i="11"/>
  <c r="AI14" i="11"/>
  <c r="AK62" i="9"/>
  <c r="L23" i="1"/>
  <c r="E23" i="1" s="1"/>
  <c r="AA101" i="1"/>
  <c r="AA107" i="1"/>
  <c r="F72" i="3"/>
  <c r="AD119" i="1"/>
  <c r="AI41" i="11"/>
  <c r="D60" i="3"/>
  <c r="G60" i="3" s="1"/>
  <c r="K10" i="3"/>
  <c r="K69" i="3"/>
  <c r="K46" i="3"/>
  <c r="AJ60" i="11"/>
  <c r="AA103" i="1"/>
  <c r="AH23" i="3"/>
  <c r="AI140" i="1"/>
  <c r="AI147" i="1" s="1"/>
  <c r="AJ101" i="1"/>
  <c r="AK94" i="1"/>
  <c r="F69" i="3"/>
  <c r="AH40" i="3"/>
  <c r="AF101" i="1"/>
  <c r="AH107" i="1"/>
  <c r="F68" i="3"/>
  <c r="D46" i="3"/>
  <c r="G46" i="3" s="1"/>
  <c r="W46" i="3" s="1"/>
  <c r="X46" i="3" s="1"/>
  <c r="F60" i="3"/>
  <c r="AJ14" i="9"/>
  <c r="AP16" i="11"/>
  <c r="AI40" i="9"/>
  <c r="AK114" i="1"/>
  <c r="AM18" i="3" s="1"/>
  <c r="AB103" i="1"/>
  <c r="AF61" i="11"/>
  <c r="AI16" i="11"/>
  <c r="AE14" i="3"/>
  <c r="AF17" i="9"/>
  <c r="AL14" i="9"/>
  <c r="AL23" i="11"/>
  <c r="AM14" i="3"/>
  <c r="F46" i="3"/>
  <c r="AO61" i="11"/>
  <c r="AP14" i="11"/>
  <c r="K67" i="3"/>
  <c r="F57" i="3"/>
  <c r="K70" i="9"/>
  <c r="AN14" i="11"/>
  <c r="AD40" i="3"/>
  <c r="AK23" i="3"/>
  <c r="AJ91" i="1"/>
  <c r="AE106" i="1"/>
  <c r="AE119" i="1" s="1"/>
  <c r="F27" i="9"/>
  <c r="AF90" i="1"/>
  <c r="AH25" i="3" s="1"/>
  <c r="AL40" i="3"/>
  <c r="AH64" i="3"/>
  <c r="AG14" i="11"/>
  <c r="K63" i="3"/>
  <c r="F10" i="3"/>
  <c r="AJ17" i="11"/>
  <c r="K68" i="3"/>
  <c r="D57" i="3"/>
  <c r="E57" i="3" s="1"/>
  <c r="K60" i="3"/>
  <c r="D68" i="3"/>
  <c r="G68" i="3" s="1"/>
  <c r="L68" i="3" s="1"/>
  <c r="F55" i="9"/>
  <c r="AD62" i="9"/>
  <c r="AB115" i="1"/>
  <c r="AF17" i="11"/>
  <c r="D27" i="9"/>
  <c r="E27" i="9" s="1"/>
  <c r="AJ14" i="3"/>
  <c r="F63" i="3"/>
  <c r="AF16" i="9"/>
  <c r="AE110" i="1"/>
  <c r="D61" i="3"/>
  <c r="G61" i="3" s="1"/>
  <c r="Q61" i="3" s="1"/>
  <c r="R61" i="3" s="1"/>
  <c r="K58" i="3" s="1"/>
  <c r="K72" i="3"/>
  <c r="D27" i="3"/>
  <c r="G27" i="3" s="1"/>
  <c r="T27" i="3" s="1"/>
  <c r="U27" i="3" s="1"/>
  <c r="AL62" i="9"/>
  <c r="K57" i="3"/>
  <c r="D9" i="3"/>
  <c r="G9" i="3" s="1"/>
  <c r="L9" i="3" s="1"/>
  <c r="K61" i="3"/>
  <c r="K27" i="3"/>
  <c r="F8" i="3"/>
  <c r="T80" i="9"/>
  <c r="AE31" i="9"/>
  <c r="P41" i="11"/>
  <c r="AB101" i="1"/>
  <c r="F9" i="3"/>
  <c r="D69" i="3"/>
  <c r="G69" i="3" s="1"/>
  <c r="F61" i="3"/>
  <c r="D72" i="3"/>
  <c r="AK103" i="1"/>
  <c r="D67" i="3"/>
  <c r="G67" i="3" s="1"/>
  <c r="K27" i="9"/>
  <c r="K8" i="3"/>
  <c r="F27" i="3"/>
  <c r="F66" i="9"/>
  <c r="AJ102" i="1"/>
  <c r="AL19" i="9" s="1"/>
  <c r="D63" i="3"/>
  <c r="E63" i="3" s="1"/>
  <c r="D8" i="3"/>
  <c r="E8" i="3" s="1"/>
  <c r="K9" i="3"/>
  <c r="AG61" i="9"/>
  <c r="AO14" i="11"/>
  <c r="AH14" i="11"/>
  <c r="AE72" i="3"/>
  <c r="K65" i="9"/>
  <c r="D11" i="9"/>
  <c r="G11" i="9" s="1"/>
  <c r="L11" i="9" s="1"/>
  <c r="D10" i="9"/>
  <c r="E10" i="9" s="1"/>
  <c r="AA119" i="1"/>
  <c r="AA122" i="1"/>
  <c r="AA125" i="1" s="1"/>
  <c r="AC41" i="3"/>
  <c r="AC41" i="9"/>
  <c r="AA117" i="1"/>
  <c r="AA128" i="1" s="1"/>
  <c r="K66" i="9"/>
  <c r="K55" i="9"/>
  <c r="AD140" i="1"/>
  <c r="AF23" i="3"/>
  <c r="AD91" i="1"/>
  <c r="AI23" i="11"/>
  <c r="AD104" i="1"/>
  <c r="AD90" i="1"/>
  <c r="AF23" i="9"/>
  <c r="AD94" i="1"/>
  <c r="AH68" i="3"/>
  <c r="AH66" i="9"/>
  <c r="AF139" i="1"/>
  <c r="F9" i="9"/>
  <c r="K8" i="9"/>
  <c r="AM17" i="3"/>
  <c r="AK79" i="1"/>
  <c r="AM17" i="9"/>
  <c r="AP17" i="11"/>
  <c r="K67" i="9"/>
  <c r="D65" i="9"/>
  <c r="E65" i="9" s="1"/>
  <c r="K58" i="9"/>
  <c r="D66" i="9"/>
  <c r="E66" i="9" s="1"/>
  <c r="AJ17" i="3"/>
  <c r="AH79" i="1"/>
  <c r="AJ17" i="9"/>
  <c r="AM17" i="11"/>
  <c r="K44" i="9"/>
  <c r="K10" i="9"/>
  <c r="D70" i="9"/>
  <c r="E70" i="9" s="1"/>
  <c r="D8" i="9"/>
  <c r="E8" i="9" s="1"/>
  <c r="F59" i="9"/>
  <c r="K59" i="9"/>
  <c r="D55" i="9"/>
  <c r="G55" i="9" s="1"/>
  <c r="F67" i="9"/>
  <c r="F61" i="9"/>
  <c r="AK67" i="3"/>
  <c r="AK65" i="9"/>
  <c r="F8" i="9"/>
  <c r="D9" i="9"/>
  <c r="G9" i="9" s="1"/>
  <c r="L9" i="9" s="1"/>
  <c r="F58" i="9"/>
  <c r="F10" i="9"/>
  <c r="F44" i="9"/>
  <c r="D67" i="9"/>
  <c r="G67" i="9" s="1"/>
  <c r="D59" i="9"/>
  <c r="G59" i="9" s="1"/>
  <c r="D58" i="9"/>
  <c r="G58" i="9" s="1"/>
  <c r="AJ16" i="3"/>
  <c r="AM16" i="11"/>
  <c r="AJ71" i="3"/>
  <c r="AJ69" i="9"/>
  <c r="D44" i="9"/>
  <c r="G44" i="9" s="1"/>
  <c r="K9" i="9"/>
  <c r="F65" i="9"/>
  <c r="F70" i="9"/>
  <c r="AI17" i="9"/>
  <c r="AI17" i="3"/>
  <c r="AG79" i="1"/>
  <c r="AJ79" i="1"/>
  <c r="AL17" i="9"/>
  <c r="AL17" i="3"/>
  <c r="F11" i="9"/>
  <c r="D61" i="9"/>
  <c r="G61" i="9" s="1"/>
  <c r="AI25" i="3"/>
  <c r="AG150" i="1"/>
  <c r="AL25" i="11"/>
  <c r="AD138" i="1"/>
  <c r="AF69" i="3"/>
  <c r="AF67" i="9"/>
  <c r="AF119" i="1"/>
  <c r="AH41" i="3"/>
  <c r="AM64" i="3"/>
  <c r="AH40" i="9"/>
  <c r="AM67" i="3"/>
  <c r="AL16" i="3"/>
  <c r="AL71" i="3"/>
  <c r="AF107" i="1"/>
  <c r="AF70" i="3"/>
  <c r="AC67" i="3"/>
  <c r="AH91" i="1"/>
  <c r="AI94" i="1"/>
  <c r="AM19" i="9"/>
  <c r="AE103" i="1"/>
  <c r="AG17" i="3"/>
  <c r="AE79" i="1"/>
  <c r="AL67" i="3"/>
  <c r="AI79" i="1"/>
  <c r="AN17" i="11"/>
  <c r="AK17" i="3"/>
  <c r="AI150" i="1"/>
  <c r="AD25" i="9"/>
  <c r="AD115" i="1"/>
  <c r="AG62" i="9"/>
  <c r="AJ23" i="3"/>
  <c r="AC104" i="1"/>
  <c r="AA102" i="1"/>
  <c r="AM40" i="11"/>
  <c r="AB102" i="1"/>
  <c r="AK40" i="11"/>
  <c r="AH102" i="1"/>
  <c r="AF122" i="1"/>
  <c r="AF64" i="3"/>
  <c r="AC80" i="1"/>
  <c r="AH112" i="1"/>
  <c r="AM62" i="9"/>
  <c r="AC150" i="1"/>
  <c r="AE121" i="1"/>
  <c r="AG70" i="3"/>
  <c r="AJ140" i="1"/>
  <c r="AL69" i="9"/>
  <c r="AA91" i="1"/>
  <c r="AA98" i="1"/>
  <c r="AI107" i="1"/>
  <c r="AM18" i="11"/>
  <c r="AP31" i="11"/>
  <c r="AJ104" i="1"/>
  <c r="AJ18" i="3"/>
  <c r="AK16" i="3"/>
  <c r="AK71" i="3"/>
  <c r="AL60" i="11"/>
  <c r="AH103" i="1"/>
  <c r="AL25" i="3"/>
  <c r="AJ150" i="1"/>
  <c r="AJ61" i="9"/>
  <c r="AI91" i="1"/>
  <c r="AD23" i="9"/>
  <c r="AD23" i="3"/>
  <c r="AK107" i="1"/>
  <c r="AB114" i="1"/>
  <c r="AG64" i="3"/>
  <c r="AF25" i="11"/>
  <c r="AJ122" i="1"/>
  <c r="AD112" i="1"/>
  <c r="AF18" i="3"/>
  <c r="AG139" i="1"/>
  <c r="AH61" i="9"/>
  <c r="AA120" i="1"/>
  <c r="AL23" i="3"/>
  <c r="AE63" i="3"/>
  <c r="AI18" i="11"/>
  <c r="AH98" i="1"/>
  <c r="AB91" i="1"/>
  <c r="AP61" i="11"/>
  <c r="AK41" i="11"/>
  <c r="P19" i="11"/>
  <c r="AH122" i="1"/>
  <c r="AH125" i="1" s="1"/>
  <c r="AA115" i="1"/>
  <c r="AL65" i="9"/>
  <c r="AF91" i="1"/>
  <c r="AI103" i="1"/>
  <c r="AH19" i="3"/>
  <c r="AE67" i="3"/>
  <c r="AJ64" i="3"/>
  <c r="AH80" i="1"/>
  <c r="AK91" i="1"/>
  <c r="AF63" i="3"/>
  <c r="AD120" i="1"/>
  <c r="AC63" i="3"/>
  <c r="AE91" i="1"/>
  <c r="AE104" i="1"/>
  <c r="AD14" i="9"/>
  <c r="AJ103" i="1"/>
  <c r="AF103" i="1"/>
  <c r="AF121" i="1"/>
  <c r="AH70" i="3"/>
  <c r="AF14" i="3"/>
  <c r="AJ68" i="3"/>
  <c r="AD103" i="1"/>
  <c r="AG80" i="1"/>
  <c r="AI64" i="3"/>
  <c r="AF40" i="3"/>
  <c r="AE114" i="1"/>
  <c r="AL31" i="3"/>
  <c r="AD121" i="1"/>
  <c r="AI68" i="3"/>
  <c r="AM25" i="3"/>
  <c r="AE64" i="3"/>
  <c r="AK63" i="3"/>
  <c r="AH115" i="1"/>
  <c r="AJ18" i="9"/>
  <c r="AF67" i="3"/>
  <c r="AH41" i="9"/>
  <c r="AG67" i="3"/>
  <c r="AF41" i="9"/>
  <c r="AI67" i="3"/>
  <c r="AF79" i="1"/>
  <c r="AH17" i="3"/>
  <c r="L198" i="1"/>
  <c r="O211" i="1"/>
  <c r="AH120" i="1"/>
  <c r="AG91" i="1"/>
  <c r="AG104" i="1"/>
  <c r="AI115" i="1"/>
  <c r="AG121" i="1"/>
  <c r="AE111" i="1"/>
  <c r="AE109" i="1"/>
  <c r="AI139" i="1"/>
  <c r="AK68" i="3"/>
  <c r="AG14" i="3"/>
  <c r="AJ139" i="1"/>
  <c r="AA139" i="1"/>
  <c r="AM63" i="3"/>
  <c r="AC14" i="9"/>
  <c r="AC114" i="1"/>
  <c r="AC120" i="1" s="1"/>
  <c r="AC16" i="3"/>
  <c r="AC71" i="3"/>
  <c r="AK139" i="1"/>
  <c r="AB98" i="1"/>
  <c r="AE115" i="1"/>
  <c r="AC14" i="3"/>
  <c r="AB139" i="1"/>
  <c r="AD68" i="3"/>
  <c r="AC139" i="1"/>
  <c r="AE68" i="3"/>
  <c r="AJ40" i="3"/>
  <c r="AC64" i="3"/>
  <c r="AA80" i="1"/>
  <c r="AG98" i="1"/>
  <c r="AH121" i="1"/>
  <c r="AJ70" i="3"/>
  <c r="AK70" i="3"/>
  <c r="AK68" i="9"/>
  <c r="AK121" i="1"/>
  <c r="AM70" i="3"/>
  <c r="AG115" i="1"/>
  <c r="AI102" i="1"/>
  <c r="AK80" i="1"/>
  <c r="AI70" i="3"/>
  <c r="AC91" i="1"/>
  <c r="AC18" i="3"/>
  <c r="AA112" i="1"/>
  <c r="AI23" i="3"/>
  <c r="AJ115" i="1"/>
  <c r="AG140" i="1"/>
  <c r="AD16" i="3"/>
  <c r="AE16" i="3"/>
  <c r="AE71" i="3"/>
  <c r="AL70" i="3"/>
  <c r="AG71" i="3"/>
  <c r="AH139" i="1"/>
  <c r="AM68" i="3"/>
  <c r="AD67" i="3"/>
  <c r="AI63" i="3"/>
  <c r="AM14" i="11"/>
  <c r="AK16" i="9"/>
  <c r="AB121" i="1"/>
  <c r="AD70" i="3"/>
  <c r="AF68" i="3"/>
  <c r="AD139" i="1"/>
  <c r="AD102" i="1"/>
  <c r="AG106" i="1"/>
  <c r="AG16" i="3"/>
  <c r="AF94" i="1"/>
  <c r="AM31" i="9"/>
  <c r="AH71" i="3"/>
  <c r="AE19" i="3"/>
  <c r="AC109" i="1"/>
  <c r="AC110" i="1"/>
  <c r="AE139" i="1"/>
  <c r="AD64" i="3"/>
  <c r="AC18" i="9"/>
  <c r="AE90" i="1"/>
  <c r="AC17" i="3"/>
  <c r="AA79" i="1"/>
  <c r="AF41" i="3"/>
  <c r="AD117" i="1"/>
  <c r="AD128" i="1" s="1"/>
  <c r="AD122" i="1"/>
  <c r="AD125" i="1" s="1"/>
  <c r="AD17" i="3"/>
  <c r="AB79" i="1"/>
  <c r="AG94" i="1"/>
  <c r="AG101" i="1"/>
  <c r="AE94" i="1"/>
  <c r="AH16" i="3"/>
  <c r="AE98" i="1"/>
  <c r="AM65" i="9"/>
  <c r="AK60" i="11"/>
  <c r="AM16" i="3"/>
  <c r="AM71" i="3"/>
  <c r="AG107" i="1"/>
  <c r="AE70" i="3"/>
  <c r="AC121" i="1"/>
  <c r="AK40" i="3"/>
  <c r="AC107" i="1"/>
  <c r="AC115" i="1"/>
  <c r="AJ23" i="9"/>
  <c r="AD107" i="1"/>
  <c r="AI23" i="9"/>
  <c r="AC79" i="1"/>
  <c r="AE17" i="3"/>
  <c r="AE140" i="1"/>
  <c r="AD79" i="1"/>
  <c r="AF17" i="3"/>
  <c r="AF98" i="1"/>
  <c r="AC103" i="1"/>
  <c r="AM23" i="3"/>
  <c r="AC111" i="1"/>
  <c r="AG68" i="3"/>
  <c r="AI80" i="1"/>
  <c r="AJ80" i="1"/>
  <c r="AG63" i="3"/>
  <c r="P78" i="8"/>
  <c r="C81" i="8" s="1"/>
  <c r="H80" i="8" s="1"/>
  <c r="N78" i="8"/>
  <c r="L78" i="8"/>
  <c r="J78" i="8"/>
  <c r="I77" i="8"/>
  <c r="T48" i="8"/>
  <c r="T46" i="8"/>
  <c r="T44" i="8"/>
  <c r="T62" i="8"/>
  <c r="T60" i="8"/>
  <c r="T32" i="8"/>
  <c r="J57" i="8"/>
  <c r="C58" i="8" s="1"/>
  <c r="L57" i="8"/>
  <c r="H57" i="8" s="1"/>
  <c r="I57" i="8" s="1"/>
  <c r="E22" i="8"/>
  <c r="H21" i="8" s="1"/>
  <c r="E20" i="8"/>
  <c r="H19" i="8" s="1"/>
  <c r="I21" i="8"/>
  <c r="J30" i="8"/>
  <c r="H30" i="8" s="1"/>
  <c r="I30" i="8" s="1"/>
  <c r="E30" i="8"/>
  <c r="I15" i="8"/>
  <c r="AH142" i="1" l="1"/>
  <c r="AG261" i="1"/>
  <c r="AL67" i="11"/>
  <c r="AF261" i="1"/>
  <c r="AK67" i="11"/>
  <c r="AD261" i="1"/>
  <c r="AI67" i="11"/>
  <c r="AE261" i="1"/>
  <c r="AJ67" i="11"/>
  <c r="AH261" i="1"/>
  <c r="AM67" i="11"/>
  <c r="AI261" i="1"/>
  <c r="AN67" i="11"/>
  <c r="AK122" i="1"/>
  <c r="AK124" i="1" s="1"/>
  <c r="AF147" i="1"/>
  <c r="AF145" i="1" s="1"/>
  <c r="AB95" i="1"/>
  <c r="AD27" i="3" s="1"/>
  <c r="AJ261" i="1"/>
  <c r="AK18" i="11"/>
  <c r="AG111" i="1"/>
  <c r="AB92" i="1"/>
  <c r="AK211" i="1"/>
  <c r="I224" i="1"/>
  <c r="T224" i="1" s="1"/>
  <c r="E224" i="1" s="1"/>
  <c r="I247" i="1" s="1"/>
  <c r="O215" i="1"/>
  <c r="I203" i="1"/>
  <c r="T203" i="1" s="1"/>
  <c r="E203" i="1" s="1"/>
  <c r="I204" i="1"/>
  <c r="T204" i="1" s="1"/>
  <c r="E204" i="1" s="1"/>
  <c r="L211" i="1" s="1"/>
  <c r="AD26" i="3"/>
  <c r="AA92" i="1"/>
  <c r="AC152" i="1"/>
  <c r="AC127" i="1" s="1"/>
  <c r="AI112" i="1"/>
  <c r="I195" i="1"/>
  <c r="T195" i="1" s="1"/>
  <c r="E195" i="1" s="1"/>
  <c r="L68" i="1"/>
  <c r="AK150" i="1"/>
  <c r="I238" i="1"/>
  <c r="I196" i="1"/>
  <c r="T196" i="1" s="1"/>
  <c r="E196" i="1" s="1"/>
  <c r="I187" i="1" s="1"/>
  <c r="T187" i="1" s="1"/>
  <c r="E187" i="1" s="1"/>
  <c r="I78" i="1"/>
  <c r="T78" i="1" s="1"/>
  <c r="E78" i="1" s="1"/>
  <c r="R159" i="1" s="1"/>
  <c r="I75" i="1"/>
  <c r="T75" i="1" s="1"/>
  <c r="E75" i="1" s="1"/>
  <c r="I114" i="1" s="1"/>
  <c r="T114" i="1" s="1"/>
  <c r="E114" i="1" s="1"/>
  <c r="R247" i="1" s="1"/>
  <c r="I73" i="1"/>
  <c r="T73" i="1" s="1"/>
  <c r="E73" i="1" s="1"/>
  <c r="AM41" i="3"/>
  <c r="I72" i="1"/>
  <c r="I88" i="1"/>
  <c r="I79" i="1"/>
  <c r="AF92" i="1"/>
  <c r="I80" i="1"/>
  <c r="L88" i="1"/>
  <c r="I87" i="1"/>
  <c r="T87" i="1" s="1"/>
  <c r="E87" i="1" s="1"/>
  <c r="L230" i="1" s="1"/>
  <c r="I83" i="1"/>
  <c r="T83" i="1" s="1"/>
  <c r="E83" i="1" s="1"/>
  <c r="I128" i="1" s="1"/>
  <c r="L46" i="3"/>
  <c r="T46" i="3"/>
  <c r="D45" i="3" s="1"/>
  <c r="E45" i="3" s="1"/>
  <c r="AB147" i="1"/>
  <c r="AD30" i="3" s="1"/>
  <c r="AP19" i="11"/>
  <c r="AG120" i="1"/>
  <c r="AF120" i="1"/>
  <c r="AE117" i="1"/>
  <c r="AG48" i="3" s="1"/>
  <c r="AM20" i="3"/>
  <c r="AG112" i="1"/>
  <c r="AE25" i="3"/>
  <c r="AC122" i="1"/>
  <c r="AE44" i="3" s="1"/>
  <c r="L231" i="1"/>
  <c r="L235" i="1"/>
  <c r="AO41" i="11"/>
  <c r="AD41" i="3"/>
  <c r="Z68" i="3"/>
  <c r="AA68" i="3" s="1"/>
  <c r="T68" i="3"/>
  <c r="U68" i="3" s="1"/>
  <c r="AH25" i="11"/>
  <c r="I194" i="1"/>
  <c r="T194" i="1" s="1"/>
  <c r="E194" i="1" s="1"/>
  <c r="I207" i="1"/>
  <c r="T207" i="1" s="1"/>
  <c r="E207" i="1" s="1"/>
  <c r="I186" i="1"/>
  <c r="T186" i="1" s="1"/>
  <c r="E186" i="1" s="1"/>
  <c r="I191" i="1"/>
  <c r="T191" i="1" s="1"/>
  <c r="E191" i="1" s="1"/>
  <c r="O134" i="1" s="1"/>
  <c r="I202" i="1"/>
  <c r="T202" i="1" s="1"/>
  <c r="E202" i="1" s="1"/>
  <c r="AH117" i="1"/>
  <c r="AH128" i="1" s="1"/>
  <c r="AJ49" i="3" s="1"/>
  <c r="AE122" i="1"/>
  <c r="AG42" i="9" s="1"/>
  <c r="AK19" i="11"/>
  <c r="AK111" i="1"/>
  <c r="AM20" i="9"/>
  <c r="AF111" i="1"/>
  <c r="G57" i="3"/>
  <c r="L57" i="3" s="1"/>
  <c r="H27" i="3"/>
  <c r="I27" i="3" s="1"/>
  <c r="Z27" i="3"/>
  <c r="AA27" i="3" s="1"/>
  <c r="AL41" i="3"/>
  <c r="AD41" i="9"/>
  <c r="G27" i="9"/>
  <c r="H27" i="9" s="1"/>
  <c r="I27" i="9" s="1"/>
  <c r="AJ41" i="3"/>
  <c r="AK147" i="1"/>
  <c r="AK145" i="1" s="1"/>
  <c r="AB122" i="1"/>
  <c r="AB125" i="1" s="1"/>
  <c r="I228" i="1"/>
  <c r="AM19" i="3"/>
  <c r="AB117" i="1"/>
  <c r="AD46" i="9" s="1"/>
  <c r="AB119" i="1"/>
  <c r="L72" i="1"/>
  <c r="I69" i="1"/>
  <c r="T69" i="1" s="1"/>
  <c r="E69" i="1" s="1"/>
  <c r="I137" i="1"/>
  <c r="I67" i="1"/>
  <c r="T67" i="1" s="1"/>
  <c r="I68" i="1"/>
  <c r="I138" i="1"/>
  <c r="I139" i="1"/>
  <c r="L115" i="1"/>
  <c r="AJ41" i="9"/>
  <c r="AJ119" i="1"/>
  <c r="Q27" i="3"/>
  <c r="R27" i="3" s="1"/>
  <c r="L27" i="3"/>
  <c r="AA150" i="1"/>
  <c r="AK26" i="3"/>
  <c r="AK18" i="9"/>
  <c r="I107" i="1"/>
  <c r="T107" i="1" s="1"/>
  <c r="E107" i="1" s="1"/>
  <c r="AG25" i="11"/>
  <c r="AF117" i="1"/>
  <c r="AF128" i="1" s="1"/>
  <c r="AH49" i="3" s="1"/>
  <c r="AK110" i="1"/>
  <c r="AF109" i="1"/>
  <c r="AF124" i="1" s="1"/>
  <c r="AB150" i="1"/>
  <c r="AK26" i="9"/>
  <c r="E9" i="3"/>
  <c r="H46" i="3"/>
  <c r="I46" i="3" s="1"/>
  <c r="I106" i="1"/>
  <c r="T106" i="1" s="1"/>
  <c r="E106" i="1" s="1"/>
  <c r="I163" i="1" s="1"/>
  <c r="Q68" i="3"/>
  <c r="R68" i="3" s="1"/>
  <c r="AH152" i="1"/>
  <c r="AM33" i="11" s="1"/>
  <c r="AK142" i="1"/>
  <c r="AM28" i="3" s="1"/>
  <c r="AM26" i="3"/>
  <c r="AK95" i="1"/>
  <c r="AM27" i="3" s="1"/>
  <c r="AK92" i="1"/>
  <c r="I101" i="1"/>
  <c r="T101" i="1" s="1"/>
  <c r="E101" i="1" s="1"/>
  <c r="E60" i="3"/>
  <c r="E11" i="9"/>
  <c r="AP25" i="11"/>
  <c r="AE26" i="3"/>
  <c r="AJ125" i="1"/>
  <c r="AO43" i="11" s="1"/>
  <c r="AJ117" i="1"/>
  <c r="AJ128" i="1" s="1"/>
  <c r="AJ135" i="1" s="1"/>
  <c r="AE41" i="3"/>
  <c r="AI18" i="3"/>
  <c r="AH18" i="3"/>
  <c r="AH19" i="9"/>
  <c r="AE41" i="9"/>
  <c r="AC119" i="1"/>
  <c r="AP26" i="11"/>
  <c r="AH119" i="1"/>
  <c r="AI18" i="9"/>
  <c r="Q46" i="3"/>
  <c r="R46" i="3" s="1"/>
  <c r="AH26" i="9"/>
  <c r="AK119" i="1"/>
  <c r="AF95" i="1"/>
  <c r="AH27" i="3" s="1"/>
  <c r="AA95" i="1"/>
  <c r="AF27" i="11" s="1"/>
  <c r="AH26" i="3"/>
  <c r="AC147" i="1"/>
  <c r="AE30" i="3" s="1"/>
  <c r="AA147" i="1"/>
  <c r="AC30" i="3" s="1"/>
  <c r="AL19" i="11"/>
  <c r="I103" i="1"/>
  <c r="AM41" i="9"/>
  <c r="AA142" i="1"/>
  <c r="AC28" i="3" s="1"/>
  <c r="AG152" i="1"/>
  <c r="AL33" i="11" s="1"/>
  <c r="AI117" i="1"/>
  <c r="AI128" i="1" s="1"/>
  <c r="AK49" i="3" s="1"/>
  <c r="AJ120" i="1"/>
  <c r="AH150" i="1"/>
  <c r="AF26" i="11"/>
  <c r="AG109" i="1"/>
  <c r="AI20" i="3" s="1"/>
  <c r="Z46" i="3"/>
  <c r="AA46" i="3" s="1"/>
  <c r="AG110" i="1"/>
  <c r="AI19" i="3"/>
  <c r="E46" i="3"/>
  <c r="AC26" i="9"/>
  <c r="G65" i="9"/>
  <c r="H65" i="9" s="1"/>
  <c r="I65" i="9" s="1"/>
  <c r="AK112" i="1"/>
  <c r="AG41" i="3"/>
  <c r="AI122" i="1"/>
  <c r="AI125" i="1" s="1"/>
  <c r="AK45" i="3" s="1"/>
  <c r="AK41" i="3"/>
  <c r="AJ109" i="1"/>
  <c r="AJ124" i="1" s="1"/>
  <c r="E10" i="3"/>
  <c r="E68" i="3"/>
  <c r="AA152" i="1"/>
  <c r="AC33" i="3" s="1"/>
  <c r="E69" i="3"/>
  <c r="W68" i="3"/>
  <c r="X68" i="3" s="1"/>
  <c r="AC25" i="3"/>
  <c r="AD26" i="9"/>
  <c r="AL19" i="3"/>
  <c r="AJ152" i="1"/>
  <c r="AL33" i="3" s="1"/>
  <c r="AK152" i="1"/>
  <c r="AK25" i="9"/>
  <c r="AN25" i="11"/>
  <c r="AK117" i="1"/>
  <c r="AK128" i="1" s="1"/>
  <c r="AM49" i="3" s="1"/>
  <c r="AO18" i="11"/>
  <c r="AH95" i="1"/>
  <c r="AJ26" i="3"/>
  <c r="AI95" i="1"/>
  <c r="AK27" i="9" s="1"/>
  <c r="AI92" i="1"/>
  <c r="AH18" i="9"/>
  <c r="AL18" i="3"/>
  <c r="AK120" i="1"/>
  <c r="AE70" i="9"/>
  <c r="AE26" i="9"/>
  <c r="AJ112" i="1"/>
  <c r="AH92" i="1"/>
  <c r="F11" i="3"/>
  <c r="E67" i="3"/>
  <c r="AC95" i="1"/>
  <c r="AE27" i="9" s="1"/>
  <c r="AJ110" i="1"/>
  <c r="G8" i="3"/>
  <c r="L8" i="3" s="1"/>
  <c r="E27" i="3"/>
  <c r="W27" i="3"/>
  <c r="X27" i="3" s="1"/>
  <c r="G66" i="9"/>
  <c r="H66" i="9" s="1"/>
  <c r="I66" i="9" s="1"/>
  <c r="AB142" i="1"/>
  <c r="AD28" i="3" s="1"/>
  <c r="G8" i="9"/>
  <c r="L8" i="9" s="1"/>
  <c r="W61" i="3"/>
  <c r="X61" i="3" s="1"/>
  <c r="K35" i="3" s="1"/>
  <c r="AK18" i="3"/>
  <c r="G70" i="9"/>
  <c r="Q70" i="9" s="1"/>
  <c r="AF142" i="1"/>
  <c r="AF99" i="1" s="1"/>
  <c r="AF163" i="1" s="1"/>
  <c r="AH36" i="3" s="1"/>
  <c r="AN26" i="11"/>
  <c r="AI142" i="1"/>
  <c r="AI144" i="1" s="1"/>
  <c r="AC92" i="1"/>
  <c r="AE120" i="1"/>
  <c r="AC117" i="1"/>
  <c r="AC128" i="1" s="1"/>
  <c r="E44" i="9"/>
  <c r="G63" i="3"/>
  <c r="W63" i="3" s="1"/>
  <c r="X63" i="3" s="1"/>
  <c r="H68" i="3"/>
  <c r="I68" i="3" s="1"/>
  <c r="AC142" i="1"/>
  <c r="AC99" i="1" s="1"/>
  <c r="E61" i="3"/>
  <c r="E9" i="9"/>
  <c r="E61" i="9"/>
  <c r="AJ111" i="1"/>
  <c r="AA121" i="1"/>
  <c r="F35" i="3"/>
  <c r="R255" i="1"/>
  <c r="W255" i="1" s="1"/>
  <c r="X255" i="1" s="1"/>
  <c r="I255" i="1"/>
  <c r="N255" i="1" s="1"/>
  <c r="L140" i="1"/>
  <c r="L137" i="1"/>
  <c r="I198" i="1"/>
  <c r="T198" i="1" s="1"/>
  <c r="E198" i="1" s="1"/>
  <c r="L219" i="1" s="1"/>
  <c r="AJ25" i="9"/>
  <c r="AM25" i="11"/>
  <c r="G10" i="9"/>
  <c r="L10" i="9" s="1"/>
  <c r="AO19" i="11"/>
  <c r="AI120" i="1"/>
  <c r="AB120" i="1"/>
  <c r="AK41" i="9"/>
  <c r="AN41" i="11"/>
  <c r="F45" i="3"/>
  <c r="AM26" i="11"/>
  <c r="AJ26" i="9"/>
  <c r="G11" i="3"/>
  <c r="L11" i="3" s="1"/>
  <c r="E11" i="3"/>
  <c r="AH25" i="9"/>
  <c r="AK25" i="11"/>
  <c r="AK125" i="1"/>
  <c r="AP43" i="11" s="1"/>
  <c r="AJ41" i="11"/>
  <c r="AG41" i="9"/>
  <c r="G72" i="3"/>
  <c r="E72" i="3"/>
  <c r="E58" i="9"/>
  <c r="E59" i="9"/>
  <c r="E55" i="9"/>
  <c r="AF150" i="1"/>
  <c r="AM18" i="9"/>
  <c r="AP18" i="11"/>
  <c r="AF152" i="1"/>
  <c r="H61" i="3"/>
  <c r="I61" i="3" s="1"/>
  <c r="Z61" i="3"/>
  <c r="L61" i="3"/>
  <c r="T61" i="3"/>
  <c r="U61" i="3" s="1"/>
  <c r="AJ43" i="9"/>
  <c r="AJ45" i="3"/>
  <c r="AM43" i="11"/>
  <c r="E67" i="9"/>
  <c r="AE20" i="3"/>
  <c r="AH20" i="11"/>
  <c r="AE20" i="9"/>
  <c r="AF45" i="3"/>
  <c r="AF43" i="9"/>
  <c r="AI43" i="11"/>
  <c r="AJ30" i="3"/>
  <c r="AH145" i="1"/>
  <c r="AH167" i="1"/>
  <c r="AH166" i="1"/>
  <c r="AM30" i="11"/>
  <c r="AH164" i="1"/>
  <c r="AJ30" i="9"/>
  <c r="F58" i="3"/>
  <c r="AJ138" i="1"/>
  <c r="AL69" i="3"/>
  <c r="AL67" i="9"/>
  <c r="AJ20" i="11"/>
  <c r="AG20" i="9"/>
  <c r="AG20" i="3"/>
  <c r="AJ28" i="3"/>
  <c r="AH144" i="1"/>
  <c r="AJ28" i="9"/>
  <c r="AH99" i="1"/>
  <c r="AM28" i="11"/>
  <c r="AC138" i="1"/>
  <c r="AE69" i="3"/>
  <c r="AE67" i="9"/>
  <c r="AD134" i="1"/>
  <c r="AF44" i="3"/>
  <c r="AI42" i="11"/>
  <c r="AD135" i="1"/>
  <c r="AF42" i="9"/>
  <c r="AD70" i="9"/>
  <c r="AD72" i="3"/>
  <c r="AK72" i="3"/>
  <c r="AK70" i="9"/>
  <c r="AH42" i="11"/>
  <c r="AI72" i="3"/>
  <c r="AI70" i="9"/>
  <c r="AH44" i="3"/>
  <c r="AF134" i="1"/>
  <c r="AK42" i="11"/>
  <c r="AH42" i="9"/>
  <c r="AJ121" i="1"/>
  <c r="AJ72" i="3"/>
  <c r="AJ70" i="9"/>
  <c r="AF46" i="9"/>
  <c r="AF48" i="3"/>
  <c r="AI45" i="11"/>
  <c r="AB138" i="1"/>
  <c r="AD69" i="3"/>
  <c r="AD67" i="9"/>
  <c r="AI69" i="3"/>
  <c r="AG138" i="1"/>
  <c r="AI67" i="9"/>
  <c r="AH72" i="3"/>
  <c r="AH70" i="9"/>
  <c r="AI166" i="1"/>
  <c r="AK30" i="3"/>
  <c r="AN30" i="11"/>
  <c r="AK30" i="9"/>
  <c r="AI145" i="1"/>
  <c r="AI164" i="1"/>
  <c r="AI167" i="1"/>
  <c r="AD92" i="1"/>
  <c r="AF26" i="3"/>
  <c r="AD147" i="1"/>
  <c r="AD142" i="1"/>
  <c r="AD95" i="1"/>
  <c r="AF26" i="9"/>
  <c r="AI26" i="11"/>
  <c r="AK69" i="3"/>
  <c r="AI138" i="1"/>
  <c r="AK67" i="9"/>
  <c r="AC72" i="3"/>
  <c r="AC70" i="9"/>
  <c r="AH69" i="3"/>
  <c r="AF138" i="1"/>
  <c r="AH67" i="9"/>
  <c r="AB110" i="1"/>
  <c r="AB109" i="1"/>
  <c r="AB111" i="1"/>
  <c r="AG19" i="11"/>
  <c r="AD19" i="3"/>
  <c r="AD19" i="9"/>
  <c r="AH110" i="1"/>
  <c r="AJ19" i="3"/>
  <c r="AH109" i="1"/>
  <c r="AH111" i="1"/>
  <c r="AM19" i="11"/>
  <c r="AJ19" i="9"/>
  <c r="AG25" i="3"/>
  <c r="AE152" i="1"/>
  <c r="AE150" i="1"/>
  <c r="AG25" i="9"/>
  <c r="AJ25" i="11"/>
  <c r="AH138" i="1"/>
  <c r="AJ69" i="3"/>
  <c r="AJ67" i="9"/>
  <c r="AC49" i="3"/>
  <c r="AF46" i="11"/>
  <c r="AC47" i="9"/>
  <c r="AE112" i="1"/>
  <c r="AG18" i="9"/>
  <c r="AG18" i="3"/>
  <c r="AJ18" i="11"/>
  <c r="AB152" i="1"/>
  <c r="AC69" i="3"/>
  <c r="AA138" i="1"/>
  <c r="AC67" i="9"/>
  <c r="AG92" i="1"/>
  <c r="AG147" i="1"/>
  <c r="AG95" i="1"/>
  <c r="AG142" i="1"/>
  <c r="AI26" i="9"/>
  <c r="AL26" i="11"/>
  <c r="AI26" i="3"/>
  <c r="AI110" i="1"/>
  <c r="AK19" i="3"/>
  <c r="AI109" i="1"/>
  <c r="AN19" i="11"/>
  <c r="AI111" i="1"/>
  <c r="AK19" i="9"/>
  <c r="AI121" i="1"/>
  <c r="AA109" i="1"/>
  <c r="AC19" i="3"/>
  <c r="AA110" i="1"/>
  <c r="AC19" i="9"/>
  <c r="AA111" i="1"/>
  <c r="AF19" i="11"/>
  <c r="AI152" i="1"/>
  <c r="AC48" i="3"/>
  <c r="AC46" i="9"/>
  <c r="AF45" i="11"/>
  <c r="AL44" i="3"/>
  <c r="AJ134" i="1"/>
  <c r="AO42" i="11"/>
  <c r="AL42" i="9"/>
  <c r="AF72" i="3"/>
  <c r="AF70" i="9"/>
  <c r="AF125" i="1"/>
  <c r="AJ142" i="1"/>
  <c r="AJ147" i="1"/>
  <c r="AJ95" i="1"/>
  <c r="AJ92" i="1"/>
  <c r="AL26" i="3"/>
  <c r="AO26" i="11"/>
  <c r="AL26" i="9"/>
  <c r="AA135" i="1"/>
  <c r="AA134" i="1"/>
  <c r="AC44" i="3"/>
  <c r="AC42" i="9"/>
  <c r="AF42" i="11"/>
  <c r="AD111" i="1"/>
  <c r="AD110" i="1"/>
  <c r="AD109" i="1"/>
  <c r="AF19" i="9"/>
  <c r="AF19" i="3"/>
  <c r="AI19" i="11"/>
  <c r="AC45" i="3"/>
  <c r="AC43" i="9"/>
  <c r="AF43" i="11"/>
  <c r="AM69" i="3"/>
  <c r="AM67" i="9"/>
  <c r="AK138" i="1"/>
  <c r="AG72" i="3"/>
  <c r="AG70" i="9"/>
  <c r="AM70" i="9"/>
  <c r="AM72" i="3"/>
  <c r="AG69" i="3"/>
  <c r="AE138" i="1"/>
  <c r="AG67" i="9"/>
  <c r="AD150" i="1"/>
  <c r="AF25" i="3"/>
  <c r="AF25" i="9"/>
  <c r="AD152" i="1"/>
  <c r="AI25" i="11"/>
  <c r="AJ44" i="3"/>
  <c r="AH134" i="1"/>
  <c r="AJ42" i="9"/>
  <c r="AM42" i="11"/>
  <c r="AE95" i="1"/>
  <c r="AE142" i="1"/>
  <c r="AG26" i="3"/>
  <c r="AE147" i="1"/>
  <c r="AJ26" i="11"/>
  <c r="AG26" i="9"/>
  <c r="AE92" i="1"/>
  <c r="AC125" i="1"/>
  <c r="AC112" i="1"/>
  <c r="AC124" i="1"/>
  <c r="AE18" i="9"/>
  <c r="AE18" i="3"/>
  <c r="AH18" i="11"/>
  <c r="AI46" i="11"/>
  <c r="AF47" i="9"/>
  <c r="AF49" i="3"/>
  <c r="AG122" i="1"/>
  <c r="AG119" i="1"/>
  <c r="AI41" i="3"/>
  <c r="AI41" i="9"/>
  <c r="AG117" i="1"/>
  <c r="AL41" i="11"/>
  <c r="AB112" i="1"/>
  <c r="AG18" i="11"/>
  <c r="AD18" i="9"/>
  <c r="AD18" i="3"/>
  <c r="AL72" i="3"/>
  <c r="AL70" i="9"/>
  <c r="L44" i="9"/>
  <c r="W44" i="9"/>
  <c r="X44" i="9" s="1"/>
  <c r="Z44" i="9"/>
  <c r="AA44" i="9" s="1"/>
  <c r="H44" i="9"/>
  <c r="I44" i="9" s="1"/>
  <c r="T44" i="9"/>
  <c r="Q44" i="9"/>
  <c r="L58" i="9"/>
  <c r="W58" i="9"/>
  <c r="Z58" i="9"/>
  <c r="AA58" i="9" s="1"/>
  <c r="H58" i="9"/>
  <c r="I58" i="9" s="1"/>
  <c r="T58" i="9"/>
  <c r="U58" i="9" s="1"/>
  <c r="Q58" i="9"/>
  <c r="L59" i="9"/>
  <c r="Z59" i="9"/>
  <c r="H59" i="9"/>
  <c r="I59" i="9" s="1"/>
  <c r="W59" i="9"/>
  <c r="T59" i="9"/>
  <c r="U59" i="9" s="1"/>
  <c r="Q59" i="9"/>
  <c r="Q55" i="9"/>
  <c r="R55" i="9" s="1"/>
  <c r="L55" i="9"/>
  <c r="Z55" i="9"/>
  <c r="AA55" i="9" s="1"/>
  <c r="H55" i="9"/>
  <c r="I55" i="9" s="1"/>
  <c r="W55" i="9"/>
  <c r="X55" i="9" s="1"/>
  <c r="T55" i="9"/>
  <c r="U55" i="9" s="1"/>
  <c r="H61" i="9"/>
  <c r="I61" i="9" s="1"/>
  <c r="Z61" i="9"/>
  <c r="AA61" i="9" s="1"/>
  <c r="W61" i="9"/>
  <c r="X61" i="9" s="1"/>
  <c r="T61" i="9"/>
  <c r="U61" i="9" s="1"/>
  <c r="Q61" i="9"/>
  <c r="L61" i="9"/>
  <c r="L67" i="9"/>
  <c r="H67" i="9"/>
  <c r="I67" i="9" s="1"/>
  <c r="Z67" i="9"/>
  <c r="AA67" i="9" s="1"/>
  <c r="W67" i="9"/>
  <c r="X67" i="9" s="1"/>
  <c r="T67" i="9"/>
  <c r="U67" i="9" s="1"/>
  <c r="Q67" i="9"/>
  <c r="J81" i="8"/>
  <c r="I80" i="8"/>
  <c r="E61" i="8"/>
  <c r="H60" i="8" s="1"/>
  <c r="J61" i="8" s="1"/>
  <c r="E63" i="8"/>
  <c r="H62" i="8" s="1"/>
  <c r="I60" i="8"/>
  <c r="C61" i="8"/>
  <c r="I62" i="8"/>
  <c r="C63" i="8"/>
  <c r="J63" i="8"/>
  <c r="C20" i="8"/>
  <c r="I19" i="8"/>
  <c r="J20" i="8"/>
  <c r="C22" i="8"/>
  <c r="J22" i="8"/>
  <c r="J37" i="8"/>
  <c r="H36" i="8" s="1"/>
  <c r="L37" i="8" s="1"/>
  <c r="J35" i="8"/>
  <c r="H34" i="8" s="1"/>
  <c r="L35" i="8" s="1"/>
  <c r="J33" i="8"/>
  <c r="H32" i="8" s="1"/>
  <c r="L33" i="8" s="1"/>
  <c r="D58" i="3"/>
  <c r="G58" i="3" s="1"/>
  <c r="L60" i="3"/>
  <c r="T60" i="3"/>
  <c r="U60" i="3" s="1"/>
  <c r="W60" i="3"/>
  <c r="H60" i="3"/>
  <c r="I60" i="3" s="1"/>
  <c r="Z60" i="3"/>
  <c r="AA60" i="3" s="1"/>
  <c r="Q60" i="3"/>
  <c r="W69" i="3"/>
  <c r="X69" i="3" s="1"/>
  <c r="Q69" i="3"/>
  <c r="H69" i="3"/>
  <c r="I69" i="3" s="1"/>
  <c r="T69" i="3"/>
  <c r="U69" i="3" s="1"/>
  <c r="L69" i="3"/>
  <c r="Z69" i="3"/>
  <c r="AA69" i="3" s="1"/>
  <c r="W67" i="3"/>
  <c r="X67" i="3" s="1"/>
  <c r="H67" i="3"/>
  <c r="I67" i="3" s="1"/>
  <c r="L67" i="3"/>
  <c r="T67" i="3"/>
  <c r="U67" i="3" s="1"/>
  <c r="Q67" i="3"/>
  <c r="R67" i="3" s="1"/>
  <c r="Z67" i="3"/>
  <c r="AA67" i="3" s="1"/>
  <c r="I140" i="1" l="1"/>
  <c r="E67" i="1"/>
  <c r="AM42" i="9"/>
  <c r="AP42" i="11"/>
  <c r="AM44" i="3"/>
  <c r="AK134" i="1"/>
  <c r="AF166" i="1"/>
  <c r="AK30" i="11"/>
  <c r="AH30" i="9"/>
  <c r="AF164" i="1"/>
  <c r="AF167" i="1"/>
  <c r="AH30" i="3"/>
  <c r="AK261" i="1"/>
  <c r="AP67" i="11"/>
  <c r="AC134" i="1"/>
  <c r="AH44" i="11" s="1"/>
  <c r="AB97" i="1"/>
  <c r="AG27" i="11"/>
  <c r="AD27" i="9"/>
  <c r="AH33" i="11"/>
  <c r="AE33" i="9"/>
  <c r="AE33" i="3"/>
  <c r="O228" i="1"/>
  <c r="I246" i="1"/>
  <c r="I212" i="1"/>
  <c r="I200" i="1"/>
  <c r="T200" i="1" s="1"/>
  <c r="E200" i="1" s="1"/>
  <c r="R215" i="1" s="1"/>
  <c r="I208" i="1"/>
  <c r="T208" i="1" s="1"/>
  <c r="E208" i="1" s="1"/>
  <c r="I209" i="1"/>
  <c r="T209" i="1" s="1"/>
  <c r="E209" i="1" s="1"/>
  <c r="AB145" i="1"/>
  <c r="AD32" i="3" s="1"/>
  <c r="AB166" i="1"/>
  <c r="I127" i="1"/>
  <c r="AB167" i="1"/>
  <c r="AD37" i="3" s="1"/>
  <c r="O239" i="1"/>
  <c r="AB164" i="1"/>
  <c r="Z27" i="9"/>
  <c r="AA27" i="9" s="1"/>
  <c r="I190" i="1"/>
  <c r="T190" i="1" s="1"/>
  <c r="E190" i="1" s="1"/>
  <c r="L27" i="9"/>
  <c r="AD30" i="9"/>
  <c r="T27" i="9"/>
  <c r="U27" i="9" s="1"/>
  <c r="Q27" i="9"/>
  <c r="R27" i="9" s="1"/>
  <c r="AG30" i="11"/>
  <c r="G45" i="3"/>
  <c r="T45" i="3" s="1"/>
  <c r="U45" i="3" s="1"/>
  <c r="U46" i="3"/>
  <c r="K45" i="3" s="1"/>
  <c r="T68" i="1"/>
  <c r="E68" i="1" s="1"/>
  <c r="O170" i="1"/>
  <c r="L92" i="1"/>
  <c r="O133" i="1"/>
  <c r="AC155" i="1"/>
  <c r="AE128" i="1"/>
  <c r="AG47" i="9" s="1"/>
  <c r="AJ45" i="11"/>
  <c r="AG46" i="9"/>
  <c r="I102" i="1"/>
  <c r="T102" i="1" s="1"/>
  <c r="E102" i="1" s="1"/>
  <c r="I110" i="1" s="1"/>
  <c r="L145" i="1"/>
  <c r="L144" i="1"/>
  <c r="L110" i="1"/>
  <c r="L103" i="1"/>
  <c r="T103" i="1" s="1"/>
  <c r="E103" i="1" s="1"/>
  <c r="T88" i="1"/>
  <c r="E88" i="1" s="1"/>
  <c r="I115" i="1"/>
  <c r="T115" i="1" s="1"/>
  <c r="E115" i="1" s="1"/>
  <c r="T72" i="1"/>
  <c r="E72" i="1" s="1"/>
  <c r="L217" i="1"/>
  <c r="L218" i="1"/>
  <c r="I211" i="1"/>
  <c r="I217" i="1"/>
  <c r="L122" i="1"/>
  <c r="L79" i="1"/>
  <c r="T79" i="1" s="1"/>
  <c r="E79" i="1" s="1"/>
  <c r="L125" i="1"/>
  <c r="I104" i="1"/>
  <c r="T104" i="1" s="1"/>
  <c r="E104" i="1" s="1"/>
  <c r="R70" i="9"/>
  <c r="K69" i="9" s="1"/>
  <c r="D69" i="9"/>
  <c r="F69" i="9"/>
  <c r="L192" i="1"/>
  <c r="I260" i="1"/>
  <c r="N260" i="1" s="1"/>
  <c r="L188" i="1"/>
  <c r="R260" i="1"/>
  <c r="W260" i="1" s="1"/>
  <c r="X260" i="1" s="1"/>
  <c r="I213" i="1"/>
  <c r="AA255" i="1"/>
  <c r="AB255" i="1"/>
  <c r="AC255" i="1"/>
  <c r="AK167" i="1"/>
  <c r="AK130" i="1" s="1"/>
  <c r="L91" i="1"/>
  <c r="I120" i="1"/>
  <c r="I192" i="1"/>
  <c r="W27" i="9"/>
  <c r="X27" i="9" s="1"/>
  <c r="L119" i="1"/>
  <c r="AH135" i="1"/>
  <c r="AE42" i="9"/>
  <c r="AC135" i="1"/>
  <c r="AM45" i="11"/>
  <c r="AJ48" i="3"/>
  <c r="AJ46" i="9"/>
  <c r="AM46" i="11"/>
  <c r="AJ47" i="9"/>
  <c r="L80" i="1"/>
  <c r="T80" i="1" s="1"/>
  <c r="E80" i="1" s="1"/>
  <c r="I121" i="1"/>
  <c r="L150" i="1"/>
  <c r="L182" i="1"/>
  <c r="AM30" i="3"/>
  <c r="L128" i="1"/>
  <c r="L112" i="1"/>
  <c r="AM30" i="9"/>
  <c r="AP30" i="11"/>
  <c r="I91" i="1"/>
  <c r="AE125" i="1"/>
  <c r="AJ43" i="11" s="1"/>
  <c r="AE124" i="1"/>
  <c r="AJ42" i="11"/>
  <c r="AE134" i="1"/>
  <c r="AJ44" i="11" s="1"/>
  <c r="AK156" i="1"/>
  <c r="AK159" i="1" s="1"/>
  <c r="AK166" i="1"/>
  <c r="AK164" i="1"/>
  <c r="AG44" i="3"/>
  <c r="W57" i="3"/>
  <c r="X57" i="3" s="1"/>
  <c r="H57" i="3"/>
  <c r="I57" i="3" s="1"/>
  <c r="L221" i="1"/>
  <c r="L222" i="1"/>
  <c r="I221" i="1"/>
  <c r="I222" i="1"/>
  <c r="Q57" i="3"/>
  <c r="R57" i="3" s="1"/>
  <c r="T57" i="3"/>
  <c r="U57" i="3" s="1"/>
  <c r="I188" i="1"/>
  <c r="O160" i="1"/>
  <c r="L111" i="1"/>
  <c r="O173" i="1"/>
  <c r="AB134" i="1"/>
  <c r="AD47" i="3" s="1"/>
  <c r="AG42" i="11"/>
  <c r="AD42" i="9"/>
  <c r="AD44" i="3"/>
  <c r="AB128" i="1"/>
  <c r="AB135" i="1" s="1"/>
  <c r="AD48" i="3"/>
  <c r="Z57" i="3"/>
  <c r="AA57" i="3" s="1"/>
  <c r="AG45" i="11"/>
  <c r="AF135" i="1"/>
  <c r="AH47" i="9"/>
  <c r="T137" i="1"/>
  <c r="E137" i="1" s="1"/>
  <c r="AH20" i="3"/>
  <c r="L228" i="1"/>
  <c r="T228" i="1" s="1"/>
  <c r="E228" i="1" s="1"/>
  <c r="L233" i="1"/>
  <c r="L226" i="1"/>
  <c r="AN42" i="11"/>
  <c r="AK44" i="3"/>
  <c r="AJ33" i="3"/>
  <c r="I94" i="1"/>
  <c r="T94" i="1" s="1"/>
  <c r="E94" i="1" s="1"/>
  <c r="I90" i="1"/>
  <c r="T90" i="1" s="1"/>
  <c r="E90" i="1" s="1"/>
  <c r="I98" i="1"/>
  <c r="T98" i="1" s="1"/>
  <c r="E98" i="1" s="1"/>
  <c r="AK20" i="11"/>
  <c r="AH20" i="9"/>
  <c r="AF127" i="1"/>
  <c r="I122" i="1"/>
  <c r="I119" i="1"/>
  <c r="I117" i="1"/>
  <c r="AM28" i="9"/>
  <c r="AP28" i="11"/>
  <c r="AK46" i="11"/>
  <c r="AK99" i="1"/>
  <c r="AP29" i="11" s="1"/>
  <c r="AK144" i="1"/>
  <c r="AH48" i="3"/>
  <c r="AH46" i="9"/>
  <c r="AK45" i="11"/>
  <c r="AK42" i="9"/>
  <c r="AI134" i="1"/>
  <c r="AK47" i="3" s="1"/>
  <c r="AH155" i="1"/>
  <c r="AH154" i="1"/>
  <c r="AN43" i="11"/>
  <c r="AH156" i="1"/>
  <c r="AJ34" i="3" s="1"/>
  <c r="W70" i="9"/>
  <c r="X70" i="9" s="1"/>
  <c r="Z70" i="9"/>
  <c r="AA70" i="9" s="1"/>
  <c r="H70" i="9"/>
  <c r="I70" i="9" s="1"/>
  <c r="AP45" i="11"/>
  <c r="AM48" i="3"/>
  <c r="AM46" i="9"/>
  <c r="AF180" i="1"/>
  <c r="AH51" i="3" s="1"/>
  <c r="AH29" i="9"/>
  <c r="AP27" i="11"/>
  <c r="AM27" i="9"/>
  <c r="AK97" i="1"/>
  <c r="AF33" i="11"/>
  <c r="AC33" i="9"/>
  <c r="AL43" i="9"/>
  <c r="AL45" i="3"/>
  <c r="AJ27" i="9"/>
  <c r="AF133" i="1"/>
  <c r="AM47" i="9"/>
  <c r="AP46" i="11"/>
  <c r="AK135" i="1"/>
  <c r="AI20" i="9"/>
  <c r="AH29" i="3"/>
  <c r="AF144" i="1"/>
  <c r="AL20" i="11"/>
  <c r="AJ33" i="9"/>
  <c r="AK27" i="11"/>
  <c r="AH27" i="9"/>
  <c r="AF97" i="1"/>
  <c r="AH36" i="9"/>
  <c r="AM27" i="11"/>
  <c r="AH97" i="1"/>
  <c r="AJ27" i="3"/>
  <c r="AK36" i="11"/>
  <c r="I239" i="1"/>
  <c r="AN27" i="11"/>
  <c r="AK27" i="3"/>
  <c r="Q65" i="9"/>
  <c r="R65" i="9" s="1"/>
  <c r="T65" i="9"/>
  <c r="U65" i="9" s="1"/>
  <c r="Z65" i="9"/>
  <c r="AA65" i="9" s="1"/>
  <c r="AN28" i="11"/>
  <c r="AI97" i="1"/>
  <c r="AF30" i="11"/>
  <c r="AA156" i="1"/>
  <c r="AC34" i="3" s="1"/>
  <c r="AC30" i="9"/>
  <c r="L65" i="9"/>
  <c r="AA166" i="1"/>
  <c r="W65" i="9"/>
  <c r="X65" i="9" s="1"/>
  <c r="AA167" i="1"/>
  <c r="AA131" i="1" s="1"/>
  <c r="AA164" i="1"/>
  <c r="AA145" i="1"/>
  <c r="AC32" i="3" s="1"/>
  <c r="AC166" i="1"/>
  <c r="AC145" i="1"/>
  <c r="AE32" i="9" s="1"/>
  <c r="AC156" i="1"/>
  <c r="AE34" i="3" s="1"/>
  <c r="AO46" i="11"/>
  <c r="Q63" i="3"/>
  <c r="R63" i="3" s="1"/>
  <c r="L63" i="3"/>
  <c r="AC164" i="1"/>
  <c r="AL47" i="9"/>
  <c r="AE30" i="9"/>
  <c r="AL49" i="3"/>
  <c r="AO45" i="11"/>
  <c r="AL46" i="9"/>
  <c r="AH30" i="11"/>
  <c r="AL33" i="9"/>
  <c r="H63" i="3"/>
  <c r="I63" i="3" s="1"/>
  <c r="AC167" i="1"/>
  <c r="AH37" i="11" s="1"/>
  <c r="AO33" i="11"/>
  <c r="AL48" i="3"/>
  <c r="Z63" i="3"/>
  <c r="AA63" i="3" s="1"/>
  <c r="T63" i="3"/>
  <c r="U63" i="3" s="1"/>
  <c r="AK28" i="9"/>
  <c r="AI99" i="1"/>
  <c r="AI162" i="1" s="1"/>
  <c r="AK43" i="9"/>
  <c r="AC144" i="1"/>
  <c r="T70" i="9"/>
  <c r="U70" i="9" s="1"/>
  <c r="L70" i="9"/>
  <c r="AE47" i="9"/>
  <c r="AA97" i="1"/>
  <c r="AC27" i="3"/>
  <c r="AH45" i="11"/>
  <c r="AF149" i="1"/>
  <c r="AC27" i="9"/>
  <c r="AA154" i="1"/>
  <c r="AE49" i="3"/>
  <c r="AK48" i="3"/>
  <c r="AL20" i="9"/>
  <c r="AF28" i="11"/>
  <c r="AN46" i="11"/>
  <c r="AI135" i="1"/>
  <c r="AO20" i="11"/>
  <c r="AC28" i="9"/>
  <c r="AK47" i="9"/>
  <c r="AJ127" i="1"/>
  <c r="AL20" i="3"/>
  <c r="AM43" i="9"/>
  <c r="AA144" i="1"/>
  <c r="AA99" i="1"/>
  <c r="AC29" i="3" s="1"/>
  <c r="AK46" i="9"/>
  <c r="AK28" i="3"/>
  <c r="AG127" i="1"/>
  <c r="AH28" i="11"/>
  <c r="AN45" i="11"/>
  <c r="AI33" i="9"/>
  <c r="AM45" i="3"/>
  <c r="AI33" i="3"/>
  <c r="AE28" i="9"/>
  <c r="AE28" i="3"/>
  <c r="AE46" i="9"/>
  <c r="AH46" i="11"/>
  <c r="D35" i="3"/>
  <c r="G35" i="3" s="1"/>
  <c r="H35" i="3" s="1"/>
  <c r="I35" i="3" s="1"/>
  <c r="AE48" i="3"/>
  <c r="AE27" i="3"/>
  <c r="AC97" i="1"/>
  <c r="AF151" i="1"/>
  <c r="AC154" i="1"/>
  <c r="AH27" i="11"/>
  <c r="AH33" i="9"/>
  <c r="AH33" i="3"/>
  <c r="AF162" i="1"/>
  <c r="Q66" i="9"/>
  <c r="R66" i="9" s="1"/>
  <c r="T66" i="9"/>
  <c r="U66" i="9" s="1"/>
  <c r="W66" i="9"/>
  <c r="X66" i="9" s="1"/>
  <c r="AP33" i="11"/>
  <c r="AB144" i="1"/>
  <c r="AG28" i="11"/>
  <c r="L66" i="9"/>
  <c r="Z66" i="9"/>
  <c r="AA66" i="9" s="1"/>
  <c r="AD28" i="9"/>
  <c r="AB99" i="1"/>
  <c r="AB162" i="1" s="1"/>
  <c r="AM33" i="3"/>
  <c r="AK127" i="1"/>
  <c r="AK29" i="11"/>
  <c r="AK154" i="1"/>
  <c r="AM33" i="9"/>
  <c r="AH28" i="9"/>
  <c r="AH28" i="3"/>
  <c r="AF154" i="1"/>
  <c r="AF169" i="1"/>
  <c r="AF170" i="1"/>
  <c r="AK28" i="11"/>
  <c r="AF155" i="1"/>
  <c r="AK33" i="11"/>
  <c r="AH162" i="1"/>
  <c r="T140" i="1"/>
  <c r="E140" i="1" s="1"/>
  <c r="I147" i="1" s="1"/>
  <c r="T147" i="1" s="1"/>
  <c r="E147" i="1" s="1"/>
  <c r="AF156" i="1"/>
  <c r="AF172" i="1" s="1"/>
  <c r="I256" i="1"/>
  <c r="N256" i="1" s="1"/>
  <c r="R256" i="1"/>
  <c r="W256" i="1" s="1"/>
  <c r="X256" i="1" s="1"/>
  <c r="L212" i="1"/>
  <c r="L139" i="1"/>
  <c r="T139" i="1" s="1"/>
  <c r="E139" i="1" s="1"/>
  <c r="L213" i="1"/>
  <c r="T72" i="3"/>
  <c r="U72" i="3" s="1"/>
  <c r="W72" i="3"/>
  <c r="X72" i="3" s="1"/>
  <c r="L72" i="3"/>
  <c r="Q72" i="3"/>
  <c r="H72" i="3"/>
  <c r="I72" i="3" s="1"/>
  <c r="Z72" i="3"/>
  <c r="AA72" i="3" s="1"/>
  <c r="D47" i="3"/>
  <c r="F47" i="3"/>
  <c r="AA61" i="3"/>
  <c r="K47" i="3" s="1"/>
  <c r="AE167" i="1"/>
  <c r="AE166" i="1"/>
  <c r="AE164" i="1"/>
  <c r="AG30" i="3"/>
  <c r="AE145" i="1"/>
  <c r="AJ30" i="11"/>
  <c r="AG30" i="9"/>
  <c r="AG97" i="1"/>
  <c r="AI27" i="3"/>
  <c r="AL27" i="11"/>
  <c r="AI27" i="9"/>
  <c r="AM20" i="11"/>
  <c r="AJ20" i="9"/>
  <c r="AJ20" i="3"/>
  <c r="AH127" i="1"/>
  <c r="AH124" i="1"/>
  <c r="AE45" i="3"/>
  <c r="AE43" i="9"/>
  <c r="AH43" i="11"/>
  <c r="AD156" i="1"/>
  <c r="AD154" i="1"/>
  <c r="AF33" i="3"/>
  <c r="AI33" i="11"/>
  <c r="AF33" i="9"/>
  <c r="AG166" i="1"/>
  <c r="AI30" i="3"/>
  <c r="AG167" i="1"/>
  <c r="AG164" i="1"/>
  <c r="AG145" i="1"/>
  <c r="AI30" i="9"/>
  <c r="AL30" i="11"/>
  <c r="AG154" i="1"/>
  <c r="AG33" i="3"/>
  <c r="AE156" i="1"/>
  <c r="AG33" i="9"/>
  <c r="AJ33" i="11"/>
  <c r="AE154" i="1"/>
  <c r="AE127" i="1"/>
  <c r="AK32" i="3"/>
  <c r="AK32" i="9"/>
  <c r="AN32" i="11"/>
  <c r="AC133" i="1"/>
  <c r="AM47" i="3"/>
  <c r="AP44" i="11"/>
  <c r="AM45" i="9"/>
  <c r="AF176" i="1"/>
  <c r="AF175" i="1"/>
  <c r="AF131" i="1"/>
  <c r="AF130" i="1"/>
  <c r="AH37" i="3"/>
  <c r="AH37" i="9"/>
  <c r="AK37" i="11"/>
  <c r="AH45" i="3"/>
  <c r="AK43" i="11"/>
  <c r="AH43" i="9"/>
  <c r="AL45" i="11"/>
  <c r="AI46" i="9"/>
  <c r="AI48" i="3"/>
  <c r="AG128" i="1"/>
  <c r="AG135" i="1" s="1"/>
  <c r="AH32" i="3"/>
  <c r="AK32" i="11"/>
  <c r="AH32" i="9"/>
  <c r="AE97" i="1"/>
  <c r="AG27" i="3"/>
  <c r="AJ27" i="11"/>
  <c r="AG27" i="9"/>
  <c r="AF20" i="9"/>
  <c r="AI20" i="11"/>
  <c r="AF20" i="3"/>
  <c r="AD127" i="1"/>
  <c r="AD124" i="1"/>
  <c r="L134" i="1"/>
  <c r="L167" i="1"/>
  <c r="I125" i="1"/>
  <c r="I112" i="1"/>
  <c r="L117" i="1"/>
  <c r="L120" i="1"/>
  <c r="I124" i="1"/>
  <c r="AF178" i="1"/>
  <c r="AK33" i="3"/>
  <c r="AI154" i="1"/>
  <c r="AN33" i="11"/>
  <c r="AK33" i="9"/>
  <c r="AI156" i="1"/>
  <c r="AJ47" i="3"/>
  <c r="AM44" i="11"/>
  <c r="AJ45" i="9"/>
  <c r="AL30" i="3"/>
  <c r="AJ166" i="1"/>
  <c r="AJ164" i="1"/>
  <c r="AJ167" i="1"/>
  <c r="AJ145" i="1"/>
  <c r="AO30" i="11"/>
  <c r="AL30" i="9"/>
  <c r="AC162" i="1"/>
  <c r="AH131" i="1"/>
  <c r="AH176" i="1"/>
  <c r="AJ37" i="3"/>
  <c r="AH175" i="1"/>
  <c r="AH130" i="1"/>
  <c r="AJ37" i="9"/>
  <c r="AM37" i="11"/>
  <c r="AF47" i="3"/>
  <c r="AF45" i="9"/>
  <c r="AI44" i="11"/>
  <c r="AG28" i="3"/>
  <c r="AE144" i="1"/>
  <c r="AE99" i="1"/>
  <c r="AJ28" i="11"/>
  <c r="AG28" i="9"/>
  <c r="AL28" i="3"/>
  <c r="AJ99" i="1"/>
  <c r="AJ162" i="1" s="1"/>
  <c r="AJ144" i="1"/>
  <c r="AO28" i="11"/>
  <c r="AL28" i="9"/>
  <c r="AJ32" i="3"/>
  <c r="AM32" i="11"/>
  <c r="AJ32" i="9"/>
  <c r="AK37" i="3"/>
  <c r="AI130" i="1"/>
  <c r="AI131" i="1"/>
  <c r="AI176" i="1"/>
  <c r="AI175" i="1"/>
  <c r="AK37" i="9"/>
  <c r="AN37" i="11"/>
  <c r="AM32" i="9"/>
  <c r="AP32" i="11"/>
  <c r="AM32" i="3"/>
  <c r="AK20" i="3"/>
  <c r="AN20" i="11"/>
  <c r="AK20" i="9"/>
  <c r="AI127" i="1"/>
  <c r="AI124" i="1"/>
  <c r="AJ97" i="1"/>
  <c r="AL27" i="9"/>
  <c r="AL27" i="3"/>
  <c r="AO27" i="11"/>
  <c r="AG134" i="1"/>
  <c r="AI44" i="3"/>
  <c r="AL42" i="11"/>
  <c r="AI42" i="9"/>
  <c r="AG124" i="1"/>
  <c r="AG125" i="1"/>
  <c r="AH133" i="1"/>
  <c r="AJ156" i="1"/>
  <c r="AB156" i="1"/>
  <c r="AD33" i="3"/>
  <c r="AB154" i="1"/>
  <c r="AD33" i="9"/>
  <c r="AG33" i="11"/>
  <c r="AF27" i="3"/>
  <c r="AI27" i="11"/>
  <c r="AF27" i="9"/>
  <c r="AD97" i="1"/>
  <c r="AG20" i="11"/>
  <c r="AD20" i="9"/>
  <c r="AD20" i="3"/>
  <c r="AB127" i="1"/>
  <c r="AB124" i="1"/>
  <c r="AD45" i="3"/>
  <c r="AG43" i="11"/>
  <c r="AD43" i="9"/>
  <c r="AC20" i="3"/>
  <c r="AF20" i="11"/>
  <c r="AC20" i="9"/>
  <c r="AA127" i="1"/>
  <c r="AA124" i="1"/>
  <c r="AD99" i="1"/>
  <c r="AD133" i="1" s="1"/>
  <c r="AF28" i="3"/>
  <c r="AF28" i="9"/>
  <c r="AD144" i="1"/>
  <c r="AI28" i="11"/>
  <c r="AJ29" i="3"/>
  <c r="AM29" i="11"/>
  <c r="AJ29" i="9"/>
  <c r="AH163" i="1"/>
  <c r="AH151" i="1"/>
  <c r="AH149" i="1"/>
  <c r="AG144" i="1"/>
  <c r="AI28" i="3"/>
  <c r="AI28" i="9"/>
  <c r="AG99" i="1"/>
  <c r="AG162" i="1" s="1"/>
  <c r="AL28" i="11"/>
  <c r="AF30" i="3"/>
  <c r="AD164" i="1"/>
  <c r="AD145" i="1"/>
  <c r="AD166" i="1"/>
  <c r="AI30" i="11"/>
  <c r="AF30" i="9"/>
  <c r="AD167" i="1"/>
  <c r="AH45" i="9"/>
  <c r="AH47" i="3"/>
  <c r="AK44" i="11"/>
  <c r="AJ154" i="1"/>
  <c r="AC47" i="3"/>
  <c r="AC45" i="9"/>
  <c r="AF44" i="11"/>
  <c r="AL47" i="3"/>
  <c r="AL45" i="9"/>
  <c r="AO44" i="11"/>
  <c r="AG156" i="1"/>
  <c r="AE29" i="3"/>
  <c r="AH29" i="11"/>
  <c r="AE29" i="9"/>
  <c r="AC149" i="1"/>
  <c r="AC151" i="1"/>
  <c r="AC163" i="1"/>
  <c r="R58" i="9"/>
  <c r="K49" i="9" s="1"/>
  <c r="D49" i="9"/>
  <c r="F49" i="9"/>
  <c r="R61" i="9"/>
  <c r="X58" i="9"/>
  <c r="K54" i="9" s="1"/>
  <c r="F54" i="9"/>
  <c r="D54" i="9"/>
  <c r="X59" i="9"/>
  <c r="K35" i="9" s="1"/>
  <c r="F35" i="9"/>
  <c r="D35" i="9"/>
  <c r="R44" i="9"/>
  <c r="R59" i="9"/>
  <c r="K56" i="9" s="1"/>
  <c r="F56" i="9"/>
  <c r="D56" i="9"/>
  <c r="U44" i="9"/>
  <c r="K43" i="9" s="1"/>
  <c r="D43" i="9"/>
  <c r="F43" i="9"/>
  <c r="AA59" i="9"/>
  <c r="K45" i="9" s="1"/>
  <c r="F45" i="9"/>
  <c r="D45" i="9"/>
  <c r="R67" i="9"/>
  <c r="K68" i="9" s="1"/>
  <c r="D68" i="9"/>
  <c r="F68" i="9"/>
  <c r="I48" i="8"/>
  <c r="H37" i="8"/>
  <c r="I37" i="8" s="1"/>
  <c r="I44" i="8"/>
  <c r="I46" i="8"/>
  <c r="H22" i="8"/>
  <c r="I22" i="8" s="1"/>
  <c r="I14" i="8" s="1"/>
  <c r="H63" i="8"/>
  <c r="I63" i="8" s="1"/>
  <c r="C35" i="8"/>
  <c r="I34" i="8"/>
  <c r="I32" i="8"/>
  <c r="C33" i="8"/>
  <c r="I36" i="8"/>
  <c r="C37" i="8"/>
  <c r="E58" i="3"/>
  <c r="R69" i="3"/>
  <c r="D51" i="3"/>
  <c r="R60" i="3"/>
  <c r="K51" i="3" s="1"/>
  <c r="F51" i="3"/>
  <c r="X60" i="3"/>
  <c r="K56" i="3" s="1"/>
  <c r="F56" i="3"/>
  <c r="D56" i="3"/>
  <c r="T58" i="3"/>
  <c r="Z58" i="3"/>
  <c r="AA58" i="3" s="1"/>
  <c r="L58" i="3"/>
  <c r="Q58" i="3"/>
  <c r="R58" i="3" s="1"/>
  <c r="W58" i="3"/>
  <c r="X58" i="3" s="1"/>
  <c r="H58" i="3"/>
  <c r="I58" i="3" s="1"/>
  <c r="AE45" i="9" l="1"/>
  <c r="AE47" i="3"/>
  <c r="L164" i="1"/>
  <c r="R257" i="1"/>
  <c r="W257" i="1" s="1"/>
  <c r="X257" i="1" s="1"/>
  <c r="R211" i="1"/>
  <c r="T211" i="1" s="1"/>
  <c r="E211" i="1" s="1"/>
  <c r="I261" i="1" s="1"/>
  <c r="N261" i="1" s="1"/>
  <c r="L227" i="1"/>
  <c r="I257" i="1"/>
  <c r="N257" i="1" s="1"/>
  <c r="L138" i="1"/>
  <c r="T138" i="1" s="1"/>
  <c r="E138" i="1" s="1"/>
  <c r="L121" i="1"/>
  <c r="T121" i="1" s="1"/>
  <c r="E121" i="1" s="1"/>
  <c r="O242" i="1"/>
  <c r="T212" i="1"/>
  <c r="E212" i="1" s="1"/>
  <c r="AG32" i="11"/>
  <c r="AD32" i="9"/>
  <c r="I218" i="1"/>
  <c r="T218" i="1" s="1"/>
  <c r="E218" i="1" s="1"/>
  <c r="L215" i="1" s="1"/>
  <c r="I242" i="1"/>
  <c r="L176" i="1"/>
  <c r="R243" i="1"/>
  <c r="AG37" i="11"/>
  <c r="AB175" i="1"/>
  <c r="AD56" i="9" s="1"/>
  <c r="AB131" i="1"/>
  <c r="AB176" i="1"/>
  <c r="AD37" i="9"/>
  <c r="AB130" i="1"/>
  <c r="I109" i="1"/>
  <c r="T109" i="1" s="1"/>
  <c r="E109" i="1" s="1"/>
  <c r="L127" i="1" s="1"/>
  <c r="AE135" i="1"/>
  <c r="I111" i="1"/>
  <c r="T111" i="1" s="1"/>
  <c r="E111" i="1" s="1"/>
  <c r="L166" i="1"/>
  <c r="L152" i="1"/>
  <c r="L45" i="3"/>
  <c r="AK173" i="1"/>
  <c r="Z45" i="3"/>
  <c r="AA45" i="3" s="1"/>
  <c r="Q45" i="3"/>
  <c r="R45" i="3" s="1"/>
  <c r="R239" i="1"/>
  <c r="R250" i="1"/>
  <c r="W45" i="3"/>
  <c r="X45" i="3" s="1"/>
  <c r="H45" i="3"/>
  <c r="I45" i="3" s="1"/>
  <c r="AJ46" i="11"/>
  <c r="AG49" i="3"/>
  <c r="T110" i="1"/>
  <c r="E110" i="1" s="1"/>
  <c r="AP34" i="11"/>
  <c r="AM34" i="9"/>
  <c r="AM34" i="3"/>
  <c r="T217" i="1"/>
  <c r="E217" i="1" s="1"/>
  <c r="T122" i="1"/>
  <c r="E122" i="1" s="1"/>
  <c r="O124" i="1" s="1"/>
  <c r="T91" i="1"/>
  <c r="E91" i="1" s="1"/>
  <c r="AG43" i="9"/>
  <c r="AK172" i="1"/>
  <c r="AM55" i="9" s="1"/>
  <c r="T213" i="1"/>
  <c r="E213" i="1" s="1"/>
  <c r="I219" i="1"/>
  <c r="T219" i="1" s="1"/>
  <c r="E219" i="1" s="1"/>
  <c r="AK176" i="1"/>
  <c r="T192" i="1"/>
  <c r="E192" i="1" s="1"/>
  <c r="AM37" i="9"/>
  <c r="AP37" i="11"/>
  <c r="AK131" i="1"/>
  <c r="AM44" i="9" s="1"/>
  <c r="AM37" i="3"/>
  <c r="AK175" i="1"/>
  <c r="AP55" i="11" s="1"/>
  <c r="R72" i="3"/>
  <c r="K71" i="3" s="1"/>
  <c r="D71" i="3"/>
  <c r="F71" i="3"/>
  <c r="G69" i="9"/>
  <c r="E69" i="9"/>
  <c r="T120" i="1"/>
  <c r="E120" i="1" s="1"/>
  <c r="T188" i="1"/>
  <c r="E188" i="1" s="1"/>
  <c r="AB257" i="1"/>
  <c r="AC257" i="1"/>
  <c r="AA257" i="1"/>
  <c r="AA256" i="1"/>
  <c r="AB256" i="1"/>
  <c r="AC256" i="1"/>
  <c r="T119" i="1"/>
  <c r="E119" i="1" s="1"/>
  <c r="AA260" i="1"/>
  <c r="AB260" i="1"/>
  <c r="AC260" i="1"/>
  <c r="AG45" i="3"/>
  <c r="T112" i="1"/>
  <c r="E112" i="1" s="1"/>
  <c r="AG45" i="9"/>
  <c r="AG47" i="3"/>
  <c r="I230" i="1"/>
  <c r="T230" i="1" s="1"/>
  <c r="E230" i="1" s="1"/>
  <c r="I236" i="1" s="1"/>
  <c r="T236" i="1" s="1"/>
  <c r="E236" i="1" s="1"/>
  <c r="I231" i="1"/>
  <c r="T231" i="1" s="1"/>
  <c r="E231" i="1" s="1"/>
  <c r="AH172" i="1"/>
  <c r="AJ57" i="3" s="1"/>
  <c r="T222" i="1"/>
  <c r="E222" i="1" s="1"/>
  <c r="L247" i="1" s="1"/>
  <c r="T221" i="1"/>
  <c r="E221" i="1" s="1"/>
  <c r="AD45" i="9"/>
  <c r="AG44" i="11"/>
  <c r="AD47" i="9"/>
  <c r="AD49" i="3"/>
  <c r="AG46" i="11"/>
  <c r="AM29" i="9"/>
  <c r="AK48" i="11"/>
  <c r="AH49" i="9"/>
  <c r="AM29" i="3"/>
  <c r="AK162" i="1"/>
  <c r="AK158" i="1"/>
  <c r="AK160" i="1"/>
  <c r="AK133" i="1"/>
  <c r="AK155" i="1"/>
  <c r="AK151" i="1"/>
  <c r="AK149" i="1"/>
  <c r="AK163" i="1"/>
  <c r="AK178" i="1" s="1"/>
  <c r="AF182" i="1"/>
  <c r="AH60" i="3" s="1"/>
  <c r="AN44" i="11"/>
  <c r="AK45" i="9"/>
  <c r="AH160" i="1"/>
  <c r="T117" i="1"/>
  <c r="E117" i="1" s="1"/>
  <c r="L130" i="1" s="1"/>
  <c r="I149" i="1"/>
  <c r="I152" i="1"/>
  <c r="I150" i="1"/>
  <c r="T150" i="1" s="1"/>
  <c r="E150" i="1" s="1"/>
  <c r="I151" i="1"/>
  <c r="AH158" i="1"/>
  <c r="AM34" i="11"/>
  <c r="AH159" i="1"/>
  <c r="AJ35" i="3" s="1"/>
  <c r="AH173" i="1"/>
  <c r="AJ34" i="9"/>
  <c r="AC37" i="9"/>
  <c r="AC34" i="9"/>
  <c r="AA172" i="1"/>
  <c r="AC57" i="3" s="1"/>
  <c r="AF34" i="11"/>
  <c r="AA173" i="1"/>
  <c r="AA159" i="1"/>
  <c r="AF35" i="11" s="1"/>
  <c r="AC32" i="9"/>
  <c r="AF32" i="11"/>
  <c r="AI155" i="1"/>
  <c r="AE37" i="9"/>
  <c r="K70" i="3"/>
  <c r="D70" i="3"/>
  <c r="E70" i="3" s="1"/>
  <c r="AK29" i="9"/>
  <c r="AI163" i="1"/>
  <c r="AI178" i="1" s="1"/>
  <c r="AI151" i="1"/>
  <c r="AI149" i="1"/>
  <c r="AN29" i="11"/>
  <c r="AK29" i="3"/>
  <c r="AF37" i="11"/>
  <c r="AA130" i="1"/>
  <c r="AC37" i="3"/>
  <c r="AA176" i="1"/>
  <c r="AA175" i="1"/>
  <c r="AC58" i="3" s="1"/>
  <c r="F70" i="3"/>
  <c r="AC130" i="1"/>
  <c r="AE37" i="3"/>
  <c r="AC131" i="1"/>
  <c r="AC179" i="1" s="1"/>
  <c r="AC175" i="1"/>
  <c r="AC176" i="1"/>
  <c r="AC158" i="1"/>
  <c r="AE32" i="3"/>
  <c r="AH32" i="11"/>
  <c r="AA160" i="1"/>
  <c r="AA151" i="1"/>
  <c r="AA149" i="1"/>
  <c r="AC159" i="1"/>
  <c r="AE35" i="9" s="1"/>
  <c r="AF29" i="11"/>
  <c r="AI133" i="1"/>
  <c r="AH34" i="11"/>
  <c r="AC172" i="1"/>
  <c r="AE57" i="3" s="1"/>
  <c r="AE34" i="9"/>
  <c r="AC160" i="1"/>
  <c r="AF158" i="1"/>
  <c r="AC173" i="1"/>
  <c r="AH54" i="9"/>
  <c r="AH56" i="3"/>
  <c r="AA163" i="1"/>
  <c r="AA170" i="1" s="1"/>
  <c r="AC29" i="9"/>
  <c r="AA158" i="1"/>
  <c r="AK53" i="11"/>
  <c r="AB155" i="1"/>
  <c r="AD29" i="9"/>
  <c r="AB149" i="1"/>
  <c r="AA162" i="1"/>
  <c r="AA155" i="1"/>
  <c r="AA133" i="1"/>
  <c r="T35" i="3"/>
  <c r="U35" i="3" s="1"/>
  <c r="K32" i="3" s="1"/>
  <c r="Z35" i="3"/>
  <c r="AA35" i="3" s="1"/>
  <c r="E35" i="3"/>
  <c r="L35" i="3"/>
  <c r="W35" i="3"/>
  <c r="X35" i="3" s="1"/>
  <c r="Q35" i="3"/>
  <c r="F32" i="3"/>
  <c r="I166" i="1"/>
  <c r="O159" i="1"/>
  <c r="L156" i="1"/>
  <c r="I164" i="1"/>
  <c r="T164" i="1" s="1"/>
  <c r="E164" i="1" s="1"/>
  <c r="I167" i="1"/>
  <c r="T167" i="1" s="1"/>
  <c r="E167" i="1" s="1"/>
  <c r="L178" i="1" s="1"/>
  <c r="L158" i="1"/>
  <c r="I145" i="1"/>
  <c r="T145" i="1" s="1"/>
  <c r="E145" i="1" s="1"/>
  <c r="I95" i="1"/>
  <c r="T95" i="1" s="1"/>
  <c r="E95" i="1" s="1"/>
  <c r="AB133" i="1"/>
  <c r="AB163" i="1"/>
  <c r="AB169" i="1" s="1"/>
  <c r="AD56" i="3" s="1"/>
  <c r="AB151" i="1"/>
  <c r="AG29" i="11"/>
  <c r="AH34" i="9"/>
  <c r="AD29" i="3"/>
  <c r="AK34" i="11"/>
  <c r="AH34" i="3"/>
  <c r="AF159" i="1"/>
  <c r="AF184" i="1" s="1"/>
  <c r="AF160" i="1"/>
  <c r="AF173" i="1"/>
  <c r="I92" i="1"/>
  <c r="T92" i="1" s="1"/>
  <c r="E92" i="1" s="1"/>
  <c r="I142" i="1"/>
  <c r="T142" i="1" s="1"/>
  <c r="E142" i="1" s="1"/>
  <c r="I243" i="1" s="1"/>
  <c r="G47" i="3"/>
  <c r="E47" i="3"/>
  <c r="AK46" i="3"/>
  <c r="AK44" i="9"/>
  <c r="AM35" i="3"/>
  <c r="AM35" i="9"/>
  <c r="AP35" i="11"/>
  <c r="AI32" i="3"/>
  <c r="AI32" i="9"/>
  <c r="AL32" i="11"/>
  <c r="AI45" i="3"/>
  <c r="AI43" i="9"/>
  <c r="AL43" i="11"/>
  <c r="AG131" i="1"/>
  <c r="AG175" i="1"/>
  <c r="AI37" i="3"/>
  <c r="AI37" i="9"/>
  <c r="AL37" i="11"/>
  <c r="AG176" i="1"/>
  <c r="AG130" i="1"/>
  <c r="AF32" i="3"/>
  <c r="AI32" i="11"/>
  <c r="AF32" i="9"/>
  <c r="AD46" i="3"/>
  <c r="AD44" i="9"/>
  <c r="AC46" i="3"/>
  <c r="AC44" i="9"/>
  <c r="AF179" i="1"/>
  <c r="AH44" i="9"/>
  <c r="AH46" i="3"/>
  <c r="AD158" i="1"/>
  <c r="AD172" i="1"/>
  <c r="AD160" i="1"/>
  <c r="AD159" i="1"/>
  <c r="AI34" i="11"/>
  <c r="AF34" i="3"/>
  <c r="AF34" i="9"/>
  <c r="AD173" i="1"/>
  <c r="AH58" i="3"/>
  <c r="AK55" i="11"/>
  <c r="AH56" i="9"/>
  <c r="AD162" i="1"/>
  <c r="AG133" i="1"/>
  <c r="AI34" i="3"/>
  <c r="AG160" i="1"/>
  <c r="AG159" i="1"/>
  <c r="AG173" i="1"/>
  <c r="AG172" i="1"/>
  <c r="AI34" i="9"/>
  <c r="AG158" i="1"/>
  <c r="AL34" i="11"/>
  <c r="AH178" i="1"/>
  <c r="AH180" i="1"/>
  <c r="AJ36" i="3"/>
  <c r="AJ36" i="9"/>
  <c r="AM36" i="11"/>
  <c r="AH169" i="1"/>
  <c r="AH170" i="1"/>
  <c r="AI47" i="3"/>
  <c r="AL44" i="11"/>
  <c r="AI45" i="9"/>
  <c r="AG29" i="3"/>
  <c r="AJ29" i="11"/>
  <c r="AG29" i="9"/>
  <c r="AE163" i="1"/>
  <c r="AE151" i="1"/>
  <c r="AE133" i="1"/>
  <c r="AE149" i="1"/>
  <c r="AO32" i="11"/>
  <c r="AL32" i="3"/>
  <c r="AL32" i="9"/>
  <c r="AI172" i="1"/>
  <c r="AI159" i="1"/>
  <c r="AI184" i="1" s="1"/>
  <c r="AI173" i="1"/>
  <c r="AK34" i="3"/>
  <c r="AI158" i="1"/>
  <c r="AI160" i="1"/>
  <c r="AK34" i="9"/>
  <c r="AN34" i="11"/>
  <c r="AI49" i="3"/>
  <c r="AL46" i="11"/>
  <c r="AI47" i="9"/>
  <c r="AE155" i="1"/>
  <c r="AM55" i="11"/>
  <c r="AJ58" i="3"/>
  <c r="AJ56" i="9"/>
  <c r="AJ130" i="1"/>
  <c r="AL37" i="3"/>
  <c r="AJ176" i="1"/>
  <c r="AJ131" i="1"/>
  <c r="AJ175" i="1"/>
  <c r="AL37" i="9"/>
  <c r="AO37" i="11"/>
  <c r="AE158" i="1"/>
  <c r="AE172" i="1"/>
  <c r="AE160" i="1"/>
  <c r="AE173" i="1"/>
  <c r="AG34" i="3"/>
  <c r="AE159" i="1"/>
  <c r="AG34" i="9"/>
  <c r="AJ34" i="11"/>
  <c r="AH57" i="3"/>
  <c r="AK54" i="11"/>
  <c r="AH55" i="9"/>
  <c r="AG32" i="3"/>
  <c r="AG32" i="9"/>
  <c r="AJ32" i="11"/>
  <c r="AC180" i="1"/>
  <c r="AC178" i="1"/>
  <c r="AE36" i="3"/>
  <c r="AE36" i="9"/>
  <c r="AH36" i="11"/>
  <c r="AC169" i="1"/>
  <c r="AC170" i="1"/>
  <c r="AH179" i="1"/>
  <c r="AJ46" i="3"/>
  <c r="AJ44" i="9"/>
  <c r="AL29" i="11"/>
  <c r="AI29" i="3"/>
  <c r="AI29" i="9"/>
  <c r="AG149" i="1"/>
  <c r="AG151" i="1"/>
  <c r="AG163" i="1"/>
  <c r="AG155" i="1"/>
  <c r="AE162" i="1"/>
  <c r="AF29" i="3"/>
  <c r="AI29" i="11"/>
  <c r="AF29" i="9"/>
  <c r="AD163" i="1"/>
  <c r="AD151" i="1"/>
  <c r="AD149" i="1"/>
  <c r="AB173" i="1"/>
  <c r="AB158" i="1"/>
  <c r="AD34" i="3"/>
  <c r="AB172" i="1"/>
  <c r="AB160" i="1"/>
  <c r="AG34" i="11"/>
  <c r="AB159" i="1"/>
  <c r="AD34" i="9"/>
  <c r="AK58" i="3"/>
  <c r="AK56" i="9"/>
  <c r="AN55" i="11"/>
  <c r="AL29" i="3"/>
  <c r="AL29" i="9"/>
  <c r="AO29" i="11"/>
  <c r="AJ163" i="1"/>
  <c r="AJ151" i="1"/>
  <c r="AJ149" i="1"/>
  <c r="AJ133" i="1"/>
  <c r="AJ155" i="1"/>
  <c r="AD155" i="1"/>
  <c r="AD131" i="1"/>
  <c r="AD130" i="1"/>
  <c r="AF37" i="3"/>
  <c r="AD175" i="1"/>
  <c r="AD176" i="1"/>
  <c r="AF37" i="9"/>
  <c r="AI37" i="11"/>
  <c r="AJ158" i="1"/>
  <c r="AJ160" i="1"/>
  <c r="AJ172" i="1"/>
  <c r="AJ173" i="1"/>
  <c r="AJ159" i="1"/>
  <c r="AL34" i="9"/>
  <c r="AO34" i="11"/>
  <c r="AL34" i="3"/>
  <c r="L124" i="1"/>
  <c r="AE131" i="1"/>
  <c r="AG37" i="3"/>
  <c r="AE176" i="1"/>
  <c r="AE130" i="1"/>
  <c r="AG37" i="9"/>
  <c r="AE175" i="1"/>
  <c r="AJ37" i="11"/>
  <c r="G54" i="9"/>
  <c r="E54" i="9"/>
  <c r="G43" i="9"/>
  <c r="E43" i="9"/>
  <c r="G45" i="9"/>
  <c r="E45" i="9"/>
  <c r="G56" i="9"/>
  <c r="E56" i="9"/>
  <c r="E49" i="9"/>
  <c r="G49" i="9"/>
  <c r="G68" i="9"/>
  <c r="E68" i="9"/>
  <c r="G35" i="9"/>
  <c r="E35" i="9"/>
  <c r="I28" i="8"/>
  <c r="H49" i="8"/>
  <c r="I49" i="8" s="1"/>
  <c r="I40" i="8" s="1"/>
  <c r="E56" i="3"/>
  <c r="G56" i="3"/>
  <c r="G51" i="3"/>
  <c r="E51" i="3"/>
  <c r="F20" i="3"/>
  <c r="D20" i="3"/>
  <c r="U58" i="3"/>
  <c r="K20" i="3" s="1"/>
  <c r="AM57" i="3" l="1"/>
  <c r="AP54" i="11"/>
  <c r="AG55" i="11"/>
  <c r="AD58" i="3"/>
  <c r="AB184" i="1"/>
  <c r="R242" i="1"/>
  <c r="L133" i="1"/>
  <c r="L175" i="1"/>
  <c r="T166" i="1"/>
  <c r="E166" i="1" s="1"/>
  <c r="T152" i="1"/>
  <c r="E152" i="1" s="1"/>
  <c r="I170" i="1" s="1"/>
  <c r="T124" i="1"/>
  <c r="E124" i="1" s="1"/>
  <c r="I133" i="1"/>
  <c r="I134" i="1"/>
  <c r="T134" i="1" s="1"/>
  <c r="E134" i="1" s="1"/>
  <c r="R184" i="1" s="1"/>
  <c r="L238" i="1"/>
  <c r="L246" i="1"/>
  <c r="L160" i="1"/>
  <c r="O125" i="1"/>
  <c r="T125" i="1" s="1"/>
  <c r="E125" i="1" s="1"/>
  <c r="O176" i="1" s="1"/>
  <c r="I135" i="1"/>
  <c r="L184" i="1"/>
  <c r="AM58" i="3"/>
  <c r="R261" i="1"/>
  <c r="W261" i="1" s="1"/>
  <c r="I215" i="1"/>
  <c r="T215" i="1" s="1"/>
  <c r="E215" i="1" s="1"/>
  <c r="AM46" i="3"/>
  <c r="AM56" i="9"/>
  <c r="AK184" i="1"/>
  <c r="AM61" i="3" s="1"/>
  <c r="AM54" i="11"/>
  <c r="AJ55" i="9"/>
  <c r="Q69" i="9"/>
  <c r="R69" i="9" s="1"/>
  <c r="W69" i="9"/>
  <c r="X69" i="9" s="1"/>
  <c r="L69" i="9"/>
  <c r="H69" i="9"/>
  <c r="I69" i="9" s="1"/>
  <c r="Z69" i="9"/>
  <c r="AA69" i="9" s="1"/>
  <c r="T69" i="9"/>
  <c r="U69" i="9" s="1"/>
  <c r="E71" i="3"/>
  <c r="G71" i="3"/>
  <c r="I233" i="1"/>
  <c r="T233" i="1" s="1"/>
  <c r="E233" i="1" s="1"/>
  <c r="I235" i="1"/>
  <c r="T235" i="1" s="1"/>
  <c r="E235" i="1" s="1"/>
  <c r="O247" i="1" s="1"/>
  <c r="T247" i="1" s="1"/>
  <c r="E247" i="1" s="1"/>
  <c r="I251" i="1" s="1"/>
  <c r="I227" i="1"/>
  <c r="T227" i="1" s="1"/>
  <c r="E227" i="1" s="1"/>
  <c r="I226" i="1"/>
  <c r="T226" i="1" s="1"/>
  <c r="E226" i="1" s="1"/>
  <c r="AK179" i="1"/>
  <c r="AK180" i="1"/>
  <c r="AM51" i="3" s="1"/>
  <c r="AM36" i="3"/>
  <c r="AK169" i="1"/>
  <c r="AM54" i="9" s="1"/>
  <c r="AK170" i="1"/>
  <c r="AM36" i="9"/>
  <c r="AP36" i="11"/>
  <c r="AK57" i="11"/>
  <c r="AH58" i="9"/>
  <c r="O128" i="1"/>
  <c r="T128" i="1" s="1"/>
  <c r="E128" i="1" s="1"/>
  <c r="AH184" i="1"/>
  <c r="AJ61" i="3" s="1"/>
  <c r="AJ35" i="9"/>
  <c r="AM35" i="11"/>
  <c r="I155" i="1"/>
  <c r="AE35" i="3"/>
  <c r="AF54" i="11"/>
  <c r="AC35" i="9"/>
  <c r="AC35" i="3"/>
  <c r="AC55" i="9"/>
  <c r="G70" i="3"/>
  <c r="Q70" i="3" s="1"/>
  <c r="R70" i="3" s="1"/>
  <c r="AC184" i="1"/>
  <c r="AE61" i="3" s="1"/>
  <c r="AE56" i="9"/>
  <c r="AH55" i="11"/>
  <c r="AE58" i="3"/>
  <c r="AK36" i="3"/>
  <c r="AI169" i="1"/>
  <c r="AN53" i="11" s="1"/>
  <c r="AI179" i="1"/>
  <c r="AA169" i="1"/>
  <c r="AC56" i="3" s="1"/>
  <c r="AI170" i="1"/>
  <c r="AN36" i="11"/>
  <c r="AK36" i="9"/>
  <c r="AI180" i="1"/>
  <c r="AK51" i="3" s="1"/>
  <c r="AC56" i="9"/>
  <c r="AA184" i="1"/>
  <c r="AC61" i="3" s="1"/>
  <c r="AE44" i="9"/>
  <c r="AF55" i="11"/>
  <c r="AE46" i="3"/>
  <c r="AH35" i="11"/>
  <c r="AA178" i="1"/>
  <c r="AA179" i="1"/>
  <c r="AF36" i="11"/>
  <c r="AC36" i="9"/>
  <c r="AC36" i="3"/>
  <c r="AH35" i="3"/>
  <c r="AE55" i="9"/>
  <c r="AH54" i="11"/>
  <c r="AD36" i="9"/>
  <c r="AD54" i="9"/>
  <c r="AA180" i="1"/>
  <c r="AC51" i="3" s="1"/>
  <c r="AG53" i="11"/>
  <c r="AD36" i="3"/>
  <c r="AG36" i="11"/>
  <c r="AB178" i="1"/>
  <c r="AB180" i="1"/>
  <c r="AG48" i="11" s="1"/>
  <c r="D32" i="3"/>
  <c r="AH35" i="9"/>
  <c r="AK35" i="11"/>
  <c r="I175" i="1"/>
  <c r="T175" i="1" s="1"/>
  <c r="E175" i="1" s="1"/>
  <c r="I184" i="1" s="1"/>
  <c r="I176" i="1"/>
  <c r="L180" i="1"/>
  <c r="I130" i="1"/>
  <c r="T130" i="1" s="1"/>
  <c r="E130" i="1" s="1"/>
  <c r="I131" i="1"/>
  <c r="L159" i="1"/>
  <c r="O158" i="1"/>
  <c r="F34" i="3"/>
  <c r="R35" i="3"/>
  <c r="K34" i="3" s="1"/>
  <c r="D34" i="3"/>
  <c r="AB170" i="1"/>
  <c r="L154" i="1"/>
  <c r="I162" i="1"/>
  <c r="I97" i="1"/>
  <c r="T97" i="1" s="1"/>
  <c r="E97" i="1" s="1"/>
  <c r="AB179" i="1"/>
  <c r="L173" i="1"/>
  <c r="I99" i="1"/>
  <c r="T99" i="1" s="1"/>
  <c r="E99" i="1" s="1"/>
  <c r="I144" i="1"/>
  <c r="T144" i="1" s="1"/>
  <c r="E144" i="1" s="1"/>
  <c r="L172" i="1"/>
  <c r="L47" i="3"/>
  <c r="T47" i="3"/>
  <c r="U47" i="3" s="1"/>
  <c r="H47" i="3"/>
  <c r="I47" i="3" s="1"/>
  <c r="Q47" i="3"/>
  <c r="Z47" i="3"/>
  <c r="AA47" i="3" s="1"/>
  <c r="W47" i="3"/>
  <c r="X47" i="3" s="1"/>
  <c r="AK61" i="3"/>
  <c r="AN58" i="11"/>
  <c r="AK59" i="9"/>
  <c r="AD61" i="3"/>
  <c r="AG58" i="11"/>
  <c r="AD59" i="9"/>
  <c r="AE184" i="1"/>
  <c r="AJ55" i="11"/>
  <c r="AG58" i="3"/>
  <c r="AG56" i="9"/>
  <c r="AL57" i="3"/>
  <c r="AL55" i="9"/>
  <c r="AO54" i="11"/>
  <c r="AM53" i="11"/>
  <c r="AJ54" i="9"/>
  <c r="AJ56" i="3"/>
  <c r="AE180" i="1"/>
  <c r="AG36" i="3"/>
  <c r="AE178" i="1"/>
  <c r="AG36" i="9"/>
  <c r="AJ36" i="11"/>
  <c r="AE170" i="1"/>
  <c r="AE169" i="1"/>
  <c r="AF36" i="3"/>
  <c r="AD178" i="1"/>
  <c r="AD180" i="1"/>
  <c r="AI36" i="11"/>
  <c r="AF36" i="9"/>
  <c r="AD169" i="1"/>
  <c r="AD170" i="1"/>
  <c r="AJ51" i="3"/>
  <c r="AJ49" i="9"/>
  <c r="AH182" i="1"/>
  <c r="AM48" i="11"/>
  <c r="AJ184" i="1"/>
  <c r="AL58" i="3"/>
  <c r="AO55" i="11"/>
  <c r="AL56" i="9"/>
  <c r="AL46" i="3"/>
  <c r="AJ179" i="1"/>
  <c r="AL44" i="9"/>
  <c r="AE179" i="1"/>
  <c r="AG46" i="3"/>
  <c r="AG44" i="9"/>
  <c r="AF58" i="3"/>
  <c r="AD184" i="1"/>
  <c r="AI55" i="11"/>
  <c r="AF56" i="9"/>
  <c r="AC182" i="1"/>
  <c r="AE51" i="3"/>
  <c r="AE49" i="9"/>
  <c r="AH48" i="11"/>
  <c r="AJ35" i="11"/>
  <c r="AG35" i="9"/>
  <c r="AG35" i="3"/>
  <c r="AD179" i="1"/>
  <c r="AF46" i="3"/>
  <c r="AF44" i="9"/>
  <c r="AI57" i="3"/>
  <c r="AI55" i="9"/>
  <c r="AL54" i="11"/>
  <c r="AG180" i="1"/>
  <c r="AI36" i="3"/>
  <c r="AG178" i="1"/>
  <c r="AI36" i="9"/>
  <c r="AL36" i="11"/>
  <c r="AG170" i="1"/>
  <c r="AG169" i="1"/>
  <c r="AK35" i="3"/>
  <c r="AK35" i="9"/>
  <c r="AN35" i="11"/>
  <c r="AH61" i="3"/>
  <c r="AK58" i="11"/>
  <c r="AH59" i="9"/>
  <c r="AI35" i="3"/>
  <c r="AL35" i="11"/>
  <c r="AI35" i="9"/>
  <c r="AJ54" i="11"/>
  <c r="AG57" i="3"/>
  <c r="AG55" i="9"/>
  <c r="AK57" i="3"/>
  <c r="AN54" i="11"/>
  <c r="AK55" i="9"/>
  <c r="AI58" i="3"/>
  <c r="AG184" i="1"/>
  <c r="AI56" i="9"/>
  <c r="AL55" i="11"/>
  <c r="AE56" i="3"/>
  <c r="AH53" i="11"/>
  <c r="AE54" i="9"/>
  <c r="AF35" i="3"/>
  <c r="AI35" i="11"/>
  <c r="AF35" i="9"/>
  <c r="AI46" i="3"/>
  <c r="AG179" i="1"/>
  <c r="AI44" i="9"/>
  <c r="AL35" i="3"/>
  <c r="AL35" i="9"/>
  <c r="AO35" i="11"/>
  <c r="AD57" i="3"/>
  <c r="AD55" i="9"/>
  <c r="AG54" i="11"/>
  <c r="AD35" i="3"/>
  <c r="AD35" i="9"/>
  <c r="AG35" i="11"/>
  <c r="AJ180" i="1"/>
  <c r="AL36" i="3"/>
  <c r="AL36" i="9"/>
  <c r="AJ178" i="1"/>
  <c r="AO36" i="11"/>
  <c r="AJ170" i="1"/>
  <c r="AJ169" i="1"/>
  <c r="AF57" i="3"/>
  <c r="AF55" i="9"/>
  <c r="AI54" i="11"/>
  <c r="Q56" i="9"/>
  <c r="H56" i="9"/>
  <c r="I56" i="9" s="1"/>
  <c r="L56" i="9"/>
  <c r="Z56" i="9"/>
  <c r="AA56" i="9" s="1"/>
  <c r="W56" i="9"/>
  <c r="X56" i="9" s="1"/>
  <c r="T56" i="9"/>
  <c r="L68" i="9"/>
  <c r="H68" i="9"/>
  <c r="I68" i="9" s="1"/>
  <c r="Z68" i="9"/>
  <c r="AA68" i="9" s="1"/>
  <c r="W68" i="9"/>
  <c r="X68" i="9" s="1"/>
  <c r="T68" i="9"/>
  <c r="U68" i="9" s="1"/>
  <c r="Q68" i="9"/>
  <c r="R68" i="9" s="1"/>
  <c r="Q43" i="9"/>
  <c r="H43" i="9"/>
  <c r="I43" i="9" s="1"/>
  <c r="L43" i="9"/>
  <c r="Z43" i="9"/>
  <c r="AA43" i="9" s="1"/>
  <c r="W43" i="9"/>
  <c r="X43" i="9" s="1"/>
  <c r="T43" i="9"/>
  <c r="U43" i="9" s="1"/>
  <c r="L35" i="9"/>
  <c r="Z35" i="9"/>
  <c r="AA35" i="9" s="1"/>
  <c r="H35" i="9"/>
  <c r="I35" i="9" s="1"/>
  <c r="W35" i="9"/>
  <c r="X35" i="9" s="1"/>
  <c r="T35" i="9"/>
  <c r="Q35" i="9"/>
  <c r="L45" i="9"/>
  <c r="Z45" i="9"/>
  <c r="AA45" i="9" s="1"/>
  <c r="H45" i="9"/>
  <c r="I45" i="9" s="1"/>
  <c r="W45" i="9"/>
  <c r="X45" i="9" s="1"/>
  <c r="T45" i="9"/>
  <c r="U45" i="9" s="1"/>
  <c r="Q45" i="9"/>
  <c r="W49" i="9"/>
  <c r="T49" i="9"/>
  <c r="U49" i="9" s="1"/>
  <c r="Q49" i="9"/>
  <c r="L49" i="9"/>
  <c r="Z49" i="9"/>
  <c r="AA49" i="9" s="1"/>
  <c r="H49" i="9"/>
  <c r="I49" i="9" s="1"/>
  <c r="L54" i="9"/>
  <c r="T54" i="9"/>
  <c r="U54" i="9" s="1"/>
  <c r="Q54" i="9"/>
  <c r="R54" i="9" s="1"/>
  <c r="Z54" i="9"/>
  <c r="AA54" i="9" s="1"/>
  <c r="H54" i="9"/>
  <c r="I54" i="9" s="1"/>
  <c r="W54" i="9"/>
  <c r="X54" i="9" s="1"/>
  <c r="I55" i="8"/>
  <c r="W51" i="3"/>
  <c r="Z51" i="3"/>
  <c r="AA51" i="3" s="1"/>
  <c r="H51" i="3"/>
  <c r="I51" i="3" s="1"/>
  <c r="T51" i="3"/>
  <c r="Q51" i="3"/>
  <c r="L51" i="3"/>
  <c r="T56" i="3"/>
  <c r="U56" i="3" s="1"/>
  <c r="L56" i="3"/>
  <c r="W56" i="3"/>
  <c r="X56" i="3" s="1"/>
  <c r="Q56" i="3"/>
  <c r="R56" i="3" s="1"/>
  <c r="Z56" i="3"/>
  <c r="AA56" i="3" s="1"/>
  <c r="H56" i="3"/>
  <c r="I56" i="3" s="1"/>
  <c r="G20" i="3"/>
  <c r="E20" i="3"/>
  <c r="X261" i="1" l="1"/>
  <c r="AB261" i="1" s="1"/>
  <c r="L131" i="1"/>
  <c r="L135" i="1"/>
  <c r="T135" i="1" s="1"/>
  <c r="E135" i="1" s="1"/>
  <c r="O243" i="1"/>
  <c r="I156" i="1"/>
  <c r="T156" i="1" s="1"/>
  <c r="E156" i="1" s="1"/>
  <c r="I159" i="1" s="1"/>
  <c r="O127" i="1"/>
  <c r="T127" i="1" s="1"/>
  <c r="E127" i="1" s="1"/>
  <c r="I154" i="1"/>
  <c r="T154" i="1" s="1"/>
  <c r="E154" i="1" s="1"/>
  <c r="I169" i="1"/>
  <c r="T176" i="1"/>
  <c r="E176" i="1" s="1"/>
  <c r="L243" i="1"/>
  <c r="L242" i="1"/>
  <c r="T242" i="1" s="1"/>
  <c r="E242" i="1" s="1"/>
  <c r="L251" i="1"/>
  <c r="AP58" i="11"/>
  <c r="AM59" i="9"/>
  <c r="O238" i="1"/>
  <c r="T238" i="1" s="1"/>
  <c r="E238" i="1" s="1"/>
  <c r="O246" i="1"/>
  <c r="T246" i="1" s="1"/>
  <c r="E246" i="1" s="1"/>
  <c r="AP53" i="11"/>
  <c r="AM56" i="3"/>
  <c r="AA261" i="1"/>
  <c r="AC261" i="1"/>
  <c r="L239" i="1"/>
  <c r="T239" i="1" s="1"/>
  <c r="E239" i="1" s="1"/>
  <c r="L250" i="1"/>
  <c r="T71" i="3"/>
  <c r="U71" i="3" s="1"/>
  <c r="W71" i="3"/>
  <c r="X71" i="3" s="1"/>
  <c r="L71" i="3"/>
  <c r="Z71" i="3"/>
  <c r="AA71" i="3" s="1"/>
  <c r="H71" i="3"/>
  <c r="I71" i="3" s="1"/>
  <c r="Q71" i="3"/>
  <c r="R71" i="3" s="1"/>
  <c r="AP48" i="11"/>
  <c r="AM58" i="11"/>
  <c r="AJ59" i="9"/>
  <c r="O180" i="1"/>
  <c r="AM49" i="9"/>
  <c r="AK182" i="1"/>
  <c r="AM58" i="9" s="1"/>
  <c r="L70" i="3"/>
  <c r="Z70" i="3"/>
  <c r="AA70" i="3" s="1"/>
  <c r="W70" i="3"/>
  <c r="X70" i="3" s="1"/>
  <c r="H70" i="3"/>
  <c r="I70" i="3" s="1"/>
  <c r="T70" i="3"/>
  <c r="U70" i="3" s="1"/>
  <c r="AH58" i="11"/>
  <c r="AE59" i="9"/>
  <c r="AK54" i="9"/>
  <c r="AK56" i="3"/>
  <c r="AH7" i="3"/>
  <c r="AF53" i="11"/>
  <c r="AC54" i="9"/>
  <c r="I173" i="1"/>
  <c r="T173" i="1" s="1"/>
  <c r="E173" i="1" s="1"/>
  <c r="AC49" i="9"/>
  <c r="AI182" i="1"/>
  <c r="AK58" i="9" s="1"/>
  <c r="AN48" i="11"/>
  <c r="AK49" i="9"/>
  <c r="AA182" i="1"/>
  <c r="AC60" i="3" s="1"/>
  <c r="AC2" i="3" s="1"/>
  <c r="AF48" i="11"/>
  <c r="AD49" i="9"/>
  <c r="AB182" i="1"/>
  <c r="AD60" i="3" s="1"/>
  <c r="AD51" i="3"/>
  <c r="AC59" i="9"/>
  <c r="AF58" i="11"/>
  <c r="T159" i="1"/>
  <c r="E159" i="1" s="1"/>
  <c r="O184" i="1" s="1"/>
  <c r="T184" i="1" s="1"/>
  <c r="E184" i="1" s="1"/>
  <c r="AH7" i="9"/>
  <c r="I158" i="1"/>
  <c r="I160" i="1"/>
  <c r="I172" i="1"/>
  <c r="T172" i="1" s="1"/>
  <c r="E172" i="1" s="1"/>
  <c r="T131" i="1"/>
  <c r="E131" i="1" s="1"/>
  <c r="O251" i="1" s="1"/>
  <c r="E32" i="3"/>
  <c r="G32" i="3"/>
  <c r="E34" i="3"/>
  <c r="G34" i="3"/>
  <c r="L163" i="1"/>
  <c r="T163" i="1" s="1"/>
  <c r="E163" i="1" s="1"/>
  <c r="R160" i="1"/>
  <c r="R133" i="1"/>
  <c r="T133" i="1" s="1"/>
  <c r="E133" i="1" s="1"/>
  <c r="L155" i="1"/>
  <c r="T155" i="1" s="1"/>
  <c r="E155" i="1" s="1"/>
  <c r="R158" i="1"/>
  <c r="L162" i="1"/>
  <c r="T162" i="1" s="1"/>
  <c r="E162" i="1" s="1"/>
  <c r="L151" i="1"/>
  <c r="T151" i="1" s="1"/>
  <c r="E151" i="1" s="1"/>
  <c r="L149" i="1"/>
  <c r="T149" i="1" s="1"/>
  <c r="E149" i="1" s="1"/>
  <c r="R47" i="3"/>
  <c r="K44" i="3" s="1"/>
  <c r="F44" i="3"/>
  <c r="D44" i="3"/>
  <c r="AG56" i="3"/>
  <c r="AG54" i="9"/>
  <c r="AJ53" i="11"/>
  <c r="AL56" i="3"/>
  <c r="AO53" i="11"/>
  <c r="AL54" i="9"/>
  <c r="AG182" i="1"/>
  <c r="AI51" i="3"/>
  <c r="AI49" i="9"/>
  <c r="AL48" i="11"/>
  <c r="AG61" i="3"/>
  <c r="AG59" i="9"/>
  <c r="AJ58" i="11"/>
  <c r="AF61" i="3"/>
  <c r="AI58" i="11"/>
  <c r="AF59" i="9"/>
  <c r="AL61" i="3"/>
  <c r="AO58" i="11"/>
  <c r="AL59" i="9"/>
  <c r="AI61" i="3"/>
  <c r="AI59" i="9"/>
  <c r="AL58" i="11"/>
  <c r="AF56" i="3"/>
  <c r="AF54" i="9"/>
  <c r="AI53" i="11"/>
  <c r="AG51" i="3"/>
  <c r="AJ48" i="11"/>
  <c r="AE182" i="1"/>
  <c r="AG49" i="9"/>
  <c r="AL51" i="3"/>
  <c r="AJ182" i="1"/>
  <c r="AO48" i="11"/>
  <c r="AL49" i="9"/>
  <c r="AF51" i="3"/>
  <c r="AF49" i="9"/>
  <c r="AD182" i="1"/>
  <c r="AI48" i="11"/>
  <c r="AI56" i="3"/>
  <c r="AI54" i="9"/>
  <c r="AL53" i="11"/>
  <c r="AE60" i="3"/>
  <c r="AE4" i="3" s="1"/>
  <c r="AH57" i="11"/>
  <c r="AE58" i="9"/>
  <c r="AJ60" i="3"/>
  <c r="AJ9" i="3" s="1"/>
  <c r="AJ58" i="9"/>
  <c r="AM57" i="11"/>
  <c r="R45" i="9"/>
  <c r="K42" i="9" s="1"/>
  <c r="F42" i="9"/>
  <c r="D42" i="9"/>
  <c r="R43" i="9"/>
  <c r="X49" i="9"/>
  <c r="K47" i="9" s="1"/>
  <c r="F47" i="9"/>
  <c r="D47" i="9"/>
  <c r="R35" i="9"/>
  <c r="K34" i="9" s="1"/>
  <c r="F34" i="9"/>
  <c r="D34" i="9"/>
  <c r="U35" i="9"/>
  <c r="K32" i="9" s="1"/>
  <c r="F32" i="9"/>
  <c r="D32" i="9"/>
  <c r="U56" i="9"/>
  <c r="K20" i="9" s="1"/>
  <c r="F20" i="9"/>
  <c r="D20" i="9"/>
  <c r="R49" i="9"/>
  <c r="K36" i="9" s="1"/>
  <c r="D36" i="9"/>
  <c r="F36" i="9"/>
  <c r="R56" i="9"/>
  <c r="K37" i="9" s="1"/>
  <c r="F37" i="9"/>
  <c r="D37" i="9"/>
  <c r="R51" i="3"/>
  <c r="K36" i="3" s="1"/>
  <c r="F36" i="3"/>
  <c r="D36" i="3"/>
  <c r="U51" i="3"/>
  <c r="K37" i="3" s="1"/>
  <c r="F37" i="3"/>
  <c r="D37" i="3"/>
  <c r="X51" i="3"/>
  <c r="K49" i="3" s="1"/>
  <c r="F49" i="3"/>
  <c r="D49" i="3"/>
  <c r="H20" i="3"/>
  <c r="I20" i="3" s="1"/>
  <c r="Z20" i="3"/>
  <c r="AA20" i="3" s="1"/>
  <c r="L20" i="3"/>
  <c r="T20" i="3"/>
  <c r="U20" i="3" s="1"/>
  <c r="W20" i="3"/>
  <c r="X20" i="3" s="1"/>
  <c r="Q20" i="3"/>
  <c r="R20" i="3" s="1"/>
  <c r="T243" i="1" l="1"/>
  <c r="E243" i="1" s="1"/>
  <c r="R251" i="1" s="1"/>
  <c r="T251" i="1" s="1"/>
  <c r="E251" i="1" s="1"/>
  <c r="I179" i="1"/>
  <c r="O250" i="1"/>
  <c r="AJ9" i="9"/>
  <c r="AM60" i="3"/>
  <c r="AM12" i="3" s="1"/>
  <c r="AP57" i="11"/>
  <c r="AM12" i="9"/>
  <c r="AE4" i="9"/>
  <c r="AF57" i="11"/>
  <c r="AC58" i="9"/>
  <c r="AC2" i="9" s="1"/>
  <c r="AK60" i="3"/>
  <c r="AK10" i="3" s="1"/>
  <c r="AN57" i="11"/>
  <c r="AK10" i="9"/>
  <c r="AD58" i="9"/>
  <c r="AD3" i="9" s="1"/>
  <c r="AG57" i="11"/>
  <c r="AD3" i="3"/>
  <c r="T160" i="1"/>
  <c r="E160" i="1" s="1"/>
  <c r="T158" i="1"/>
  <c r="E158" i="1" s="1"/>
  <c r="H32" i="3"/>
  <c r="I32" i="3" s="1"/>
  <c r="Z32" i="3"/>
  <c r="AA32" i="3" s="1"/>
  <c r="T32" i="3"/>
  <c r="Q32" i="3"/>
  <c r="R32" i="3" s="1"/>
  <c r="W32" i="3"/>
  <c r="X32" i="3" s="1"/>
  <c r="L32" i="3"/>
  <c r="T34" i="3"/>
  <c r="U34" i="3" s="1"/>
  <c r="L34" i="3"/>
  <c r="W34" i="3"/>
  <c r="X34" i="3" s="1"/>
  <c r="Z34" i="3"/>
  <c r="AA34" i="3" s="1"/>
  <c r="H34" i="3"/>
  <c r="I34" i="3" s="1"/>
  <c r="Q34" i="3"/>
  <c r="L179" i="1"/>
  <c r="L169" i="1"/>
  <c r="T169" i="1" s="1"/>
  <c r="E169" i="1" s="1"/>
  <c r="O182" i="1" s="1"/>
  <c r="I180" i="1"/>
  <c r="T180" i="1" s="1"/>
  <c r="E180" i="1" s="1"/>
  <c r="I182" i="1" s="1"/>
  <c r="I178" i="1"/>
  <c r="T178" i="1" s="1"/>
  <c r="E178" i="1" s="1"/>
  <c r="L170" i="1"/>
  <c r="T170" i="1" s="1"/>
  <c r="E170" i="1" s="1"/>
  <c r="G44" i="3"/>
  <c r="E44" i="3"/>
  <c r="AF60" i="3"/>
  <c r="AF5" i="3" s="1"/>
  <c r="AI57" i="11"/>
  <c r="AF58" i="9"/>
  <c r="AF5" i="9" s="1"/>
  <c r="AL60" i="3"/>
  <c r="AL11" i="3" s="1"/>
  <c r="AO57" i="11"/>
  <c r="AL58" i="9"/>
  <c r="AL11" i="9" s="1"/>
  <c r="AI60" i="3"/>
  <c r="AI8" i="3" s="1"/>
  <c r="AI58" i="9"/>
  <c r="AI8" i="9" s="1"/>
  <c r="AL57" i="11"/>
  <c r="AG60" i="3"/>
  <c r="AG6" i="3" s="1"/>
  <c r="AJ57" i="11"/>
  <c r="AG58" i="9"/>
  <c r="AG6" i="9" s="1"/>
  <c r="E20" i="9"/>
  <c r="F20" i="10" s="1"/>
  <c r="G20" i="10" s="1"/>
  <c r="I20" i="10" s="1"/>
  <c r="G20" i="9"/>
  <c r="G32" i="9"/>
  <c r="E32" i="9"/>
  <c r="G37" i="9"/>
  <c r="E37" i="9"/>
  <c r="G34" i="9"/>
  <c r="E34" i="9"/>
  <c r="G47" i="9"/>
  <c r="E47" i="9"/>
  <c r="G36" i="9"/>
  <c r="E36" i="9"/>
  <c r="G42" i="9"/>
  <c r="E42" i="9"/>
  <c r="G49" i="3"/>
  <c r="E49" i="3"/>
  <c r="E37" i="3"/>
  <c r="G37" i="3"/>
  <c r="E36" i="3"/>
  <c r="G36" i="3"/>
  <c r="T179" i="1" l="1"/>
  <c r="E179" i="1" s="1"/>
  <c r="D31" i="3"/>
  <c r="F31" i="3"/>
  <c r="U32" i="3"/>
  <c r="K31" i="3" s="1"/>
  <c r="F33" i="3"/>
  <c r="D33" i="3"/>
  <c r="R34" i="3"/>
  <c r="K33" i="3" s="1"/>
  <c r="T182" i="1"/>
  <c r="E182" i="1" s="1"/>
  <c r="L44" i="3"/>
  <c r="H44" i="3"/>
  <c r="I44" i="3" s="1"/>
  <c r="T44" i="3"/>
  <c r="Z44" i="3"/>
  <c r="AA44" i="3" s="1"/>
  <c r="Q44" i="3"/>
  <c r="R44" i="3" s="1"/>
  <c r="W44" i="3"/>
  <c r="X44" i="3" s="1"/>
  <c r="Q42" i="9"/>
  <c r="R42" i="9" s="1"/>
  <c r="L42" i="9"/>
  <c r="Z42" i="9"/>
  <c r="AA42" i="9" s="1"/>
  <c r="H42" i="9"/>
  <c r="I42" i="9" s="1"/>
  <c r="W42" i="9"/>
  <c r="X42" i="9" s="1"/>
  <c r="T42" i="9"/>
  <c r="H37" i="9"/>
  <c r="I37" i="9" s="1"/>
  <c r="W37" i="9"/>
  <c r="X37" i="9" s="1"/>
  <c r="T37" i="9"/>
  <c r="Q37" i="9"/>
  <c r="R37" i="9" s="1"/>
  <c r="L37" i="9"/>
  <c r="Z37" i="9"/>
  <c r="AA37" i="9" s="1"/>
  <c r="Z36" i="9"/>
  <c r="AA36" i="9" s="1"/>
  <c r="H36" i="9"/>
  <c r="I36" i="9" s="1"/>
  <c r="W36" i="9"/>
  <c r="X36" i="9" s="1"/>
  <c r="T36" i="9"/>
  <c r="Q36" i="9"/>
  <c r="L36" i="9"/>
  <c r="Q32" i="9"/>
  <c r="L32" i="9"/>
  <c r="Z32" i="9"/>
  <c r="AA32" i="9" s="1"/>
  <c r="H32" i="9"/>
  <c r="I32" i="9" s="1"/>
  <c r="T32" i="9"/>
  <c r="W32" i="9"/>
  <c r="X32" i="9" s="1"/>
  <c r="T20" i="9"/>
  <c r="U20" i="9" s="1"/>
  <c r="Q20" i="9"/>
  <c r="L20" i="9"/>
  <c r="Z20" i="9"/>
  <c r="AA20" i="9" s="1"/>
  <c r="H20" i="9"/>
  <c r="I20" i="9" s="1"/>
  <c r="W20" i="9"/>
  <c r="X20" i="9" s="1"/>
  <c r="H47" i="9"/>
  <c r="I47" i="9" s="1"/>
  <c r="W47" i="9"/>
  <c r="T47" i="9"/>
  <c r="Q47" i="9"/>
  <c r="L47" i="9"/>
  <c r="Z47" i="9"/>
  <c r="AA47" i="9" s="1"/>
  <c r="L34" i="9"/>
  <c r="W34" i="9"/>
  <c r="X34" i="9" s="1"/>
  <c r="Z34" i="9"/>
  <c r="AA34" i="9" s="1"/>
  <c r="H34" i="9"/>
  <c r="I34" i="9" s="1"/>
  <c r="T34" i="9"/>
  <c r="U34" i="9" s="1"/>
  <c r="Q34" i="9"/>
  <c r="L37" i="3"/>
  <c r="Z37" i="3"/>
  <c r="AA37" i="3" s="1"/>
  <c r="H37" i="3"/>
  <c r="I37" i="3" s="1"/>
  <c r="T37" i="3"/>
  <c r="U37" i="3" s="1"/>
  <c r="W37" i="3"/>
  <c r="X37" i="3" s="1"/>
  <c r="Q37" i="3"/>
  <c r="Z36" i="3"/>
  <c r="AA36" i="3" s="1"/>
  <c r="T36" i="3"/>
  <c r="L36" i="3"/>
  <c r="H36" i="3"/>
  <c r="I36" i="3" s="1"/>
  <c r="Q36" i="3"/>
  <c r="R36" i="3" s="1"/>
  <c r="W36" i="3"/>
  <c r="X36" i="3" s="1"/>
  <c r="H49" i="3"/>
  <c r="I49" i="3" s="1"/>
  <c r="T49" i="3"/>
  <c r="Z49" i="3"/>
  <c r="AA49" i="3" s="1"/>
  <c r="Q49" i="3"/>
  <c r="L49" i="3"/>
  <c r="W49" i="3"/>
  <c r="G31" i="3" l="1"/>
  <c r="E31" i="3"/>
  <c r="G33" i="3"/>
  <c r="E33" i="3"/>
  <c r="U44" i="3"/>
  <c r="K17" i="3" s="1"/>
  <c r="D17" i="3"/>
  <c r="F17" i="3"/>
  <c r="U36" i="9"/>
  <c r="K29" i="9" s="1"/>
  <c r="D29" i="9"/>
  <c r="F29" i="9"/>
  <c r="U37" i="9"/>
  <c r="R20" i="9"/>
  <c r="R34" i="9"/>
  <c r="K33" i="9" s="1"/>
  <c r="D33" i="9"/>
  <c r="F33" i="9"/>
  <c r="U32" i="9"/>
  <c r="K31" i="9" s="1"/>
  <c r="D31" i="9"/>
  <c r="F31" i="9"/>
  <c r="U42" i="9"/>
  <c r="K17" i="9" s="1"/>
  <c r="F17" i="9"/>
  <c r="D17" i="9"/>
  <c r="X47" i="9"/>
  <c r="K46" i="9" s="1"/>
  <c r="D46" i="9"/>
  <c r="F46" i="9"/>
  <c r="U47" i="9"/>
  <c r="K62" i="9" s="1"/>
  <c r="F62" i="9"/>
  <c r="D62" i="9"/>
  <c r="R32" i="9"/>
  <c r="K30" i="9" s="1"/>
  <c r="F30" i="9"/>
  <c r="D30" i="9"/>
  <c r="R47" i="9"/>
  <c r="K16" i="9" s="1"/>
  <c r="D16" i="9"/>
  <c r="F16" i="9"/>
  <c r="R36" i="9"/>
  <c r="F64" i="3"/>
  <c r="U49" i="3"/>
  <c r="K64" i="3" s="1"/>
  <c r="D64" i="3"/>
  <c r="F29" i="3"/>
  <c r="D29" i="3"/>
  <c r="U36" i="3"/>
  <c r="K29" i="3" s="1"/>
  <c r="R37" i="3"/>
  <c r="K30" i="3" s="1"/>
  <c r="D30" i="3"/>
  <c r="F30" i="3"/>
  <c r="F16" i="3"/>
  <c r="R49" i="3"/>
  <c r="K16" i="3" s="1"/>
  <c r="D16" i="3"/>
  <c r="X49" i="3"/>
  <c r="K48" i="3" s="1"/>
  <c r="F48" i="3"/>
  <c r="D48" i="3"/>
  <c r="H31" i="3" l="1"/>
  <c r="I31" i="3" s="1"/>
  <c r="T31" i="3"/>
  <c r="U31" i="3" s="1"/>
  <c r="Z31" i="3"/>
  <c r="AA31" i="3" s="1"/>
  <c r="W31" i="3"/>
  <c r="X31" i="3" s="1"/>
  <c r="L31" i="3"/>
  <c r="Q31" i="3"/>
  <c r="Q33" i="3"/>
  <c r="T33" i="3"/>
  <c r="L33" i="3"/>
  <c r="H33" i="3"/>
  <c r="I33" i="3" s="1"/>
  <c r="W33" i="3"/>
  <c r="X33" i="3" s="1"/>
  <c r="Z33" i="3"/>
  <c r="AA33" i="3" s="1"/>
  <c r="E17" i="3"/>
  <c r="G17" i="3"/>
  <c r="E31" i="9"/>
  <c r="G31" i="9"/>
  <c r="G16" i="9"/>
  <c r="E16" i="9"/>
  <c r="E30" i="9"/>
  <c r="G30" i="9"/>
  <c r="G33" i="9"/>
  <c r="E33" i="9"/>
  <c r="G46" i="9"/>
  <c r="E46" i="9"/>
  <c r="G62" i="9"/>
  <c r="E62" i="9"/>
  <c r="G17" i="9"/>
  <c r="E17" i="9"/>
  <c r="G29" i="9"/>
  <c r="E29" i="9"/>
  <c r="G48" i="3"/>
  <c r="E48" i="3"/>
  <c r="G16" i="3"/>
  <c r="E16" i="3"/>
  <c r="E30" i="3"/>
  <c r="G30" i="3"/>
  <c r="E29" i="3"/>
  <c r="G29" i="3"/>
  <c r="G64" i="3"/>
  <c r="E64" i="3"/>
  <c r="D4" i="3" l="1"/>
  <c r="R31" i="3"/>
  <c r="K4" i="3" s="1"/>
  <c r="F4" i="3"/>
  <c r="D19" i="3"/>
  <c r="U33" i="3"/>
  <c r="K19" i="3" s="1"/>
  <c r="F19" i="3"/>
  <c r="F25" i="3"/>
  <c r="D25" i="3"/>
  <c r="R33" i="3"/>
  <c r="K25" i="3" s="1"/>
  <c r="Z17" i="3"/>
  <c r="AA17" i="3" s="1"/>
  <c r="L17" i="3"/>
  <c r="Q17" i="3"/>
  <c r="R17" i="3" s="1"/>
  <c r="H17" i="3"/>
  <c r="I17" i="3" s="1"/>
  <c r="T17" i="3"/>
  <c r="U17" i="3" s="1"/>
  <c r="W17" i="3"/>
  <c r="X17" i="3" s="1"/>
  <c r="W30" i="9"/>
  <c r="X30" i="9" s="1"/>
  <c r="T30" i="9"/>
  <c r="U30" i="9" s="1"/>
  <c r="Q30" i="9"/>
  <c r="R30" i="9" s="1"/>
  <c r="L30" i="9"/>
  <c r="Z30" i="9"/>
  <c r="AA30" i="9" s="1"/>
  <c r="H30" i="9"/>
  <c r="I30" i="9" s="1"/>
  <c r="Z17" i="9"/>
  <c r="AA17" i="9" s="1"/>
  <c r="H17" i="9"/>
  <c r="I17" i="9" s="1"/>
  <c r="W17" i="9"/>
  <c r="X17" i="9" s="1"/>
  <c r="T17" i="9"/>
  <c r="U17" i="9" s="1"/>
  <c r="Q17" i="9"/>
  <c r="R17" i="9" s="1"/>
  <c r="L17" i="9"/>
  <c r="Z46" i="9"/>
  <c r="AA46" i="9" s="1"/>
  <c r="H46" i="9"/>
  <c r="I46" i="9" s="1"/>
  <c r="W46" i="9"/>
  <c r="X46" i="9" s="1"/>
  <c r="T46" i="9"/>
  <c r="Q46" i="9"/>
  <c r="L46" i="9"/>
  <c r="Q33" i="9"/>
  <c r="L33" i="9"/>
  <c r="H33" i="9"/>
  <c r="I33" i="9" s="1"/>
  <c r="Z33" i="9"/>
  <c r="AA33" i="9" s="1"/>
  <c r="W33" i="9"/>
  <c r="X33" i="9" s="1"/>
  <c r="T33" i="9"/>
  <c r="H62" i="9"/>
  <c r="I62" i="9" s="1"/>
  <c r="Z62" i="9"/>
  <c r="AA62" i="9" s="1"/>
  <c r="W62" i="9"/>
  <c r="X62" i="9" s="1"/>
  <c r="T62" i="9"/>
  <c r="U62" i="9" s="1"/>
  <c r="Q62" i="9"/>
  <c r="L62" i="9"/>
  <c r="L16" i="9"/>
  <c r="H16" i="9"/>
  <c r="I16" i="9" s="1"/>
  <c r="Z16" i="9"/>
  <c r="AA16" i="9" s="1"/>
  <c r="Q16" i="9"/>
  <c r="W16" i="9"/>
  <c r="X16" i="9" s="1"/>
  <c r="T16" i="9"/>
  <c r="U16" i="9" s="1"/>
  <c r="L31" i="9"/>
  <c r="T31" i="9"/>
  <c r="U31" i="9" s="1"/>
  <c r="Q31" i="9"/>
  <c r="H31" i="9"/>
  <c r="I31" i="9" s="1"/>
  <c r="Z31" i="9"/>
  <c r="AA31" i="9" s="1"/>
  <c r="W31" i="9"/>
  <c r="X31" i="9" s="1"/>
  <c r="H29" i="9"/>
  <c r="I29" i="9" s="1"/>
  <c r="W29" i="9"/>
  <c r="X29" i="9" s="1"/>
  <c r="Q29" i="9"/>
  <c r="L29" i="9"/>
  <c r="Z29" i="9"/>
  <c r="AA29" i="9" s="1"/>
  <c r="T29" i="9"/>
  <c r="U29" i="9" s="1"/>
  <c r="Q64" i="3"/>
  <c r="T64" i="3"/>
  <c r="U64" i="3" s="1"/>
  <c r="H64" i="3"/>
  <c r="I64" i="3" s="1"/>
  <c r="W64" i="3"/>
  <c r="X64" i="3" s="1"/>
  <c r="Z64" i="3"/>
  <c r="AA64" i="3" s="1"/>
  <c r="L64" i="3"/>
  <c r="Q30" i="3"/>
  <c r="R30" i="3" s="1"/>
  <c r="H30" i="3"/>
  <c r="I30" i="3" s="1"/>
  <c r="W30" i="3"/>
  <c r="X30" i="3" s="1"/>
  <c r="L30" i="3"/>
  <c r="T30" i="3"/>
  <c r="U30" i="3" s="1"/>
  <c r="Z30" i="3"/>
  <c r="AA30" i="3" s="1"/>
  <c r="W29" i="3"/>
  <c r="X29" i="3" s="1"/>
  <c r="T29" i="3"/>
  <c r="U29" i="3" s="1"/>
  <c r="Z29" i="3"/>
  <c r="AA29" i="3" s="1"/>
  <c r="Q29" i="3"/>
  <c r="H29" i="3"/>
  <c r="I29" i="3" s="1"/>
  <c r="L29" i="3"/>
  <c r="H16" i="3"/>
  <c r="I16" i="3" s="1"/>
  <c r="W16" i="3"/>
  <c r="X16" i="3" s="1"/>
  <c r="T16" i="3"/>
  <c r="U16" i="3" s="1"/>
  <c r="Q16" i="3"/>
  <c r="Z16" i="3"/>
  <c r="AA16" i="3" s="1"/>
  <c r="L16" i="3"/>
  <c r="W48" i="3"/>
  <c r="X48" i="3" s="1"/>
  <c r="Q48" i="3"/>
  <c r="T48" i="3"/>
  <c r="L48" i="3"/>
  <c r="H48" i="3"/>
  <c r="I48" i="3" s="1"/>
  <c r="Z48" i="3"/>
  <c r="AA48" i="3" s="1"/>
  <c r="E4" i="3" l="1"/>
  <c r="G4" i="3"/>
  <c r="L4" i="3" s="1"/>
  <c r="G25" i="3"/>
  <c r="E25" i="3"/>
  <c r="G19" i="3"/>
  <c r="E19" i="3"/>
  <c r="U46" i="9"/>
  <c r="K18" i="9" s="1"/>
  <c r="D18" i="9"/>
  <c r="F18" i="9"/>
  <c r="R62" i="9"/>
  <c r="D12" i="9"/>
  <c r="F12" i="9"/>
  <c r="U33" i="9"/>
  <c r="K19" i="9" s="1"/>
  <c r="F19" i="9"/>
  <c r="D19" i="9"/>
  <c r="R29" i="9"/>
  <c r="K28" i="9" s="1"/>
  <c r="D28" i="9"/>
  <c r="F28" i="9"/>
  <c r="R31" i="9"/>
  <c r="K4" i="9" s="1"/>
  <c r="D4" i="9"/>
  <c r="F4" i="9"/>
  <c r="R33" i="9"/>
  <c r="K25" i="9" s="1"/>
  <c r="D25" i="9"/>
  <c r="F25" i="9"/>
  <c r="R16" i="9"/>
  <c r="K7" i="9" s="1"/>
  <c r="F7" i="9"/>
  <c r="D7" i="9"/>
  <c r="R46" i="9"/>
  <c r="K41" i="9" s="1"/>
  <c r="F41" i="9"/>
  <c r="D41" i="9"/>
  <c r="R48" i="3"/>
  <c r="K41" i="3" s="1"/>
  <c r="D41" i="3"/>
  <c r="F41" i="3"/>
  <c r="R16" i="3"/>
  <c r="K7" i="3" s="1"/>
  <c r="D7" i="3"/>
  <c r="F7" i="3"/>
  <c r="D28" i="3"/>
  <c r="R29" i="3"/>
  <c r="K28" i="3" s="1"/>
  <c r="F28" i="3"/>
  <c r="F18" i="3"/>
  <c r="U48" i="3"/>
  <c r="K18" i="3" s="1"/>
  <c r="D18" i="3"/>
  <c r="F12" i="3"/>
  <c r="R64" i="3"/>
  <c r="D12" i="3"/>
  <c r="T19" i="3" l="1"/>
  <c r="U19" i="3" s="1"/>
  <c r="Q19" i="3"/>
  <c r="R19" i="3" s="1"/>
  <c r="L19" i="3"/>
  <c r="H19" i="3"/>
  <c r="I19" i="3" s="1"/>
  <c r="Z19" i="3"/>
  <c r="AA19" i="3" s="1"/>
  <c r="W19" i="3"/>
  <c r="X19" i="3" s="1"/>
  <c r="Z25" i="3"/>
  <c r="AA25" i="3" s="1"/>
  <c r="Q25" i="3"/>
  <c r="R25" i="3" s="1"/>
  <c r="T25" i="3"/>
  <c r="U25" i="3" s="1"/>
  <c r="W25" i="3"/>
  <c r="X25" i="3" s="1"/>
  <c r="L25" i="3"/>
  <c r="H25" i="3"/>
  <c r="I25" i="3" s="1"/>
  <c r="G28" i="9"/>
  <c r="E28" i="9"/>
  <c r="E41" i="9"/>
  <c r="G41" i="9"/>
  <c r="G4" i="9"/>
  <c r="L4" i="9" s="1"/>
  <c r="E4" i="9"/>
  <c r="E19" i="9"/>
  <c r="F19" i="10" s="1"/>
  <c r="G19" i="10" s="1"/>
  <c r="I19" i="10" s="1"/>
  <c r="G19" i="9"/>
  <c r="E12" i="9"/>
  <c r="G12" i="9"/>
  <c r="L12" i="9" s="1"/>
  <c r="E7" i="9"/>
  <c r="G7" i="9"/>
  <c r="L7" i="9" s="1"/>
  <c r="G25" i="9"/>
  <c r="E25" i="9"/>
  <c r="G18" i="9"/>
  <c r="E18" i="9"/>
  <c r="E12" i="3"/>
  <c r="G12" i="3"/>
  <c r="L12" i="3" s="1"/>
  <c r="G18" i="3"/>
  <c r="E18" i="3"/>
  <c r="E7" i="3"/>
  <c r="G7" i="3"/>
  <c r="L7" i="3" s="1"/>
  <c r="G28" i="3"/>
  <c r="E28" i="3"/>
  <c r="G41" i="3"/>
  <c r="E41" i="3"/>
  <c r="Q25" i="9" l="1"/>
  <c r="H25" i="9"/>
  <c r="I25" i="9" s="1"/>
  <c r="L25" i="9"/>
  <c r="Z25" i="9"/>
  <c r="AA25" i="9" s="1"/>
  <c r="W25" i="9"/>
  <c r="X25" i="9" s="1"/>
  <c r="T25" i="9"/>
  <c r="U25" i="9" s="1"/>
  <c r="W19" i="9"/>
  <c r="X19" i="9" s="1"/>
  <c r="T19" i="9"/>
  <c r="U19" i="9" s="1"/>
  <c r="Q19" i="9"/>
  <c r="R19" i="9" s="1"/>
  <c r="L19" i="9"/>
  <c r="Z19" i="9"/>
  <c r="AA19" i="9" s="1"/>
  <c r="H19" i="9"/>
  <c r="I19" i="9" s="1"/>
  <c r="T41" i="9"/>
  <c r="U41" i="9" s="1"/>
  <c r="L41" i="9"/>
  <c r="Q41" i="9"/>
  <c r="Z41" i="9"/>
  <c r="AA41" i="9" s="1"/>
  <c r="H41" i="9"/>
  <c r="I41" i="9" s="1"/>
  <c r="W41" i="9"/>
  <c r="X41" i="9" s="1"/>
  <c r="H18" i="9"/>
  <c r="I18" i="9" s="1"/>
  <c r="W18" i="9"/>
  <c r="X18" i="9" s="1"/>
  <c r="Q18" i="9"/>
  <c r="L18" i="9"/>
  <c r="T18" i="9"/>
  <c r="U18" i="9" s="1"/>
  <c r="Z18" i="9"/>
  <c r="AA18" i="9" s="1"/>
  <c r="Z28" i="9"/>
  <c r="AA28" i="9" s="1"/>
  <c r="H28" i="9"/>
  <c r="I28" i="9" s="1"/>
  <c r="W28" i="9"/>
  <c r="X28" i="9" s="1"/>
  <c r="T28" i="9"/>
  <c r="U28" i="9" s="1"/>
  <c r="Q28" i="9"/>
  <c r="L28" i="9"/>
  <c r="L41" i="3"/>
  <c r="Z41" i="3"/>
  <c r="AA41" i="3" s="1"/>
  <c r="T41" i="3"/>
  <c r="U41" i="3" s="1"/>
  <c r="H41" i="3"/>
  <c r="I41" i="3" s="1"/>
  <c r="Q41" i="3"/>
  <c r="W41" i="3"/>
  <c r="X41" i="3" s="1"/>
  <c r="Z28" i="3"/>
  <c r="AA28" i="3" s="1"/>
  <c r="H28" i="3"/>
  <c r="I28" i="3" s="1"/>
  <c r="Q28" i="3"/>
  <c r="W28" i="3"/>
  <c r="X28" i="3" s="1"/>
  <c r="T28" i="3"/>
  <c r="U28" i="3" s="1"/>
  <c r="L28" i="3"/>
  <c r="Q18" i="3"/>
  <c r="Z18" i="3"/>
  <c r="AA18" i="3" s="1"/>
  <c r="W18" i="3"/>
  <c r="X18" i="3" s="1"/>
  <c r="T18" i="3"/>
  <c r="U18" i="3" s="1"/>
  <c r="L18" i="3"/>
  <c r="H18" i="3"/>
  <c r="I18" i="3" s="1"/>
  <c r="R41" i="9" l="1"/>
  <c r="K40" i="9" s="1"/>
  <c r="D40" i="9"/>
  <c r="F40" i="9"/>
  <c r="R28" i="9"/>
  <c r="K26" i="9" s="1"/>
  <c r="F26" i="9"/>
  <c r="D26" i="9"/>
  <c r="R18" i="9"/>
  <c r="K14" i="9" s="1"/>
  <c r="D14" i="9"/>
  <c r="F14" i="9"/>
  <c r="R25" i="9"/>
  <c r="F14" i="3"/>
  <c r="R18" i="3"/>
  <c r="K14" i="3" s="1"/>
  <c r="D14" i="3"/>
  <c r="R41" i="3"/>
  <c r="K40" i="3" s="1"/>
  <c r="F40" i="3"/>
  <c r="D40" i="3"/>
  <c r="F26" i="3"/>
  <c r="R28" i="3"/>
  <c r="K26" i="3" s="1"/>
  <c r="D26" i="3"/>
  <c r="G14" i="9" l="1"/>
  <c r="E14" i="9"/>
  <c r="G26" i="9"/>
  <c r="E26" i="9"/>
  <c r="E40" i="9"/>
  <c r="G40" i="9"/>
  <c r="E26" i="3"/>
  <c r="G26" i="3"/>
  <c r="G40" i="3"/>
  <c r="E40" i="3"/>
  <c r="G14" i="3"/>
  <c r="E14" i="3"/>
  <c r="W40" i="9" l="1"/>
  <c r="X40" i="9" s="1"/>
  <c r="T40" i="9"/>
  <c r="U40" i="9" s="1"/>
  <c r="Q40" i="9"/>
  <c r="L40" i="9"/>
  <c r="Z40" i="9"/>
  <c r="AA40" i="9" s="1"/>
  <c r="H40" i="9"/>
  <c r="I40" i="9" s="1"/>
  <c r="W26" i="9"/>
  <c r="X26" i="9" s="1"/>
  <c r="L26" i="9"/>
  <c r="Z26" i="9"/>
  <c r="AA26" i="9" s="1"/>
  <c r="H26" i="9"/>
  <c r="I26" i="9" s="1"/>
  <c r="T26" i="9"/>
  <c r="Q26" i="9"/>
  <c r="W14" i="9"/>
  <c r="X14" i="9" s="1"/>
  <c r="L14" i="9"/>
  <c r="Z14" i="9"/>
  <c r="AA14" i="9" s="1"/>
  <c r="H14" i="9"/>
  <c r="I14" i="9" s="1"/>
  <c r="T14" i="9"/>
  <c r="U14" i="9" s="1"/>
  <c r="Q14" i="9"/>
  <c r="T40" i="3"/>
  <c r="U40" i="3" s="1"/>
  <c r="Q40" i="3"/>
  <c r="L40" i="3"/>
  <c r="W40" i="3"/>
  <c r="X40" i="3" s="1"/>
  <c r="H40" i="3"/>
  <c r="I40" i="3" s="1"/>
  <c r="Z40" i="3"/>
  <c r="AA40" i="3" s="1"/>
  <c r="L26" i="3"/>
  <c r="H26" i="3"/>
  <c r="I26" i="3" s="1"/>
  <c r="T26" i="3"/>
  <c r="Z26" i="3"/>
  <c r="AA26" i="3" s="1"/>
  <c r="Q26" i="3"/>
  <c r="W26" i="3"/>
  <c r="X26" i="3" s="1"/>
  <c r="W14" i="3"/>
  <c r="X14" i="3" s="1"/>
  <c r="T14" i="3"/>
  <c r="U14" i="3" s="1"/>
  <c r="Q14" i="3"/>
  <c r="Z14" i="3"/>
  <c r="AA14" i="3" s="1"/>
  <c r="H14" i="3"/>
  <c r="I14" i="3" s="1"/>
  <c r="L14" i="3"/>
  <c r="R14" i="9" l="1"/>
  <c r="K6" i="9" s="1"/>
  <c r="D6" i="9"/>
  <c r="F6" i="9"/>
  <c r="R26" i="9"/>
  <c r="K23" i="9" s="1"/>
  <c r="F23" i="9"/>
  <c r="D23" i="9"/>
  <c r="U26" i="9"/>
  <c r="K5" i="9" s="1"/>
  <c r="F5" i="9"/>
  <c r="D5" i="9"/>
  <c r="R40" i="9"/>
  <c r="K3" i="9" s="1"/>
  <c r="D3" i="9"/>
  <c r="F3" i="9"/>
  <c r="D6" i="3"/>
  <c r="R14" i="3"/>
  <c r="K6" i="3" s="1"/>
  <c r="F6" i="3"/>
  <c r="U26" i="3"/>
  <c r="K5" i="3" s="1"/>
  <c r="F5" i="3"/>
  <c r="D5" i="3"/>
  <c r="R26" i="3"/>
  <c r="K23" i="3" s="1"/>
  <c r="F23" i="3"/>
  <c r="D23" i="3"/>
  <c r="F3" i="3"/>
  <c r="D3" i="3"/>
  <c r="R40" i="3"/>
  <c r="K3" i="3" s="1"/>
  <c r="G3" i="9" l="1"/>
  <c r="L3" i="9" s="1"/>
  <c r="E3" i="9"/>
  <c r="E5" i="9"/>
  <c r="G5" i="9"/>
  <c r="L5" i="9" s="1"/>
  <c r="G23" i="9"/>
  <c r="E23" i="9"/>
  <c r="E6" i="9"/>
  <c r="G6" i="9"/>
  <c r="L6" i="9" s="1"/>
  <c r="G3" i="3"/>
  <c r="L3" i="3" s="1"/>
  <c r="E3" i="3"/>
  <c r="E23" i="3"/>
  <c r="G23" i="3"/>
  <c r="G5" i="3"/>
  <c r="L5" i="3" s="1"/>
  <c r="E5" i="3"/>
  <c r="E6" i="3"/>
  <c r="G6" i="3"/>
  <c r="L6" i="3" s="1"/>
  <c r="T23" i="9" l="1"/>
  <c r="U23" i="9" s="1"/>
  <c r="Q23" i="9"/>
  <c r="L23" i="9"/>
  <c r="Z23" i="9"/>
  <c r="AA23" i="9" s="1"/>
  <c r="W23" i="9"/>
  <c r="X23" i="9" s="1"/>
  <c r="H23" i="9"/>
  <c r="I23" i="9" s="1"/>
  <c r="H23" i="3"/>
  <c r="I23" i="3" s="1"/>
  <c r="T23" i="3"/>
  <c r="U23" i="3" s="1"/>
  <c r="W23" i="3"/>
  <c r="X23" i="3" s="1"/>
  <c r="Q23" i="3"/>
  <c r="Z23" i="3"/>
  <c r="AA23" i="3" s="1"/>
  <c r="L23" i="3"/>
  <c r="R23" i="9" l="1"/>
  <c r="K2" i="9" s="1"/>
  <c r="F2" i="9"/>
  <c r="D2" i="9"/>
  <c r="D2" i="3"/>
  <c r="F2" i="3"/>
  <c r="R23" i="3"/>
  <c r="K2" i="3" s="1"/>
  <c r="G2" i="9" l="1"/>
  <c r="L2" i="9" s="1"/>
  <c r="L74" i="9" s="1"/>
  <c r="L76" i="9" s="1"/>
  <c r="E2" i="9"/>
  <c r="E2" i="3"/>
  <c r="G2" i="3"/>
  <c r="L2" i="3" s="1"/>
  <c r="L76" i="3" s="1"/>
  <c r="L78" i="3" s="1"/>
  <c r="I250" i="1" l="1"/>
  <c r="T250" i="1" s="1"/>
  <c r="E250" i="1" s="1"/>
  <c r="R263" i="1" l="1"/>
  <c r="W263" i="1" s="1"/>
  <c r="X263" i="1" s="1"/>
  <c r="I263" i="1"/>
  <c r="N263" i="1" s="1"/>
  <c r="AG64" i="11"/>
  <c r="AL64" i="11"/>
  <c r="AO64" i="11"/>
  <c r="AJ64" i="11"/>
  <c r="AP64" i="11"/>
  <c r="AI64" i="11"/>
  <c r="AF64" i="11"/>
  <c r="AN64" i="11"/>
  <c r="AH64" i="11"/>
  <c r="AM64" i="11"/>
  <c r="AK64" i="11"/>
  <c r="S64" i="11"/>
  <c r="J64" i="11"/>
  <c r="M64" i="11"/>
  <c r="N64" i="11" s="1"/>
  <c r="O64" i="11"/>
  <c r="AL65" i="11"/>
  <c r="AL8" i="11" s="1"/>
  <c r="AG65" i="11"/>
  <c r="AG3" i="11" s="1"/>
  <c r="AO65" i="11"/>
  <c r="AH65" i="11"/>
  <c r="AJ65" i="11"/>
  <c r="AK65" i="11"/>
  <c r="AP65" i="11"/>
  <c r="AP12" i="11" s="1"/>
  <c r="AM65" i="11"/>
  <c r="AF65" i="11"/>
  <c r="AI65" i="11"/>
  <c r="AI5" i="11" s="1"/>
  <c r="S65" i="11"/>
  <c r="AN65" i="11"/>
  <c r="J65" i="11"/>
  <c r="M65" i="11"/>
  <c r="N65" i="11" s="1"/>
  <c r="O65" i="11"/>
  <c r="AN10" i="11" l="1"/>
  <c r="AF2" i="11"/>
  <c r="AO11" i="11"/>
  <c r="P64" i="11"/>
  <c r="AM9" i="11"/>
  <c r="AJ6" i="11"/>
  <c r="P65" i="11"/>
  <c r="AK7" i="11"/>
  <c r="AH4" i="11"/>
  <c r="D10" i="11"/>
  <c r="E10" i="11" s="1"/>
  <c r="H10" i="11" s="1"/>
  <c r="D54" i="11"/>
  <c r="E54" i="11" s="1"/>
  <c r="H54" i="11" s="1"/>
  <c r="W54" i="11" s="1"/>
  <c r="X54" i="11" s="1"/>
  <c r="D8" i="11"/>
  <c r="E8" i="11" s="1"/>
  <c r="H8" i="11" s="1"/>
  <c r="D27" i="11"/>
  <c r="E27" i="11" s="1"/>
  <c r="H27" i="11" s="1"/>
  <c r="D58" i="11"/>
  <c r="E58" i="11" s="1"/>
  <c r="H58" i="11" s="1"/>
  <c r="D43" i="11"/>
  <c r="E43" i="11" s="1"/>
  <c r="H43" i="11" s="1"/>
  <c r="D60" i="11"/>
  <c r="E60" i="11" s="1"/>
  <c r="H60" i="11" s="1"/>
  <c r="D11" i="11"/>
  <c r="E11" i="11" s="1"/>
  <c r="H11" i="11" s="1"/>
  <c r="D9" i="11"/>
  <c r="E9" i="11" s="1"/>
  <c r="H9" i="11" s="1"/>
  <c r="D57" i="11"/>
  <c r="E57" i="11" s="1"/>
  <c r="H57" i="11" s="1"/>
  <c r="K10" i="11"/>
  <c r="K60" i="11"/>
  <c r="K9" i="11"/>
  <c r="K54" i="11"/>
  <c r="F9" i="11"/>
  <c r="K43" i="11"/>
  <c r="K8" i="11"/>
  <c r="K69" i="11"/>
  <c r="K57" i="11"/>
  <c r="K27" i="11"/>
  <c r="F58" i="11"/>
  <c r="F43" i="11"/>
  <c r="K11" i="11"/>
  <c r="K58" i="11"/>
  <c r="F60" i="11"/>
  <c r="F69" i="11"/>
  <c r="F8" i="11"/>
  <c r="F57" i="11"/>
  <c r="F27" i="11"/>
  <c r="F11" i="11"/>
  <c r="F10" i="11"/>
  <c r="F54" i="11"/>
  <c r="D69" i="11"/>
  <c r="E69" i="11" s="1"/>
  <c r="H69" i="11" s="1"/>
  <c r="G58" i="11" l="1"/>
  <c r="L58" i="11"/>
  <c r="W58" i="11"/>
  <c r="X58" i="11" s="1"/>
  <c r="AC58" i="11"/>
  <c r="T58" i="11"/>
  <c r="U58" i="11" s="1"/>
  <c r="K55" i="11" s="1"/>
  <c r="G69" i="11"/>
  <c r="T69" i="11"/>
  <c r="F67" i="11" s="1"/>
  <c r="W69" i="11"/>
  <c r="X69" i="11" s="1"/>
  <c r="Z57" i="11"/>
  <c r="L57" i="11"/>
  <c r="I57" i="11"/>
  <c r="G57" i="11"/>
  <c r="T57" i="11"/>
  <c r="AC57" i="11"/>
  <c r="AD57" i="11" s="1"/>
  <c r="W57" i="11"/>
  <c r="X57" i="11" s="1"/>
  <c r="L8" i="11"/>
  <c r="I8" i="11"/>
  <c r="G8" i="11"/>
  <c r="I10" i="11"/>
  <c r="L10" i="11"/>
  <c r="G10" i="11"/>
  <c r="G9" i="11"/>
  <c r="I9" i="11"/>
  <c r="L9" i="11"/>
  <c r="I11" i="11"/>
  <c r="G11" i="11"/>
  <c r="L11" i="11"/>
  <c r="AC60" i="11"/>
  <c r="AD60" i="11" s="1"/>
  <c r="G60" i="11"/>
  <c r="I60" i="11"/>
  <c r="T60" i="11"/>
  <c r="W60" i="11"/>
  <c r="X60" i="11" s="1"/>
  <c r="L60" i="11"/>
  <c r="Z60" i="11"/>
  <c r="AA60" i="11" s="1"/>
  <c r="Z43" i="11"/>
  <c r="AA43" i="11" s="1"/>
  <c r="I43" i="11"/>
  <c r="T43" i="11"/>
  <c r="L43" i="11"/>
  <c r="AC43" i="11"/>
  <c r="AD43" i="11" s="1"/>
  <c r="W43" i="11"/>
  <c r="X43" i="11" s="1"/>
  <c r="G43" i="11"/>
  <c r="T27" i="11"/>
  <c r="I27" i="11"/>
  <c r="Z27" i="11"/>
  <c r="AA27" i="11" s="1"/>
  <c r="AC27" i="11"/>
  <c r="AD27" i="11" s="1"/>
  <c r="G27" i="11"/>
  <c r="L27" i="11"/>
  <c r="W27" i="11"/>
  <c r="X27" i="11" s="1"/>
  <c r="I54" i="11"/>
  <c r="I58" i="11"/>
  <c r="I69" i="11"/>
  <c r="AC69" i="11"/>
  <c r="AD69" i="11" s="1"/>
  <c r="T54" i="11"/>
  <c r="U54" i="11" s="1"/>
  <c r="L69" i="11"/>
  <c r="L54" i="11"/>
  <c r="Z69" i="11"/>
  <c r="AA69" i="11" s="1"/>
  <c r="G54" i="11"/>
  <c r="AC54" i="11"/>
  <c r="AD54" i="11" s="1"/>
  <c r="Z58" i="11"/>
  <c r="Z54" i="11"/>
  <c r="AA54" i="11" s="1"/>
  <c r="F55" i="11" l="1"/>
  <c r="D55" i="11"/>
  <c r="E55" i="11" s="1"/>
  <c r="H55" i="11" s="1"/>
  <c r="L55" i="11" s="1"/>
  <c r="U69" i="11"/>
  <c r="K67" i="11" s="1"/>
  <c r="D67" i="11"/>
  <c r="E67" i="11" s="1"/>
  <c r="H67" i="11" s="1"/>
  <c r="D44" i="11"/>
  <c r="E44" i="11" s="1"/>
  <c r="H44" i="11" s="1"/>
  <c r="AD58" i="11"/>
  <c r="K44" i="11" s="1"/>
  <c r="F44" i="11"/>
  <c r="U27" i="11"/>
  <c r="U60" i="11"/>
  <c r="F48" i="11"/>
  <c r="U57" i="11"/>
  <c r="K48" i="11" s="1"/>
  <c r="D48" i="11"/>
  <c r="E48" i="11" s="1"/>
  <c r="H48" i="11" s="1"/>
  <c r="U43" i="11"/>
  <c r="AA58" i="11"/>
  <c r="K35" i="11" s="1"/>
  <c r="F35" i="11"/>
  <c r="D35" i="11"/>
  <c r="E35" i="11" s="1"/>
  <c r="H35" i="11" s="1"/>
  <c r="AA57" i="11"/>
  <c r="K53" i="11" s="1"/>
  <c r="F53" i="11"/>
  <c r="D53" i="11"/>
  <c r="E53" i="11" s="1"/>
  <c r="H53" i="11" s="1"/>
  <c r="Z55" i="11" l="1"/>
  <c r="AA55" i="11" s="1"/>
  <c r="W55" i="11"/>
  <c r="X55" i="11" s="1"/>
  <c r="K20" i="11" s="1"/>
  <c r="T55" i="11"/>
  <c r="U55" i="11" s="1"/>
  <c r="AC55" i="11"/>
  <c r="AD55" i="11" s="1"/>
  <c r="G55" i="11"/>
  <c r="I55" i="11"/>
  <c r="AC44" i="11"/>
  <c r="AD44" i="11" s="1"/>
  <c r="W44" i="11"/>
  <c r="X44" i="11" s="1"/>
  <c r="G44" i="11"/>
  <c r="L44" i="11"/>
  <c r="T44" i="11"/>
  <c r="Z44" i="11"/>
  <c r="AA44" i="11" s="1"/>
  <c r="I44" i="11"/>
  <c r="W67" i="11"/>
  <c r="X67" i="11" s="1"/>
  <c r="Z67" i="11"/>
  <c r="AA67" i="11" s="1"/>
  <c r="I67" i="11"/>
  <c r="AC67" i="11"/>
  <c r="G67" i="11"/>
  <c r="L67" i="11"/>
  <c r="T67" i="11"/>
  <c r="W48" i="11"/>
  <c r="X48" i="11" s="1"/>
  <c r="G48" i="11"/>
  <c r="L48" i="11"/>
  <c r="I48" i="11"/>
  <c r="Z48" i="11"/>
  <c r="T48" i="11"/>
  <c r="AC48" i="11"/>
  <c r="AD48" i="11" s="1"/>
  <c r="F20" i="11"/>
  <c r="W53" i="11"/>
  <c r="X53" i="11" s="1"/>
  <c r="Z53" i="11"/>
  <c r="AA53" i="11" s="1"/>
  <c r="T53" i="11"/>
  <c r="U53" i="11" s="1"/>
  <c r="I53" i="11"/>
  <c r="AC53" i="11"/>
  <c r="AD53" i="11" s="1"/>
  <c r="L53" i="11"/>
  <c r="G53" i="11"/>
  <c r="Z35" i="11"/>
  <c r="AA35" i="11" s="1"/>
  <c r="T35" i="11"/>
  <c r="AC35" i="11"/>
  <c r="AD35" i="11" s="1"/>
  <c r="I35" i="11"/>
  <c r="G35" i="11"/>
  <c r="W35" i="11"/>
  <c r="L35" i="11"/>
  <c r="D20" i="11" l="1"/>
  <c r="E20" i="11" s="1"/>
  <c r="H20" i="11" s="1"/>
  <c r="W20" i="11" s="1"/>
  <c r="X20" i="11" s="1"/>
  <c r="F37" i="11"/>
  <c r="K37" i="11"/>
  <c r="D37" i="11"/>
  <c r="E37" i="11" s="1"/>
  <c r="H37" i="11" s="1"/>
  <c r="AC37" i="11" s="1"/>
  <c r="AD37" i="11" s="1"/>
  <c r="U67" i="11"/>
  <c r="F66" i="11"/>
  <c r="D66" i="11"/>
  <c r="E66" i="11" s="1"/>
  <c r="F64" i="11"/>
  <c r="AD67" i="11"/>
  <c r="K64" i="11" s="1"/>
  <c r="D64" i="11"/>
  <c r="E64" i="11" s="1"/>
  <c r="H64" i="11" s="1"/>
  <c r="D42" i="11"/>
  <c r="E42" i="11" s="1"/>
  <c r="H42" i="11" s="1"/>
  <c r="U44" i="11"/>
  <c r="K42" i="11" s="1"/>
  <c r="F42" i="11"/>
  <c r="Z20" i="11"/>
  <c r="AA20" i="11" s="1"/>
  <c r="T20" i="11"/>
  <c r="AC20" i="11"/>
  <c r="AD20" i="11" s="1"/>
  <c r="G20" i="11"/>
  <c r="U48" i="11"/>
  <c r="K36" i="11" s="1"/>
  <c r="D36" i="11"/>
  <c r="E36" i="11" s="1"/>
  <c r="H36" i="11" s="1"/>
  <c r="F36" i="11"/>
  <c r="F46" i="11"/>
  <c r="D46" i="11"/>
  <c r="E46" i="11" s="1"/>
  <c r="H46" i="11" s="1"/>
  <c r="AA48" i="11"/>
  <c r="K46" i="11" s="1"/>
  <c r="F34" i="11"/>
  <c r="D34" i="11"/>
  <c r="E34" i="11" s="1"/>
  <c r="H34" i="11" s="1"/>
  <c r="U35" i="11"/>
  <c r="K34" i="11" s="1"/>
  <c r="D32" i="11"/>
  <c r="E32" i="11" s="1"/>
  <c r="H32" i="11" s="1"/>
  <c r="F32" i="11"/>
  <c r="X35" i="11"/>
  <c r="K32" i="11" s="1"/>
  <c r="I20" i="11" l="1"/>
  <c r="L20" i="11"/>
  <c r="G37" i="11"/>
  <c r="T37" i="11"/>
  <c r="U37" i="11" s="1"/>
  <c r="Z37" i="11"/>
  <c r="AA37" i="11" s="1"/>
  <c r="W37" i="11"/>
  <c r="X37" i="11" s="1"/>
  <c r="L37" i="11"/>
  <c r="I37" i="11"/>
  <c r="AC42" i="11"/>
  <c r="AD42" i="11" s="1"/>
  <c r="L42" i="11"/>
  <c r="W42" i="11"/>
  <c r="Z42" i="11"/>
  <c r="AA42" i="11" s="1"/>
  <c r="I42" i="11"/>
  <c r="G42" i="11"/>
  <c r="T42" i="11"/>
  <c r="U42" i="11" s="1"/>
  <c r="W64" i="11"/>
  <c r="X64" i="11" s="1"/>
  <c r="Z64" i="11"/>
  <c r="AA64" i="11" s="1"/>
  <c r="AC64" i="11"/>
  <c r="AD64" i="11" s="1"/>
  <c r="I64" i="11"/>
  <c r="G64" i="11"/>
  <c r="L64" i="11"/>
  <c r="T64" i="11"/>
  <c r="AD74" i="11"/>
  <c r="AE74" i="11" s="1"/>
  <c r="H66" i="11"/>
  <c r="K66" i="11"/>
  <c r="L46" i="11"/>
  <c r="AC46" i="11"/>
  <c r="AD46" i="11" s="1"/>
  <c r="Z46" i="11"/>
  <c r="I46" i="11"/>
  <c r="W46" i="11"/>
  <c r="T46" i="11"/>
  <c r="G46" i="11"/>
  <c r="W36" i="11"/>
  <c r="L36" i="11"/>
  <c r="I36" i="11"/>
  <c r="T36" i="11"/>
  <c r="Z36" i="11"/>
  <c r="AA36" i="11" s="1"/>
  <c r="AC36" i="11"/>
  <c r="AD36" i="11" s="1"/>
  <c r="G36" i="11"/>
  <c r="U20" i="11"/>
  <c r="I32" i="11"/>
  <c r="L32" i="11"/>
  <c r="AC32" i="11"/>
  <c r="AD32" i="11" s="1"/>
  <c r="Z32" i="11"/>
  <c r="AA32" i="11" s="1"/>
  <c r="T32" i="11"/>
  <c r="G32" i="11"/>
  <c r="W32" i="11"/>
  <c r="I34" i="11"/>
  <c r="Z34" i="11"/>
  <c r="AA34" i="11" s="1"/>
  <c r="T34" i="11"/>
  <c r="AC34" i="11"/>
  <c r="AD34" i="11" s="1"/>
  <c r="L34" i="11"/>
  <c r="G34" i="11"/>
  <c r="W34" i="11"/>
  <c r="X34" i="11" s="1"/>
  <c r="D65" i="11" l="1"/>
  <c r="E65" i="11" s="1"/>
  <c r="U64" i="11"/>
  <c r="K65" i="11" s="1"/>
  <c r="F65" i="11"/>
  <c r="T66" i="11"/>
  <c r="U66" i="11" s="1"/>
  <c r="L66" i="11"/>
  <c r="G66" i="11"/>
  <c r="Z66" i="11"/>
  <c r="AA66" i="11" s="1"/>
  <c r="I66" i="11"/>
  <c r="W66" i="11"/>
  <c r="X66" i="11" s="1"/>
  <c r="AC66" i="11"/>
  <c r="AD66" i="11" s="1"/>
  <c r="D17" i="11"/>
  <c r="E17" i="11" s="1"/>
  <c r="H17" i="11" s="1"/>
  <c r="X42" i="11"/>
  <c r="K17" i="11" s="1"/>
  <c r="F17" i="11"/>
  <c r="D30" i="11"/>
  <c r="E30" i="11" s="1"/>
  <c r="H30" i="11" s="1"/>
  <c r="U32" i="11"/>
  <c r="K30" i="11" s="1"/>
  <c r="F30" i="11"/>
  <c r="U36" i="11"/>
  <c r="F29" i="11"/>
  <c r="X36" i="11"/>
  <c r="K29" i="11" s="1"/>
  <c r="D29" i="11"/>
  <c r="E29" i="11" s="1"/>
  <c r="H29" i="11" s="1"/>
  <c r="F33" i="11"/>
  <c r="U34" i="11"/>
  <c r="K33" i="11" s="1"/>
  <c r="D33" i="11"/>
  <c r="E33" i="11" s="1"/>
  <c r="H33" i="11" s="1"/>
  <c r="D31" i="11"/>
  <c r="E31" i="11" s="1"/>
  <c r="H31" i="11" s="1"/>
  <c r="F31" i="11"/>
  <c r="X32" i="11"/>
  <c r="K31" i="11" s="1"/>
  <c r="D16" i="11"/>
  <c r="E16" i="11" s="1"/>
  <c r="H16" i="11" s="1"/>
  <c r="F16" i="11"/>
  <c r="U46" i="11"/>
  <c r="K16" i="11" s="1"/>
  <c r="D61" i="11"/>
  <c r="E61" i="11" s="1"/>
  <c r="H61" i="11" s="1"/>
  <c r="F61" i="11"/>
  <c r="X46" i="11"/>
  <c r="K61" i="11" s="1"/>
  <c r="D45" i="11"/>
  <c r="E45" i="11" s="1"/>
  <c r="H45" i="11" s="1"/>
  <c r="AA46" i="11"/>
  <c r="K45" i="11" s="1"/>
  <c r="F45" i="11"/>
  <c r="W17" i="11" l="1"/>
  <c r="X17" i="11" s="1"/>
  <c r="AC17" i="11"/>
  <c r="AD17" i="11" s="1"/>
  <c r="G17" i="11"/>
  <c r="Z17" i="11"/>
  <c r="AA17" i="11" s="1"/>
  <c r="I17" i="11"/>
  <c r="T17" i="11"/>
  <c r="U17" i="11" s="1"/>
  <c r="L17" i="11"/>
  <c r="AD73" i="11"/>
  <c r="AE73" i="11" s="1"/>
  <c r="AE75" i="11" s="1"/>
  <c r="H65" i="11"/>
  <c r="W61" i="11"/>
  <c r="X61" i="11" s="1"/>
  <c r="I61" i="11"/>
  <c r="T61" i="11"/>
  <c r="AC61" i="11"/>
  <c r="AD61" i="11" s="1"/>
  <c r="G61" i="11"/>
  <c r="Z61" i="11"/>
  <c r="AA61" i="11" s="1"/>
  <c r="L61" i="11"/>
  <c r="T31" i="11"/>
  <c r="G31" i="11"/>
  <c r="W31" i="11"/>
  <c r="X31" i="11" s="1"/>
  <c r="Z31" i="11"/>
  <c r="AA31" i="11" s="1"/>
  <c r="AC31" i="11"/>
  <c r="AD31" i="11" s="1"/>
  <c r="I31" i="11"/>
  <c r="L31" i="11"/>
  <c r="L33" i="11"/>
  <c r="W33" i="11"/>
  <c r="I33" i="11"/>
  <c r="G33" i="11"/>
  <c r="T33" i="11"/>
  <c r="Z33" i="11"/>
  <c r="AA33" i="11" s="1"/>
  <c r="AC33" i="11"/>
  <c r="AD33" i="11" s="1"/>
  <c r="T29" i="11"/>
  <c r="Z29" i="11"/>
  <c r="AA29" i="11" s="1"/>
  <c r="I29" i="11"/>
  <c r="AC29" i="11"/>
  <c r="AD29" i="11" s="1"/>
  <c r="G29" i="11"/>
  <c r="W29" i="11"/>
  <c r="X29" i="11" s="1"/>
  <c r="L29" i="11"/>
  <c r="W45" i="11"/>
  <c r="Z45" i="11"/>
  <c r="AA45" i="11" s="1"/>
  <c r="AC45" i="11"/>
  <c r="AD45" i="11" s="1"/>
  <c r="L45" i="11"/>
  <c r="I45" i="11"/>
  <c r="G45" i="11"/>
  <c r="T45" i="11"/>
  <c r="AC30" i="11"/>
  <c r="AD30" i="11" s="1"/>
  <c r="T30" i="11"/>
  <c r="U30" i="11" s="1"/>
  <c r="L30" i="11"/>
  <c r="G30" i="11"/>
  <c r="I30" i="11"/>
  <c r="Z30" i="11"/>
  <c r="AA30" i="11" s="1"/>
  <c r="W30" i="11"/>
  <c r="X30" i="11" s="1"/>
  <c r="I16" i="11"/>
  <c r="AC16" i="11"/>
  <c r="AD16" i="11" s="1"/>
  <c r="G16" i="11"/>
  <c r="L16" i="11"/>
  <c r="T16" i="11"/>
  <c r="W16" i="11"/>
  <c r="X16" i="11" s="1"/>
  <c r="Z16" i="11"/>
  <c r="AA16" i="11" s="1"/>
  <c r="I65" i="11" l="1"/>
  <c r="W65" i="11"/>
  <c r="X65" i="11" s="1"/>
  <c r="G65" i="11"/>
  <c r="T65" i="11"/>
  <c r="U65" i="11" s="1"/>
  <c r="L65" i="11"/>
  <c r="AC65" i="11"/>
  <c r="AD65" i="11" s="1"/>
  <c r="Z65" i="11"/>
  <c r="AA65" i="11" s="1"/>
  <c r="X33" i="11"/>
  <c r="K19" i="11" s="1"/>
  <c r="F19" i="11"/>
  <c r="D19" i="11"/>
  <c r="E19" i="11" s="1"/>
  <c r="H19" i="11" s="1"/>
  <c r="U45" i="11"/>
  <c r="K41" i="11" s="1"/>
  <c r="D41" i="11"/>
  <c r="E41" i="11" s="1"/>
  <c r="H41" i="11" s="1"/>
  <c r="F41" i="11"/>
  <c r="X45" i="11"/>
  <c r="K18" i="11" s="1"/>
  <c r="D18" i="11"/>
  <c r="E18" i="11" s="1"/>
  <c r="H18" i="11" s="1"/>
  <c r="F18" i="11"/>
  <c r="U31" i="11"/>
  <c r="K4" i="11" s="1"/>
  <c r="D4" i="11"/>
  <c r="E4" i="11" s="1"/>
  <c r="H4" i="11" s="1"/>
  <c r="F4" i="11"/>
  <c r="U16" i="11"/>
  <c r="K7" i="11" s="1"/>
  <c r="F7" i="11"/>
  <c r="D7" i="11"/>
  <c r="E7" i="11" s="1"/>
  <c r="H7" i="11" s="1"/>
  <c r="U61" i="11"/>
  <c r="U29" i="11"/>
  <c r="K28" i="11" s="1"/>
  <c r="D28" i="11"/>
  <c r="E28" i="11" s="1"/>
  <c r="H28" i="11" s="1"/>
  <c r="F28" i="11"/>
  <c r="D25" i="11"/>
  <c r="E25" i="11" s="1"/>
  <c r="H25" i="11" s="1"/>
  <c r="F25" i="11"/>
  <c r="U33" i="11"/>
  <c r="K25" i="11" s="1"/>
  <c r="D12" i="11" l="1"/>
  <c r="E12" i="11" s="1"/>
  <c r="H12" i="11" s="1"/>
  <c r="I12" i="11" s="1"/>
  <c r="F12" i="11"/>
  <c r="K12" i="11"/>
  <c r="I7" i="11"/>
  <c r="G7" i="11"/>
  <c r="L7" i="11"/>
  <c r="Z25" i="11"/>
  <c r="AA25" i="11" s="1"/>
  <c r="I25" i="11"/>
  <c r="L25" i="11"/>
  <c r="G25" i="11"/>
  <c r="T25" i="11"/>
  <c r="AC25" i="11"/>
  <c r="AD25" i="11" s="1"/>
  <c r="W25" i="11"/>
  <c r="X25" i="11" s="1"/>
  <c r="L4" i="11"/>
  <c r="I4" i="11"/>
  <c r="G4" i="11"/>
  <c r="T18" i="11"/>
  <c r="L18" i="11"/>
  <c r="AC18" i="11"/>
  <c r="AD18" i="11" s="1"/>
  <c r="Z18" i="11"/>
  <c r="AA18" i="11" s="1"/>
  <c r="I18" i="11"/>
  <c r="W18" i="11"/>
  <c r="X18" i="11" s="1"/>
  <c r="G18" i="11"/>
  <c r="G41" i="11"/>
  <c r="AC41" i="11"/>
  <c r="AD41" i="11" s="1"/>
  <c r="I41" i="11"/>
  <c r="L41" i="11"/>
  <c r="T41" i="11"/>
  <c r="Z41" i="11"/>
  <c r="AA41" i="11" s="1"/>
  <c r="W41" i="11"/>
  <c r="X41" i="11" s="1"/>
  <c r="L28" i="11"/>
  <c r="Z28" i="11"/>
  <c r="AA28" i="11" s="1"/>
  <c r="T28" i="11"/>
  <c r="G28" i="11"/>
  <c r="I28" i="11"/>
  <c r="W28" i="11"/>
  <c r="X28" i="11" s="1"/>
  <c r="AC28" i="11"/>
  <c r="AD28" i="11" s="1"/>
  <c r="T19" i="11"/>
  <c r="U19" i="11" s="1"/>
  <c r="W19" i="11"/>
  <c r="X19" i="11" s="1"/>
  <c r="L19" i="11"/>
  <c r="Z19" i="11"/>
  <c r="AA19" i="11" s="1"/>
  <c r="I19" i="11"/>
  <c r="AC19" i="11"/>
  <c r="AD19" i="11" s="1"/>
  <c r="G19" i="11"/>
  <c r="G12" i="11" l="1"/>
  <c r="L12" i="11"/>
  <c r="D40" i="11"/>
  <c r="E40" i="11" s="1"/>
  <c r="H40" i="11" s="1"/>
  <c r="F40" i="11"/>
  <c r="U41" i="11"/>
  <c r="K40" i="11" s="1"/>
  <c r="U25" i="11"/>
  <c r="U28" i="11"/>
  <c r="K26" i="11" s="1"/>
  <c r="F26" i="11"/>
  <c r="D26" i="11"/>
  <c r="E26" i="11" s="1"/>
  <c r="H26" i="11" s="1"/>
  <c r="F14" i="11"/>
  <c r="D14" i="11"/>
  <c r="E14" i="11" s="1"/>
  <c r="H14" i="11" s="1"/>
  <c r="U18" i="11"/>
  <c r="K14" i="11" s="1"/>
  <c r="AC26" i="11" l="1"/>
  <c r="AD26" i="11" s="1"/>
  <c r="L26" i="11"/>
  <c r="G26" i="11"/>
  <c r="Z26" i="11"/>
  <c r="AA26" i="11" s="1"/>
  <c r="T26" i="11"/>
  <c r="I26" i="11"/>
  <c r="W26" i="11"/>
  <c r="AC14" i="11"/>
  <c r="AD14" i="11" s="1"/>
  <c r="T14" i="11"/>
  <c r="Z14" i="11"/>
  <c r="AA14" i="11" s="1"/>
  <c r="L14" i="11"/>
  <c r="G14" i="11"/>
  <c r="I14" i="11" s="1"/>
  <c r="W14" i="11"/>
  <c r="X14" i="11" s="1"/>
  <c r="I40" i="11"/>
  <c r="L40" i="11"/>
  <c r="Z40" i="11"/>
  <c r="AA40" i="11" s="1"/>
  <c r="G40" i="11"/>
  <c r="W40" i="11"/>
  <c r="X40" i="11" s="1"/>
  <c r="T40" i="11"/>
  <c r="AC40" i="11"/>
  <c r="AD40" i="11" s="1"/>
  <c r="D3" i="11" l="1"/>
  <c r="E3" i="11" s="1"/>
  <c r="H3" i="11" s="1"/>
  <c r="F3" i="11"/>
  <c r="U40" i="11"/>
  <c r="K3" i="11" s="1"/>
  <c r="U14" i="11"/>
  <c r="K6" i="11" s="1"/>
  <c r="F6" i="11"/>
  <c r="D6" i="11"/>
  <c r="E6" i="11" s="1"/>
  <c r="H6" i="11" s="1"/>
  <c r="D5" i="11"/>
  <c r="E5" i="11" s="1"/>
  <c r="H5" i="11" s="1"/>
  <c r="F5" i="11"/>
  <c r="X26" i="11"/>
  <c r="K5" i="11" s="1"/>
  <c r="U26" i="11"/>
  <c r="K23" i="11" s="1"/>
  <c r="D23" i="11"/>
  <c r="E23" i="11" s="1"/>
  <c r="H23" i="11" s="1"/>
  <c r="F23" i="11"/>
  <c r="T23" i="11" l="1"/>
  <c r="W23" i="11"/>
  <c r="X23" i="11" s="1"/>
  <c r="AC23" i="11"/>
  <c r="AD23" i="11" s="1"/>
  <c r="Z23" i="11"/>
  <c r="AA23" i="11" s="1"/>
  <c r="G23" i="11"/>
  <c r="I23" i="11"/>
  <c r="L23" i="11"/>
  <c r="I5" i="11"/>
  <c r="L5" i="11"/>
  <c r="G5" i="11"/>
  <c r="L6" i="11"/>
  <c r="G6" i="11"/>
  <c r="I6" i="11"/>
  <c r="G3" i="11"/>
  <c r="L3" i="11"/>
  <c r="I3" i="11"/>
  <c r="U23" i="11" l="1"/>
  <c r="K2" i="11" s="1"/>
  <c r="D2" i="11"/>
  <c r="E2" i="11" s="1"/>
  <c r="H2" i="11" s="1"/>
  <c r="F2" i="11"/>
  <c r="I2" i="11" l="1"/>
  <c r="G2" i="11"/>
  <c r="L2" i="11"/>
  <c r="L76" i="11" s="1"/>
  <c r="L78" i="11" s="1"/>
</calcChain>
</file>

<file path=xl/sharedStrings.xml><?xml version="1.0" encoding="utf-8"?>
<sst xmlns="http://schemas.openxmlformats.org/spreadsheetml/2006/main" count="1954" uniqueCount="317">
  <si>
    <t>Miner Mk.2 / Belts Mk.4</t>
  </si>
  <si>
    <t>single</t>
  </si>
  <si>
    <t>max</t>
  </si>
  <si>
    <t>OreType</t>
  </si>
  <si>
    <t>Node
purity</t>
  </si>
  <si>
    <t>MW 100 i/min</t>
  </si>
  <si>
    <t>Number of Nodes</t>
  </si>
  <si>
    <t>-</t>
  </si>
  <si>
    <t>M Output</t>
  </si>
  <si>
    <t>M OC</t>
  </si>
  <si>
    <t>M MW</t>
  </si>
  <si>
    <t>max Out</t>
  </si>
  <si>
    <t>max MW</t>
  </si>
  <si>
    <t>Iron Ore</t>
  </si>
  <si>
    <t>Impure</t>
  </si>
  <si>
    <t>Normal</t>
  </si>
  <si>
    <t>Pure</t>
  </si>
  <si>
    <t>Total</t>
  </si>
  <si>
    <t>Copper Ore</t>
  </si>
  <si>
    <t>Limestone</t>
  </si>
  <si>
    <t>coal</t>
  </si>
  <si>
    <t>caterium ore</t>
  </si>
  <si>
    <t>raw quartz</t>
  </si>
  <si>
    <t xml:space="preserve">sulfur </t>
  </si>
  <si>
    <t>Bauxite</t>
  </si>
  <si>
    <t>Uranium</t>
  </si>
  <si>
    <t>Water</t>
  </si>
  <si>
    <t>nothing</t>
  </si>
  <si>
    <t>Oil Extraktor / Pipes Mk.2</t>
  </si>
  <si>
    <t>Oil</t>
  </si>
  <si>
    <t>Impure node</t>
  </si>
  <si>
    <t>Normal node</t>
  </si>
  <si>
    <t>Pure node</t>
  </si>
  <si>
    <t>Well Pressurizer / Pipes Mk.2 (2Wells * 503,66MW [250%])</t>
  </si>
  <si>
    <t>Impure well</t>
  </si>
  <si>
    <t>normal well</t>
  </si>
  <si>
    <t>Pur well</t>
  </si>
  <si>
    <t>Ressources for 100 items/min</t>
  </si>
  <si>
    <t>input item 1</t>
  </si>
  <si>
    <t>input amount 1</t>
  </si>
  <si>
    <t>input mw Item 1</t>
  </si>
  <si>
    <t>input item 2</t>
  </si>
  <si>
    <t>input amount 2</t>
  </si>
  <si>
    <t>input mw Item 2</t>
  </si>
  <si>
    <t>input item 3</t>
  </si>
  <si>
    <t>input amount 3</t>
  </si>
  <si>
    <t>input mw Item 3</t>
  </si>
  <si>
    <t>input item 4</t>
  </si>
  <si>
    <t>input amount 4</t>
  </si>
  <si>
    <t>input mw Item 4</t>
  </si>
  <si>
    <t>MW in</t>
  </si>
  <si>
    <t>Machine Type</t>
  </si>
  <si>
    <t>MW Machine</t>
  </si>
  <si>
    <t>Out Item</t>
  </si>
  <si>
    <t>Iron Ingot</t>
  </si>
  <si>
    <t>smelter</t>
  </si>
  <si>
    <t>Iron Alloy Ingot</t>
  </si>
  <si>
    <t>foundry</t>
  </si>
  <si>
    <t>Pure Iron Ingot</t>
  </si>
  <si>
    <t>water</t>
  </si>
  <si>
    <t>Refinery</t>
  </si>
  <si>
    <t>Copper Ingot</t>
  </si>
  <si>
    <t>Copper Alloy Ingot</t>
  </si>
  <si>
    <t>Pure Copper Ingot</t>
  </si>
  <si>
    <t>Caterium Ingot</t>
  </si>
  <si>
    <t>Pure Caterium Ingot</t>
  </si>
  <si>
    <t>Concrete</t>
  </si>
  <si>
    <t>constructor</t>
  </si>
  <si>
    <t>Fine Concrete</t>
  </si>
  <si>
    <t>Silicia</t>
  </si>
  <si>
    <t>Assembler</t>
  </si>
  <si>
    <t>Rubber Concrete</t>
  </si>
  <si>
    <t>Rubber</t>
  </si>
  <si>
    <t>Wet Concrete</t>
  </si>
  <si>
    <t>Quartz Crystal</t>
  </si>
  <si>
    <t>Pure Quartz Crystal</t>
  </si>
  <si>
    <t>Alumina Solution</t>
  </si>
  <si>
    <t>+ Aluminia Solution</t>
  </si>
  <si>
    <t>Silica</t>
  </si>
  <si>
    <t>Cheap Silica</t>
  </si>
  <si>
    <t>Iron Plate</t>
  </si>
  <si>
    <t>Coated Iron Plate</t>
  </si>
  <si>
    <t>Plastic</t>
  </si>
  <si>
    <t>Steel Coated Plate</t>
  </si>
  <si>
    <t>Steel Ingot</t>
  </si>
  <si>
    <t>Iron Rod</t>
  </si>
  <si>
    <t>Steel Rod</t>
  </si>
  <si>
    <t>Screw</t>
  </si>
  <si>
    <t>Cast Screw</t>
  </si>
  <si>
    <t>Steel Screw</t>
  </si>
  <si>
    <t>Steel Beam</t>
  </si>
  <si>
    <t>Wire</t>
  </si>
  <si>
    <t>Caterium Wire</t>
  </si>
  <si>
    <t>Fused Wire</t>
  </si>
  <si>
    <t>Iron Wire</t>
  </si>
  <si>
    <t>Copper Sheet</t>
  </si>
  <si>
    <t>Steamed Copper Sheet</t>
  </si>
  <si>
    <t>Cable</t>
  </si>
  <si>
    <t>Coated Cable</t>
  </si>
  <si>
    <t>Heavy Oil Residue</t>
  </si>
  <si>
    <t>Insulated Cable</t>
  </si>
  <si>
    <t>Quickwire Cable</t>
  </si>
  <si>
    <t>Quickwire</t>
  </si>
  <si>
    <t>Fused Quickwire</t>
  </si>
  <si>
    <t>AI Limiter</t>
  </si>
  <si>
    <t>Circuit Board</t>
  </si>
  <si>
    <t>Caterium Circuit Board</t>
  </si>
  <si>
    <t>Electrode Circuit Board</t>
  </si>
  <si>
    <t>Petroleum Coke</t>
  </si>
  <si>
    <t>Silocon Circuit Board</t>
  </si>
  <si>
    <t>High-Speed Connector</t>
  </si>
  <si>
    <t>Manufactirer</t>
  </si>
  <si>
    <t>Silicon High-Speed Connector</t>
  </si>
  <si>
    <t>Crystal Oscillator</t>
  </si>
  <si>
    <t>reinforced Plate</t>
  </si>
  <si>
    <t>Insulated Crystal Oscillator</t>
  </si>
  <si>
    <t>electromagnetic control rod</t>
  </si>
  <si>
    <t>Stator</t>
  </si>
  <si>
    <t>electromagnetic connection rod</t>
  </si>
  <si>
    <t>Computer</t>
  </si>
  <si>
    <t>Caterium Computer</t>
  </si>
  <si>
    <t>Crystal Computer</t>
  </si>
  <si>
    <t>Coke Steel Ingot</t>
  </si>
  <si>
    <t>Compacted Steel Ingot</t>
  </si>
  <si>
    <t>Compacted Coal</t>
  </si>
  <si>
    <t>Solid Steel Ingot</t>
  </si>
  <si>
    <t>Encased Industrial Beam</t>
  </si>
  <si>
    <t>Encased Industrial Pipe</t>
  </si>
  <si>
    <t>Steel Pipe</t>
  </si>
  <si>
    <t>Adhered Iron Plate</t>
  </si>
  <si>
    <t>Bolted Iron Plate</t>
  </si>
  <si>
    <t>Stitched Iron Plate</t>
  </si>
  <si>
    <t>Modular Frame</t>
  </si>
  <si>
    <t>+ Heavy Oil</t>
  </si>
  <si>
    <t>Bolted Frame</t>
  </si>
  <si>
    <t>Steeled Frame</t>
  </si>
  <si>
    <t>heavy modular frame</t>
  </si>
  <si>
    <t>heavy encased frame</t>
  </si>
  <si>
    <t>heavy flexible frame</t>
  </si>
  <si>
    <t>Rotor</t>
  </si>
  <si>
    <t>Copper Rotor</t>
  </si>
  <si>
    <t>Steel Rotor</t>
  </si>
  <si>
    <t>Quickwire Stator</t>
  </si>
  <si>
    <t>Smart Plating</t>
  </si>
  <si>
    <t>Plastic smart plating</t>
  </si>
  <si>
    <t>Versatile Framework</t>
  </si>
  <si>
    <t>Flexible Framework</t>
  </si>
  <si>
    <t>Automated Wiring</t>
  </si>
  <si>
    <t>Automated Speed Wiring</t>
  </si>
  <si>
    <t>Motor</t>
  </si>
  <si>
    <t>Electric Motor</t>
  </si>
  <si>
    <t>Rigour Motor</t>
  </si>
  <si>
    <t>Modular Engine</t>
  </si>
  <si>
    <t>Adaptive Control Unit</t>
  </si>
  <si>
    <t>Residal Plastic</t>
  </si>
  <si>
    <t>Polymer Resin</t>
  </si>
  <si>
    <t>Recycled Plastic</t>
  </si>
  <si>
    <t>Fuel</t>
  </si>
  <si>
    <t>Residal Rubber</t>
  </si>
  <si>
    <t>Recycled Rubber</t>
  </si>
  <si>
    <t>+Fuel</t>
  </si>
  <si>
    <t>+ Plastic</t>
  </si>
  <si>
    <t>+ Rubber</t>
  </si>
  <si>
    <t>+ Polymer Resin</t>
  </si>
  <si>
    <t>Altern</t>
  </si>
  <si>
    <t>Residual Fuel</t>
  </si>
  <si>
    <t>Diluted Fuel</t>
  </si>
  <si>
    <t>Blender</t>
  </si>
  <si>
    <t>Turbofuel</t>
  </si>
  <si>
    <t>Turbo Blend Fuel</t>
  </si>
  <si>
    <t>Turbo Heavy Fuel</t>
  </si>
  <si>
    <t>MW out</t>
  </si>
  <si>
    <t>Coal generator</t>
  </si>
  <si>
    <t>Coal</t>
  </si>
  <si>
    <t>Fuel Generator</t>
  </si>
  <si>
    <t>Turbofuel </t>
  </si>
  <si>
    <t>Mk.3
mining rate</t>
  </si>
  <si>
    <t>Mk.3 mining rate
at 250 %</t>
  </si>
  <si>
    <t>Miner</t>
  </si>
  <si>
    <t>Miner Mk.1</t>
  </si>
  <si>
    <t>5.0</t>
  </si>
  <si>
    <t>Miner Mk.2</t>
  </si>
  <si>
    <t>4.0</t>
  </si>
  <si>
    <t>12.0</t>
  </si>
  <si>
    <t>23.0</t>
  </si>
  <si>
    <t>36.4</t>
  </si>
  <si>
    <t>52.0</t>
  </si>
  <si>
    <r>
      <t>35,880</t>
    </r>
    <r>
      <rPr>
        <vertAlign val="superscript"/>
        <sz val="11"/>
        <color rgb="FFE6E6E6"/>
        <rFont val="Noto Sans"/>
        <family val="2"/>
      </rPr>
      <t>*</t>
    </r>
    <r>
      <rPr>
        <sz val="11"/>
        <color rgb="FFE6E6E6"/>
        <rFont val="Noto Sans"/>
        <family val="2"/>
      </rPr>
      <t> / 55,200</t>
    </r>
  </si>
  <si>
    <t>Miner Mk.3</t>
  </si>
  <si>
    <t>30.0</t>
  </si>
  <si>
    <t>57.4</t>
  </si>
  <si>
    <t>90.9</t>
  </si>
  <si>
    <t>130.0</t>
  </si>
  <si>
    <r>
      <t>70,380</t>
    </r>
    <r>
      <rPr>
        <b/>
        <vertAlign val="superscript"/>
        <sz val="11"/>
        <color rgb="FFE6E6E6"/>
        <rFont val="Noto Sans"/>
        <family val="2"/>
      </rPr>
      <t>*</t>
    </r>
    <r>
      <rPr>
        <b/>
        <sz val="11"/>
        <color rgb="FFE6E6E6"/>
        <rFont val="Noto Sans"/>
        <family val="2"/>
      </rPr>
      <t> / 89,700</t>
    </r>
  </si>
  <si>
    <t>Belt Mk.1</t>
  </si>
  <si>
    <t>Belt Mk.2</t>
  </si>
  <si>
    <t>Belt Mk.3</t>
  </si>
  <si>
    <t>Belt Mk.4</t>
  </si>
  <si>
    <t>Belt Mk.5</t>
  </si>
  <si>
    <t>Item</t>
  </si>
  <si>
    <t>future</t>
  </si>
  <si>
    <t>to Storage</t>
  </si>
  <si>
    <t>needed for others</t>
  </si>
  <si>
    <t>needed whole</t>
  </si>
  <si>
    <t>Usages</t>
  </si>
  <si>
    <t>target Units</t>
  </si>
  <si>
    <t>target items/min</t>
  </si>
  <si>
    <t>target items/min 
underclocked</t>
  </si>
  <si>
    <t>Unit Type</t>
  </si>
  <si>
    <t>Outputs</t>
  </si>
  <si>
    <t>Needed Power</t>
  </si>
  <si>
    <t>Base Production</t>
  </si>
  <si>
    <t>Base Power</t>
  </si>
  <si>
    <t>actual Units</t>
  </si>
  <si>
    <t>I 1</t>
  </si>
  <si>
    <t xml:space="preserve">A I 1 </t>
  </si>
  <si>
    <t>B A 1</t>
  </si>
  <si>
    <t>I 2</t>
  </si>
  <si>
    <t>A I 2</t>
  </si>
  <si>
    <t>B A 2</t>
  </si>
  <si>
    <t>I 3</t>
  </si>
  <si>
    <t>A I 3</t>
  </si>
  <si>
    <t>B A 3</t>
  </si>
  <si>
    <t>I 4</t>
  </si>
  <si>
    <t>A I 4</t>
  </si>
  <si>
    <t>B A 4</t>
  </si>
  <si>
    <t>2*480</t>
  </si>
  <si>
    <t>1*480</t>
  </si>
  <si>
    <t>2*480+220</t>
  </si>
  <si>
    <t>2*120</t>
  </si>
  <si>
    <t>needed Power</t>
  </si>
  <si>
    <t>mk4 Belt</t>
  </si>
  <si>
    <t>korrektur</t>
  </si>
  <si>
    <t>mk5 Belt</t>
  </si>
  <si>
    <t>gesamtleistung</t>
  </si>
  <si>
    <t>acutal Belt</t>
  </si>
  <si>
    <t>Miner Mk.2 / Belts Mk.5</t>
  </si>
  <si>
    <t>Miner Mk.3 / Belts Mk.5</t>
  </si>
  <si>
    <t>MW max</t>
  </si>
  <si>
    <t>mk1</t>
  </si>
  <si>
    <t>mk2</t>
  </si>
  <si>
    <t>mk3</t>
  </si>
  <si>
    <t>power</t>
  </si>
  <si>
    <t>impure</t>
  </si>
  <si>
    <t>normal</t>
  </si>
  <si>
    <t>pure</t>
  </si>
  <si>
    <t>Belt</t>
  </si>
  <si>
    <t>Blueprints</t>
  </si>
  <si>
    <t>Copper</t>
  </si>
  <si>
    <t>iron</t>
  </si>
  <si>
    <t>C</t>
  </si>
  <si>
    <t>caterium</t>
  </si>
  <si>
    <t>A</t>
  </si>
  <si>
    <t>total</t>
  </si>
  <si>
    <t>F1</t>
  </si>
  <si>
    <t>B</t>
  </si>
  <si>
    <t>D1</t>
  </si>
  <si>
    <t>E</t>
  </si>
  <si>
    <t>F2</t>
  </si>
  <si>
    <t>D2</t>
  </si>
  <si>
    <t>F3</t>
  </si>
  <si>
    <t>D3</t>
  </si>
  <si>
    <t>Was brauche ich?</t>
  </si>
  <si>
    <t>Pump</t>
  </si>
  <si>
    <t>Oil Pump</t>
  </si>
  <si>
    <t>Packaged Fuel</t>
  </si>
  <si>
    <t>Sink</t>
  </si>
  <si>
    <t>Power</t>
  </si>
  <si>
    <t>Fabric</t>
  </si>
  <si>
    <t>VAR 2</t>
  </si>
  <si>
    <t>Heavy Oil</t>
  </si>
  <si>
    <t>Resin</t>
  </si>
  <si>
    <t>VAR 1</t>
  </si>
  <si>
    <t>VAR 2 Blender</t>
  </si>
  <si>
    <t>VAR 1.2</t>
  </si>
  <si>
    <t>Sulfur</t>
  </si>
  <si>
    <t>to Storage target</t>
  </si>
  <si>
    <t>Base Production korregiert</t>
  </si>
  <si>
    <t>Base Power korregiert</t>
  </si>
  <si>
    <t>Units to build</t>
  </si>
  <si>
    <t>erster 0,02 übertaktet</t>
  </si>
  <si>
    <t>Battery</t>
  </si>
  <si>
    <t>Classic Batterie</t>
  </si>
  <si>
    <t>sulfur</t>
  </si>
  <si>
    <t>Alclad Sheet</t>
  </si>
  <si>
    <t>Aluminium Ingot</t>
  </si>
  <si>
    <t>Aluminum Ingot</t>
  </si>
  <si>
    <t>Pure Aluminum Ingot</t>
  </si>
  <si>
    <t>Aluminium Scrap</t>
  </si>
  <si>
    <t>Electrode - Aluminum Scrap</t>
  </si>
  <si>
    <t>Instant Scrap</t>
  </si>
  <si>
    <t>Aluminia Solution</t>
  </si>
  <si>
    <t>Sulfuric Acid</t>
  </si>
  <si>
    <t>+Wasser</t>
  </si>
  <si>
    <t>Sloppy Aluminia</t>
  </si>
  <si>
    <t>+Silicia</t>
  </si>
  <si>
    <t>Aluminum Casing</t>
  </si>
  <si>
    <t>Alclad Casing</t>
  </si>
  <si>
    <t>Canister</t>
  </si>
  <si>
    <t>Coated Iron Canister</t>
  </si>
  <si>
    <t>Steel Canister</t>
  </si>
  <si>
    <t>Steel ingot</t>
  </si>
  <si>
    <t>Packed Turbofuel</t>
  </si>
  <si>
    <t>Packager</t>
  </si>
  <si>
    <t>Nuclear Generator</t>
  </si>
  <si>
    <t>Uranium Rod</t>
  </si>
  <si>
    <t>Uranium Fuel Rod</t>
  </si>
  <si>
    <t>Electromagnetic Control Rod</t>
  </si>
  <si>
    <t>Encased Uranium Cell</t>
  </si>
  <si>
    <t>Infused Uranium Cell</t>
  </si>
  <si>
    <t>Uranium Fuel Unit</t>
  </si>
  <si>
    <t>Beacon</t>
  </si>
  <si>
    <t>Crystal Beacon</t>
  </si>
  <si>
    <t>2*300</t>
  </si>
  <si>
    <t>Poly</t>
  </si>
  <si>
    <t>heavy</t>
  </si>
  <si>
    <t>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</si>
</sst>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E6E6E6"/>
      <name val="Noto Sans"/>
      <family val="2"/>
    </font>
    <font>
      <sz val="11"/>
      <color rgb="FFE6E6E6"/>
      <name val="Noto Sans"/>
      <family val="2"/>
    </font>
    <font>
      <vertAlign val="superscript"/>
      <sz val="11"/>
      <color rgb="FFE6E6E6"/>
      <name val="Noto Sans"/>
      <family val="2"/>
    </font>
    <font>
      <b/>
      <vertAlign val="superscript"/>
      <sz val="11"/>
      <color rgb="FFE6E6E6"/>
      <name val="Noto Sans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0" fillId="11" borderId="0" applyNumberFormat="0" applyBorder="0" applyAlignment="0" applyProtection="0"/>
  </cellStyleXfs>
  <cellXfs count="70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9" fontId="0" fillId="2" borderId="0" xfId="0" applyNumberFormat="1" applyFill="1"/>
    <xf numFmtId="164" fontId="0" fillId="2" borderId="0" xfId="0" applyNumberFormat="1" applyFill="1"/>
    <xf numFmtId="1" fontId="0" fillId="0" borderId="0" xfId="0" applyNumberFormat="1"/>
    <xf numFmtId="9" fontId="0" fillId="0" borderId="0" xfId="0" applyNumberFormat="1" applyAlignment="1">
      <alignment horizontal="center"/>
    </xf>
    <xf numFmtId="0" fontId="6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/>
    <xf numFmtId="9" fontId="0" fillId="0" borderId="0" xfId="2" applyFont="1"/>
    <xf numFmtId="1" fontId="0" fillId="2" borderId="0" xfId="0" applyNumberFormat="1" applyFill="1"/>
    <xf numFmtId="9" fontId="8" fillId="0" borderId="0" xfId="0" applyNumberFormat="1" applyFont="1"/>
    <xf numFmtId="9" fontId="8" fillId="0" borderId="0" xfId="0" applyNumberFormat="1" applyFont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0" borderId="0" xfId="0" quotePrefix="1"/>
    <xf numFmtId="0" fontId="0" fillId="5" borderId="0" xfId="0" applyFill="1"/>
    <xf numFmtId="164" fontId="0" fillId="5" borderId="0" xfId="0" applyNumberFormat="1" applyFill="1"/>
    <xf numFmtId="0" fontId="0" fillId="5" borderId="0" xfId="0" applyFill="1" applyAlignment="1">
      <alignment horizontal="center"/>
    </xf>
    <xf numFmtId="0" fontId="8" fillId="0" borderId="0" xfId="0" applyFont="1"/>
    <xf numFmtId="1" fontId="8" fillId="0" borderId="0" xfId="0" applyNumberFormat="1" applyFont="1"/>
    <xf numFmtId="164" fontId="0" fillId="0" borderId="0" xfId="0" applyNumberFormat="1" applyAlignment="1">
      <alignment horizontal="center"/>
    </xf>
    <xf numFmtId="0" fontId="0" fillId="6" borderId="0" xfId="0" applyFill="1"/>
    <xf numFmtId="0" fontId="0" fillId="7" borderId="0" xfId="0" applyFill="1"/>
    <xf numFmtId="164" fontId="0" fillId="0" borderId="0" xfId="0" applyNumberFormat="1" applyAlignment="1">
      <alignment horizontal="right"/>
    </xf>
    <xf numFmtId="9" fontId="0" fillId="0" borderId="0" xfId="2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textRotation="90" wrapText="1"/>
    </xf>
    <xf numFmtId="0" fontId="0" fillId="0" borderId="0" xfId="0" applyAlignment="1">
      <alignment horizontal="right" textRotation="90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left" textRotation="90" wrapText="1"/>
    </xf>
    <xf numFmtId="0" fontId="9" fillId="0" borderId="0" xfId="0" applyFont="1"/>
    <xf numFmtId="164" fontId="0" fillId="0" borderId="0" xfId="0" applyNumberFormat="1" applyAlignment="1">
      <alignment horizontal="center" textRotation="90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textRotation="90" wrapText="1"/>
    </xf>
    <xf numFmtId="2" fontId="0" fillId="0" borderId="0" xfId="0" applyNumberFormat="1" applyAlignment="1">
      <alignment horizontal="right" textRotation="90" wrapText="1"/>
    </xf>
    <xf numFmtId="2" fontId="0" fillId="0" borderId="0" xfId="0" applyNumberFormat="1" applyAlignment="1">
      <alignment horizontal="right"/>
    </xf>
    <xf numFmtId="0" fontId="0" fillId="8" borderId="0" xfId="0" applyFill="1"/>
    <xf numFmtId="165" fontId="0" fillId="0" borderId="0" xfId="0" applyNumberFormat="1"/>
    <xf numFmtId="164" fontId="8" fillId="0" borderId="0" xfId="0" applyNumberFormat="1" applyFont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 textRotation="90" wrapText="1"/>
    </xf>
    <xf numFmtId="2" fontId="0" fillId="9" borderId="0" xfId="0" applyNumberFormat="1" applyFill="1" applyAlignment="1">
      <alignment horizontal="right" textRotation="90" wrapText="1"/>
    </xf>
    <xf numFmtId="2" fontId="0" fillId="9" borderId="0" xfId="0" applyNumberFormat="1" applyFill="1" applyAlignment="1">
      <alignment horizontal="right"/>
    </xf>
    <xf numFmtId="0" fontId="0" fillId="10" borderId="0" xfId="0" applyFill="1" applyAlignment="1">
      <alignment horizontal="center" textRotation="90" wrapText="1"/>
    </xf>
    <xf numFmtId="1" fontId="0" fillId="10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9" fontId="0" fillId="0" borderId="0" xfId="2" applyFont="1" applyAlignment="1">
      <alignment horizontal="right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textRotation="90" wrapText="1"/>
    </xf>
    <xf numFmtId="0" fontId="10" fillId="11" borderId="0" xfId="3"/>
    <xf numFmtId="0" fontId="0" fillId="12" borderId="0" xfId="0" applyFill="1"/>
    <xf numFmtId="167" fontId="0" fillId="0" borderId="0" xfId="0" applyNumberFormat="1"/>
    <xf numFmtId="168" fontId="8" fillId="0" borderId="0" xfId="0" applyNumberFormat="1" applyFont="1"/>
    <xf numFmtId="0" fontId="0" fillId="0" borderId="0" xfId="0" applyAlignment="1">
      <alignment horizontal="center"/>
    </xf>
  </cellXfs>
  <cellStyles count="4">
    <cellStyle name="Hyperlink" xfId="1" xr:uid="{00000000-000B-0000-0000-000008000000}"/>
    <cellStyle name="Prozent" xfId="2" builtinId="5"/>
    <cellStyle name="Schlecht" xfId="3" builtinId="27"/>
    <cellStyle name="Standard" xfId="0" builtinId="0"/>
  </cellStyles>
  <dxfs count="21">
    <dxf>
      <font>
        <color theme="0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 patternType="solid">
          <bgColor theme="5" tint="0.79998168889431442"/>
        </patternFill>
      </fill>
    </dxf>
    <dxf>
      <font>
        <color auto="1"/>
      </font>
      <fill>
        <patternFill patternType="solid">
          <bgColor theme="7" tint="0.79998168889431442"/>
        </patternFill>
      </fill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 patternType="solid">
          <bgColor theme="5" tint="0.79998168889431442"/>
        </patternFill>
      </fill>
    </dxf>
    <dxf>
      <font>
        <color auto="1"/>
      </font>
      <fill>
        <patternFill patternType="solid">
          <bgColor theme="7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  <fill>
        <patternFill patternType="solid"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278"/>
  <sheetViews>
    <sheetView tabSelected="1" topLeftCell="A88" workbookViewId="0">
      <selection activeCell="A97" sqref="A97:XFD97"/>
    </sheetView>
  </sheetViews>
  <sheetFormatPr baseColWidth="10" defaultColWidth="9.140625" defaultRowHeight="15" x14ac:dyDescent="0.25"/>
  <cols>
    <col min="1" max="1" width="25.85546875" bestFit="1" customWidth="1"/>
    <col min="2" max="2" width="28.140625" customWidth="1"/>
    <col min="3" max="3" width="8.7109375" customWidth="1"/>
    <col min="4" max="4" width="12.5703125" customWidth="1"/>
    <col min="5" max="5" width="6.85546875" customWidth="1"/>
    <col min="6" max="6" width="9.7109375" customWidth="1"/>
    <col min="7" max="7" width="16.7109375" customWidth="1"/>
    <col min="8" max="8" width="8.5703125" customWidth="1"/>
    <col min="9" max="9" width="14.28515625" customWidth="1"/>
    <col min="10" max="10" width="16.5703125" customWidth="1"/>
    <col min="11" max="11" width="8.5703125" customWidth="1"/>
    <col min="12" max="12" width="15.85546875" customWidth="1"/>
    <col min="14" max="14" width="8.5703125" customWidth="1"/>
    <col min="15" max="15" width="6.42578125" customWidth="1"/>
    <col min="17" max="17" width="8.5703125" customWidth="1"/>
    <col min="18" max="18" width="13.42578125" customWidth="1"/>
    <col min="22" max="22" width="6.28515625" customWidth="1"/>
    <col min="24" max="26" width="9.28515625" bestFit="1" customWidth="1"/>
    <col min="27" max="27" width="8.42578125" bestFit="1" customWidth="1"/>
    <col min="28" max="28" width="11.140625" bestFit="1" customWidth="1"/>
    <col min="29" max="29" width="10.140625" bestFit="1" customWidth="1"/>
    <col min="30" max="30" width="8.140625" bestFit="1" customWidth="1"/>
    <col min="31" max="31" width="12.42578125" bestFit="1" customWidth="1"/>
    <col min="32" max="32" width="10.5703125" bestFit="1" customWidth="1"/>
    <col min="33" max="33" width="8.140625" bestFit="1" customWidth="1"/>
    <col min="34" max="34" width="7.85546875" bestFit="1" customWidth="1"/>
    <col min="35" max="35" width="8.7109375" bestFit="1" customWidth="1"/>
    <col min="36" max="36" width="7.85546875" bestFit="1" customWidth="1"/>
    <col min="37" max="37" width="8.140625" bestFit="1" customWidth="1"/>
  </cols>
  <sheetData>
    <row r="2" spans="1:15" x14ac:dyDescent="0.25">
      <c r="I2" t="s">
        <v>0</v>
      </c>
    </row>
    <row r="3" spans="1:15" x14ac:dyDescent="0.25">
      <c r="I3" s="69" t="s">
        <v>1</v>
      </c>
      <c r="J3" s="69"/>
      <c r="K3" s="69"/>
      <c r="L3" s="69"/>
      <c r="M3" s="69" t="s">
        <v>2</v>
      </c>
      <c r="N3" s="69"/>
    </row>
    <row r="4" spans="1:15" x14ac:dyDescent="0.25">
      <c r="A4" t="s">
        <v>3</v>
      </c>
      <c r="C4" t="s">
        <v>4</v>
      </c>
      <c r="E4" t="s">
        <v>5</v>
      </c>
      <c r="G4" t="s">
        <v>6</v>
      </c>
      <c r="H4" s="4" t="s">
        <v>7</v>
      </c>
      <c r="I4" t="s">
        <v>8</v>
      </c>
      <c r="J4" t="s">
        <v>9</v>
      </c>
      <c r="K4" t="s">
        <v>10</v>
      </c>
      <c r="L4" t="s">
        <v>5</v>
      </c>
      <c r="M4" t="s">
        <v>11</v>
      </c>
      <c r="N4" t="s">
        <v>12</v>
      </c>
      <c r="O4" s="4" t="s">
        <v>7</v>
      </c>
    </row>
    <row r="5" spans="1:15" x14ac:dyDescent="0.25">
      <c r="A5" t="s">
        <v>13</v>
      </c>
      <c r="C5" t="s">
        <v>14</v>
      </c>
      <c r="D5" t="str">
        <f t="shared" ref="D5:D48" si="0">A5&amp;C5</f>
        <v>Iron OreImpure</v>
      </c>
      <c r="E5" s="3">
        <f>L5</f>
        <v>34.657242157757324</v>
      </c>
      <c r="G5">
        <v>33</v>
      </c>
      <c r="I5">
        <v>150</v>
      </c>
      <c r="J5" s="15">
        <f>I5/'Miner Future'!$AB23</f>
        <v>2.5</v>
      </c>
      <c r="K5" s="3">
        <f>'Miner Future'!$AB$22*(J5)^1.6</f>
        <v>51.985863236635986</v>
      </c>
      <c r="L5" s="3">
        <f>100/I5*K5</f>
        <v>34.657242157757324</v>
      </c>
      <c r="M5">
        <f>$G5*I5</f>
        <v>4950</v>
      </c>
      <c r="N5">
        <f>$G5*K5</f>
        <v>1715.5334868089876</v>
      </c>
    </row>
    <row r="6" spans="1:15" x14ac:dyDescent="0.25">
      <c r="A6" t="s">
        <v>13</v>
      </c>
      <c r="C6" t="s">
        <v>15</v>
      </c>
      <c r="D6" t="str">
        <f t="shared" si="0"/>
        <v>Iron OreNormal</v>
      </c>
      <c r="E6" s="3">
        <f>L6</f>
        <v>17.328621078878662</v>
      </c>
      <c r="G6">
        <v>41</v>
      </c>
      <c r="I6">
        <v>300</v>
      </c>
      <c r="J6" s="15">
        <f>I6/'Miner Future'!$AB24</f>
        <v>2.5</v>
      </c>
      <c r="K6" s="3">
        <f>'Miner Future'!$AB$22*(J6)^1.6</f>
        <v>51.985863236635986</v>
      </c>
      <c r="L6" s="3">
        <f>100/I6*K6</f>
        <v>17.328621078878662</v>
      </c>
      <c r="M6">
        <f>$G6*I6</f>
        <v>12300</v>
      </c>
      <c r="N6">
        <f>$G6*K6</f>
        <v>2131.4203927020753</v>
      </c>
    </row>
    <row r="7" spans="1:15" x14ac:dyDescent="0.25">
      <c r="A7" t="s">
        <v>13</v>
      </c>
      <c r="C7" t="s">
        <v>16</v>
      </c>
      <c r="D7" t="str">
        <f t="shared" si="0"/>
        <v>Iron OrePure</v>
      </c>
      <c r="E7" s="3">
        <f>L7</f>
        <v>7.5785828325519899</v>
      </c>
      <c r="G7">
        <v>46</v>
      </c>
      <c r="I7">
        <v>480</v>
      </c>
      <c r="J7" s="15">
        <f>I7/'Miner Future'!$AB25</f>
        <v>2</v>
      </c>
      <c r="K7" s="3">
        <f>'Miner Future'!$AB$22*(J7)^1.6</f>
        <v>36.377197596249552</v>
      </c>
      <c r="L7" s="3">
        <f>100/I7*K7</f>
        <v>7.5785828325519899</v>
      </c>
      <c r="M7">
        <f>$G7*I7</f>
        <v>22080</v>
      </c>
      <c r="N7">
        <f>$G7*K7</f>
        <v>1673.3510894274793</v>
      </c>
    </row>
    <row r="8" spans="1:15" x14ac:dyDescent="0.25">
      <c r="A8" t="s">
        <v>13</v>
      </c>
      <c r="C8" t="s">
        <v>17</v>
      </c>
      <c r="D8" t="str">
        <f t="shared" si="0"/>
        <v>Iron OreTotal</v>
      </c>
      <c r="E8" s="3">
        <f>L8</f>
        <v>14.035863129770004</v>
      </c>
      <c r="G8">
        <f>SUM(G5:G7)</f>
        <v>120</v>
      </c>
      <c r="I8" s="4" t="s">
        <v>7</v>
      </c>
      <c r="J8" s="4" t="s">
        <v>7</v>
      </c>
      <c r="K8" s="4" t="s">
        <v>7</v>
      </c>
      <c r="L8" s="3">
        <f>N8/M8*100</f>
        <v>14.035863129770004</v>
      </c>
      <c r="M8">
        <f>SUM(M5:M7)</f>
        <v>39330</v>
      </c>
      <c r="N8">
        <f>SUM(N5:N7)</f>
        <v>5520.3049689385425</v>
      </c>
    </row>
    <row r="9" spans="1:15" x14ac:dyDescent="0.25">
      <c r="D9" t="str">
        <f t="shared" si="0"/>
        <v/>
      </c>
      <c r="E9" s="3"/>
    </row>
    <row r="10" spans="1:15" x14ac:dyDescent="0.25">
      <c r="A10" t="s">
        <v>18</v>
      </c>
      <c r="C10" t="s">
        <v>14</v>
      </c>
      <c r="D10" t="str">
        <f t="shared" si="0"/>
        <v>Copper OreImpure</v>
      </c>
      <c r="E10" s="3">
        <f>L10</f>
        <v>34.666666666666664</v>
      </c>
      <c r="G10">
        <v>9</v>
      </c>
      <c r="I10">
        <v>150</v>
      </c>
      <c r="J10" s="1">
        <v>2.5</v>
      </c>
      <c r="K10">
        <v>52</v>
      </c>
      <c r="L10" s="3">
        <f>100/I10*K10</f>
        <v>34.666666666666664</v>
      </c>
      <c r="M10">
        <f>$G10*I10</f>
        <v>1350</v>
      </c>
      <c r="N10">
        <f>$G10*K10</f>
        <v>468</v>
      </c>
    </row>
    <row r="11" spans="1:15" x14ac:dyDescent="0.25">
      <c r="A11" t="s">
        <v>18</v>
      </c>
      <c r="C11" t="s">
        <v>15</v>
      </c>
      <c r="D11" t="str">
        <f t="shared" si="0"/>
        <v>Copper OreNormal</v>
      </c>
      <c r="E11" s="3">
        <f>L11</f>
        <v>17.333333333333332</v>
      </c>
      <c r="G11">
        <v>28</v>
      </c>
      <c r="I11">
        <v>300</v>
      </c>
      <c r="J11" s="1">
        <v>2.5</v>
      </c>
      <c r="K11">
        <v>52</v>
      </c>
      <c r="L11" s="3">
        <f>100/I11*K11</f>
        <v>17.333333333333332</v>
      </c>
      <c r="M11">
        <f>$G11*I11</f>
        <v>8400</v>
      </c>
      <c r="N11">
        <f>$G11*K11</f>
        <v>1456</v>
      </c>
    </row>
    <row r="12" spans="1:15" x14ac:dyDescent="0.25">
      <c r="A12" t="s">
        <v>18</v>
      </c>
      <c r="C12" t="s">
        <v>16</v>
      </c>
      <c r="D12" t="str">
        <f t="shared" si="0"/>
        <v>Copper OrePure</v>
      </c>
      <c r="E12" s="3">
        <f>L12</f>
        <v>7.583333333333333</v>
      </c>
      <c r="G12">
        <v>12</v>
      </c>
      <c r="I12">
        <v>480</v>
      </c>
      <c r="J12" s="1">
        <v>2</v>
      </c>
      <c r="K12">
        <v>36.4</v>
      </c>
      <c r="L12" s="3">
        <f>100/I12*K12</f>
        <v>7.583333333333333</v>
      </c>
      <c r="M12">
        <f>$G12*I12</f>
        <v>5760</v>
      </c>
      <c r="N12">
        <f>$G12*K12</f>
        <v>436.79999999999995</v>
      </c>
    </row>
    <row r="13" spans="1:15" x14ac:dyDescent="0.25">
      <c r="A13" t="s">
        <v>18</v>
      </c>
      <c r="C13" t="s">
        <v>17</v>
      </c>
      <c r="D13" t="str">
        <f t="shared" si="0"/>
        <v>Copper OreTotal</v>
      </c>
      <c r="E13" s="3">
        <f>L13</f>
        <v>15.221147646679562</v>
      </c>
      <c r="G13">
        <f>SUM(G10:G12)</f>
        <v>49</v>
      </c>
      <c r="I13" s="4" t="s">
        <v>7</v>
      </c>
      <c r="J13" s="4" t="s">
        <v>7</v>
      </c>
      <c r="K13" s="4" t="s">
        <v>7</v>
      </c>
      <c r="L13" s="3">
        <f>N13/M13*100</f>
        <v>15.221147646679562</v>
      </c>
      <c r="M13">
        <f>SUM(M10:M12)</f>
        <v>15510</v>
      </c>
      <c r="N13">
        <f>SUM(N10:N12)</f>
        <v>2360.8000000000002</v>
      </c>
    </row>
    <row r="14" spans="1:15" x14ac:dyDescent="0.25">
      <c r="D14" t="str">
        <f t="shared" si="0"/>
        <v/>
      </c>
      <c r="E14" s="3"/>
    </row>
    <row r="15" spans="1:15" x14ac:dyDescent="0.25">
      <c r="A15" t="s">
        <v>19</v>
      </c>
      <c r="C15" t="s">
        <v>14</v>
      </c>
      <c r="D15" t="str">
        <f t="shared" si="0"/>
        <v>LimestoneImpure</v>
      </c>
      <c r="E15" s="3">
        <f>L15</f>
        <v>34.666666666666664</v>
      </c>
      <c r="G15">
        <v>12</v>
      </c>
      <c r="I15">
        <v>150</v>
      </c>
      <c r="J15" s="1">
        <v>2.5</v>
      </c>
      <c r="K15">
        <v>52</v>
      </c>
      <c r="L15" s="3">
        <f>100/I15*K15</f>
        <v>34.666666666666664</v>
      </c>
      <c r="M15">
        <f>$G15*I15</f>
        <v>1800</v>
      </c>
      <c r="N15">
        <f>$G15*K15</f>
        <v>624</v>
      </c>
    </row>
    <row r="16" spans="1:15" x14ac:dyDescent="0.25">
      <c r="A16" t="s">
        <v>19</v>
      </c>
      <c r="C16" t="s">
        <v>15</v>
      </c>
      <c r="D16" t="str">
        <f t="shared" si="0"/>
        <v>LimestoneNormal</v>
      </c>
      <c r="E16" s="3">
        <f>L16</f>
        <v>17.333333333333332</v>
      </c>
      <c r="G16">
        <v>47</v>
      </c>
      <c r="I16">
        <v>300</v>
      </c>
      <c r="J16" s="1">
        <v>2.5</v>
      </c>
      <c r="K16">
        <v>52</v>
      </c>
      <c r="L16" s="3">
        <f>100/I16*K16</f>
        <v>17.333333333333332</v>
      </c>
      <c r="M16">
        <f>$G16*I16</f>
        <v>14100</v>
      </c>
      <c r="N16">
        <f>$G16*K16</f>
        <v>2444</v>
      </c>
    </row>
    <row r="17" spans="1:14" x14ac:dyDescent="0.25">
      <c r="A17" t="s">
        <v>19</v>
      </c>
      <c r="C17" t="s">
        <v>16</v>
      </c>
      <c r="D17" t="str">
        <f t="shared" si="0"/>
        <v>LimestonePure</v>
      </c>
      <c r="E17" s="3">
        <f>L17</f>
        <v>7.583333333333333</v>
      </c>
      <c r="G17">
        <v>27</v>
      </c>
      <c r="I17">
        <v>480</v>
      </c>
      <c r="J17" s="1">
        <v>2</v>
      </c>
      <c r="K17">
        <v>36.4</v>
      </c>
      <c r="L17" s="3">
        <f>100/I17*K17</f>
        <v>7.583333333333333</v>
      </c>
      <c r="M17">
        <f>$G17*I17</f>
        <v>12960</v>
      </c>
      <c r="N17">
        <f>$G17*K17</f>
        <v>982.8</v>
      </c>
    </row>
    <row r="18" spans="1:14" x14ac:dyDescent="0.25">
      <c r="A18" t="s">
        <v>19</v>
      </c>
      <c r="C18" t="s">
        <v>17</v>
      </c>
      <c r="D18" t="str">
        <f t="shared" si="0"/>
        <v>LimestoneTotal</v>
      </c>
      <c r="E18" s="3">
        <f>L18</f>
        <v>14.036036036036037</v>
      </c>
      <c r="G18">
        <f>SUM(G15:G17)</f>
        <v>86</v>
      </c>
      <c r="I18" s="4" t="s">
        <v>7</v>
      </c>
      <c r="J18" s="4" t="s">
        <v>7</v>
      </c>
      <c r="K18" s="4" t="s">
        <v>7</v>
      </c>
      <c r="L18" s="3">
        <f>N18/M18*100</f>
        <v>14.036036036036037</v>
      </c>
      <c r="M18">
        <f>SUM(M15:M17)</f>
        <v>28860</v>
      </c>
      <c r="N18">
        <f>SUM(N15:N17)</f>
        <v>4050.8</v>
      </c>
    </row>
    <row r="19" spans="1:14" x14ac:dyDescent="0.25">
      <c r="D19" t="str">
        <f t="shared" si="0"/>
        <v/>
      </c>
      <c r="E19" s="3"/>
    </row>
    <row r="20" spans="1:14" x14ac:dyDescent="0.25">
      <c r="A20" t="s">
        <v>20</v>
      </c>
      <c r="C20" t="s">
        <v>14</v>
      </c>
      <c r="D20" t="str">
        <f t="shared" si="0"/>
        <v>coalImpure</v>
      </c>
      <c r="E20" s="3">
        <f>L20</f>
        <v>34.666666666666664</v>
      </c>
      <c r="G20">
        <v>6</v>
      </c>
      <c r="I20">
        <v>150</v>
      </c>
      <c r="J20" s="1">
        <v>2.5</v>
      </c>
      <c r="K20">
        <v>52</v>
      </c>
      <c r="L20" s="3">
        <f>100/I20*K20</f>
        <v>34.666666666666664</v>
      </c>
      <c r="M20">
        <f>$G20*I20</f>
        <v>900</v>
      </c>
      <c r="N20">
        <f>$G20*K20</f>
        <v>312</v>
      </c>
    </row>
    <row r="21" spans="1:14" x14ac:dyDescent="0.25">
      <c r="A21" t="s">
        <v>20</v>
      </c>
      <c r="C21" t="s">
        <v>15</v>
      </c>
      <c r="D21" t="str">
        <f t="shared" si="0"/>
        <v>coalNormal</v>
      </c>
      <c r="E21" s="3">
        <f>L21</f>
        <v>17.333333333333332</v>
      </c>
      <c r="G21">
        <v>29</v>
      </c>
      <c r="I21">
        <v>300</v>
      </c>
      <c r="J21" s="1">
        <v>2.5</v>
      </c>
      <c r="K21">
        <v>52</v>
      </c>
      <c r="L21" s="3">
        <f>100/I21*K21</f>
        <v>17.333333333333332</v>
      </c>
      <c r="M21">
        <f>$G21*I21</f>
        <v>8700</v>
      </c>
      <c r="N21">
        <f>$G21*K21</f>
        <v>1508</v>
      </c>
    </row>
    <row r="22" spans="1:14" x14ac:dyDescent="0.25">
      <c r="A22" t="s">
        <v>20</v>
      </c>
      <c r="C22" t="s">
        <v>16</v>
      </c>
      <c r="D22" t="str">
        <f t="shared" si="0"/>
        <v>coalPure</v>
      </c>
      <c r="E22" s="3">
        <f>L22</f>
        <v>7.583333333333333</v>
      </c>
      <c r="G22">
        <v>15</v>
      </c>
      <c r="I22">
        <v>480</v>
      </c>
      <c r="J22" s="1">
        <v>2</v>
      </c>
      <c r="K22">
        <v>36.4</v>
      </c>
      <c r="L22" s="3">
        <f>100/I22*K22</f>
        <v>7.583333333333333</v>
      </c>
      <c r="M22">
        <f>$G22*I22</f>
        <v>7200</v>
      </c>
      <c r="N22">
        <f>$G22*K22</f>
        <v>546</v>
      </c>
    </row>
    <row r="23" spans="1:14" x14ac:dyDescent="0.25">
      <c r="A23" t="s">
        <v>20</v>
      </c>
      <c r="C23" t="s">
        <v>17</v>
      </c>
      <c r="D23" t="str">
        <f t="shared" si="0"/>
        <v>coalTotal</v>
      </c>
      <c r="E23" s="3">
        <f>L23</f>
        <v>14.083333333333334</v>
      </c>
      <c r="G23">
        <f>SUM(G20:G22)</f>
        <v>50</v>
      </c>
      <c r="I23" s="4" t="s">
        <v>7</v>
      </c>
      <c r="J23" s="4" t="s">
        <v>7</v>
      </c>
      <c r="K23" s="4" t="s">
        <v>7</v>
      </c>
      <c r="L23" s="3">
        <f>N23/M23*100</f>
        <v>14.083333333333334</v>
      </c>
      <c r="M23">
        <f>SUM(M20:M22)</f>
        <v>16800</v>
      </c>
      <c r="N23">
        <f>SUM(N20:N22)</f>
        <v>2366</v>
      </c>
    </row>
    <row r="24" spans="1:14" x14ac:dyDescent="0.25">
      <c r="D24" t="str">
        <f t="shared" si="0"/>
        <v/>
      </c>
      <c r="E24" s="3"/>
    </row>
    <row r="25" spans="1:14" x14ac:dyDescent="0.25">
      <c r="A25" t="s">
        <v>21</v>
      </c>
      <c r="C25" t="s">
        <v>14</v>
      </c>
      <c r="D25" t="str">
        <f t="shared" si="0"/>
        <v>caterium oreImpure</v>
      </c>
      <c r="E25" s="3">
        <f>L25</f>
        <v>34.666666666666664</v>
      </c>
      <c r="G25">
        <v>0</v>
      </c>
      <c r="I25">
        <v>150</v>
      </c>
      <c r="J25" s="1">
        <v>2.5</v>
      </c>
      <c r="K25">
        <v>52</v>
      </c>
      <c r="L25" s="3">
        <f>100/I25*K25</f>
        <v>34.666666666666664</v>
      </c>
      <c r="M25">
        <f>$G25*I25</f>
        <v>0</v>
      </c>
      <c r="N25">
        <f>$G25*K25</f>
        <v>0</v>
      </c>
    </row>
    <row r="26" spans="1:14" x14ac:dyDescent="0.25">
      <c r="A26" t="s">
        <v>21</v>
      </c>
      <c r="C26" t="s">
        <v>15</v>
      </c>
      <c r="D26" t="str">
        <f>A26&amp;C26</f>
        <v>caterium oreNormal</v>
      </c>
      <c r="E26" s="3">
        <f>L26</f>
        <v>17.333333333333332</v>
      </c>
      <c r="G26">
        <v>8</v>
      </c>
      <c r="I26">
        <v>300</v>
      </c>
      <c r="J26" s="1">
        <v>2.5</v>
      </c>
      <c r="K26">
        <v>52</v>
      </c>
      <c r="L26" s="3">
        <f>100/I26*K26</f>
        <v>17.333333333333332</v>
      </c>
      <c r="M26">
        <f>$G26*I26</f>
        <v>2400</v>
      </c>
      <c r="N26">
        <f>$G26*K26</f>
        <v>416</v>
      </c>
    </row>
    <row r="27" spans="1:14" x14ac:dyDescent="0.25">
      <c r="A27" t="s">
        <v>21</v>
      </c>
      <c r="C27" t="s">
        <v>16</v>
      </c>
      <c r="D27" t="str">
        <f t="shared" si="0"/>
        <v>caterium orePure</v>
      </c>
      <c r="E27" s="3">
        <f>L27</f>
        <v>7.583333333333333</v>
      </c>
      <c r="G27">
        <v>8</v>
      </c>
      <c r="I27">
        <v>480</v>
      </c>
      <c r="J27" s="1">
        <v>2</v>
      </c>
      <c r="K27">
        <v>36.4</v>
      </c>
      <c r="L27" s="3">
        <f>100/I27*K27</f>
        <v>7.583333333333333</v>
      </c>
      <c r="M27">
        <f>$G27*I27</f>
        <v>3840</v>
      </c>
      <c r="N27">
        <f>$G27*K27</f>
        <v>291.2</v>
      </c>
    </row>
    <row r="28" spans="1:14" x14ac:dyDescent="0.25">
      <c r="A28" t="s">
        <v>21</v>
      </c>
      <c r="C28" t="s">
        <v>17</v>
      </c>
      <c r="D28" t="str">
        <f t="shared" si="0"/>
        <v>caterium oreTotal</v>
      </c>
      <c r="E28" s="3">
        <f>L28</f>
        <v>11.333333333333334</v>
      </c>
      <c r="G28">
        <f>SUM(G25:G27)</f>
        <v>16</v>
      </c>
      <c r="I28" s="4" t="s">
        <v>7</v>
      </c>
      <c r="J28" s="4" t="s">
        <v>7</v>
      </c>
      <c r="K28" s="4" t="s">
        <v>7</v>
      </c>
      <c r="L28" s="3">
        <f>N28/M28*100</f>
        <v>11.333333333333334</v>
      </c>
      <c r="M28">
        <f>SUM(M25:M27)</f>
        <v>6240</v>
      </c>
      <c r="N28">
        <f>SUM(N25:N27)</f>
        <v>707.2</v>
      </c>
    </row>
    <row r="29" spans="1:14" x14ac:dyDescent="0.25">
      <c r="D29" t="str">
        <f t="shared" si="0"/>
        <v/>
      </c>
      <c r="E29" s="3"/>
    </row>
    <row r="30" spans="1:14" x14ac:dyDescent="0.25">
      <c r="A30" t="s">
        <v>22</v>
      </c>
      <c r="C30" t="s">
        <v>14</v>
      </c>
      <c r="D30" t="str">
        <f t="shared" si="0"/>
        <v>raw quartzImpure</v>
      </c>
      <c r="E30" s="3">
        <f>L30</f>
        <v>34.666666666666664</v>
      </c>
      <c r="G30">
        <v>0</v>
      </c>
      <c r="I30">
        <v>150</v>
      </c>
      <c r="J30" s="1">
        <v>2.5</v>
      </c>
      <c r="K30">
        <v>52</v>
      </c>
      <c r="L30" s="3">
        <f>100/I30*K30</f>
        <v>34.666666666666664</v>
      </c>
      <c r="M30">
        <f>$G30*I30</f>
        <v>0</v>
      </c>
      <c r="N30">
        <f>$G30*K30</f>
        <v>0</v>
      </c>
    </row>
    <row r="31" spans="1:14" x14ac:dyDescent="0.25">
      <c r="A31" t="s">
        <v>22</v>
      </c>
      <c r="C31" t="s">
        <v>15</v>
      </c>
      <c r="D31" t="str">
        <f t="shared" si="0"/>
        <v>raw quartzNormal</v>
      </c>
      <c r="E31" s="3">
        <f>L31</f>
        <v>17.333333333333332</v>
      </c>
      <c r="G31">
        <v>11</v>
      </c>
      <c r="I31">
        <v>300</v>
      </c>
      <c r="J31" s="1">
        <v>2.5</v>
      </c>
      <c r="K31">
        <v>52</v>
      </c>
      <c r="L31" s="3">
        <f>100/I31*K31</f>
        <v>17.333333333333332</v>
      </c>
      <c r="M31">
        <f>$G31*I31</f>
        <v>3300</v>
      </c>
      <c r="N31">
        <f>$G31*K31</f>
        <v>572</v>
      </c>
    </row>
    <row r="32" spans="1:14" x14ac:dyDescent="0.25">
      <c r="A32" t="s">
        <v>22</v>
      </c>
      <c r="C32" t="s">
        <v>16</v>
      </c>
      <c r="D32" t="str">
        <f t="shared" si="0"/>
        <v>raw quartzPure</v>
      </c>
      <c r="E32" s="3">
        <f>L32</f>
        <v>7.583333333333333</v>
      </c>
      <c r="G32">
        <v>5</v>
      </c>
      <c r="I32">
        <v>480</v>
      </c>
      <c r="J32" s="1">
        <v>2</v>
      </c>
      <c r="K32">
        <v>36.4</v>
      </c>
      <c r="L32" s="3">
        <f>100/I32*K32</f>
        <v>7.583333333333333</v>
      </c>
      <c r="M32">
        <f>$G32*I32</f>
        <v>2400</v>
      </c>
      <c r="N32">
        <f>$G32*K32</f>
        <v>182</v>
      </c>
    </row>
    <row r="33" spans="1:14" x14ac:dyDescent="0.25">
      <c r="A33" t="s">
        <v>22</v>
      </c>
      <c r="C33" t="s">
        <v>17</v>
      </c>
      <c r="D33" t="str">
        <f t="shared" si="0"/>
        <v>raw quartzTotal</v>
      </c>
      <c r="E33" s="3">
        <f>L33</f>
        <v>13.228070175438598</v>
      </c>
      <c r="G33">
        <f>SUM(G30:G32)</f>
        <v>16</v>
      </c>
      <c r="I33" s="4" t="s">
        <v>7</v>
      </c>
      <c r="J33" s="4" t="s">
        <v>7</v>
      </c>
      <c r="K33" s="4" t="s">
        <v>7</v>
      </c>
      <c r="L33" s="3">
        <f>N33/M33*100</f>
        <v>13.228070175438598</v>
      </c>
      <c r="M33">
        <f>SUM(M30:M32)</f>
        <v>5700</v>
      </c>
      <c r="N33">
        <f>SUM(N30:N32)</f>
        <v>754</v>
      </c>
    </row>
    <row r="34" spans="1:14" x14ac:dyDescent="0.25">
      <c r="D34" t="str">
        <f t="shared" si="0"/>
        <v/>
      </c>
      <c r="E34" s="3"/>
    </row>
    <row r="35" spans="1:14" x14ac:dyDescent="0.25">
      <c r="A35" t="s">
        <v>283</v>
      </c>
      <c r="C35" t="s">
        <v>14</v>
      </c>
      <c r="D35" t="str">
        <f t="shared" si="0"/>
        <v>sulfurImpure</v>
      </c>
      <c r="E35" s="3">
        <f>L35</f>
        <v>34.666666666666664</v>
      </c>
      <c r="G35">
        <v>1</v>
      </c>
      <c r="I35">
        <v>150</v>
      </c>
      <c r="J35" s="1">
        <v>2.5</v>
      </c>
      <c r="K35">
        <v>52</v>
      </c>
      <c r="L35" s="3">
        <f>100/I35*K35</f>
        <v>34.666666666666664</v>
      </c>
      <c r="M35">
        <f>$G35*I35</f>
        <v>150</v>
      </c>
      <c r="N35">
        <f>$G35*K35</f>
        <v>52</v>
      </c>
    </row>
    <row r="36" spans="1:14" x14ac:dyDescent="0.25">
      <c r="A36" t="s">
        <v>283</v>
      </c>
      <c r="C36" t="s">
        <v>15</v>
      </c>
      <c r="D36" t="str">
        <f t="shared" si="0"/>
        <v>sulfurNormal</v>
      </c>
      <c r="E36" s="3">
        <f>L36</f>
        <v>17.333333333333332</v>
      </c>
      <c r="G36">
        <v>7</v>
      </c>
      <c r="I36">
        <v>300</v>
      </c>
      <c r="J36" s="1">
        <v>2.5</v>
      </c>
      <c r="K36">
        <v>52</v>
      </c>
      <c r="L36" s="3">
        <f>100/I36*K36</f>
        <v>17.333333333333332</v>
      </c>
      <c r="M36">
        <f>$G36*I36</f>
        <v>2100</v>
      </c>
      <c r="N36">
        <f>$G36*K36</f>
        <v>364</v>
      </c>
    </row>
    <row r="37" spans="1:14" x14ac:dyDescent="0.25">
      <c r="A37" t="s">
        <v>283</v>
      </c>
      <c r="C37" t="s">
        <v>16</v>
      </c>
      <c r="D37" t="str">
        <f t="shared" si="0"/>
        <v>sulfurPure</v>
      </c>
      <c r="E37" s="3">
        <f>L37</f>
        <v>7.583333333333333</v>
      </c>
      <c r="G37">
        <v>3</v>
      </c>
      <c r="I37">
        <v>480</v>
      </c>
      <c r="J37" s="1">
        <v>2</v>
      </c>
      <c r="K37">
        <v>36.4</v>
      </c>
      <c r="L37" s="3">
        <f>100/I37*K37</f>
        <v>7.583333333333333</v>
      </c>
      <c r="M37">
        <f>$G37*I37</f>
        <v>1440</v>
      </c>
      <c r="N37">
        <f>$G37*K37</f>
        <v>109.19999999999999</v>
      </c>
    </row>
    <row r="38" spans="1:14" x14ac:dyDescent="0.25">
      <c r="A38" t="s">
        <v>283</v>
      </c>
      <c r="C38" t="s">
        <v>17</v>
      </c>
      <c r="D38" t="str">
        <f t="shared" si="0"/>
        <v>sulfurTotal</v>
      </c>
      <c r="E38" s="3">
        <f>L38</f>
        <v>14.233062330623309</v>
      </c>
      <c r="G38">
        <f>SUM(G35:G37)</f>
        <v>11</v>
      </c>
      <c r="I38" s="4" t="s">
        <v>7</v>
      </c>
      <c r="J38" s="4" t="s">
        <v>7</v>
      </c>
      <c r="K38" s="4" t="s">
        <v>7</v>
      </c>
      <c r="L38" s="3">
        <f>N38/M38*100</f>
        <v>14.233062330623309</v>
      </c>
      <c r="M38">
        <f>SUM(M35:M37)</f>
        <v>3690</v>
      </c>
      <c r="N38">
        <f>SUM(N35:N37)</f>
        <v>525.20000000000005</v>
      </c>
    </row>
    <row r="39" spans="1:14" x14ac:dyDescent="0.25">
      <c r="D39" t="str">
        <f t="shared" si="0"/>
        <v/>
      </c>
      <c r="E39" s="3"/>
    </row>
    <row r="40" spans="1:14" x14ac:dyDescent="0.25">
      <c r="A40" t="s">
        <v>24</v>
      </c>
      <c r="C40" t="s">
        <v>14</v>
      </c>
      <c r="D40" t="str">
        <f t="shared" si="0"/>
        <v>BauxiteImpure</v>
      </c>
      <c r="E40" s="3">
        <f>L40</f>
        <v>34.666666666666664</v>
      </c>
      <c r="G40">
        <v>5</v>
      </c>
      <c r="I40">
        <v>150</v>
      </c>
      <c r="J40" s="1">
        <v>2.5</v>
      </c>
      <c r="K40">
        <v>52</v>
      </c>
      <c r="L40" s="3">
        <f>100/I40*K40</f>
        <v>34.666666666666664</v>
      </c>
      <c r="M40">
        <f>$G40*I40</f>
        <v>750</v>
      </c>
      <c r="N40">
        <f>$G40*K40</f>
        <v>260</v>
      </c>
    </row>
    <row r="41" spans="1:14" x14ac:dyDescent="0.25">
      <c r="A41" t="s">
        <v>24</v>
      </c>
      <c r="C41" t="s">
        <v>15</v>
      </c>
      <c r="D41" t="str">
        <f t="shared" si="0"/>
        <v>BauxiteNormal</v>
      </c>
      <c r="E41" s="3">
        <f>L41</f>
        <v>17.333333333333332</v>
      </c>
      <c r="G41">
        <v>6</v>
      </c>
      <c r="I41">
        <v>300</v>
      </c>
      <c r="J41" s="1">
        <v>2.5</v>
      </c>
      <c r="K41">
        <v>52</v>
      </c>
      <c r="L41" s="3">
        <f>100/I41*K41</f>
        <v>17.333333333333332</v>
      </c>
      <c r="M41">
        <f>$G41*I41</f>
        <v>1800</v>
      </c>
      <c r="N41">
        <f>$G41*K41</f>
        <v>312</v>
      </c>
    </row>
    <row r="42" spans="1:14" x14ac:dyDescent="0.25">
      <c r="A42" t="s">
        <v>24</v>
      </c>
      <c r="C42" t="s">
        <v>16</v>
      </c>
      <c r="D42" t="str">
        <f t="shared" si="0"/>
        <v>BauxitePure</v>
      </c>
      <c r="E42" s="3">
        <f>L42</f>
        <v>7.583333333333333</v>
      </c>
      <c r="G42">
        <v>6</v>
      </c>
      <c r="I42">
        <v>480</v>
      </c>
      <c r="J42" s="1">
        <v>2</v>
      </c>
      <c r="K42">
        <v>36.4</v>
      </c>
      <c r="L42" s="3">
        <f>100/I42*K42</f>
        <v>7.583333333333333</v>
      </c>
      <c r="M42">
        <f>$G42*I42</f>
        <v>2880</v>
      </c>
      <c r="N42">
        <f>$G42*K42</f>
        <v>218.39999999999998</v>
      </c>
    </row>
    <row r="43" spans="1:14" x14ac:dyDescent="0.25">
      <c r="A43" t="s">
        <v>24</v>
      </c>
      <c r="C43" t="s">
        <v>17</v>
      </c>
      <c r="D43" t="str">
        <f t="shared" si="0"/>
        <v>BauxiteTotal</v>
      </c>
      <c r="E43" s="3">
        <f>L43</f>
        <v>14.556169429097606</v>
      </c>
      <c r="G43">
        <f>SUM(G40:G42)</f>
        <v>17</v>
      </c>
      <c r="I43" s="4" t="s">
        <v>7</v>
      </c>
      <c r="J43" s="4" t="s">
        <v>7</v>
      </c>
      <c r="K43" s="4" t="s">
        <v>7</v>
      </c>
      <c r="L43" s="3">
        <f>N43/M43*100</f>
        <v>14.556169429097606</v>
      </c>
      <c r="M43">
        <f>SUM(M40:M42)</f>
        <v>5430</v>
      </c>
      <c r="N43">
        <f>SUM(N40:N42)</f>
        <v>790.4</v>
      </c>
    </row>
    <row r="44" spans="1:14" x14ac:dyDescent="0.25">
      <c r="D44" t="str">
        <f t="shared" si="0"/>
        <v/>
      </c>
      <c r="E44" s="3"/>
    </row>
    <row r="45" spans="1:14" x14ac:dyDescent="0.25">
      <c r="A45" t="s">
        <v>25</v>
      </c>
      <c r="C45" t="s">
        <v>14</v>
      </c>
      <c r="D45" t="str">
        <f t="shared" si="0"/>
        <v>UraniumImpure</v>
      </c>
      <c r="E45" s="3">
        <f>L45</f>
        <v>34.666666666666664</v>
      </c>
      <c r="G45">
        <v>1</v>
      </c>
      <c r="I45">
        <v>150</v>
      </c>
      <c r="J45" s="1">
        <v>2.5</v>
      </c>
      <c r="K45">
        <v>52</v>
      </c>
      <c r="L45" s="3">
        <f>100/I45*K45</f>
        <v>34.666666666666664</v>
      </c>
      <c r="M45">
        <f>$G45*I45</f>
        <v>150</v>
      </c>
      <c r="N45">
        <f>$G45*K45</f>
        <v>52</v>
      </c>
    </row>
    <row r="46" spans="1:14" x14ac:dyDescent="0.25">
      <c r="A46" t="s">
        <v>25</v>
      </c>
      <c r="C46" t="s">
        <v>15</v>
      </c>
      <c r="D46" t="str">
        <f t="shared" si="0"/>
        <v>UraniumNormal</v>
      </c>
      <c r="E46" s="3">
        <f>L46</f>
        <v>17.333333333333332</v>
      </c>
      <c r="G46">
        <v>3</v>
      </c>
      <c r="I46">
        <v>300</v>
      </c>
      <c r="J46" s="1">
        <v>2.5</v>
      </c>
      <c r="K46">
        <v>52</v>
      </c>
      <c r="L46" s="3">
        <f>100/I46*K46</f>
        <v>17.333333333333332</v>
      </c>
      <c r="M46">
        <f>$G46*I46</f>
        <v>900</v>
      </c>
      <c r="N46">
        <f>$G46*K46</f>
        <v>156</v>
      </c>
    </row>
    <row r="47" spans="1:14" x14ac:dyDescent="0.25">
      <c r="A47" t="s">
        <v>25</v>
      </c>
      <c r="C47" t="s">
        <v>16</v>
      </c>
      <c r="D47" t="str">
        <f t="shared" si="0"/>
        <v>UraniumPure</v>
      </c>
      <c r="E47" s="3">
        <f>L47</f>
        <v>7.583333333333333</v>
      </c>
      <c r="G47">
        <v>0</v>
      </c>
      <c r="I47">
        <v>480</v>
      </c>
      <c r="J47" s="1">
        <v>2</v>
      </c>
      <c r="K47">
        <v>36.4</v>
      </c>
      <c r="L47" s="3">
        <f>100/I47*K47</f>
        <v>7.583333333333333</v>
      </c>
      <c r="M47">
        <f>$G47*I47</f>
        <v>0</v>
      </c>
      <c r="N47">
        <f>$G47*K47</f>
        <v>0</v>
      </c>
    </row>
    <row r="48" spans="1:14" x14ac:dyDescent="0.25">
      <c r="A48" t="s">
        <v>25</v>
      </c>
      <c r="C48" t="s">
        <v>17</v>
      </c>
      <c r="D48" t="str">
        <f t="shared" si="0"/>
        <v>UraniumTotal</v>
      </c>
      <c r="E48" s="3">
        <f>L48</f>
        <v>19.80952380952381</v>
      </c>
      <c r="G48">
        <f>SUM(G45:G47)</f>
        <v>4</v>
      </c>
      <c r="I48" s="4" t="s">
        <v>7</v>
      </c>
      <c r="J48" s="4" t="s">
        <v>7</v>
      </c>
      <c r="K48" s="4" t="s">
        <v>7</v>
      </c>
      <c r="L48" s="3">
        <f>N48/M48*100</f>
        <v>19.80952380952381</v>
      </c>
      <c r="M48">
        <f>SUM(M45:M47)</f>
        <v>1050</v>
      </c>
      <c r="N48">
        <f>SUM(N45:N47)</f>
        <v>208</v>
      </c>
    </row>
    <row r="49" spans="1:27" x14ac:dyDescent="0.25">
      <c r="E49" s="3"/>
      <c r="I49" s="4"/>
      <c r="J49" s="4"/>
      <c r="K49" s="4"/>
      <c r="L49" s="3"/>
    </row>
    <row r="50" spans="1:27" x14ac:dyDescent="0.25">
      <c r="E50" s="3"/>
    </row>
    <row r="51" spans="1:27" x14ac:dyDescent="0.25">
      <c r="A51" t="s">
        <v>26</v>
      </c>
      <c r="C51" t="s">
        <v>17</v>
      </c>
      <c r="D51" t="str">
        <f>A51&amp;C51</f>
        <v>WaterTotal</v>
      </c>
      <c r="E51" s="3">
        <f>L51</f>
        <v>16.666666666666668</v>
      </c>
      <c r="G51">
        <v>1</v>
      </c>
      <c r="I51">
        <v>120</v>
      </c>
      <c r="J51" s="1">
        <v>1</v>
      </c>
      <c r="K51">
        <v>20</v>
      </c>
      <c r="L51" s="3">
        <f>100/I51*K51</f>
        <v>16.666666666666668</v>
      </c>
      <c r="M51">
        <f>$G51*I51</f>
        <v>120</v>
      </c>
      <c r="N51">
        <f>$G51*K51</f>
        <v>20</v>
      </c>
    </row>
    <row r="52" spans="1:27" x14ac:dyDescent="0.25">
      <c r="E52" s="3"/>
      <c r="J52" s="1"/>
      <c r="L52" s="3"/>
    </row>
    <row r="53" spans="1:27" x14ac:dyDescent="0.25">
      <c r="A53" t="s">
        <v>27</v>
      </c>
      <c r="C53" t="s">
        <v>17</v>
      </c>
      <c r="D53" t="str">
        <f t="shared" ref="D53:D62" si="1">A53&amp;C53</f>
        <v>nothingTotal</v>
      </c>
      <c r="E53" s="3">
        <f>L53</f>
        <v>0</v>
      </c>
      <c r="J53" s="1"/>
      <c r="L53" s="3"/>
    </row>
    <row r="54" spans="1:27" x14ac:dyDescent="0.25">
      <c r="D54" t="str">
        <f t="shared" si="1"/>
        <v/>
      </c>
      <c r="E54" s="3"/>
      <c r="I54" t="s">
        <v>28</v>
      </c>
    </row>
    <row r="55" spans="1:27" x14ac:dyDescent="0.25">
      <c r="A55" t="s">
        <v>29</v>
      </c>
      <c r="C55" t="s">
        <v>30</v>
      </c>
      <c r="D55" t="str">
        <f t="shared" si="1"/>
        <v>OilImpure node</v>
      </c>
      <c r="E55" s="3">
        <f>L55</f>
        <v>89.539999999999992</v>
      </c>
      <c r="G55">
        <v>10</v>
      </c>
      <c r="I55">
        <v>150</v>
      </c>
      <c r="J55" s="1">
        <v>2.5</v>
      </c>
      <c r="K55">
        <v>134.31</v>
      </c>
      <c r="L55" s="3">
        <f>100/I55*K55</f>
        <v>89.539999999999992</v>
      </c>
      <c r="M55">
        <f>$G55*I55</f>
        <v>1500</v>
      </c>
      <c r="N55" s="9">
        <f>$G55*K55</f>
        <v>1343.1</v>
      </c>
    </row>
    <row r="56" spans="1:27" x14ac:dyDescent="0.25">
      <c r="A56" t="s">
        <v>29</v>
      </c>
      <c r="C56" t="s">
        <v>31</v>
      </c>
      <c r="D56" t="str">
        <f t="shared" si="1"/>
        <v>OilNormal node</v>
      </c>
      <c r="E56" s="3">
        <f>L56</f>
        <v>44.769999999999996</v>
      </c>
      <c r="G56">
        <v>12</v>
      </c>
      <c r="I56">
        <v>300</v>
      </c>
      <c r="J56" s="1">
        <v>2.5</v>
      </c>
      <c r="K56">
        <v>134.31</v>
      </c>
      <c r="L56" s="3">
        <f>100/I56*K56</f>
        <v>44.769999999999996</v>
      </c>
      <c r="M56">
        <f>$G56*I56</f>
        <v>3600</v>
      </c>
      <c r="N56" s="9">
        <f>$G56*K56</f>
        <v>1611.72</v>
      </c>
    </row>
    <row r="57" spans="1:27" x14ac:dyDescent="0.25">
      <c r="A57" t="s">
        <v>29</v>
      </c>
      <c r="C57" t="s">
        <v>32</v>
      </c>
      <c r="D57" t="str">
        <f t="shared" si="1"/>
        <v>OilPure node</v>
      </c>
      <c r="E57" s="3">
        <f>L57</f>
        <v>22.384999999999998</v>
      </c>
      <c r="G57">
        <v>8</v>
      </c>
      <c r="I57">
        <v>600</v>
      </c>
      <c r="J57" s="1">
        <v>2.5</v>
      </c>
      <c r="K57">
        <v>134.31</v>
      </c>
      <c r="L57" s="3">
        <f>100/I57*K57</f>
        <v>22.384999999999998</v>
      </c>
      <c r="M57">
        <f>$G57*I57</f>
        <v>4800</v>
      </c>
      <c r="N57" s="9">
        <f>$G57*K57</f>
        <v>1074.48</v>
      </c>
    </row>
    <row r="58" spans="1:27" x14ac:dyDescent="0.25">
      <c r="D58" t="str">
        <f t="shared" si="1"/>
        <v/>
      </c>
      <c r="E58" s="3"/>
      <c r="I58" t="s">
        <v>33</v>
      </c>
    </row>
    <row r="59" spans="1:27" x14ac:dyDescent="0.25">
      <c r="A59" t="s">
        <v>29</v>
      </c>
      <c r="C59" t="s">
        <v>34</v>
      </c>
      <c r="D59" t="str">
        <f t="shared" si="1"/>
        <v>OilImpure well</v>
      </c>
      <c r="E59" s="3">
        <f>L59</f>
        <v>55.962222222222223</v>
      </c>
      <c r="G59">
        <v>6</v>
      </c>
      <c r="I59">
        <v>75</v>
      </c>
      <c r="J59" s="1">
        <v>2.5</v>
      </c>
      <c r="K59" s="3">
        <v>41.971666666666671</v>
      </c>
      <c r="L59" s="3">
        <f>100/I59*K59</f>
        <v>55.962222222222223</v>
      </c>
      <c r="M59">
        <f>$G59*I59</f>
        <v>450</v>
      </c>
      <c r="N59" s="3">
        <f>$G59*K59</f>
        <v>251.83000000000004</v>
      </c>
    </row>
    <row r="60" spans="1:27" x14ac:dyDescent="0.25">
      <c r="A60" t="s">
        <v>29</v>
      </c>
      <c r="C60" t="s">
        <v>35</v>
      </c>
      <c r="D60" t="str">
        <f t="shared" si="1"/>
        <v>Oilnormal well</v>
      </c>
      <c r="E60" s="3">
        <f>L60</f>
        <v>55.962222222222223</v>
      </c>
      <c r="G60">
        <v>3</v>
      </c>
      <c r="I60">
        <v>150</v>
      </c>
      <c r="J60" s="1">
        <v>2.5</v>
      </c>
      <c r="K60" s="3">
        <v>83.943333333333342</v>
      </c>
      <c r="L60" s="3">
        <f>100/I60*K60</f>
        <v>55.962222222222223</v>
      </c>
      <c r="M60">
        <f>$G60*I60</f>
        <v>450</v>
      </c>
      <c r="N60" s="3">
        <f>$G60*K60</f>
        <v>251.83000000000004</v>
      </c>
    </row>
    <row r="61" spans="1:27" x14ac:dyDescent="0.25">
      <c r="A61" t="s">
        <v>29</v>
      </c>
      <c r="C61" t="s">
        <v>36</v>
      </c>
      <c r="D61" t="str">
        <f t="shared" si="1"/>
        <v>OilPur well</v>
      </c>
      <c r="E61" s="3">
        <f>L61</f>
        <v>55.962222222222223</v>
      </c>
      <c r="G61">
        <v>3</v>
      </c>
      <c r="I61">
        <v>300</v>
      </c>
      <c r="J61" s="1">
        <v>2.5</v>
      </c>
      <c r="K61" s="3">
        <v>167.88666666666668</v>
      </c>
      <c r="L61" s="3">
        <f>100/I61*K61</f>
        <v>55.962222222222223</v>
      </c>
      <c r="M61">
        <f>$G61*I61</f>
        <v>900</v>
      </c>
      <c r="N61" s="3">
        <f>$G61*K61</f>
        <v>503.66000000000008</v>
      </c>
    </row>
    <row r="62" spans="1:27" x14ac:dyDescent="0.25">
      <c r="A62" t="s">
        <v>29</v>
      </c>
      <c r="C62" t="s">
        <v>17</v>
      </c>
      <c r="D62" t="str">
        <f t="shared" si="1"/>
        <v>OilTotal</v>
      </c>
      <c r="E62" s="3">
        <f>L62</f>
        <v>43.048034188034187</v>
      </c>
      <c r="G62">
        <f>SUM(G55:G61)</f>
        <v>42</v>
      </c>
      <c r="I62" s="4" t="s">
        <v>7</v>
      </c>
      <c r="J62" s="4" t="s">
        <v>7</v>
      </c>
      <c r="K62" s="4" t="s">
        <v>7</v>
      </c>
      <c r="L62" s="3">
        <f>N62/M62*100</f>
        <v>43.048034188034187</v>
      </c>
      <c r="M62">
        <f>SUM(M55:M61)</f>
        <v>11700</v>
      </c>
      <c r="N62" s="9">
        <f>SUM(N55:N61)</f>
        <v>5036.62</v>
      </c>
    </row>
    <row r="63" spans="1:27" x14ac:dyDescent="0.25">
      <c r="I63" s="4"/>
      <c r="J63" s="4"/>
      <c r="K63" s="4"/>
      <c r="L63" s="3"/>
    </row>
    <row r="64" spans="1:27" x14ac:dyDescent="0.25">
      <c r="A64" s="12"/>
      <c r="B64" s="12"/>
      <c r="C64" s="12"/>
      <c r="D64" s="12"/>
      <c r="E64" s="12"/>
      <c r="F64" s="12"/>
      <c r="G64" s="12"/>
      <c r="H64" s="12"/>
      <c r="I64" s="13"/>
      <c r="J64" s="13"/>
      <c r="K64" s="13"/>
      <c r="L64" s="14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37" x14ac:dyDescent="0.25">
      <c r="G65" s="69">
        <v>1</v>
      </c>
      <c r="H65" s="69"/>
      <c r="I65" s="69"/>
      <c r="J65" s="69">
        <v>2</v>
      </c>
      <c r="K65" s="69"/>
      <c r="L65" s="69"/>
      <c r="M65" s="69">
        <v>3</v>
      </c>
      <c r="N65" s="69"/>
      <c r="O65" s="69"/>
      <c r="P65" s="69">
        <v>4</v>
      </c>
      <c r="Q65" s="69"/>
      <c r="R65" s="69"/>
      <c r="AA65" s="69" t="s">
        <v>37</v>
      </c>
      <c r="AB65" s="69"/>
      <c r="AC65" s="69"/>
      <c r="AD65" s="69"/>
      <c r="AE65" s="69"/>
      <c r="AF65" s="69"/>
      <c r="AG65" s="69"/>
      <c r="AH65" s="69"/>
      <c r="AI65" s="69"/>
      <c r="AJ65" s="69"/>
      <c r="AK65" s="69"/>
    </row>
    <row r="66" spans="1:37" x14ac:dyDescent="0.25">
      <c r="E66" s="25" t="s">
        <v>5</v>
      </c>
      <c r="G66" s="22" t="s">
        <v>38</v>
      </c>
      <c r="H66" s="22" t="s">
        <v>39</v>
      </c>
      <c r="I66" t="s">
        <v>40</v>
      </c>
      <c r="J66" s="22" t="s">
        <v>41</v>
      </c>
      <c r="K66" s="22" t="s">
        <v>42</v>
      </c>
      <c r="L66" t="s">
        <v>43</v>
      </c>
      <c r="M66" s="22" t="s">
        <v>44</v>
      </c>
      <c r="N66" s="22" t="s">
        <v>45</v>
      </c>
      <c r="O66" t="s">
        <v>46</v>
      </c>
      <c r="P66" s="22" t="s">
        <v>47</v>
      </c>
      <c r="Q66" s="22" t="s">
        <v>48</v>
      </c>
      <c r="R66" t="s">
        <v>49</v>
      </c>
      <c r="T66" t="s">
        <v>50</v>
      </c>
      <c r="V66" s="22" t="s">
        <v>51</v>
      </c>
      <c r="W66" s="22" t="s">
        <v>52</v>
      </c>
      <c r="X66" s="22" t="s">
        <v>53</v>
      </c>
      <c r="AA66" t="s">
        <v>13</v>
      </c>
      <c r="AB66" s="42" t="s">
        <v>18</v>
      </c>
      <c r="AC66" t="s">
        <v>19</v>
      </c>
      <c r="AD66" t="s">
        <v>20</v>
      </c>
      <c r="AE66" t="s">
        <v>21</v>
      </c>
      <c r="AF66" t="s">
        <v>22</v>
      </c>
      <c r="AG66" t="s">
        <v>23</v>
      </c>
      <c r="AH66" t="s">
        <v>24</v>
      </c>
      <c r="AI66" t="s">
        <v>25</v>
      </c>
      <c r="AJ66" t="s">
        <v>26</v>
      </c>
      <c r="AK66" t="s">
        <v>29</v>
      </c>
    </row>
    <row r="67" spans="1:37" x14ac:dyDescent="0.25">
      <c r="A67" t="s">
        <v>54</v>
      </c>
      <c r="B67" t="s">
        <v>54</v>
      </c>
      <c r="C67" t="s">
        <v>17</v>
      </c>
      <c r="D67" t="str">
        <f>A67&amp;C67</f>
        <v>Iron IngotTotal</v>
      </c>
      <c r="E67" s="26">
        <f>100/X67*(T67+W67)</f>
        <v>27.369196463103336</v>
      </c>
      <c r="F67" s="68">
        <f>100/X67*(W67)</f>
        <v>13.333333333333334</v>
      </c>
      <c r="G67" t="s">
        <v>13</v>
      </c>
      <c r="H67" s="22">
        <v>30</v>
      </c>
      <c r="I67" s="3">
        <f>VLOOKUP(G67&amp;"Total",$D:$AB,2,FALSE)/100*H67</f>
        <v>4.2107589389310016</v>
      </c>
      <c r="J67" s="22" t="s">
        <v>27</v>
      </c>
      <c r="K67" s="22"/>
      <c r="L67" s="3">
        <f>VLOOKUP(J67&amp;"Total",$D:$AB,2,FALSE)/100*K67</f>
        <v>0</v>
      </c>
      <c r="M67" s="22" t="s">
        <v>27</v>
      </c>
      <c r="N67" s="22"/>
      <c r="O67" s="3">
        <f>VLOOKUP(M67&amp;"Total",$D:$AB,2,FALSE)/100*N67</f>
        <v>0</v>
      </c>
      <c r="P67" s="22" t="s">
        <v>27</v>
      </c>
      <c r="Q67" s="22"/>
      <c r="R67" s="3">
        <f>VLOOKUP(P67&amp;"Total",$D:$AB,2,FALSE)/100*Q67</f>
        <v>0</v>
      </c>
      <c r="T67" s="3">
        <f t="shared" ref="T67:T69" si="2">I67+L67+O67+R67</f>
        <v>4.2107589389310016</v>
      </c>
      <c r="V67" s="22" t="s">
        <v>55</v>
      </c>
      <c r="W67" s="22">
        <v>4</v>
      </c>
      <c r="X67" s="22">
        <v>30</v>
      </c>
      <c r="AA67" s="3">
        <f>100/$X67*$H67*VLOOKUP($G67&amp;"Total",$D:$AK,24,FALSE)/100+100/$X67*$K67*VLOOKUP($J67&amp;"Total",$D:$AK,24,FALSE)/100+100/$X67*$N67*VLOOKUP($M67&amp;"Total",$D:$AK,24,FALSE)/100+100/$X67*$Q67*VLOOKUP($P67&amp;"Total",$D:$AK,24,FALSE)/100+
(IF($G67=AA$66,$H67,0)+IF($J67=AA$66,$K67,0)+IF($M67=AA$66,$N67,0)+IF($P67=AA$66,$Q67,0))*100/$X67</f>
        <v>100</v>
      </c>
      <c r="AB67" s="3">
        <f>100/$X67*$H67*VLOOKUP($G67&amp;"Total",$D:$AK,25,FALSE)/100+100/$X67*$K67*VLOOKUP($J67&amp;"Total",$D:$AK,25,FALSE)/100+100/$X67*$N67*VLOOKUP($M67&amp;"Total",$D:$AK,25,FALSE)/100+100/$X67*$Q67*VLOOKUP($P67&amp;"Total",$D:$AK,25,FALSE)/100+
(IF($G67=AB$66,$H67,0)+IF($J67=AB$66,$K67,0)+IF($M67=AB$66,$N67,0)+IF($P67=AB$66,$Q67,0))*100/$X67</f>
        <v>0</v>
      </c>
      <c r="AC67" s="3">
        <f>100/$X67*$H67*VLOOKUP($G67&amp;"Total",$D:$AK,26,FALSE)/100+100/$X67*$K67*VLOOKUP($J67&amp;"Total",$D:$AK,26,FALSE)/100+100/$X67*$N67*VLOOKUP($M67&amp;"Total",$D:$AK,26,FALSE)/100+100/$X67*$Q67*VLOOKUP($P67&amp;"Total",$D:$AK,26,FALSE)/100+
(IF($G67=AC$66,$H67,0)+IF($J67=AC$66,$K67,0)+IF($M67=AC$66,$N67,0)+IF($P67=AC$66,$Q67,0))*100/$X67</f>
        <v>0</v>
      </c>
      <c r="AD67" s="3">
        <f>100/$X67*$H67*VLOOKUP($G67&amp;"Total",$D:$AK,27,FALSE)/100+100/$X67*$K67*VLOOKUP($J67&amp;"Total",$D:$AK,27,FALSE)/100+100/$X67*$N67*VLOOKUP($M67&amp;"Total",$D:$AK,27,FALSE)/100+100/$X67*$Q67*VLOOKUP($P67&amp;"Total",$D:$AK,27,FALSE)/100+
(IF($G67=AD$66,$H67,0)+IF($J67=AD$66,$K67,0)+IF($M67=AD$66,$N67,0)+IF($P67=AD$66,$Q67,0))*100/$X67</f>
        <v>0</v>
      </c>
      <c r="AE67" s="3">
        <f>100/$X67*$H67*VLOOKUP($G67&amp;"Total",$D:$AK,28,FALSE)/100+100/$X67*$K67*VLOOKUP($J67&amp;"Total",$D:$AK,28,FALSE)/100+100/$X67*$N67*VLOOKUP($M67&amp;"Total",$D:$AK,28,FALSE)/100+100/$X67*$Q67*VLOOKUP($P67&amp;"Total",$D:$AK,28,FALSE)/100+
(IF($G67=AE$66,$H67,0)+IF($J67=AE$66,$K67,0)+IF($M67=AE$66,$N67,0)+IF($P67=AE$66,$Q67,0))*100/$X67</f>
        <v>0</v>
      </c>
      <c r="AF67" s="3">
        <f>100/$X67*$H67*VLOOKUP($G67&amp;"Total",$D:$AK,29,FALSE)/100+100/$X67*$K67*VLOOKUP($J67&amp;"Total",$D:$AK,29,FALSE)/100+100/$X67*$N67*VLOOKUP($M67&amp;"Total",$D:$AK,29,FALSE)/100+100/$X67*$Q67*VLOOKUP($P67&amp;"Total",$D:$AK,29,FALSE)/100+
(IF($G67=AF$66,$H67,0)+IF($J67=AF$66,$K67,0)+IF($M67=AF$66,$N67,0)+IF($P67=AF$66,$Q67,0))*100/$X67</f>
        <v>0</v>
      </c>
      <c r="AG67" s="3">
        <f>100/$X67*$H67*VLOOKUP($G67&amp;"Total",$D:$AK,30,FALSE)/100+100/$X67*$K67*VLOOKUP($J67&amp;"Total",$D:$AK,30,FALSE)/100+100/$X67*$N67*VLOOKUP($M67&amp;"Total",$D:$AK,30,FALSE)/100+100/$X67*$Q67*VLOOKUP($P67&amp;"Total",$D:$AK,30,FALSE)/100+
(IF($G67=AG$66,$H67,0)+IF($J67=AG$66,$K67,0)+IF($M67=AG$66,$N67,0)+IF($P67=AG$66,$Q67,0))*100/$X67</f>
        <v>0</v>
      </c>
      <c r="AH67" s="3">
        <f>100/$X67*$H67*VLOOKUP($G67&amp;"Total",$D:$AK,31,FALSE)/100+100/$X67*$K67*VLOOKUP($J67&amp;"Total",$D:$AK,31,FALSE)/100+100/$X67*$N67*VLOOKUP($M67&amp;"Total",$D:$AK,31,FALSE)/100+100/$X67*$Q67*VLOOKUP($P67&amp;"Total",$D:$AK,31,FALSE)/100+
(IF($G67=AH$66,$H67,0)+IF($J67=AH$66,$K67,0)+IF($M67=AH$66,$N67,0)+IF($P67=AH$66,$Q67,0))*100/$X67</f>
        <v>0</v>
      </c>
      <c r="AI67" s="3">
        <f>100/$X67*$H67*VLOOKUP($G67&amp;"Total",$D:$AK,32,FALSE)/100+100/$X67*$K67*VLOOKUP($J67&amp;"Total",$D:$AK,32,FALSE)/100+100/$X67*$N67*VLOOKUP($M67&amp;"Total",$D:$AK,32,FALSE)/100+100/$X67*$Q67*VLOOKUP($P67&amp;"Total",$D:$AK,32,FALSE)/100+
(IF($G67=AI$66,$H67,0)+IF($J67=AI$66,$K67,0)+IF($M67=AI$66,$N67,0)+IF($P67=AI$66,$Q67,0))*100/$X67</f>
        <v>0</v>
      </c>
      <c r="AJ67" s="3">
        <f>100/$X67*$H67*VLOOKUP($G67&amp;"Total",$D:$AK,33,FALSE)/100+100/$X67*$K67*VLOOKUP($J67&amp;"Total",$D:$AK,33,FALSE)/100+100/$X67*$N67*VLOOKUP($M67&amp;"Total",$D:$AK,33,FALSE)/100+100/$X67*$Q67*VLOOKUP($P67&amp;"Total",$D:$AK,33,FALSE)/100+
(IF($G67=AJ$66,$H67,0)+IF($J67=AJ$66,$K67,0)+IF($M67=AJ$66,$N67,0)+IF($P67=AJ$66,$Q67,0))*100/$X67</f>
        <v>0</v>
      </c>
      <c r="AK67" s="3">
        <f>100/$X67*$H67*VLOOKUP($G67&amp;"Total",$D:$AK,34,FALSE)/100+100/$X67*$K67*VLOOKUP($J67&amp;"Total",$D:$AK,34,FALSE)/100+100/$X67*$N67*VLOOKUP($M67&amp;"Total",$D:$AK,34,FALSE)/100+100/$X67*$Q67*VLOOKUP($P67&amp;"Total",$D:$AK,34,FALSE)/100+
(IF($G67=AK$66,$H67,0)+IF($J67=AK$66,$K67,0)+IF($M67=AK$66,$N67,0)+IF($P67=AK$66,$Q67,0))*100/$X67</f>
        <v>0</v>
      </c>
    </row>
    <row r="68" spans="1:37" x14ac:dyDescent="0.25">
      <c r="A68" t="s">
        <v>54</v>
      </c>
      <c r="B68" t="s">
        <v>56</v>
      </c>
      <c r="D68" t="str">
        <f t="shared" ref="D68:D69" si="3">A68&amp;C68</f>
        <v>Iron Ingot</v>
      </c>
      <c r="E68" s="26">
        <f t="shared" ref="E68:E69" si="4">100/X68*(T68+W68)</f>
        <v>43.702804310579829</v>
      </c>
      <c r="F68" s="68">
        <f>100/X68*(W68)</f>
        <v>32</v>
      </c>
      <c r="G68" t="s">
        <v>13</v>
      </c>
      <c r="H68" s="22">
        <v>20</v>
      </c>
      <c r="I68" s="3">
        <f>VLOOKUP(G68&amp;"Total",$D:$AB,2,FALSE)/100*H68</f>
        <v>2.8071726259540011</v>
      </c>
      <c r="J68" t="s">
        <v>18</v>
      </c>
      <c r="K68" s="22">
        <v>20</v>
      </c>
      <c r="L68" s="3">
        <f>VLOOKUP(J68&amp;"Total",$D:$AB,2,FALSE)/100*K68</f>
        <v>3.0442295293359125</v>
      </c>
      <c r="M68" s="22" t="s">
        <v>27</v>
      </c>
      <c r="N68" s="22"/>
      <c r="O68" s="3">
        <f>VLOOKUP(M68&amp;"Total",$D:$AB,2,FALSE)/100*N68</f>
        <v>0</v>
      </c>
      <c r="P68" s="22" t="s">
        <v>27</v>
      </c>
      <c r="Q68" s="22"/>
      <c r="R68" s="3">
        <f>VLOOKUP(P68&amp;"Total",$D:$AB,2,FALSE)/100*Q68</f>
        <v>0</v>
      </c>
      <c r="T68" s="3">
        <f t="shared" si="2"/>
        <v>5.8514021552899136</v>
      </c>
      <c r="V68" s="22" t="s">
        <v>57</v>
      </c>
      <c r="W68" s="22">
        <v>16</v>
      </c>
      <c r="X68" s="22">
        <v>50</v>
      </c>
      <c r="AA68" s="3">
        <f>100/$X68*$H68*VLOOKUP($G68&amp;"Total",$D:$AK,24,FALSE)/100+100/$X68*$K68*VLOOKUP($J68&amp;"Total",$D:$AK,24,FALSE)/100+100/$X68*$N68*VLOOKUP($M68&amp;"Total",$D:$AK,24,FALSE)/100+100/$X68*$Q68*VLOOKUP($P68&amp;"Total",$D:$AK,24,FALSE)/100+
(IF($G68=AA$66,$H68,0)+IF($J68=AA$66,$K68,0)+IF($M68=AA$66,$N68,0)+IF($P68=AA$66,$Q68,0))*100/$X68</f>
        <v>40</v>
      </c>
      <c r="AB68" s="3">
        <f>100/$X68*$H68*VLOOKUP($G68&amp;"Total",$D:$AK,25,FALSE)/100+100/$X68*$K68*VLOOKUP($J68&amp;"Total",$D:$AK,25,FALSE)/100+100/$X68*$N68*VLOOKUP($M68&amp;"Total",$D:$AK,25,FALSE)/100+100/$X68*$Q68*VLOOKUP($P68&amp;"Total",$D:$AK,25,FALSE)/100+
(IF($G68=AB$66,$H68,0)+IF($J68=AB$66,$K68,0)+IF($M68=AB$66,$N68,0)+IF($P68=AB$66,$Q68,0))*100/$X68</f>
        <v>40</v>
      </c>
      <c r="AC68" s="3">
        <f>100/$X68*$H68*VLOOKUP($G68&amp;"Total",$D:$AK,26,FALSE)/100+100/$X68*$K68*VLOOKUP($J68&amp;"Total",$D:$AK,26,FALSE)/100+100/$X68*$N68*VLOOKUP($M68&amp;"Total",$D:$AK,26,FALSE)/100+100/$X68*$Q68*VLOOKUP($P68&amp;"Total",$D:$AK,26,FALSE)/100+
(IF($G68=AC$66,$H68,0)+IF($J68=AC$66,$K68,0)+IF($M68=AC$66,$N68,0)+IF($P68=AC$66,$Q68,0))*100/$X68</f>
        <v>0</v>
      </c>
      <c r="AD68" s="3">
        <f>100/$X68*$H68*VLOOKUP($G68&amp;"Total",$D:$AK,27,FALSE)/100+100/$X68*$K68*VLOOKUP($J68&amp;"Total",$D:$AK,27,FALSE)/100+100/$X68*$N68*VLOOKUP($M68&amp;"Total",$D:$AK,27,FALSE)/100+100/$X68*$Q68*VLOOKUP($P68&amp;"Total",$D:$AK,27,FALSE)/100+
(IF($G68=AD$66,$H68,0)+IF($J68=AD$66,$K68,0)+IF($M68=AD$66,$N68,0)+IF($P68=AD$66,$Q68,0))*100/$X68</f>
        <v>0</v>
      </c>
      <c r="AE68" s="3">
        <f>100/$X68*$H68*VLOOKUP($G68&amp;"Total",$D:$AK,28,FALSE)/100+100/$X68*$K68*VLOOKUP($J68&amp;"Total",$D:$AK,28,FALSE)/100+100/$X68*$N68*VLOOKUP($M68&amp;"Total",$D:$AK,28,FALSE)/100+100/$X68*$Q68*VLOOKUP($P68&amp;"Total",$D:$AK,28,FALSE)/100+
(IF($G68=AE$66,$H68,0)+IF($J68=AE$66,$K68,0)+IF($M68=AE$66,$N68,0)+IF($P68=AE$66,$Q68,0))*100/$X68</f>
        <v>0</v>
      </c>
      <c r="AF68" s="3">
        <f>100/$X68*$H68*VLOOKUP($G68&amp;"Total",$D:$AK,29,FALSE)/100+100/$X68*$K68*VLOOKUP($J68&amp;"Total",$D:$AK,29,FALSE)/100+100/$X68*$N68*VLOOKUP($M68&amp;"Total",$D:$AK,29,FALSE)/100+100/$X68*$Q68*VLOOKUP($P68&amp;"Total",$D:$AK,29,FALSE)/100+
(IF($G68=AF$66,$H68,0)+IF($J68=AF$66,$K68,0)+IF($M68=AF$66,$N68,0)+IF($P68=AF$66,$Q68,0))*100/$X68</f>
        <v>0</v>
      </c>
      <c r="AG68" s="3">
        <f>100/$X68*$H68*VLOOKUP($G68&amp;"Total",$D:$AK,30,FALSE)/100+100/$X68*$K68*VLOOKUP($J68&amp;"Total",$D:$AK,30,FALSE)/100+100/$X68*$N68*VLOOKUP($M68&amp;"Total",$D:$AK,30,FALSE)/100+100/$X68*$Q68*VLOOKUP($P68&amp;"Total",$D:$AK,30,FALSE)/100+
(IF($G68=AG$66,$H68,0)+IF($J68=AG$66,$K68,0)+IF($M68=AG$66,$N68,0)+IF($P68=AG$66,$Q68,0))*100/$X68</f>
        <v>0</v>
      </c>
      <c r="AH68" s="3">
        <f>100/$X68*$H68*VLOOKUP($G68&amp;"Total",$D:$AK,31,FALSE)/100+100/$X68*$K68*VLOOKUP($J68&amp;"Total",$D:$AK,31,FALSE)/100+100/$X68*$N68*VLOOKUP($M68&amp;"Total",$D:$AK,31,FALSE)/100+100/$X68*$Q68*VLOOKUP($P68&amp;"Total",$D:$AK,31,FALSE)/100+
(IF($G68=AH$66,$H68,0)+IF($J68=AH$66,$K68,0)+IF($M68=AH$66,$N68,0)+IF($P68=AH$66,$Q68,0))*100/$X68</f>
        <v>0</v>
      </c>
      <c r="AI68" s="3">
        <f>100/$X68*$H68*VLOOKUP($G68&amp;"Total",$D:$AK,32,FALSE)/100+100/$X68*$K68*VLOOKUP($J68&amp;"Total",$D:$AK,32,FALSE)/100+100/$X68*$N68*VLOOKUP($M68&amp;"Total",$D:$AK,32,FALSE)/100+100/$X68*$Q68*VLOOKUP($P68&amp;"Total",$D:$AK,32,FALSE)/100+
(IF($G68=AI$66,$H68,0)+IF($J68=AI$66,$K68,0)+IF($M68=AI$66,$N68,0)+IF($P68=AI$66,$Q68,0))*100/$X68</f>
        <v>0</v>
      </c>
      <c r="AJ68" s="3">
        <f>100/$X68*$H68*VLOOKUP($G68&amp;"Total",$D:$AK,33,FALSE)/100+100/$X68*$K68*VLOOKUP($J68&amp;"Total",$D:$AK,33,FALSE)/100+100/$X68*$N68*VLOOKUP($M68&amp;"Total",$D:$AK,33,FALSE)/100+100/$X68*$Q68*VLOOKUP($P68&amp;"Total",$D:$AK,33,FALSE)/100+
(IF($G68=AJ$66,$H68,0)+IF($J68=AJ$66,$K68,0)+IF($M68=AJ$66,$N68,0)+IF($P68=AJ$66,$Q68,0))*100/$X68</f>
        <v>0</v>
      </c>
      <c r="AK68" s="3">
        <f>100/$X68*$H68*VLOOKUP($G68&amp;"Total",$D:$AK,34,FALSE)/100+100/$X68*$K68*VLOOKUP($J68&amp;"Total",$D:$AK,34,FALSE)/100+100/$X68*$N68*VLOOKUP($M68&amp;"Total",$D:$AK,34,FALSE)/100+100/$X68*$Q68*VLOOKUP($P68&amp;"Total",$D:$AK,34,FALSE)/100+
(IF($G68=AK$66,$H68,0)+IF($J68=AK$66,$K68,0)+IF($M68=AK$66,$N68,0)+IF($P68=AK$66,$Q68,0))*100/$X68</f>
        <v>0</v>
      </c>
    </row>
    <row r="69" spans="1:37" x14ac:dyDescent="0.25">
      <c r="A69" t="s">
        <v>54</v>
      </c>
      <c r="B69" t="s">
        <v>58</v>
      </c>
      <c r="D69" t="str">
        <f t="shared" si="3"/>
        <v>Iron Ingot</v>
      </c>
      <c r="E69" s="26">
        <f t="shared" si="4"/>
        <v>58.839823736542826</v>
      </c>
      <c r="F69" s="68">
        <f>100/X69*(W69)</f>
        <v>46.153846153846153</v>
      </c>
      <c r="G69" t="s">
        <v>13</v>
      </c>
      <c r="H69" s="22">
        <v>35</v>
      </c>
      <c r="I69" s="3">
        <f>VLOOKUP(G69&amp;"Total",$D:$AB,2,FALSE)/100*H69</f>
        <v>4.9125520954195014</v>
      </c>
      <c r="J69" t="s">
        <v>59</v>
      </c>
      <c r="K69" s="22">
        <v>20</v>
      </c>
      <c r="L69" s="3">
        <f>VLOOKUP(J69&amp;"Total",$D:$AB,2,FALSE)/100*K69</f>
        <v>3.3333333333333339</v>
      </c>
      <c r="M69" s="22" t="s">
        <v>27</v>
      </c>
      <c r="N69" s="22"/>
      <c r="O69" s="3">
        <f>VLOOKUP(M69&amp;"Total",$D:$AB,2,FALSE)/100*N69</f>
        <v>0</v>
      </c>
      <c r="P69" s="22" t="s">
        <v>27</v>
      </c>
      <c r="Q69" s="22"/>
      <c r="R69" s="3">
        <f>VLOOKUP(P69&amp;"Total",$D:$AB,2,FALSE)/100*Q69</f>
        <v>0</v>
      </c>
      <c r="T69" s="3">
        <f t="shared" si="2"/>
        <v>8.2458854287528354</v>
      </c>
      <c r="V69" s="22" t="s">
        <v>60</v>
      </c>
      <c r="W69" s="22">
        <v>30</v>
      </c>
      <c r="X69" s="22">
        <v>65</v>
      </c>
      <c r="AA69" s="3">
        <f>100/$X69*$H69*VLOOKUP($G69&amp;"Total",$D:$AK,24,FALSE)/100+100/$X69*$K69*VLOOKUP($J69&amp;"Total",$D:$AK,24,FALSE)/100+100/$X69*$N69*VLOOKUP($M69&amp;"Total",$D:$AK,24,FALSE)/100+100/$X69*$Q69*VLOOKUP($P69&amp;"Total",$D:$AK,24,FALSE)/100+
(IF($G69=AA$66,$H69,0)+IF($J69=AA$66,$K69,0)+IF($M69=AA$66,$N69,0)+IF($P69=AA$66,$Q69,0))*100/$X69</f>
        <v>53.846153846153847</v>
      </c>
      <c r="AB69" s="3">
        <f>100/$X69*$H69*VLOOKUP($G69&amp;"Total",$D:$AK,25,FALSE)/100+100/$X69*$K69*VLOOKUP($J69&amp;"Total",$D:$AK,25,FALSE)/100+100/$X69*$N69*VLOOKUP($M69&amp;"Total",$D:$AK,25,FALSE)/100+100/$X69*$Q69*VLOOKUP($P69&amp;"Total",$D:$AK,25,FALSE)/100+
(IF($G69=AB$66,$H69,0)+IF($J69=AB$66,$K69,0)+IF($M69=AB$66,$N69,0)+IF($P69=AB$66,$Q69,0))*100/$X69</f>
        <v>0</v>
      </c>
      <c r="AC69" s="3">
        <f>100/$X69*$H69*VLOOKUP($G69&amp;"Total",$D:$AK,26,FALSE)/100+100/$X69*$K69*VLOOKUP($J69&amp;"Total",$D:$AK,26,FALSE)/100+100/$X69*$N69*VLOOKUP($M69&amp;"Total",$D:$AK,26,FALSE)/100+100/$X69*$Q69*VLOOKUP($P69&amp;"Total",$D:$AK,26,FALSE)/100+
(IF($G69=AC$66,$H69,0)+IF($J69=AC$66,$K69,0)+IF($M69=AC$66,$N69,0)+IF($P69=AC$66,$Q69,0))*100/$X69</f>
        <v>0</v>
      </c>
      <c r="AD69" s="3">
        <f>100/$X69*$H69*VLOOKUP($G69&amp;"Total",$D:$AK,27,FALSE)/100+100/$X69*$K69*VLOOKUP($J69&amp;"Total",$D:$AK,27,FALSE)/100+100/$X69*$N69*VLOOKUP($M69&amp;"Total",$D:$AK,27,FALSE)/100+100/$X69*$Q69*VLOOKUP($P69&amp;"Total",$D:$AK,27,FALSE)/100+
(IF($G69=AD$66,$H69,0)+IF($J69=AD$66,$K69,0)+IF($M69=AD$66,$N69,0)+IF($P69=AD$66,$Q69,0))*100/$X69</f>
        <v>0</v>
      </c>
      <c r="AE69" s="3">
        <f>100/$X69*$H69*VLOOKUP($G69&amp;"Total",$D:$AK,28,FALSE)/100+100/$X69*$K69*VLOOKUP($J69&amp;"Total",$D:$AK,28,FALSE)/100+100/$X69*$N69*VLOOKUP($M69&amp;"Total",$D:$AK,28,FALSE)/100+100/$X69*$Q69*VLOOKUP($P69&amp;"Total",$D:$AK,28,FALSE)/100+
(IF($G69=AE$66,$H69,0)+IF($J69=AE$66,$K69,0)+IF($M69=AE$66,$N69,0)+IF($P69=AE$66,$Q69,0))*100/$X69</f>
        <v>0</v>
      </c>
      <c r="AF69" s="3">
        <f>100/$X69*$H69*VLOOKUP($G69&amp;"Total",$D:$AK,29,FALSE)/100+100/$X69*$K69*VLOOKUP($J69&amp;"Total",$D:$AK,29,FALSE)/100+100/$X69*$N69*VLOOKUP($M69&amp;"Total",$D:$AK,29,FALSE)/100+100/$X69*$Q69*VLOOKUP($P69&amp;"Total",$D:$AK,29,FALSE)/100+
(IF($G69=AF$66,$H69,0)+IF($J69=AF$66,$K69,0)+IF($M69=AF$66,$N69,0)+IF($P69=AF$66,$Q69,0))*100/$X69</f>
        <v>0</v>
      </c>
      <c r="AG69" s="3">
        <f>100/$X69*$H69*VLOOKUP($G69&amp;"Total",$D:$AK,30,FALSE)/100+100/$X69*$K69*VLOOKUP($J69&amp;"Total",$D:$AK,30,FALSE)/100+100/$X69*$N69*VLOOKUP($M69&amp;"Total",$D:$AK,30,FALSE)/100+100/$X69*$Q69*VLOOKUP($P69&amp;"Total",$D:$AK,30,FALSE)/100+
(IF($G69=AG$66,$H69,0)+IF($J69=AG$66,$K69,0)+IF($M69=AG$66,$N69,0)+IF($P69=AG$66,$Q69,0))*100/$X69</f>
        <v>0</v>
      </c>
      <c r="AH69" s="3">
        <f>100/$X69*$H69*VLOOKUP($G69&amp;"Total",$D:$AK,31,FALSE)/100+100/$X69*$K69*VLOOKUP($J69&amp;"Total",$D:$AK,31,FALSE)/100+100/$X69*$N69*VLOOKUP($M69&amp;"Total",$D:$AK,31,FALSE)/100+100/$X69*$Q69*VLOOKUP($P69&amp;"Total",$D:$AK,31,FALSE)/100+
(IF($G69=AH$66,$H69,0)+IF($J69=AH$66,$K69,0)+IF($M69=AH$66,$N69,0)+IF($P69=AH$66,$Q69,0))*100/$X69</f>
        <v>0</v>
      </c>
      <c r="AI69" s="3">
        <f>100/$X69*$H69*VLOOKUP($G69&amp;"Total",$D:$AK,32,FALSE)/100+100/$X69*$K69*VLOOKUP($J69&amp;"Total",$D:$AK,32,FALSE)/100+100/$X69*$N69*VLOOKUP($M69&amp;"Total",$D:$AK,32,FALSE)/100+100/$X69*$Q69*VLOOKUP($P69&amp;"Total",$D:$AK,32,FALSE)/100+
(IF($G69=AI$66,$H69,0)+IF($J69=AI$66,$K69,0)+IF($M69=AI$66,$N69,0)+IF($P69=AI$66,$Q69,0))*100/$X69</f>
        <v>0</v>
      </c>
      <c r="AJ69" s="3">
        <f>100/$X69*$H69*VLOOKUP($G69&amp;"Total",$D:$AK,33,FALSE)/100+100/$X69*$K69*VLOOKUP($J69&amp;"Total",$D:$AK,33,FALSE)/100+100/$X69*$N69*VLOOKUP($M69&amp;"Total",$D:$AK,33,FALSE)/100+100/$X69*$Q69*VLOOKUP($P69&amp;"Total",$D:$AK,33,FALSE)/100+
(IF($G69=AJ$66,$H69,0)+IF($J69=AJ$66,$K69,0)+IF($M69=AJ$66,$N69,0)+IF($P69=AJ$66,$Q69,0))*100/$X69</f>
        <v>30.76923076923077</v>
      </c>
      <c r="AK69" s="3">
        <f>100/$X69*$H69*VLOOKUP($G69&amp;"Total",$D:$AK,34,FALSE)/100+100/$X69*$K69*VLOOKUP($J69&amp;"Total",$D:$AK,34,FALSE)/100+100/$X69*$N69*VLOOKUP($M69&amp;"Total",$D:$AK,34,FALSE)/100+100/$X69*$Q69*VLOOKUP($P69&amp;"Total",$D:$AK,34,FALSE)/100+
(IF($G69=AK$66,$H69,0)+IF($J69=AK$66,$K69,0)+IF($M69=AK$66,$N69,0)+IF($P69=AK$66,$Q69,0))*100/$X69</f>
        <v>0</v>
      </c>
    </row>
    <row r="70" spans="1:37" x14ac:dyDescent="0.25">
      <c r="E70" s="25"/>
      <c r="G70" s="22"/>
      <c r="H70" s="22"/>
      <c r="J70" s="22"/>
      <c r="K70" s="22"/>
      <c r="M70" s="22"/>
      <c r="N70" s="22"/>
      <c r="P70" s="22"/>
      <c r="Q70" s="22"/>
      <c r="V70" s="22"/>
      <c r="W70" s="22"/>
      <c r="X70" s="22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x14ac:dyDescent="0.25">
      <c r="A71" t="s">
        <v>61</v>
      </c>
      <c r="B71" t="s">
        <v>61</v>
      </c>
      <c r="C71" t="s">
        <v>17</v>
      </c>
      <c r="D71" t="str">
        <f>A71&amp;C71</f>
        <v>Copper IngotTotal</v>
      </c>
      <c r="E71" s="26">
        <f t="shared" ref="E71:E73" si="5">100/X71*(T71+W71)</f>
        <v>28.554480980012897</v>
      </c>
      <c r="G71" t="s">
        <v>18</v>
      </c>
      <c r="H71" s="22">
        <v>30</v>
      </c>
      <c r="I71" s="3">
        <f>VLOOKUP(G71&amp;"Total",$D:$AB,2,FALSE)/100*H71</f>
        <v>4.5663442940038683</v>
      </c>
      <c r="J71" s="22" t="s">
        <v>27</v>
      </c>
      <c r="K71" s="22"/>
      <c r="L71" s="3">
        <f>VLOOKUP(J71&amp;"Total",$D:$AB,2,FALSE)/100*K71</f>
        <v>0</v>
      </c>
      <c r="M71" s="22" t="s">
        <v>27</v>
      </c>
      <c r="N71" s="22"/>
      <c r="O71" s="3">
        <f>VLOOKUP(M71&amp;"Total",$D:$AB,2,FALSE)/100*N71</f>
        <v>0</v>
      </c>
      <c r="P71" s="22" t="s">
        <v>27</v>
      </c>
      <c r="Q71" s="22"/>
      <c r="R71" s="3">
        <f>VLOOKUP(P71&amp;"Total",$D:$AB,2,FALSE)/100*Q71</f>
        <v>0</v>
      </c>
      <c r="T71" s="3">
        <f t="shared" ref="T71:T73" si="6">I71+L71+O71+R71</f>
        <v>4.5663442940038683</v>
      </c>
      <c r="V71" s="22" t="s">
        <v>55</v>
      </c>
      <c r="W71" s="22">
        <v>4</v>
      </c>
      <c r="X71" s="22">
        <v>30</v>
      </c>
      <c r="AA71" s="3">
        <f>100/$X71*$H71*VLOOKUP($G71&amp;"Total",$D:$AK,24,FALSE)/100+100/$X71*$K71*VLOOKUP($J71&amp;"Total",$D:$AK,24,FALSE)/100+100/$X71*$N71*VLOOKUP($M71&amp;"Total",$D:$AK,24,FALSE)/100+100/$X71*$Q71*VLOOKUP($P71&amp;"Total",$D:$AK,24,FALSE)/100+
(IF($G71=AA$66,$H71,0)+IF($J71=AA$66,$K71,0)+IF($M71=AA$66,$N71,0)+IF($P71=AA$66,$Q71,0))*100/$X71</f>
        <v>0</v>
      </c>
      <c r="AB71" s="3">
        <f>100/$X71*$H71*VLOOKUP($G71&amp;"Total",$D:$AK,25,FALSE)/100+100/$X71*$K71*VLOOKUP($J71&amp;"Total",$D:$AK,25,FALSE)/100+100/$X71*$N71*VLOOKUP($M71&amp;"Total",$D:$AK,25,FALSE)/100+100/$X71*$Q71*VLOOKUP($P71&amp;"Total",$D:$AK,25,FALSE)/100+
(IF($G71=AB$66,$H71,0)+IF($J71=AB$66,$K71,0)+IF($M71=AB$66,$N71,0)+IF($P71=AB$66,$Q71,0))*100/$X71</f>
        <v>100</v>
      </c>
      <c r="AC71" s="3">
        <f>100/$X71*$H71*VLOOKUP($G71&amp;"Total",$D:$AK,26,FALSE)/100+100/$X71*$K71*VLOOKUP($J71&amp;"Total",$D:$AK,26,FALSE)/100+100/$X71*$N71*VLOOKUP($M71&amp;"Total",$D:$AK,26,FALSE)/100+100/$X71*$Q71*VLOOKUP($P71&amp;"Total",$D:$AK,26,FALSE)/100+
(IF($G71=AC$66,$H71,0)+IF($J71=AC$66,$K71,0)+IF($M71=AC$66,$N71,0)+IF($P71=AC$66,$Q71,0))*100/$X71</f>
        <v>0</v>
      </c>
      <c r="AD71" s="3">
        <f>100/$X71*$H71*VLOOKUP($G71&amp;"Total",$D:$AK,27,FALSE)/100+100/$X71*$K71*VLOOKUP($J71&amp;"Total",$D:$AK,27,FALSE)/100+100/$X71*$N71*VLOOKUP($M71&amp;"Total",$D:$AK,27,FALSE)/100+100/$X71*$Q71*VLOOKUP($P71&amp;"Total",$D:$AK,27,FALSE)/100+
(IF($G71=AD$66,$H71,0)+IF($J71=AD$66,$K71,0)+IF($M71=AD$66,$N71,0)+IF($P71=AD$66,$Q71,0))*100/$X71</f>
        <v>0</v>
      </c>
      <c r="AE71" s="3">
        <f>100/$X71*$H71*VLOOKUP($G71&amp;"Total",$D:$AK,28,FALSE)/100+100/$X71*$K71*VLOOKUP($J71&amp;"Total",$D:$AK,28,FALSE)/100+100/$X71*$N71*VLOOKUP($M71&amp;"Total",$D:$AK,28,FALSE)/100+100/$X71*$Q71*VLOOKUP($P71&amp;"Total",$D:$AK,28,FALSE)/100+
(IF($G71=AE$66,$H71,0)+IF($J71=AE$66,$K71,0)+IF($M71=AE$66,$N71,0)+IF($P71=AE$66,$Q71,0))*100/$X71</f>
        <v>0</v>
      </c>
      <c r="AF71" s="3">
        <f>100/$X71*$H71*VLOOKUP($G71&amp;"Total",$D:$AK,29,FALSE)/100+100/$X71*$K71*VLOOKUP($J71&amp;"Total",$D:$AK,29,FALSE)/100+100/$X71*$N71*VLOOKUP($M71&amp;"Total",$D:$AK,29,FALSE)/100+100/$X71*$Q71*VLOOKUP($P71&amp;"Total",$D:$AK,29,FALSE)/100+
(IF($G71=AF$66,$H71,0)+IF($J71=AF$66,$K71,0)+IF($M71=AF$66,$N71,0)+IF($P71=AF$66,$Q71,0))*100/$X71</f>
        <v>0</v>
      </c>
      <c r="AG71" s="3">
        <f>100/$X71*$H71*VLOOKUP($G71&amp;"Total",$D:$AK,30,FALSE)/100+100/$X71*$K71*VLOOKUP($J71&amp;"Total",$D:$AK,30,FALSE)/100+100/$X71*$N71*VLOOKUP($M71&amp;"Total",$D:$AK,30,FALSE)/100+100/$X71*$Q71*VLOOKUP($P71&amp;"Total",$D:$AK,30,FALSE)/100+
(IF($G71=AG$66,$H71,0)+IF($J71=AG$66,$K71,0)+IF($M71=AG$66,$N71,0)+IF($P71=AG$66,$Q71,0))*100/$X71</f>
        <v>0</v>
      </c>
      <c r="AH71" s="3">
        <f>100/$X71*$H71*VLOOKUP($G71&amp;"Total",$D:$AK,31,FALSE)/100+100/$X71*$K71*VLOOKUP($J71&amp;"Total",$D:$AK,31,FALSE)/100+100/$X71*$N71*VLOOKUP($M71&amp;"Total",$D:$AK,31,FALSE)/100+100/$X71*$Q71*VLOOKUP($P71&amp;"Total",$D:$AK,31,FALSE)/100+
(IF($G71=AH$66,$H71,0)+IF($J71=AH$66,$K71,0)+IF($M71=AH$66,$N71,0)+IF($P71=AH$66,$Q71,0))*100/$X71</f>
        <v>0</v>
      </c>
      <c r="AI71" s="3">
        <f>100/$X71*$H71*VLOOKUP($G71&amp;"Total",$D:$AK,32,FALSE)/100+100/$X71*$K71*VLOOKUP($J71&amp;"Total",$D:$AK,32,FALSE)/100+100/$X71*$N71*VLOOKUP($M71&amp;"Total",$D:$AK,32,FALSE)/100+100/$X71*$Q71*VLOOKUP($P71&amp;"Total",$D:$AK,32,FALSE)/100+
(IF($G71=AI$66,$H71,0)+IF($J71=AI$66,$K71,0)+IF($M71=AI$66,$N71,0)+IF($P71=AI$66,$Q71,0))*100/$X71</f>
        <v>0</v>
      </c>
      <c r="AJ71" s="3">
        <f>100/$X71*$H71*VLOOKUP($G71&amp;"Total",$D:$AK,33,FALSE)/100+100/$X71*$K71*VLOOKUP($J71&amp;"Total",$D:$AK,33,FALSE)/100+100/$X71*$N71*VLOOKUP($M71&amp;"Total",$D:$AK,33,FALSE)/100+100/$X71*$Q71*VLOOKUP($P71&amp;"Total",$D:$AK,33,FALSE)/100+
(IF($G71=AJ$66,$H71,0)+IF($J71=AJ$66,$K71,0)+IF($M71=AJ$66,$N71,0)+IF($P71=AJ$66,$Q71,0))*100/$X71</f>
        <v>0</v>
      </c>
      <c r="AK71" s="3">
        <f>100/$X71*$H71*VLOOKUP($G71&amp;"Total",$D:$AK,34,FALSE)/100+100/$X71*$K71*VLOOKUP($J71&amp;"Total",$D:$AK,34,FALSE)/100+100/$X71*$N71*VLOOKUP($M71&amp;"Total",$D:$AK,34,FALSE)/100+100/$X71*$Q71*VLOOKUP($P71&amp;"Total",$D:$AK,34,FALSE)/100+
(IF($G71=AK$66,$H71,0)+IF($J71=AK$66,$K71,0)+IF($M71=AK$66,$N71,0)+IF($P71=AK$66,$Q71,0))*100/$X71</f>
        <v>0</v>
      </c>
    </row>
    <row r="72" spans="1:37" x14ac:dyDescent="0.25">
      <c r="A72" t="s">
        <v>61</v>
      </c>
      <c r="B72" t="s">
        <v>62</v>
      </c>
      <c r="D72" t="str">
        <f t="shared" ref="D72:D73" si="7">A72&amp;C72</f>
        <v>Copper Ingot</v>
      </c>
      <c r="E72" s="26">
        <f t="shared" si="5"/>
        <v>27.119539605782283</v>
      </c>
      <c r="G72" t="s">
        <v>18</v>
      </c>
      <c r="H72" s="22">
        <v>50</v>
      </c>
      <c r="I72" s="3">
        <f>VLOOKUP(G72&amp;"Total",$D:$AB,2,FALSE)/100*H72</f>
        <v>7.6105738233397808</v>
      </c>
      <c r="J72" t="s">
        <v>13</v>
      </c>
      <c r="K72" s="22">
        <v>25</v>
      </c>
      <c r="L72" s="3">
        <f>VLOOKUP(J72&amp;"Total",$D:$AB,2,FALSE)/100*K72</f>
        <v>3.5089657824425009</v>
      </c>
      <c r="M72" s="22" t="s">
        <v>27</v>
      </c>
      <c r="N72" s="22"/>
      <c r="O72" s="3">
        <f>VLOOKUP(M72&amp;"Total",$D:$AB,2,FALSE)/100*N72</f>
        <v>0</v>
      </c>
      <c r="P72" s="22" t="s">
        <v>27</v>
      </c>
      <c r="Q72" s="22"/>
      <c r="R72" s="3">
        <f>VLOOKUP(P72&amp;"Total",$D:$AB,2,FALSE)/100*Q72</f>
        <v>0</v>
      </c>
      <c r="T72" s="3">
        <f t="shared" si="6"/>
        <v>11.119539605782283</v>
      </c>
      <c r="V72" s="22" t="s">
        <v>57</v>
      </c>
      <c r="W72" s="22">
        <v>16</v>
      </c>
      <c r="X72" s="22">
        <v>100</v>
      </c>
      <c r="AA72" s="3">
        <f>100/$X72*$H72*VLOOKUP($G72&amp;"Total",$D:$AK,24,FALSE)/100+100/$X72*$K72*VLOOKUP($J72&amp;"Total",$D:$AK,24,FALSE)/100+100/$X72*$N72*VLOOKUP($M72&amp;"Total",$D:$AK,24,FALSE)/100+100/$X72*$Q72*VLOOKUP($P72&amp;"Total",$D:$AK,24,FALSE)/100+
(IF($G72=AA$66,$H72,0)+IF($J72=AA$66,$K72,0)+IF($M72=AA$66,$N72,0)+IF($P72=AA$66,$Q72,0))*100/$X72</f>
        <v>25</v>
      </c>
      <c r="AB72" s="3">
        <f>100/$X72*$H72*VLOOKUP($G72&amp;"Total",$D:$AK,25,FALSE)/100+100/$X72*$K72*VLOOKUP($J72&amp;"Total",$D:$AK,25,FALSE)/100+100/$X72*$N72*VLOOKUP($M72&amp;"Total",$D:$AK,25,FALSE)/100+100/$X72*$Q72*VLOOKUP($P72&amp;"Total",$D:$AK,25,FALSE)/100+
(IF($G72=AB$66,$H72,0)+IF($J72=AB$66,$K72,0)+IF($M72=AB$66,$N72,0)+IF($P72=AB$66,$Q72,0))*100/$X72</f>
        <v>50</v>
      </c>
      <c r="AC72" s="3">
        <f>100/$X72*$H72*VLOOKUP($G72&amp;"Total",$D:$AK,26,FALSE)/100+100/$X72*$K72*VLOOKUP($J72&amp;"Total",$D:$AK,26,FALSE)/100+100/$X72*$N72*VLOOKUP($M72&amp;"Total",$D:$AK,26,FALSE)/100+100/$X72*$Q72*VLOOKUP($P72&amp;"Total",$D:$AK,26,FALSE)/100+
(IF($G72=AC$66,$H72,0)+IF($J72=AC$66,$K72,0)+IF($M72=AC$66,$N72,0)+IF($P72=AC$66,$Q72,0))*100/$X72</f>
        <v>0</v>
      </c>
      <c r="AD72" s="3">
        <f>100/$X72*$H72*VLOOKUP($G72&amp;"Total",$D:$AK,27,FALSE)/100+100/$X72*$K72*VLOOKUP($J72&amp;"Total",$D:$AK,27,FALSE)/100+100/$X72*$N72*VLOOKUP($M72&amp;"Total",$D:$AK,27,FALSE)/100+100/$X72*$Q72*VLOOKUP($P72&amp;"Total",$D:$AK,27,FALSE)/100+
(IF($G72=AD$66,$H72,0)+IF($J72=AD$66,$K72,0)+IF($M72=AD$66,$N72,0)+IF($P72=AD$66,$Q72,0))*100/$X72</f>
        <v>0</v>
      </c>
      <c r="AE72" s="3">
        <f>100/$X72*$H72*VLOOKUP($G72&amp;"Total",$D:$AK,28,FALSE)/100+100/$X72*$K72*VLOOKUP($J72&amp;"Total",$D:$AK,28,FALSE)/100+100/$X72*$N72*VLOOKUP($M72&amp;"Total",$D:$AK,28,FALSE)/100+100/$X72*$Q72*VLOOKUP($P72&amp;"Total",$D:$AK,28,FALSE)/100+
(IF($G72=AE$66,$H72,0)+IF($J72=AE$66,$K72,0)+IF($M72=AE$66,$N72,0)+IF($P72=AE$66,$Q72,0))*100/$X72</f>
        <v>0</v>
      </c>
      <c r="AF72" s="3">
        <f>100/$X72*$H72*VLOOKUP($G72&amp;"Total",$D:$AK,29,FALSE)/100+100/$X72*$K72*VLOOKUP($J72&amp;"Total",$D:$AK,29,FALSE)/100+100/$X72*$N72*VLOOKUP($M72&amp;"Total",$D:$AK,29,FALSE)/100+100/$X72*$Q72*VLOOKUP($P72&amp;"Total",$D:$AK,29,FALSE)/100+
(IF($G72=AF$66,$H72,0)+IF($J72=AF$66,$K72,0)+IF($M72=AF$66,$N72,0)+IF($P72=AF$66,$Q72,0))*100/$X72</f>
        <v>0</v>
      </c>
      <c r="AG72" s="3">
        <f>100/$X72*$H72*VLOOKUP($G72&amp;"Total",$D:$AK,30,FALSE)/100+100/$X72*$K72*VLOOKUP($J72&amp;"Total",$D:$AK,30,FALSE)/100+100/$X72*$N72*VLOOKUP($M72&amp;"Total",$D:$AK,30,FALSE)/100+100/$X72*$Q72*VLOOKUP($P72&amp;"Total",$D:$AK,30,FALSE)/100+
(IF($G72=AG$66,$H72,0)+IF($J72=AG$66,$K72,0)+IF($M72=AG$66,$N72,0)+IF($P72=AG$66,$Q72,0))*100/$X72</f>
        <v>0</v>
      </c>
      <c r="AH72" s="3">
        <f>100/$X72*$H72*VLOOKUP($G72&amp;"Total",$D:$AK,31,FALSE)/100+100/$X72*$K72*VLOOKUP($J72&amp;"Total",$D:$AK,31,FALSE)/100+100/$X72*$N72*VLOOKUP($M72&amp;"Total",$D:$AK,31,FALSE)/100+100/$X72*$Q72*VLOOKUP($P72&amp;"Total",$D:$AK,31,FALSE)/100+
(IF($G72=AH$66,$H72,0)+IF($J72=AH$66,$K72,0)+IF($M72=AH$66,$N72,0)+IF($P72=AH$66,$Q72,0))*100/$X72</f>
        <v>0</v>
      </c>
      <c r="AI72" s="3">
        <f>100/$X72*$H72*VLOOKUP($G72&amp;"Total",$D:$AK,32,FALSE)/100+100/$X72*$K72*VLOOKUP($J72&amp;"Total",$D:$AK,32,FALSE)/100+100/$X72*$N72*VLOOKUP($M72&amp;"Total",$D:$AK,32,FALSE)/100+100/$X72*$Q72*VLOOKUP($P72&amp;"Total",$D:$AK,32,FALSE)/100+
(IF($G72=AI$66,$H72,0)+IF($J72=AI$66,$K72,0)+IF($M72=AI$66,$N72,0)+IF($P72=AI$66,$Q72,0))*100/$X72</f>
        <v>0</v>
      </c>
      <c r="AJ72" s="3">
        <f>100/$X72*$H72*VLOOKUP($G72&amp;"Total",$D:$AK,33,FALSE)/100+100/$X72*$K72*VLOOKUP($J72&amp;"Total",$D:$AK,33,FALSE)/100+100/$X72*$N72*VLOOKUP($M72&amp;"Total",$D:$AK,33,FALSE)/100+100/$X72*$Q72*VLOOKUP($P72&amp;"Total",$D:$AK,33,FALSE)/100+
(IF($G72=AJ$66,$H72,0)+IF($J72=AJ$66,$K72,0)+IF($M72=AJ$66,$N72,0)+IF($P72=AJ$66,$Q72,0))*100/$X72</f>
        <v>0</v>
      </c>
      <c r="AK72" s="3">
        <f>100/$X72*$H72*VLOOKUP($G72&amp;"Total",$D:$AK,34,FALSE)/100+100/$X72*$K72*VLOOKUP($J72&amp;"Total",$D:$AK,34,FALSE)/100+100/$X72*$N72*VLOOKUP($M72&amp;"Total",$D:$AK,34,FALSE)/100+100/$X72*$Q72*VLOOKUP($P72&amp;"Total",$D:$AK,34,FALSE)/100+
(IF($G72=AK$66,$H72,0)+IF($J72=AK$66,$K72,0)+IF($M72=AK$66,$N72,0)+IF($P72=AK$66,$Q72,0))*100/$X72</f>
        <v>0</v>
      </c>
    </row>
    <row r="73" spans="1:37" x14ac:dyDescent="0.25">
      <c r="A73" t="s">
        <v>61</v>
      </c>
      <c r="B73" t="s">
        <v>63</v>
      </c>
      <c r="D73" t="str">
        <f t="shared" si="7"/>
        <v>Copper Ingot</v>
      </c>
      <c r="E73" s="26">
        <f t="shared" si="5"/>
        <v>90.532903503116259</v>
      </c>
      <c r="G73" t="s">
        <v>18</v>
      </c>
      <c r="H73" s="22">
        <v>15</v>
      </c>
      <c r="I73" s="3">
        <f>VLOOKUP(G73&amp;"Total",$D:$AB,2,FALSE)/100*H73</f>
        <v>2.2831721470019342</v>
      </c>
      <c r="J73" t="s">
        <v>59</v>
      </c>
      <c r="K73" s="22">
        <v>10</v>
      </c>
      <c r="L73" s="3">
        <f>VLOOKUP(J73&amp;"Total",$D:$AB,2,FALSE)/100*K73</f>
        <v>1.666666666666667</v>
      </c>
      <c r="M73" s="22" t="s">
        <v>27</v>
      </c>
      <c r="N73" s="22"/>
      <c r="O73" s="3">
        <f>VLOOKUP(M73&amp;"Total",$D:$AB,2,FALSE)/100*N73</f>
        <v>0</v>
      </c>
      <c r="P73" s="22" t="s">
        <v>27</v>
      </c>
      <c r="Q73" s="22"/>
      <c r="R73" s="3">
        <f>VLOOKUP(P73&amp;"Total",$D:$AB,2,FALSE)/100*Q73</f>
        <v>0</v>
      </c>
      <c r="T73" s="3">
        <f t="shared" si="6"/>
        <v>3.9498388136686011</v>
      </c>
      <c r="V73" s="22" t="s">
        <v>60</v>
      </c>
      <c r="W73" s="22">
        <v>30</v>
      </c>
      <c r="X73" s="22">
        <v>37.5</v>
      </c>
      <c r="AA73" s="3">
        <f>100/$X73*$H73*VLOOKUP($G73&amp;"Total",$D:$AK,24,FALSE)/100+100/$X73*$K73*VLOOKUP($J73&amp;"Total",$D:$AK,24,FALSE)/100+100/$X73*$N73*VLOOKUP($M73&amp;"Total",$D:$AK,24,FALSE)/100+100/$X73*$Q73*VLOOKUP($P73&amp;"Total",$D:$AK,24,FALSE)/100+
(IF($G73=AA$66,$H73,0)+IF($J73=AA$66,$K73,0)+IF($M73=AA$66,$N73,0)+IF($P73=AA$66,$Q73,0))*100/$X73</f>
        <v>0</v>
      </c>
      <c r="AB73" s="3">
        <f>100/$X73*$H73*VLOOKUP($G73&amp;"Total",$D:$AK,25,FALSE)/100+100/$X73*$K73*VLOOKUP($J73&amp;"Total",$D:$AK,25,FALSE)/100+100/$X73*$N73*VLOOKUP($M73&amp;"Total",$D:$AK,25,FALSE)/100+100/$X73*$Q73*VLOOKUP($P73&amp;"Total",$D:$AK,25,FALSE)/100+
(IF($G73=AB$66,$H73,0)+IF($J73=AB$66,$K73,0)+IF($M73=AB$66,$N73,0)+IF($P73=AB$66,$Q73,0))*100/$X73</f>
        <v>40</v>
      </c>
      <c r="AC73" s="3">
        <f>100/$X73*$H73*VLOOKUP($G73&amp;"Total",$D:$AK,26,FALSE)/100+100/$X73*$K73*VLOOKUP($J73&amp;"Total",$D:$AK,26,FALSE)/100+100/$X73*$N73*VLOOKUP($M73&amp;"Total",$D:$AK,26,FALSE)/100+100/$X73*$Q73*VLOOKUP($P73&amp;"Total",$D:$AK,26,FALSE)/100+
(IF($G73=AC$66,$H73,0)+IF($J73=AC$66,$K73,0)+IF($M73=AC$66,$N73,0)+IF($P73=AC$66,$Q73,0))*100/$X73</f>
        <v>0</v>
      </c>
      <c r="AD73" s="3">
        <f>100/$X73*$H73*VLOOKUP($G73&amp;"Total",$D:$AK,27,FALSE)/100+100/$X73*$K73*VLOOKUP($J73&amp;"Total",$D:$AK,27,FALSE)/100+100/$X73*$N73*VLOOKUP($M73&amp;"Total",$D:$AK,27,FALSE)/100+100/$X73*$Q73*VLOOKUP($P73&amp;"Total",$D:$AK,27,FALSE)/100+
(IF($G73=AD$66,$H73,0)+IF($J73=AD$66,$K73,0)+IF($M73=AD$66,$N73,0)+IF($P73=AD$66,$Q73,0))*100/$X73</f>
        <v>0</v>
      </c>
      <c r="AE73" s="3">
        <f>100/$X73*$H73*VLOOKUP($G73&amp;"Total",$D:$AK,28,FALSE)/100+100/$X73*$K73*VLOOKUP($J73&amp;"Total",$D:$AK,28,FALSE)/100+100/$X73*$N73*VLOOKUP($M73&amp;"Total",$D:$AK,28,FALSE)/100+100/$X73*$Q73*VLOOKUP($P73&amp;"Total",$D:$AK,28,FALSE)/100+
(IF($G73=AE$66,$H73,0)+IF($J73=AE$66,$K73,0)+IF($M73=AE$66,$N73,0)+IF($P73=AE$66,$Q73,0))*100/$X73</f>
        <v>0</v>
      </c>
      <c r="AF73" s="3">
        <f>100/$X73*$H73*VLOOKUP($G73&amp;"Total",$D:$AK,29,FALSE)/100+100/$X73*$K73*VLOOKUP($J73&amp;"Total",$D:$AK,29,FALSE)/100+100/$X73*$N73*VLOOKUP($M73&amp;"Total",$D:$AK,29,FALSE)/100+100/$X73*$Q73*VLOOKUP($P73&amp;"Total",$D:$AK,29,FALSE)/100+
(IF($G73=AF$66,$H73,0)+IF($J73=AF$66,$K73,0)+IF($M73=AF$66,$N73,0)+IF($P73=AF$66,$Q73,0))*100/$X73</f>
        <v>0</v>
      </c>
      <c r="AG73" s="3">
        <f>100/$X73*$H73*VLOOKUP($G73&amp;"Total",$D:$AK,30,FALSE)/100+100/$X73*$K73*VLOOKUP($J73&amp;"Total",$D:$AK,30,FALSE)/100+100/$X73*$N73*VLOOKUP($M73&amp;"Total",$D:$AK,30,FALSE)/100+100/$X73*$Q73*VLOOKUP($P73&amp;"Total",$D:$AK,30,FALSE)/100+
(IF($G73=AG$66,$H73,0)+IF($J73=AG$66,$K73,0)+IF($M73=AG$66,$N73,0)+IF($P73=AG$66,$Q73,0))*100/$X73</f>
        <v>0</v>
      </c>
      <c r="AH73" s="3">
        <f>100/$X73*$H73*VLOOKUP($G73&amp;"Total",$D:$AK,31,FALSE)/100+100/$X73*$K73*VLOOKUP($J73&amp;"Total",$D:$AK,31,FALSE)/100+100/$X73*$N73*VLOOKUP($M73&amp;"Total",$D:$AK,31,FALSE)/100+100/$X73*$Q73*VLOOKUP($P73&amp;"Total",$D:$AK,31,FALSE)/100+
(IF($G73=AH$66,$H73,0)+IF($J73=AH$66,$K73,0)+IF($M73=AH$66,$N73,0)+IF($P73=AH$66,$Q73,0))*100/$X73</f>
        <v>0</v>
      </c>
      <c r="AI73" s="3">
        <f>100/$X73*$H73*VLOOKUP($G73&amp;"Total",$D:$AK,32,FALSE)/100+100/$X73*$K73*VLOOKUP($J73&amp;"Total",$D:$AK,32,FALSE)/100+100/$X73*$N73*VLOOKUP($M73&amp;"Total",$D:$AK,32,FALSE)/100+100/$X73*$Q73*VLOOKUP($P73&amp;"Total",$D:$AK,32,FALSE)/100+
(IF($G73=AI$66,$H73,0)+IF($J73=AI$66,$K73,0)+IF($M73=AI$66,$N73,0)+IF($P73=AI$66,$Q73,0))*100/$X73</f>
        <v>0</v>
      </c>
      <c r="AJ73" s="3">
        <f>100/$X73*$H73*VLOOKUP($G73&amp;"Total",$D:$AK,33,FALSE)/100+100/$X73*$K73*VLOOKUP($J73&amp;"Total",$D:$AK,33,FALSE)/100+100/$X73*$N73*VLOOKUP($M73&amp;"Total",$D:$AK,33,FALSE)/100+100/$X73*$Q73*VLOOKUP($P73&amp;"Total",$D:$AK,33,FALSE)/100+
(IF($G73=AJ$66,$H73,0)+IF($J73=AJ$66,$K73,0)+IF($M73=AJ$66,$N73,0)+IF($P73=AJ$66,$Q73,0))*100/$X73</f>
        <v>26.666666666666668</v>
      </c>
      <c r="AK73" s="3">
        <f>100/$X73*$H73*VLOOKUP($G73&amp;"Total",$D:$AK,34,FALSE)/100+100/$X73*$K73*VLOOKUP($J73&amp;"Total",$D:$AK,34,FALSE)/100+100/$X73*$N73*VLOOKUP($M73&amp;"Total",$D:$AK,34,FALSE)/100+100/$X73*$Q73*VLOOKUP($P73&amp;"Total",$D:$AK,34,FALSE)/100+
(IF($G73=AK$66,$H73,0)+IF($J73=AK$66,$K73,0)+IF($M73=AK$66,$N73,0)+IF($P73=AK$66,$Q73,0))*100/$X73</f>
        <v>0</v>
      </c>
    </row>
    <row r="74" spans="1:37" x14ac:dyDescent="0.25">
      <c r="E74" s="25"/>
      <c r="G74" s="22"/>
      <c r="H74" s="22"/>
      <c r="J74" s="22"/>
      <c r="K74" s="22"/>
      <c r="M74" s="22"/>
      <c r="N74" s="22"/>
      <c r="P74" s="22"/>
      <c r="Q74" s="22"/>
      <c r="V74" s="22"/>
      <c r="W74" s="22"/>
      <c r="X74" s="22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x14ac:dyDescent="0.25">
      <c r="A75" t="s">
        <v>64</v>
      </c>
      <c r="B75" t="s">
        <v>64</v>
      </c>
      <c r="C75" t="s">
        <v>17</v>
      </c>
      <c r="D75" t="str">
        <f t="shared" ref="D75:D76" si="8">A75&amp;C75</f>
        <v>Caterium IngotTotal</v>
      </c>
      <c r="E75" s="26">
        <f t="shared" ref="E75:E76" si="9">100/X75*(T75+W75)</f>
        <v>60.666666666666679</v>
      </c>
      <c r="G75" t="s">
        <v>21</v>
      </c>
      <c r="H75" s="22">
        <v>45</v>
      </c>
      <c r="I75" s="3">
        <f>VLOOKUP(G75&amp;"Total",$D:$AB,2,FALSE)/100*H75</f>
        <v>5.1000000000000005</v>
      </c>
      <c r="J75" s="22" t="s">
        <v>27</v>
      </c>
      <c r="K75" s="22"/>
      <c r="L75" s="3">
        <f>VLOOKUP(J75&amp;"Total",$D:$AB,2,FALSE)/100*K75</f>
        <v>0</v>
      </c>
      <c r="M75" s="22" t="s">
        <v>27</v>
      </c>
      <c r="N75" s="22"/>
      <c r="O75" s="3">
        <f>VLOOKUP(M75&amp;"Total",$D:$AB,2,FALSE)/100*N75</f>
        <v>0</v>
      </c>
      <c r="P75" s="22" t="s">
        <v>27</v>
      </c>
      <c r="Q75" s="22"/>
      <c r="R75" s="3">
        <f>VLOOKUP(P75&amp;"Total",$D:$AB,2,FALSE)/100*Q75</f>
        <v>0</v>
      </c>
      <c r="T75" s="3">
        <f t="shared" ref="T75:T76" si="10">I75+L75+O75+R75</f>
        <v>5.1000000000000005</v>
      </c>
      <c r="V75" s="22" t="s">
        <v>55</v>
      </c>
      <c r="W75" s="22">
        <v>4</v>
      </c>
      <c r="X75" s="22">
        <v>15</v>
      </c>
      <c r="AA75" s="3">
        <f>100/$X75*$H75*VLOOKUP($G75&amp;"Total",$D:$AK,24,FALSE)/100+100/$X75*$K75*VLOOKUP($J75&amp;"Total",$D:$AK,24,FALSE)/100+100/$X75*$N75*VLOOKUP($M75&amp;"Total",$D:$AK,24,FALSE)/100+100/$X75*$Q75*VLOOKUP($P75&amp;"Total",$D:$AK,24,FALSE)/100+
(IF($G75=AA$66,$H75,0)+IF($J75=AA$66,$K75,0)+IF($M75=AA$66,$N75,0)+IF($P75=AA$66,$Q75,0))*100/$X75</f>
        <v>0</v>
      </c>
      <c r="AB75" s="3">
        <f>100/$X75*$H75*VLOOKUP($G75&amp;"Total",$D:$AK,25,FALSE)/100+100/$X75*$K75*VLOOKUP($J75&amp;"Total",$D:$AK,25,FALSE)/100+100/$X75*$N75*VLOOKUP($M75&amp;"Total",$D:$AK,25,FALSE)/100+100/$X75*$Q75*VLOOKUP($P75&amp;"Total",$D:$AK,25,FALSE)/100+
(IF($G75=AB$66,$H75,0)+IF($J75=AB$66,$K75,0)+IF($M75=AB$66,$N75,0)+IF($P75=AB$66,$Q75,0))*100/$X75</f>
        <v>0</v>
      </c>
      <c r="AC75" s="3">
        <f>100/$X75*$H75*VLOOKUP($G75&amp;"Total",$D:$AK,26,FALSE)/100+100/$X75*$K75*VLOOKUP($J75&amp;"Total",$D:$AK,26,FALSE)/100+100/$X75*$N75*VLOOKUP($M75&amp;"Total",$D:$AK,26,FALSE)/100+100/$X75*$Q75*VLOOKUP($P75&amp;"Total",$D:$AK,26,FALSE)/100+
(IF($G75=AC$66,$H75,0)+IF($J75=AC$66,$K75,0)+IF($M75=AC$66,$N75,0)+IF($P75=AC$66,$Q75,0))*100/$X75</f>
        <v>0</v>
      </c>
      <c r="AD75" s="3">
        <f>100/$X75*$H75*VLOOKUP($G75&amp;"Total",$D:$AK,27,FALSE)/100+100/$X75*$K75*VLOOKUP($J75&amp;"Total",$D:$AK,27,FALSE)/100+100/$X75*$N75*VLOOKUP($M75&amp;"Total",$D:$AK,27,FALSE)/100+100/$X75*$Q75*VLOOKUP($P75&amp;"Total",$D:$AK,27,FALSE)/100+
(IF($G75=AD$66,$H75,0)+IF($J75=AD$66,$K75,0)+IF($M75=AD$66,$N75,0)+IF($P75=AD$66,$Q75,0))*100/$X75</f>
        <v>0</v>
      </c>
      <c r="AE75" s="3">
        <f>100/$X75*$H75*VLOOKUP($G75&amp;"Total",$D:$AK,28,FALSE)/100+100/$X75*$K75*VLOOKUP($J75&amp;"Total",$D:$AK,28,FALSE)/100+100/$X75*$N75*VLOOKUP($M75&amp;"Total",$D:$AK,28,FALSE)/100+100/$X75*$Q75*VLOOKUP($P75&amp;"Total",$D:$AK,28,FALSE)/100+
(IF($G75=AE$66,$H75,0)+IF($J75=AE$66,$K75,0)+IF($M75=AE$66,$N75,0)+IF($P75=AE$66,$Q75,0))*100/$X75</f>
        <v>300</v>
      </c>
      <c r="AF75" s="3">
        <f>100/$X75*$H75*VLOOKUP($G75&amp;"Total",$D:$AK,29,FALSE)/100+100/$X75*$K75*VLOOKUP($J75&amp;"Total",$D:$AK,29,FALSE)/100+100/$X75*$N75*VLOOKUP($M75&amp;"Total",$D:$AK,29,FALSE)/100+100/$X75*$Q75*VLOOKUP($P75&amp;"Total",$D:$AK,29,FALSE)/100+
(IF($G75=AF$66,$H75,0)+IF($J75=AF$66,$K75,0)+IF($M75=AF$66,$N75,0)+IF($P75=AF$66,$Q75,0))*100/$X75</f>
        <v>0</v>
      </c>
      <c r="AG75" s="3">
        <f>100/$X75*$H75*VLOOKUP($G75&amp;"Total",$D:$AK,30,FALSE)/100+100/$X75*$K75*VLOOKUP($J75&amp;"Total",$D:$AK,30,FALSE)/100+100/$X75*$N75*VLOOKUP($M75&amp;"Total",$D:$AK,30,FALSE)/100+100/$X75*$Q75*VLOOKUP($P75&amp;"Total",$D:$AK,30,FALSE)/100+
(IF($G75=AG$66,$H75,0)+IF($J75=AG$66,$K75,0)+IF($M75=AG$66,$N75,0)+IF($P75=AG$66,$Q75,0))*100/$X75</f>
        <v>0</v>
      </c>
      <c r="AH75" s="3">
        <f>100/$X75*$H75*VLOOKUP($G75&amp;"Total",$D:$AK,31,FALSE)/100+100/$X75*$K75*VLOOKUP($J75&amp;"Total",$D:$AK,31,FALSE)/100+100/$X75*$N75*VLOOKUP($M75&amp;"Total",$D:$AK,31,FALSE)/100+100/$X75*$Q75*VLOOKUP($P75&amp;"Total",$D:$AK,31,FALSE)/100+
(IF($G75=AH$66,$H75,0)+IF($J75=AH$66,$K75,0)+IF($M75=AH$66,$N75,0)+IF($P75=AH$66,$Q75,0))*100/$X75</f>
        <v>0</v>
      </c>
      <c r="AI75" s="3">
        <f>100/$X75*$H75*VLOOKUP($G75&amp;"Total",$D:$AK,32,FALSE)/100+100/$X75*$K75*VLOOKUP($J75&amp;"Total",$D:$AK,32,FALSE)/100+100/$X75*$N75*VLOOKUP($M75&amp;"Total",$D:$AK,32,FALSE)/100+100/$X75*$Q75*VLOOKUP($P75&amp;"Total",$D:$AK,32,FALSE)/100+
(IF($G75=AI$66,$H75,0)+IF($J75=AI$66,$K75,0)+IF($M75=AI$66,$N75,0)+IF($P75=AI$66,$Q75,0))*100/$X75</f>
        <v>0</v>
      </c>
      <c r="AJ75" s="3">
        <f>100/$X75*$H75*VLOOKUP($G75&amp;"Total",$D:$AK,33,FALSE)/100+100/$X75*$K75*VLOOKUP($J75&amp;"Total",$D:$AK,33,FALSE)/100+100/$X75*$N75*VLOOKUP($M75&amp;"Total",$D:$AK,33,FALSE)/100+100/$X75*$Q75*VLOOKUP($P75&amp;"Total",$D:$AK,33,FALSE)/100+
(IF($G75=AJ$66,$H75,0)+IF($J75=AJ$66,$K75,0)+IF($M75=AJ$66,$N75,0)+IF($P75=AJ$66,$Q75,0))*100/$X75</f>
        <v>0</v>
      </c>
      <c r="AK75" s="3">
        <f>100/$X75*$H75*VLOOKUP($G75&amp;"Total",$D:$AK,34,FALSE)/100+100/$X75*$K75*VLOOKUP($J75&amp;"Total",$D:$AK,34,FALSE)/100+100/$X75*$N75*VLOOKUP($M75&amp;"Total",$D:$AK,34,FALSE)/100+100/$X75*$Q75*VLOOKUP($P75&amp;"Total",$D:$AK,34,FALSE)/100+
(IF($G75=AK$66,$H75,0)+IF($J75=AK$66,$K75,0)+IF($M75=AK$66,$N75,0)+IF($P75=AK$66,$Q75,0))*100/$X75</f>
        <v>0</v>
      </c>
    </row>
    <row r="76" spans="1:37" x14ac:dyDescent="0.25">
      <c r="A76" t="s">
        <v>64</v>
      </c>
      <c r="B76" t="s">
        <v>65</v>
      </c>
      <c r="D76" t="str">
        <f t="shared" si="8"/>
        <v>Caterium Ingot</v>
      </c>
      <c r="E76" s="26">
        <f t="shared" si="9"/>
        <v>306</v>
      </c>
      <c r="G76" t="s">
        <v>21</v>
      </c>
      <c r="H76" s="22">
        <v>24</v>
      </c>
      <c r="I76" s="3">
        <f>VLOOKUP(G76&amp;"Total",$D:$AB,2,FALSE)/100*H76</f>
        <v>2.72</v>
      </c>
      <c r="J76" t="s">
        <v>59</v>
      </c>
      <c r="K76" s="22">
        <v>24</v>
      </c>
      <c r="L76" s="3">
        <f>VLOOKUP(J76&amp;"Total",$D:$AB,2,FALSE)/100*K76</f>
        <v>4</v>
      </c>
      <c r="M76" s="22" t="s">
        <v>27</v>
      </c>
      <c r="N76" s="22"/>
      <c r="O76" s="3">
        <f>VLOOKUP(M76&amp;"Total",$D:$AB,2,FALSE)/100*N76</f>
        <v>0</v>
      </c>
      <c r="P76" s="22" t="s">
        <v>27</v>
      </c>
      <c r="Q76" s="22"/>
      <c r="R76" s="3">
        <f>VLOOKUP(P76&amp;"Total",$D:$AB,2,FALSE)/100*Q76</f>
        <v>0</v>
      </c>
      <c r="T76" s="3">
        <f t="shared" si="10"/>
        <v>6.7200000000000006</v>
      </c>
      <c r="V76" s="22" t="s">
        <v>60</v>
      </c>
      <c r="W76" s="22">
        <v>30</v>
      </c>
      <c r="X76" s="22">
        <v>12</v>
      </c>
      <c r="AA76" s="3">
        <f>100/$X76*$H76*VLOOKUP($G76&amp;"Total",$D:$AK,24,FALSE)/100+100/$X76*$K76*VLOOKUP($J76&amp;"Total",$D:$AK,24,FALSE)/100+100/$X76*$N76*VLOOKUP($M76&amp;"Total",$D:$AK,24,FALSE)/100+100/$X76*$Q76*VLOOKUP($P76&amp;"Total",$D:$AK,24,FALSE)/100+
(IF($G76=AA$66,$H76,0)+IF($J76=AA$66,$K76,0)+IF($M76=AA$66,$N76,0)+IF($P76=AA$66,$Q76,0))*100/$X76</f>
        <v>0</v>
      </c>
      <c r="AB76" s="3">
        <f>100/$X76*$H76*VLOOKUP($G76&amp;"Total",$D:$AK,25,FALSE)/100+100/$X76*$K76*VLOOKUP($J76&amp;"Total",$D:$AK,25,FALSE)/100+100/$X76*$N76*VLOOKUP($M76&amp;"Total",$D:$AK,25,FALSE)/100+100/$X76*$Q76*VLOOKUP($P76&amp;"Total",$D:$AK,25,FALSE)/100+
(IF($G76=AB$66,$H76,0)+IF($J76=AB$66,$K76,0)+IF($M76=AB$66,$N76,0)+IF($P76=AB$66,$Q76,0))*100/$X76</f>
        <v>0</v>
      </c>
      <c r="AC76" s="3">
        <f>100/$X76*$H76*VLOOKUP($G76&amp;"Total",$D:$AK,26,FALSE)/100+100/$X76*$K76*VLOOKUP($J76&amp;"Total",$D:$AK,26,FALSE)/100+100/$X76*$N76*VLOOKUP($M76&amp;"Total",$D:$AK,26,FALSE)/100+100/$X76*$Q76*VLOOKUP($P76&amp;"Total",$D:$AK,26,FALSE)/100+
(IF($G76=AC$66,$H76,0)+IF($J76=AC$66,$K76,0)+IF($M76=AC$66,$N76,0)+IF($P76=AC$66,$Q76,0))*100/$X76</f>
        <v>0</v>
      </c>
      <c r="AD76" s="3">
        <f>100/$X76*$H76*VLOOKUP($G76&amp;"Total",$D:$AK,27,FALSE)/100+100/$X76*$K76*VLOOKUP($J76&amp;"Total",$D:$AK,27,FALSE)/100+100/$X76*$N76*VLOOKUP($M76&amp;"Total",$D:$AK,27,FALSE)/100+100/$X76*$Q76*VLOOKUP($P76&amp;"Total",$D:$AK,27,FALSE)/100+
(IF($G76=AD$66,$H76,0)+IF($J76=AD$66,$K76,0)+IF($M76=AD$66,$N76,0)+IF($P76=AD$66,$Q76,0))*100/$X76</f>
        <v>0</v>
      </c>
      <c r="AE76" s="3">
        <f>100/$X76*$H76*VLOOKUP($G76&amp;"Total",$D:$AK,28,FALSE)/100+100/$X76*$K76*VLOOKUP($J76&amp;"Total",$D:$AK,28,FALSE)/100+100/$X76*$N76*VLOOKUP($M76&amp;"Total",$D:$AK,28,FALSE)/100+100/$X76*$Q76*VLOOKUP($P76&amp;"Total",$D:$AK,28,FALSE)/100+
(IF($G76=AE$66,$H76,0)+IF($J76=AE$66,$K76,0)+IF($M76=AE$66,$N76,0)+IF($P76=AE$66,$Q76,0))*100/$X76</f>
        <v>200</v>
      </c>
      <c r="AF76" s="3">
        <f>100/$X76*$H76*VLOOKUP($G76&amp;"Total",$D:$AK,29,FALSE)/100+100/$X76*$K76*VLOOKUP($J76&amp;"Total",$D:$AK,29,FALSE)/100+100/$X76*$N76*VLOOKUP($M76&amp;"Total",$D:$AK,29,FALSE)/100+100/$X76*$Q76*VLOOKUP($P76&amp;"Total",$D:$AK,29,FALSE)/100+
(IF($G76=AF$66,$H76,0)+IF($J76=AF$66,$K76,0)+IF($M76=AF$66,$N76,0)+IF($P76=AF$66,$Q76,0))*100/$X76</f>
        <v>0</v>
      </c>
      <c r="AG76" s="3">
        <f>100/$X76*$H76*VLOOKUP($G76&amp;"Total",$D:$AK,30,FALSE)/100+100/$X76*$K76*VLOOKUP($J76&amp;"Total",$D:$AK,30,FALSE)/100+100/$X76*$N76*VLOOKUP($M76&amp;"Total",$D:$AK,30,FALSE)/100+100/$X76*$Q76*VLOOKUP($P76&amp;"Total",$D:$AK,30,FALSE)/100+
(IF($G76=AG$66,$H76,0)+IF($J76=AG$66,$K76,0)+IF($M76=AG$66,$N76,0)+IF($P76=AG$66,$Q76,0))*100/$X76</f>
        <v>0</v>
      </c>
      <c r="AH76" s="3">
        <f>100/$X76*$H76*VLOOKUP($G76&amp;"Total",$D:$AK,31,FALSE)/100+100/$X76*$K76*VLOOKUP($J76&amp;"Total",$D:$AK,31,FALSE)/100+100/$X76*$N76*VLOOKUP($M76&amp;"Total",$D:$AK,31,FALSE)/100+100/$X76*$Q76*VLOOKUP($P76&amp;"Total",$D:$AK,31,FALSE)/100+
(IF($G76=AH$66,$H76,0)+IF($J76=AH$66,$K76,0)+IF($M76=AH$66,$N76,0)+IF($P76=AH$66,$Q76,0))*100/$X76</f>
        <v>0</v>
      </c>
      <c r="AI76" s="3">
        <f>100/$X76*$H76*VLOOKUP($G76&amp;"Total",$D:$AK,32,FALSE)/100+100/$X76*$K76*VLOOKUP($J76&amp;"Total",$D:$AK,32,FALSE)/100+100/$X76*$N76*VLOOKUP($M76&amp;"Total",$D:$AK,32,FALSE)/100+100/$X76*$Q76*VLOOKUP($P76&amp;"Total",$D:$AK,32,FALSE)/100+
(IF($G76=AI$66,$H76,0)+IF($J76=AI$66,$K76,0)+IF($M76=AI$66,$N76,0)+IF($P76=AI$66,$Q76,0))*100/$X76</f>
        <v>0</v>
      </c>
      <c r="AJ76" s="3">
        <f>100/$X76*$H76*VLOOKUP($G76&amp;"Total",$D:$AK,33,FALSE)/100+100/$X76*$K76*VLOOKUP($J76&amp;"Total",$D:$AK,33,FALSE)/100+100/$X76*$N76*VLOOKUP($M76&amp;"Total",$D:$AK,33,FALSE)/100+100/$X76*$Q76*VLOOKUP($P76&amp;"Total",$D:$AK,33,FALSE)/100+
(IF($G76=AJ$66,$H76,0)+IF($J76=AJ$66,$K76,0)+IF($M76=AJ$66,$N76,0)+IF($P76=AJ$66,$Q76,0))*100/$X76</f>
        <v>200</v>
      </c>
      <c r="AK76" s="3">
        <f>100/$X76*$H76*VLOOKUP($G76&amp;"Total",$D:$AK,34,FALSE)/100+100/$X76*$K76*VLOOKUP($J76&amp;"Total",$D:$AK,34,FALSE)/100+100/$X76*$N76*VLOOKUP($M76&amp;"Total",$D:$AK,34,FALSE)/100+100/$X76*$Q76*VLOOKUP($P76&amp;"Total",$D:$AK,34,FALSE)/100+
(IF($G76=AK$66,$H76,0)+IF($J76=AK$66,$K76,0)+IF($M76=AK$66,$N76,0)+IF($P76=AK$66,$Q76,0))*100/$X76</f>
        <v>0</v>
      </c>
    </row>
    <row r="77" spans="1:37" x14ac:dyDescent="0.25">
      <c r="E77" s="25"/>
      <c r="G77" s="22"/>
      <c r="H77" s="22"/>
      <c r="J77" s="22"/>
      <c r="K77" s="22"/>
      <c r="M77" s="22"/>
      <c r="N77" s="22"/>
      <c r="P77" s="22"/>
      <c r="Q77" s="22"/>
      <c r="V77" s="22"/>
      <c r="W77" s="22"/>
      <c r="X77" s="22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x14ac:dyDescent="0.25">
      <c r="A78" t="s">
        <v>66</v>
      </c>
      <c r="B78" t="s">
        <v>66</v>
      </c>
      <c r="C78" t="s">
        <v>17</v>
      </c>
      <c r="D78" t="str">
        <f>A78&amp;C78</f>
        <v>ConcreteTotal</v>
      </c>
      <c r="E78" s="26">
        <f t="shared" ref="E78:E80" si="11">100/X78*(T78+W78)</f>
        <v>68.77477477477477</v>
      </c>
      <c r="G78" t="s">
        <v>19</v>
      </c>
      <c r="H78" s="22">
        <v>45</v>
      </c>
      <c r="I78" s="3">
        <f>VLOOKUP(G78&amp;"Total",$D:$AB,2,FALSE)/100*H78</f>
        <v>6.3162162162162163</v>
      </c>
      <c r="J78" s="22" t="s">
        <v>27</v>
      </c>
      <c r="K78" s="22"/>
      <c r="L78" s="3">
        <f>VLOOKUP(J78&amp;"Total",$D:$AB,2,FALSE)/100*K78</f>
        <v>0</v>
      </c>
      <c r="M78" s="22" t="s">
        <v>27</v>
      </c>
      <c r="N78" s="22"/>
      <c r="O78" s="3">
        <f>VLOOKUP(M78&amp;"Total",$D:$AB,2,FALSE)/100*N78</f>
        <v>0</v>
      </c>
      <c r="P78" s="22" t="s">
        <v>27</v>
      </c>
      <c r="Q78" s="22"/>
      <c r="R78" s="3">
        <f>VLOOKUP(P78&amp;"Total",$D:$AB,2,FALSE)/100*Q78</f>
        <v>0</v>
      </c>
      <c r="T78" s="3">
        <f t="shared" ref="T78:T80" si="12">I78+L78+O78+R78</f>
        <v>6.3162162162162163</v>
      </c>
      <c r="V78" s="22" t="s">
        <v>67</v>
      </c>
      <c r="W78" s="22">
        <v>4</v>
      </c>
      <c r="X78" s="22">
        <v>15</v>
      </c>
      <c r="AA78" s="3">
        <f>100/$X78*$H78*VLOOKUP($G78&amp;"Total",$D:$AK,24,FALSE)/100+100/$X78*$K78*VLOOKUP($J78&amp;"Total",$D:$AK,24,FALSE)/100+100/$X78*$N78*VLOOKUP($M78&amp;"Total",$D:$AK,24,FALSE)/100+100/$X78*$Q78*VLOOKUP($P78&amp;"Total",$D:$AK,24,FALSE)/100+
(IF($G78=AA$66,$H78,0)+IF($J78=AA$66,$K78,0)+IF($M78=AA$66,$N78,0)+IF($P78=AA$66,$Q78,0))*100/$X78</f>
        <v>0</v>
      </c>
      <c r="AB78" s="3">
        <f>100/$X78*$H78*VLOOKUP($G78&amp;"Total",$D:$AK,25,FALSE)/100+100/$X78*$K78*VLOOKUP($J78&amp;"Total",$D:$AK,25,FALSE)/100+100/$X78*$N78*VLOOKUP($M78&amp;"Total",$D:$AK,25,FALSE)/100+100/$X78*$Q78*VLOOKUP($P78&amp;"Total",$D:$AK,25,FALSE)/100+
(IF($G78=AB$66,$H78,0)+IF($J78=AB$66,$K78,0)+IF($M78=AB$66,$N78,0)+IF($P78=AB$66,$Q78,0))*100/$X78</f>
        <v>0</v>
      </c>
      <c r="AC78" s="3">
        <f>100/$X78*$H78*VLOOKUP($G78&amp;"Total",$D:$AK,26,FALSE)/100+100/$X78*$K78*VLOOKUP($J78&amp;"Total",$D:$AK,26,FALSE)/100+100/$X78*$N78*VLOOKUP($M78&amp;"Total",$D:$AK,26,FALSE)/100+100/$X78*$Q78*VLOOKUP($P78&amp;"Total",$D:$AK,26,FALSE)/100+
(IF($G78=AC$66,$H78,0)+IF($J78=AC$66,$K78,0)+IF($M78=AC$66,$N78,0)+IF($P78=AC$66,$Q78,0))*100/$X78</f>
        <v>300</v>
      </c>
      <c r="AD78" s="3">
        <f>100/$X78*$H78*VLOOKUP($G78&amp;"Total",$D:$AK,27,FALSE)/100+100/$X78*$K78*VLOOKUP($J78&amp;"Total",$D:$AK,27,FALSE)/100+100/$X78*$N78*VLOOKUP($M78&amp;"Total",$D:$AK,27,FALSE)/100+100/$X78*$Q78*VLOOKUP($P78&amp;"Total",$D:$AK,27,FALSE)/100+
(IF($G78=AD$66,$H78,0)+IF($J78=AD$66,$K78,0)+IF($M78=AD$66,$N78,0)+IF($P78=AD$66,$Q78,0))*100/$X78</f>
        <v>0</v>
      </c>
      <c r="AE78" s="3">
        <f>100/$X78*$H78*VLOOKUP($G78&amp;"Total",$D:$AK,28,FALSE)/100+100/$X78*$K78*VLOOKUP($J78&amp;"Total",$D:$AK,28,FALSE)/100+100/$X78*$N78*VLOOKUP($M78&amp;"Total",$D:$AK,28,FALSE)/100+100/$X78*$Q78*VLOOKUP($P78&amp;"Total",$D:$AK,28,FALSE)/100+
(IF($G78=AE$66,$H78,0)+IF($J78=AE$66,$K78,0)+IF($M78=AE$66,$N78,0)+IF($P78=AE$66,$Q78,0))*100/$X78</f>
        <v>0</v>
      </c>
      <c r="AF78" s="3">
        <f>100/$X78*$H78*VLOOKUP($G78&amp;"Total",$D:$AK,29,FALSE)/100+100/$X78*$K78*VLOOKUP($J78&amp;"Total",$D:$AK,29,FALSE)/100+100/$X78*$N78*VLOOKUP($M78&amp;"Total",$D:$AK,29,FALSE)/100+100/$X78*$Q78*VLOOKUP($P78&amp;"Total",$D:$AK,29,FALSE)/100+
(IF($G78=AF$66,$H78,0)+IF($J78=AF$66,$K78,0)+IF($M78=AF$66,$N78,0)+IF($P78=AF$66,$Q78,0))*100/$X78</f>
        <v>0</v>
      </c>
      <c r="AG78" s="3">
        <f>100/$X78*$H78*VLOOKUP($G78&amp;"Total",$D:$AK,30,FALSE)/100+100/$X78*$K78*VLOOKUP($J78&amp;"Total",$D:$AK,30,FALSE)/100+100/$X78*$N78*VLOOKUP($M78&amp;"Total",$D:$AK,30,FALSE)/100+100/$X78*$Q78*VLOOKUP($P78&amp;"Total",$D:$AK,30,FALSE)/100+
(IF($G78=AG$66,$H78,0)+IF($J78=AG$66,$K78,0)+IF($M78=AG$66,$N78,0)+IF($P78=AG$66,$Q78,0))*100/$X78</f>
        <v>0</v>
      </c>
      <c r="AH78" s="3">
        <f>100/$X78*$H78*VLOOKUP($G78&amp;"Total",$D:$AK,31,FALSE)/100+100/$X78*$K78*VLOOKUP($J78&amp;"Total",$D:$AK,31,FALSE)/100+100/$X78*$N78*VLOOKUP($M78&amp;"Total",$D:$AK,31,FALSE)/100+100/$X78*$Q78*VLOOKUP($P78&amp;"Total",$D:$AK,31,FALSE)/100+
(IF($G78=AH$66,$H78,0)+IF($J78=AH$66,$K78,0)+IF($M78=AH$66,$N78,0)+IF($P78=AH$66,$Q78,0))*100/$X78</f>
        <v>0</v>
      </c>
      <c r="AI78" s="3">
        <f>100/$X78*$H78*VLOOKUP($G78&amp;"Total",$D:$AK,32,FALSE)/100+100/$X78*$K78*VLOOKUP($J78&amp;"Total",$D:$AK,32,FALSE)/100+100/$X78*$N78*VLOOKUP($M78&amp;"Total",$D:$AK,32,FALSE)/100+100/$X78*$Q78*VLOOKUP($P78&amp;"Total",$D:$AK,32,FALSE)/100+
(IF($G78=AI$66,$H78,0)+IF($J78=AI$66,$K78,0)+IF($M78=AI$66,$N78,0)+IF($P78=AI$66,$Q78,0))*100/$X78</f>
        <v>0</v>
      </c>
      <c r="AJ78" s="3">
        <f>100/$X78*$H78*VLOOKUP($G78&amp;"Total",$D:$AK,33,FALSE)/100+100/$X78*$K78*VLOOKUP($J78&amp;"Total",$D:$AK,33,FALSE)/100+100/$X78*$N78*VLOOKUP($M78&amp;"Total",$D:$AK,33,FALSE)/100+100/$X78*$Q78*VLOOKUP($P78&amp;"Total",$D:$AK,33,FALSE)/100+
(IF($G78=AJ$66,$H78,0)+IF($J78=AJ$66,$K78,0)+IF($M78=AJ$66,$N78,0)+IF($P78=AJ$66,$Q78,0))*100/$X78</f>
        <v>0</v>
      </c>
      <c r="AK78" s="3">
        <f>100/$X78*$H78*VLOOKUP($G78&amp;"Total",$D:$AK,34,FALSE)/100+100/$X78*$K78*VLOOKUP($J78&amp;"Total",$D:$AK,34,FALSE)/100+100/$X78*$N78*VLOOKUP($M78&amp;"Total",$D:$AK,34,FALSE)/100+100/$X78*$Q78*VLOOKUP($P78&amp;"Total",$D:$AK,34,FALSE)/100+
(IF($G78=AK$66,$H78,0)+IF($J78=AK$66,$K78,0)+IF($M78=AK$66,$N78,0)+IF($P78=AK$66,$Q78,0))*100/$X78</f>
        <v>0</v>
      </c>
    </row>
    <row r="79" spans="1:37" x14ac:dyDescent="0.25">
      <c r="A79" t="s">
        <v>66</v>
      </c>
      <c r="B79" t="s">
        <v>68</v>
      </c>
      <c r="D79" t="str">
        <f t="shared" ref="D79:D81" si="13">A79&amp;C79</f>
        <v>Concrete</v>
      </c>
      <c r="E79" s="26">
        <f t="shared" si="11"/>
        <v>82.424295874822192</v>
      </c>
      <c r="G79" t="s">
        <v>19</v>
      </c>
      <c r="H79" s="22">
        <v>30</v>
      </c>
      <c r="I79" s="3">
        <f>VLOOKUP(G79&amp;"Total",$D:$AB,2,FALSE)/100*H79</f>
        <v>4.2108108108108109</v>
      </c>
      <c r="J79" t="s">
        <v>69</v>
      </c>
      <c r="K79" s="22">
        <v>7.5</v>
      </c>
      <c r="L79" s="3">
        <f>VLOOKUP(J79&amp;"Total",$D:$AB,2,FALSE)/100*K79</f>
        <v>1.3952631578947368</v>
      </c>
      <c r="M79" s="22" t="s">
        <v>27</v>
      </c>
      <c r="N79" s="22"/>
      <c r="O79" s="3">
        <f>VLOOKUP(M79&amp;"Total",$D:$AB,2,FALSE)/100*N79</f>
        <v>0</v>
      </c>
      <c r="P79" s="22" t="s">
        <v>27</v>
      </c>
      <c r="Q79" s="22"/>
      <c r="R79" s="3">
        <f>VLOOKUP(P79&amp;"Total",$D:$AB,2,FALSE)/100*Q79</f>
        <v>0</v>
      </c>
      <c r="T79" s="3">
        <f t="shared" si="12"/>
        <v>5.6060739687055481</v>
      </c>
      <c r="V79" s="22" t="s">
        <v>70</v>
      </c>
      <c r="W79" s="22">
        <v>15</v>
      </c>
      <c r="X79" s="22">
        <v>25</v>
      </c>
      <c r="AA79" s="3">
        <f>100/$X79*$H79*VLOOKUP($G79&amp;"Total",$D:$AK,24,FALSE)/100+100/$X79*$K79*VLOOKUP($J79&amp;"Total",$D:$AK,24,FALSE)/100+100/$X79*$N79*VLOOKUP($M79&amp;"Total",$D:$AK,24,FALSE)/100+100/$X79*$Q79*VLOOKUP($P79&amp;"Total",$D:$AK,24,FALSE)/100+
(IF($G79=AA$66,$H79,0)+IF($J79=AA$66,$K79,0)+IF($M79=AA$66,$N79,0)+IF($P79=AA$66,$Q79,0))*100/$X79</f>
        <v>0</v>
      </c>
      <c r="AB79" s="3">
        <f>100/$X79*$H79*VLOOKUP($G79&amp;"Total",$D:$AK,25,FALSE)/100+100/$X79*$K79*VLOOKUP($J79&amp;"Total",$D:$AK,25,FALSE)/100+100/$X79*$N79*VLOOKUP($M79&amp;"Total",$D:$AK,25,FALSE)/100+100/$X79*$Q79*VLOOKUP($P79&amp;"Total",$D:$AK,25,FALSE)/100+
(IF($G79=AB$66,$H79,0)+IF($J79=AB$66,$K79,0)+IF($M79=AB$66,$N79,0)+IF($P79=AB$66,$Q79,0))*100/$X79</f>
        <v>0</v>
      </c>
      <c r="AC79" s="3">
        <f>100/$X79*$H79*VLOOKUP($G79&amp;"Total",$D:$AK,26,FALSE)/100+100/$X79*$K79*VLOOKUP($J79&amp;"Total",$D:$AK,26,FALSE)/100+100/$X79*$N79*VLOOKUP($M79&amp;"Total",$D:$AK,26,FALSE)/100+100/$X79*$Q79*VLOOKUP($P79&amp;"Total",$D:$AK,26,FALSE)/100+
(IF($G79=AC$66,$H79,0)+IF($J79=AC$66,$K79,0)+IF($M79=AC$66,$N79,0)+IF($P79=AC$66,$Q79,0))*100/$X79</f>
        <v>120</v>
      </c>
      <c r="AD79" s="3">
        <f>100/$X79*$H79*VLOOKUP($G79&amp;"Total",$D:$AK,27,FALSE)/100+100/$X79*$K79*VLOOKUP($J79&amp;"Total",$D:$AK,27,FALSE)/100+100/$X79*$N79*VLOOKUP($M79&amp;"Total",$D:$AK,27,FALSE)/100+100/$X79*$Q79*VLOOKUP($P79&amp;"Total",$D:$AK,27,FALSE)/100+
(IF($G79=AD$66,$H79,0)+IF($J79=AD$66,$K79,0)+IF($M79=AD$66,$N79,0)+IF($P79=AD$66,$Q79,0))*100/$X79</f>
        <v>0</v>
      </c>
      <c r="AE79" s="3">
        <f>100/$X79*$H79*VLOOKUP($G79&amp;"Total",$D:$AK,28,FALSE)/100+100/$X79*$K79*VLOOKUP($J79&amp;"Total",$D:$AK,28,FALSE)/100+100/$X79*$N79*VLOOKUP($M79&amp;"Total",$D:$AK,28,FALSE)/100+100/$X79*$Q79*VLOOKUP($P79&amp;"Total",$D:$AK,28,FALSE)/100+
(IF($G79=AE$66,$H79,0)+IF($J79=AE$66,$K79,0)+IF($M79=AE$66,$N79,0)+IF($P79=AE$66,$Q79,0))*100/$X79</f>
        <v>0</v>
      </c>
      <c r="AF79" s="3">
        <f>100/$X79*$H79*VLOOKUP($G79&amp;"Total",$D:$AK,29,FALSE)/100+100/$X79*$K79*VLOOKUP($J79&amp;"Total",$D:$AK,29,FALSE)/100+100/$X79*$N79*VLOOKUP($M79&amp;"Total",$D:$AK,29,FALSE)/100+100/$X79*$Q79*VLOOKUP($P79&amp;"Total",$D:$AK,29,FALSE)/100+
(IF($G79=AF$66,$H79,0)+IF($J79=AF$66,$K79,0)+IF($M79=AF$66,$N79,0)+IF($P79=AF$66,$Q79,0))*100/$X79</f>
        <v>18</v>
      </c>
      <c r="AG79" s="3">
        <f>100/$X79*$H79*VLOOKUP($G79&amp;"Total",$D:$AK,30,FALSE)/100+100/$X79*$K79*VLOOKUP($J79&amp;"Total",$D:$AK,30,FALSE)/100+100/$X79*$N79*VLOOKUP($M79&amp;"Total",$D:$AK,30,FALSE)/100+100/$X79*$Q79*VLOOKUP($P79&amp;"Total",$D:$AK,30,FALSE)/100+
(IF($G79=AG$66,$H79,0)+IF($J79=AG$66,$K79,0)+IF($M79=AG$66,$N79,0)+IF($P79=AG$66,$Q79,0))*100/$X79</f>
        <v>0</v>
      </c>
      <c r="AH79" s="3">
        <f>100/$X79*$H79*VLOOKUP($G79&amp;"Total",$D:$AK,31,FALSE)/100+100/$X79*$K79*VLOOKUP($J79&amp;"Total",$D:$AK,31,FALSE)/100+100/$X79*$N79*VLOOKUP($M79&amp;"Total",$D:$AK,31,FALSE)/100+100/$X79*$Q79*VLOOKUP($P79&amp;"Total",$D:$AK,31,FALSE)/100+
(IF($G79=AH$66,$H79,0)+IF($J79=AH$66,$K79,0)+IF($M79=AH$66,$N79,0)+IF($P79=AH$66,$Q79,0))*100/$X79</f>
        <v>0</v>
      </c>
      <c r="AI79" s="3">
        <f>100/$X79*$H79*VLOOKUP($G79&amp;"Total",$D:$AK,32,FALSE)/100+100/$X79*$K79*VLOOKUP($J79&amp;"Total",$D:$AK,32,FALSE)/100+100/$X79*$N79*VLOOKUP($M79&amp;"Total",$D:$AK,32,FALSE)/100+100/$X79*$Q79*VLOOKUP($P79&amp;"Total",$D:$AK,32,FALSE)/100+
(IF($G79=AI$66,$H79,0)+IF($J79=AI$66,$K79,0)+IF($M79=AI$66,$N79,0)+IF($P79=AI$66,$Q79,0))*100/$X79</f>
        <v>0</v>
      </c>
      <c r="AJ79" s="3">
        <f>100/$X79*$H79*VLOOKUP($G79&amp;"Total",$D:$AK,33,FALSE)/100+100/$X79*$K79*VLOOKUP($J79&amp;"Total",$D:$AK,33,FALSE)/100+100/$X79*$N79*VLOOKUP($M79&amp;"Total",$D:$AK,33,FALSE)/100+100/$X79*$Q79*VLOOKUP($P79&amp;"Total",$D:$AK,33,FALSE)/100+
(IF($G79=AJ$66,$H79,0)+IF($J79=AJ$66,$K79,0)+IF($M79=AJ$66,$N79,0)+IF($P79=AJ$66,$Q79,0))*100/$X79</f>
        <v>0</v>
      </c>
      <c r="AK79" s="3">
        <f>100/$X79*$H79*VLOOKUP($G79&amp;"Total",$D:$AK,34,FALSE)/100+100/$X79*$K79*VLOOKUP($J79&amp;"Total",$D:$AK,34,FALSE)/100+100/$X79*$N79*VLOOKUP($M79&amp;"Total",$D:$AK,34,FALSE)/100+100/$X79*$Q79*VLOOKUP($P79&amp;"Total",$D:$AK,34,FALSE)/100+
(IF($G79=AK$66,$H79,0)+IF($J79=AK$66,$K79,0)+IF($M79=AK$66,$N79,0)+IF($P79=AK$66,$Q79,0))*100/$X79</f>
        <v>0</v>
      </c>
    </row>
    <row r="80" spans="1:37" x14ac:dyDescent="0.25">
      <c r="A80" t="s">
        <v>66</v>
      </c>
      <c r="B80" t="s">
        <v>71</v>
      </c>
      <c r="D80" t="str">
        <f t="shared" si="13"/>
        <v>Concrete</v>
      </c>
      <c r="E80" s="26">
        <f t="shared" si="11"/>
        <v>96.611606991607005</v>
      </c>
      <c r="G80" t="s">
        <v>19</v>
      </c>
      <c r="H80" s="22">
        <v>50</v>
      </c>
      <c r="I80" s="3">
        <f>VLOOKUP(G80&amp;"Total",$D:$AB,2,FALSE)/100*H80</f>
        <v>7.0180180180180187</v>
      </c>
      <c r="J80" t="s">
        <v>72</v>
      </c>
      <c r="K80" s="22">
        <v>10</v>
      </c>
      <c r="L80" s="3">
        <f>VLOOKUP(J80&amp;"Total",$D:$AB,2,FALSE)/100*K80</f>
        <v>21.457205128205132</v>
      </c>
      <c r="M80" s="22" t="s">
        <v>27</v>
      </c>
      <c r="N80" s="22"/>
      <c r="O80" s="3">
        <f>VLOOKUP(M80&amp;"Total",$D:$AB,2,FALSE)/100*N80</f>
        <v>0</v>
      </c>
      <c r="P80" s="22" t="s">
        <v>27</v>
      </c>
      <c r="Q80" s="22"/>
      <c r="R80" s="3">
        <f>VLOOKUP(P80&amp;"Total",$D:$AB,2,FALSE)/100*Q80</f>
        <v>0</v>
      </c>
      <c r="T80" s="3">
        <f t="shared" si="12"/>
        <v>28.475223146223151</v>
      </c>
      <c r="V80" s="22" t="s">
        <v>70</v>
      </c>
      <c r="W80" s="22">
        <v>15</v>
      </c>
      <c r="X80" s="22">
        <v>45</v>
      </c>
      <c r="AA80" s="3">
        <f>100/$X80*$H80*VLOOKUP($G80&amp;"Total",$D:$AK,24,FALSE)/100+100/$X80*$K80*VLOOKUP($J80&amp;"Total",$D:$AK,24,FALSE)/100+100/$X80*$N80*VLOOKUP($M80&amp;"Total",$D:$AK,24,FALSE)/100+100/$X80*$Q80*VLOOKUP($P80&amp;"Total",$D:$AK,24,FALSE)/100+
(IF($G80=AA$66,$H80,0)+IF($J80=AA$66,$K80,0)+IF($M80=AA$66,$N80,0)+IF($P80=AA$66,$Q80,0))*100/$X80</f>
        <v>0</v>
      </c>
      <c r="AB80" s="3">
        <f>100/$X80*$H80*VLOOKUP($G80&amp;"Total",$D:$AK,25,FALSE)/100+100/$X80*$K80*VLOOKUP($J80&amp;"Total",$D:$AK,25,FALSE)/100+100/$X80*$N80*VLOOKUP($M80&amp;"Total",$D:$AK,25,FALSE)/100+100/$X80*$Q80*VLOOKUP($P80&amp;"Total",$D:$AK,25,FALSE)/100+
(IF($G80=AB$66,$H80,0)+IF($J80=AB$66,$K80,0)+IF($M80=AB$66,$N80,0)+IF($P80=AB$66,$Q80,0))*100/$X80</f>
        <v>0</v>
      </c>
      <c r="AC80" s="3">
        <f>100/$X80*$H80*VLOOKUP($G80&amp;"Total",$D:$AK,26,FALSE)/100+100/$X80*$K80*VLOOKUP($J80&amp;"Total",$D:$AK,26,FALSE)/100+100/$X80*$N80*VLOOKUP($M80&amp;"Total",$D:$AK,26,FALSE)/100+100/$X80*$Q80*VLOOKUP($P80&amp;"Total",$D:$AK,26,FALSE)/100+
(IF($G80=AC$66,$H80,0)+IF($J80=AC$66,$K80,0)+IF($M80=AC$66,$N80,0)+IF($P80=AC$66,$Q80,0))*100/$X80</f>
        <v>111.11111111111111</v>
      </c>
      <c r="AD80" s="3">
        <f>100/$X80*$H80*VLOOKUP($G80&amp;"Total",$D:$AK,27,FALSE)/100+100/$X80*$K80*VLOOKUP($J80&amp;"Total",$D:$AK,27,FALSE)/100+100/$X80*$N80*VLOOKUP($M80&amp;"Total",$D:$AK,27,FALSE)/100+100/$X80*$Q80*VLOOKUP($P80&amp;"Total",$D:$AK,27,FALSE)/100+
(IF($G80=AD$66,$H80,0)+IF($J80=AD$66,$K80,0)+IF($M80=AD$66,$N80,0)+IF($P80=AD$66,$Q80,0))*100/$X80</f>
        <v>0</v>
      </c>
      <c r="AE80" s="3">
        <f>100/$X80*$H80*VLOOKUP($G80&amp;"Total",$D:$AK,28,FALSE)/100+100/$X80*$K80*VLOOKUP($J80&amp;"Total",$D:$AK,28,FALSE)/100+100/$X80*$N80*VLOOKUP($M80&amp;"Total",$D:$AK,28,FALSE)/100+100/$X80*$Q80*VLOOKUP($P80&amp;"Total",$D:$AK,28,FALSE)/100+
(IF($G80=AE$66,$H80,0)+IF($J80=AE$66,$K80,0)+IF($M80=AE$66,$N80,0)+IF($P80=AE$66,$Q80,0))*100/$X80</f>
        <v>0</v>
      </c>
      <c r="AF80" s="3">
        <f>100/$X80*$H80*VLOOKUP($G80&amp;"Total",$D:$AK,29,FALSE)/100+100/$X80*$K80*VLOOKUP($J80&amp;"Total",$D:$AK,29,FALSE)/100+100/$X80*$N80*VLOOKUP($M80&amp;"Total",$D:$AK,29,FALSE)/100+100/$X80*$Q80*VLOOKUP($P80&amp;"Total",$D:$AK,29,FALSE)/100+
(IF($G80=AF$66,$H80,0)+IF($J80=AF$66,$K80,0)+IF($M80=AF$66,$N80,0)+IF($P80=AF$66,$Q80,0))*100/$X80</f>
        <v>0</v>
      </c>
      <c r="AG80" s="3">
        <f>100/$X80*$H80*VLOOKUP($G80&amp;"Total",$D:$AK,30,FALSE)/100+100/$X80*$K80*VLOOKUP($J80&amp;"Total",$D:$AK,30,FALSE)/100+100/$X80*$N80*VLOOKUP($M80&amp;"Total",$D:$AK,30,FALSE)/100+100/$X80*$Q80*VLOOKUP($P80&amp;"Total",$D:$AK,30,FALSE)/100+
(IF($G80=AG$66,$H80,0)+IF($J80=AG$66,$K80,0)+IF($M80=AG$66,$N80,0)+IF($P80=AG$66,$Q80,0))*100/$X80</f>
        <v>0</v>
      </c>
      <c r="AH80" s="3">
        <f>100/$X80*$H80*VLOOKUP($G80&amp;"Total",$D:$AK,31,FALSE)/100+100/$X80*$K80*VLOOKUP($J80&amp;"Total",$D:$AK,31,FALSE)/100+100/$X80*$N80*VLOOKUP($M80&amp;"Total",$D:$AK,31,FALSE)/100+100/$X80*$Q80*VLOOKUP($P80&amp;"Total",$D:$AK,31,FALSE)/100+
(IF($G80=AH$66,$H80,0)+IF($J80=AH$66,$K80,0)+IF($M80=AH$66,$N80,0)+IF($P80=AH$66,$Q80,0))*100/$X80</f>
        <v>0</v>
      </c>
      <c r="AI80" s="3">
        <f>100/$X80*$H80*VLOOKUP($G80&amp;"Total",$D:$AK,32,FALSE)/100+100/$X80*$K80*VLOOKUP($J80&amp;"Total",$D:$AK,32,FALSE)/100+100/$X80*$N80*VLOOKUP($M80&amp;"Total",$D:$AK,32,FALSE)/100+100/$X80*$Q80*VLOOKUP($P80&amp;"Total",$D:$AK,32,FALSE)/100+
(IF($G80=AI$66,$H80,0)+IF($J80=AI$66,$K80,0)+IF($M80=AI$66,$N80,0)+IF($P80=AI$66,$Q80,0))*100/$X80</f>
        <v>0</v>
      </c>
      <c r="AJ80" s="3">
        <f>100/$X80*$H80*VLOOKUP($G80&amp;"Total",$D:$AK,33,FALSE)/100+100/$X80*$K80*VLOOKUP($J80&amp;"Total",$D:$AK,33,FALSE)/100+100/$X80*$N80*VLOOKUP($M80&amp;"Total",$D:$AK,33,FALSE)/100+100/$X80*$Q80*VLOOKUP($P80&amp;"Total",$D:$AK,33,FALSE)/100+
(IF($G80=AJ$66,$H80,0)+IF($J80=AJ$66,$K80,0)+IF($M80=AJ$66,$N80,0)+IF($P80=AJ$66,$Q80,0))*100/$X80</f>
        <v>0</v>
      </c>
      <c r="AK80" s="3">
        <f>100/$X80*$H80*VLOOKUP($G80&amp;"Total",$D:$AK,34,FALSE)/100+100/$X80*$K80*VLOOKUP($J80&amp;"Total",$D:$AK,34,FALSE)/100+100/$X80*$N80*VLOOKUP($M80&amp;"Total",$D:$AK,34,FALSE)/100+100/$X80*$Q80*VLOOKUP($P80&amp;"Total",$D:$AK,34,FALSE)/100+
(IF($G80=AK$66,$H80,0)+IF($J80=AK$66,$K80,0)+IF($M80=AK$66,$N80,0)+IF($P80=AK$66,$Q80,0))*100/$X80</f>
        <v>33.333333333333329</v>
      </c>
    </row>
    <row r="81" spans="1:37" x14ac:dyDescent="0.25">
      <c r="A81" t="s">
        <v>66</v>
      </c>
      <c r="B81" s="28" t="s">
        <v>73</v>
      </c>
      <c r="D81" t="str">
        <f t="shared" si="13"/>
        <v>Concrete</v>
      </c>
      <c r="E81" s="26">
        <f t="shared" ref="E81" si="14">100/X81*(T81+W81)</f>
        <v>59.59572072072072</v>
      </c>
      <c r="G81" t="s">
        <v>19</v>
      </c>
      <c r="H81" s="22">
        <v>120</v>
      </c>
      <c r="I81" s="3">
        <f>VLOOKUP(G81&amp;"Total",$D:$AB,2,FALSE)/100*H81</f>
        <v>16.843243243243244</v>
      </c>
      <c r="J81" t="s">
        <v>59</v>
      </c>
      <c r="K81" s="22">
        <v>5</v>
      </c>
      <c r="L81" s="3">
        <f>VLOOKUP(J81&amp;"Total",$D:$AB,2,FALSE)/100*K81</f>
        <v>0.83333333333333348</v>
      </c>
      <c r="M81" s="22" t="s">
        <v>27</v>
      </c>
      <c r="N81" s="22"/>
      <c r="O81" s="3">
        <f>VLOOKUP(M81&amp;"Total",$D:$AB,2,FALSE)/100*N81</f>
        <v>0</v>
      </c>
      <c r="P81" s="22" t="s">
        <v>27</v>
      </c>
      <c r="Q81" s="22"/>
      <c r="R81" s="3">
        <f>VLOOKUP(P81&amp;"Total",$D:$AB,2,FALSE)/100*Q81</f>
        <v>0</v>
      </c>
      <c r="T81" s="3">
        <f t="shared" ref="T81" si="15">I81+L81+O81+R81</f>
        <v>17.676576576576576</v>
      </c>
      <c r="V81" s="22" t="s">
        <v>60</v>
      </c>
      <c r="W81" s="22">
        <v>30</v>
      </c>
      <c r="X81" s="22">
        <v>80</v>
      </c>
      <c r="AA81" s="3">
        <f>100/$X81*$H81*VLOOKUP($G81&amp;"Total",$D:$AK,24,FALSE)/100+100/$X81*$K81*VLOOKUP($J81&amp;"Total",$D:$AK,24,FALSE)/100+100/$X81*$N81*VLOOKUP($M81&amp;"Total",$D:$AK,24,FALSE)/100+100/$X81*$Q81*VLOOKUP($P81&amp;"Total",$D:$AK,24,FALSE)/100+
(IF($G81=AA$66,$H81,0)+IF($J81=AA$66,$K81,0)+IF($M81=AA$66,$N81,0)+IF($P81=AA$66,$Q81,0))*100/$X81</f>
        <v>0</v>
      </c>
      <c r="AB81" s="3">
        <f>100/$X81*$H81*VLOOKUP($G81&amp;"Total",$D:$AK,25,FALSE)/100+100/$X81*$K81*VLOOKUP($J81&amp;"Total",$D:$AK,25,FALSE)/100+100/$X81*$N81*VLOOKUP($M81&amp;"Total",$D:$AK,25,FALSE)/100+100/$X81*$Q81*VLOOKUP($P81&amp;"Total",$D:$AK,25,FALSE)/100+
(IF($G81=AB$66,$H81,0)+IF($J81=AB$66,$K81,0)+IF($M81=AB$66,$N81,0)+IF($P81=AB$66,$Q81,0))*100/$X81</f>
        <v>0</v>
      </c>
      <c r="AC81" s="3">
        <f>100/$X81*$H81*VLOOKUP($G81&amp;"Total",$D:$AK,26,FALSE)/100+100/$X81*$K81*VLOOKUP($J81&amp;"Total",$D:$AK,26,FALSE)/100+100/$X81*$N81*VLOOKUP($M81&amp;"Total",$D:$AK,26,FALSE)/100+100/$X81*$Q81*VLOOKUP($P81&amp;"Total",$D:$AK,26,FALSE)/100+
(IF($G81=AC$66,$H81,0)+IF($J81=AC$66,$K81,0)+IF($M81=AC$66,$N81,0)+IF($P81=AC$66,$Q81,0))*100/$X81</f>
        <v>150</v>
      </c>
      <c r="AD81" s="3">
        <f>100/$X81*$H81*VLOOKUP($G81&amp;"Total",$D:$AK,27,FALSE)/100+100/$X81*$K81*VLOOKUP($J81&amp;"Total",$D:$AK,27,FALSE)/100+100/$X81*$N81*VLOOKUP($M81&amp;"Total",$D:$AK,27,FALSE)/100+100/$X81*$Q81*VLOOKUP($P81&amp;"Total",$D:$AK,27,FALSE)/100+
(IF($G81=AD$66,$H81,0)+IF($J81=AD$66,$K81,0)+IF($M81=AD$66,$N81,0)+IF($P81=AD$66,$Q81,0))*100/$X81</f>
        <v>0</v>
      </c>
      <c r="AE81" s="3">
        <f>100/$X81*$H81*VLOOKUP($G81&amp;"Total",$D:$AK,28,FALSE)/100+100/$X81*$K81*VLOOKUP($J81&amp;"Total",$D:$AK,28,FALSE)/100+100/$X81*$N81*VLOOKUP($M81&amp;"Total",$D:$AK,28,FALSE)/100+100/$X81*$Q81*VLOOKUP($P81&amp;"Total",$D:$AK,28,FALSE)/100+
(IF($G81=AE$66,$H81,0)+IF($J81=AE$66,$K81,0)+IF($M81=AE$66,$N81,0)+IF($P81=AE$66,$Q81,0))*100/$X81</f>
        <v>0</v>
      </c>
      <c r="AF81" s="3">
        <f>100/$X81*$H81*VLOOKUP($G81&amp;"Total",$D:$AK,29,FALSE)/100+100/$X81*$K81*VLOOKUP($J81&amp;"Total",$D:$AK,29,FALSE)/100+100/$X81*$N81*VLOOKUP($M81&amp;"Total",$D:$AK,29,FALSE)/100+100/$X81*$Q81*VLOOKUP($P81&amp;"Total",$D:$AK,29,FALSE)/100+
(IF($G81=AF$66,$H81,0)+IF($J81=AF$66,$K81,0)+IF($M81=AF$66,$N81,0)+IF($P81=AF$66,$Q81,0))*100/$X81</f>
        <v>0</v>
      </c>
      <c r="AG81" s="3">
        <f>100/$X81*$H81*VLOOKUP($G81&amp;"Total",$D:$AK,30,FALSE)/100+100/$X81*$K81*VLOOKUP($J81&amp;"Total",$D:$AK,30,FALSE)/100+100/$X81*$N81*VLOOKUP($M81&amp;"Total",$D:$AK,30,FALSE)/100+100/$X81*$Q81*VLOOKUP($P81&amp;"Total",$D:$AK,30,FALSE)/100+
(IF($G81=AG$66,$H81,0)+IF($J81=AG$66,$K81,0)+IF($M81=AG$66,$N81,0)+IF($P81=AG$66,$Q81,0))*100/$X81</f>
        <v>0</v>
      </c>
      <c r="AH81" s="3">
        <f>100/$X81*$H81*VLOOKUP($G81&amp;"Total",$D:$AK,31,FALSE)/100+100/$X81*$K81*VLOOKUP($J81&amp;"Total",$D:$AK,31,FALSE)/100+100/$X81*$N81*VLOOKUP($M81&amp;"Total",$D:$AK,31,FALSE)/100+100/$X81*$Q81*VLOOKUP($P81&amp;"Total",$D:$AK,31,FALSE)/100+
(IF($G81=AH$66,$H81,0)+IF($J81=AH$66,$K81,0)+IF($M81=AH$66,$N81,0)+IF($P81=AH$66,$Q81,0))*100/$X81</f>
        <v>0</v>
      </c>
      <c r="AI81" s="3">
        <f>100/$X81*$H81*VLOOKUP($G81&amp;"Total",$D:$AK,32,FALSE)/100+100/$X81*$K81*VLOOKUP($J81&amp;"Total",$D:$AK,32,FALSE)/100+100/$X81*$N81*VLOOKUP($M81&amp;"Total",$D:$AK,32,FALSE)/100+100/$X81*$Q81*VLOOKUP($P81&amp;"Total",$D:$AK,32,FALSE)/100+
(IF($G81=AI$66,$H81,0)+IF($J81=AI$66,$K81,0)+IF($M81=AI$66,$N81,0)+IF($P81=AI$66,$Q81,0))*100/$X81</f>
        <v>0</v>
      </c>
      <c r="AJ81" s="3">
        <f>100/$X81*$H81*VLOOKUP($G81&amp;"Total",$D:$AK,33,FALSE)/100+100/$X81*$K81*VLOOKUP($J81&amp;"Total",$D:$AK,33,FALSE)/100+100/$X81*$N81*VLOOKUP($M81&amp;"Total",$D:$AK,33,FALSE)/100+100/$X81*$Q81*VLOOKUP($P81&amp;"Total",$D:$AK,33,FALSE)/100+
(IF($G81=AJ$66,$H81,0)+IF($J81=AJ$66,$K81,0)+IF($M81=AJ$66,$N81,0)+IF($P81=AJ$66,$Q81,0))*100/$X81</f>
        <v>6.25</v>
      </c>
      <c r="AK81" s="3">
        <f>100/$X81*$H81*VLOOKUP($G81&amp;"Total",$D:$AK,34,FALSE)/100+100/$X81*$K81*VLOOKUP($J81&amp;"Total",$D:$AK,34,FALSE)/100+100/$X81*$N81*VLOOKUP($M81&amp;"Total",$D:$AK,34,FALSE)/100+100/$X81*$Q81*VLOOKUP($P81&amp;"Total",$D:$AK,34,FALSE)/100+
(IF($G81=AK$66,$H81,0)+IF($J81=AK$66,$K81,0)+IF($M81=AK$66,$N81,0)+IF($P81=AK$66,$Q81,0))*100/$X81</f>
        <v>0</v>
      </c>
    </row>
    <row r="82" spans="1:37" x14ac:dyDescent="0.25">
      <c r="E82" s="25"/>
      <c r="G82" s="22"/>
      <c r="H82" s="22"/>
      <c r="J82" s="22"/>
      <c r="K82" s="22"/>
      <c r="M82" s="22"/>
      <c r="N82" s="22"/>
      <c r="P82" s="22"/>
      <c r="Q82" s="22"/>
      <c r="V82" s="22"/>
      <c r="W82" s="22"/>
      <c r="X82" s="22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x14ac:dyDescent="0.25">
      <c r="A83" t="s">
        <v>74</v>
      </c>
      <c r="B83" t="s">
        <v>74</v>
      </c>
      <c r="C83" t="s">
        <v>17</v>
      </c>
      <c r="D83" t="str">
        <f t="shared" ref="D83:D84" si="16">A83&amp;C83</f>
        <v>Quartz CrystalTotal</v>
      </c>
      <c r="E83" s="26">
        <f t="shared" ref="E83:E84" si="17">100/X83*(T83+W83)</f>
        <v>39.824561403508774</v>
      </c>
      <c r="G83" t="s">
        <v>22</v>
      </c>
      <c r="H83" s="22">
        <v>37.5</v>
      </c>
      <c r="I83" s="3">
        <f>VLOOKUP(G83&amp;"Total",$D:$AB,2,FALSE)/100*H83</f>
        <v>4.9605263157894743</v>
      </c>
      <c r="J83" s="22" t="s">
        <v>27</v>
      </c>
      <c r="K83" s="22"/>
      <c r="L83" s="3">
        <f>VLOOKUP(J83&amp;"Total",$D:$AB,2,FALSE)/100*K83</f>
        <v>0</v>
      </c>
      <c r="M83" s="22" t="s">
        <v>27</v>
      </c>
      <c r="N83" s="22"/>
      <c r="O83" s="3">
        <f>VLOOKUP(M83&amp;"Total",$D:$AB,2,FALSE)/100*N83</f>
        <v>0</v>
      </c>
      <c r="P83" s="22" t="s">
        <v>27</v>
      </c>
      <c r="Q83" s="22"/>
      <c r="R83" s="3">
        <f>VLOOKUP(P83&amp;"Total",$D:$AB,2,FALSE)/100*Q83</f>
        <v>0</v>
      </c>
      <c r="T83" s="3">
        <f t="shared" ref="T83:T84" si="18">I83+L83+O83+R83</f>
        <v>4.9605263157894743</v>
      </c>
      <c r="V83" s="22" t="s">
        <v>67</v>
      </c>
      <c r="W83" s="22">
        <v>4</v>
      </c>
      <c r="X83" s="22">
        <v>22.5</v>
      </c>
      <c r="AA83" s="3">
        <f>100/$X83*$H83*VLOOKUP($G83&amp;"Total",$D:$AK,24,FALSE)/100+100/$X83*$K83*VLOOKUP($J83&amp;"Total",$D:$AK,24,FALSE)/100+100/$X83*$N83*VLOOKUP($M83&amp;"Total",$D:$AK,24,FALSE)/100+100/$X83*$Q83*VLOOKUP($P83&amp;"Total",$D:$AK,24,FALSE)/100+
(IF($G83=AA$66,$H83,0)+IF($J83=AA$66,$K83,0)+IF($M83=AA$66,$N83,0)+IF($P83=AA$66,$Q83,0))*100/$X83</f>
        <v>0</v>
      </c>
      <c r="AB83" s="3">
        <f>100/$X83*$H83*VLOOKUP($G83&amp;"Total",$D:$AK,25,FALSE)/100+100/$X83*$K83*VLOOKUP($J83&amp;"Total",$D:$AK,25,FALSE)/100+100/$X83*$N83*VLOOKUP($M83&amp;"Total",$D:$AK,25,FALSE)/100+100/$X83*$Q83*VLOOKUP($P83&amp;"Total",$D:$AK,25,FALSE)/100+
(IF($G83=AB$66,$H83,0)+IF($J83=AB$66,$K83,0)+IF($M83=AB$66,$N83,0)+IF($P83=AB$66,$Q83,0))*100/$X83</f>
        <v>0</v>
      </c>
      <c r="AC83" s="3">
        <f>100/$X83*$H83*VLOOKUP($G83&amp;"Total",$D:$AK,26,FALSE)/100+100/$X83*$K83*VLOOKUP($J83&amp;"Total",$D:$AK,26,FALSE)/100+100/$X83*$N83*VLOOKUP($M83&amp;"Total",$D:$AK,26,FALSE)/100+100/$X83*$Q83*VLOOKUP($P83&amp;"Total",$D:$AK,26,FALSE)/100+
(IF($G83=AC$66,$H83,0)+IF($J83=AC$66,$K83,0)+IF($M83=AC$66,$N83,0)+IF($P83=AC$66,$Q83,0))*100/$X83</f>
        <v>0</v>
      </c>
      <c r="AD83" s="3">
        <f>100/$X83*$H83*VLOOKUP($G83&amp;"Total",$D:$AK,27,FALSE)/100+100/$X83*$K83*VLOOKUP($J83&amp;"Total",$D:$AK,27,FALSE)/100+100/$X83*$N83*VLOOKUP($M83&amp;"Total",$D:$AK,27,FALSE)/100+100/$X83*$Q83*VLOOKUP($P83&amp;"Total",$D:$AK,27,FALSE)/100+
(IF($G83=AD$66,$H83,0)+IF($J83=AD$66,$K83,0)+IF($M83=AD$66,$N83,0)+IF($P83=AD$66,$Q83,0))*100/$X83</f>
        <v>0</v>
      </c>
      <c r="AE83" s="3">
        <f>100/$X83*$H83*VLOOKUP($G83&amp;"Total",$D:$AK,28,FALSE)/100+100/$X83*$K83*VLOOKUP($J83&amp;"Total",$D:$AK,28,FALSE)/100+100/$X83*$N83*VLOOKUP($M83&amp;"Total",$D:$AK,28,FALSE)/100+100/$X83*$Q83*VLOOKUP($P83&amp;"Total",$D:$AK,28,FALSE)/100+
(IF($G83=AE$66,$H83,0)+IF($J83=AE$66,$K83,0)+IF($M83=AE$66,$N83,0)+IF($P83=AE$66,$Q83,0))*100/$X83</f>
        <v>0</v>
      </c>
      <c r="AF83" s="3">
        <f>100/$X83*$H83*VLOOKUP($G83&amp;"Total",$D:$AK,29,FALSE)/100+100/$X83*$K83*VLOOKUP($J83&amp;"Total",$D:$AK,29,FALSE)/100+100/$X83*$N83*VLOOKUP($M83&amp;"Total",$D:$AK,29,FALSE)/100+100/$X83*$Q83*VLOOKUP($P83&amp;"Total",$D:$AK,29,FALSE)/100+
(IF($G83=AF$66,$H83,0)+IF($J83=AF$66,$K83,0)+IF($M83=AF$66,$N83,0)+IF($P83=AF$66,$Q83,0))*100/$X83</f>
        <v>166.66666666666666</v>
      </c>
      <c r="AG83" s="3">
        <f>100/$X83*$H83*VLOOKUP($G83&amp;"Total",$D:$AK,30,FALSE)/100+100/$X83*$K83*VLOOKUP($J83&amp;"Total",$D:$AK,30,FALSE)/100+100/$X83*$N83*VLOOKUP($M83&amp;"Total",$D:$AK,30,FALSE)/100+100/$X83*$Q83*VLOOKUP($P83&amp;"Total",$D:$AK,30,FALSE)/100+
(IF($G83=AG$66,$H83,0)+IF($J83=AG$66,$K83,0)+IF($M83=AG$66,$N83,0)+IF($P83=AG$66,$Q83,0))*100/$X83</f>
        <v>0</v>
      </c>
      <c r="AH83" s="3">
        <f>100/$X83*$H83*VLOOKUP($G83&amp;"Total",$D:$AK,31,FALSE)/100+100/$X83*$K83*VLOOKUP($J83&amp;"Total",$D:$AK,31,FALSE)/100+100/$X83*$N83*VLOOKUP($M83&amp;"Total",$D:$AK,31,FALSE)/100+100/$X83*$Q83*VLOOKUP($P83&amp;"Total",$D:$AK,31,FALSE)/100+
(IF($G83=AH$66,$H83,0)+IF($J83=AH$66,$K83,0)+IF($M83=AH$66,$N83,0)+IF($P83=AH$66,$Q83,0))*100/$X83</f>
        <v>0</v>
      </c>
      <c r="AI83" s="3">
        <f>100/$X83*$H83*VLOOKUP($G83&amp;"Total",$D:$AK,32,FALSE)/100+100/$X83*$K83*VLOOKUP($J83&amp;"Total",$D:$AK,32,FALSE)/100+100/$X83*$N83*VLOOKUP($M83&amp;"Total",$D:$AK,32,FALSE)/100+100/$X83*$Q83*VLOOKUP($P83&amp;"Total",$D:$AK,32,FALSE)/100+
(IF($G83=AI$66,$H83,0)+IF($J83=AI$66,$K83,0)+IF($M83=AI$66,$N83,0)+IF($P83=AI$66,$Q83,0))*100/$X83</f>
        <v>0</v>
      </c>
      <c r="AJ83" s="3">
        <f>100/$X83*$H83*VLOOKUP($G83&amp;"Total",$D:$AK,33,FALSE)/100+100/$X83*$K83*VLOOKUP($J83&amp;"Total",$D:$AK,33,FALSE)/100+100/$X83*$N83*VLOOKUP($M83&amp;"Total",$D:$AK,33,FALSE)/100+100/$X83*$Q83*VLOOKUP($P83&amp;"Total",$D:$AK,33,FALSE)/100+
(IF($G83=AJ$66,$H83,0)+IF($J83=AJ$66,$K83,0)+IF($M83=AJ$66,$N83,0)+IF($P83=AJ$66,$Q83,0))*100/$X83</f>
        <v>0</v>
      </c>
      <c r="AK83" s="3">
        <f>100/$X83*$H83*VLOOKUP($G83&amp;"Total",$D:$AK,34,FALSE)/100+100/$X83*$K83*VLOOKUP($J83&amp;"Total",$D:$AK,34,FALSE)/100+100/$X83*$N83*VLOOKUP($M83&amp;"Total",$D:$AK,34,FALSE)/100+100/$X83*$Q83*VLOOKUP($P83&amp;"Total",$D:$AK,34,FALSE)/100+
(IF($G83=AK$66,$H83,0)+IF($J83=AK$66,$K83,0)+IF($M83=AK$66,$N83,0)+IF($P83=AK$66,$Q83,0))*100/$X83</f>
        <v>0</v>
      </c>
    </row>
    <row r="84" spans="1:37" x14ac:dyDescent="0.25">
      <c r="A84" t="s">
        <v>74</v>
      </c>
      <c r="B84" t="s">
        <v>75</v>
      </c>
      <c r="D84" t="str">
        <f t="shared" si="16"/>
        <v>Quartz Crystal</v>
      </c>
      <c r="E84" s="26">
        <f t="shared" si="17"/>
        <v>86.055137844611522</v>
      </c>
      <c r="G84" t="s">
        <v>22</v>
      </c>
      <c r="H84" s="22">
        <v>67.5</v>
      </c>
      <c r="I84" s="3">
        <f>VLOOKUP(G84&amp;"Total",$D:$AB,2,FALSE)/100*H84</f>
        <v>8.9289473684210527</v>
      </c>
      <c r="J84" t="s">
        <v>59</v>
      </c>
      <c r="K84" s="22">
        <v>37.5</v>
      </c>
      <c r="L84" s="3">
        <f>VLOOKUP(J84&amp;"Total",$D:$AB,2,FALSE)/100*K84</f>
        <v>6.2500000000000009</v>
      </c>
      <c r="M84" s="22" t="s">
        <v>27</v>
      </c>
      <c r="N84" s="22"/>
      <c r="O84" s="3">
        <f>VLOOKUP(M84&amp;"Total",$D:$AB,2,FALSE)/100*N84</f>
        <v>0</v>
      </c>
      <c r="P84" s="22" t="s">
        <v>27</v>
      </c>
      <c r="Q84" s="22"/>
      <c r="R84" s="3">
        <f>VLOOKUP(P84&amp;"Total",$D:$AB,2,FALSE)/100*Q84</f>
        <v>0</v>
      </c>
      <c r="T84" s="3">
        <f t="shared" si="18"/>
        <v>15.178947368421053</v>
      </c>
      <c r="V84" s="22" t="s">
        <v>60</v>
      </c>
      <c r="W84" s="22">
        <v>30</v>
      </c>
      <c r="X84" s="22">
        <v>52.5</v>
      </c>
      <c r="AA84" s="3">
        <f>100/$X84*$H84*VLOOKUP($G84&amp;"Total",$D:$AK,24,FALSE)/100+100/$X84*$K84*VLOOKUP($J84&amp;"Total",$D:$AK,24,FALSE)/100+100/$X84*$N84*VLOOKUP($M84&amp;"Total",$D:$AK,24,FALSE)/100+100/$X84*$Q84*VLOOKUP($P84&amp;"Total",$D:$AK,24,FALSE)/100+
(IF($G84=AA$66,$H84,0)+IF($J84=AA$66,$K84,0)+IF($M84=AA$66,$N84,0)+IF($P84=AA$66,$Q84,0))*100/$X84</f>
        <v>0</v>
      </c>
      <c r="AB84" s="3">
        <f>100/$X84*$H84*VLOOKUP($G84&amp;"Total",$D:$AK,25,FALSE)/100+100/$X84*$K84*VLOOKUP($J84&amp;"Total",$D:$AK,25,FALSE)/100+100/$X84*$N84*VLOOKUP($M84&amp;"Total",$D:$AK,25,FALSE)/100+100/$X84*$Q84*VLOOKUP($P84&amp;"Total",$D:$AK,25,FALSE)/100+
(IF($G84=AB$66,$H84,0)+IF($J84=AB$66,$K84,0)+IF($M84=AB$66,$N84,0)+IF($P84=AB$66,$Q84,0))*100/$X84</f>
        <v>0</v>
      </c>
      <c r="AC84" s="3">
        <f>100/$X84*$H84*VLOOKUP($G84&amp;"Total",$D:$AK,26,FALSE)/100+100/$X84*$K84*VLOOKUP($J84&amp;"Total",$D:$AK,26,FALSE)/100+100/$X84*$N84*VLOOKUP($M84&amp;"Total",$D:$AK,26,FALSE)/100+100/$X84*$Q84*VLOOKUP($P84&amp;"Total",$D:$AK,26,FALSE)/100+
(IF($G84=AC$66,$H84,0)+IF($J84=AC$66,$K84,0)+IF($M84=AC$66,$N84,0)+IF($P84=AC$66,$Q84,0))*100/$X84</f>
        <v>0</v>
      </c>
      <c r="AD84" s="3">
        <f>100/$X84*$H84*VLOOKUP($G84&amp;"Total",$D:$AK,27,FALSE)/100+100/$X84*$K84*VLOOKUP($J84&amp;"Total",$D:$AK,27,FALSE)/100+100/$X84*$N84*VLOOKUP($M84&amp;"Total",$D:$AK,27,FALSE)/100+100/$X84*$Q84*VLOOKUP($P84&amp;"Total",$D:$AK,27,FALSE)/100+
(IF($G84=AD$66,$H84,0)+IF($J84=AD$66,$K84,0)+IF($M84=AD$66,$N84,0)+IF($P84=AD$66,$Q84,0))*100/$X84</f>
        <v>0</v>
      </c>
      <c r="AE84" s="3">
        <f>100/$X84*$H84*VLOOKUP($G84&amp;"Total",$D:$AK,28,FALSE)/100+100/$X84*$K84*VLOOKUP($J84&amp;"Total",$D:$AK,28,FALSE)/100+100/$X84*$N84*VLOOKUP($M84&amp;"Total",$D:$AK,28,FALSE)/100+100/$X84*$Q84*VLOOKUP($P84&amp;"Total",$D:$AK,28,FALSE)/100+
(IF($G84=AE$66,$H84,0)+IF($J84=AE$66,$K84,0)+IF($M84=AE$66,$N84,0)+IF($P84=AE$66,$Q84,0))*100/$X84</f>
        <v>0</v>
      </c>
      <c r="AF84" s="3">
        <f>100/$X84*$H84*VLOOKUP($G84&amp;"Total",$D:$AK,29,FALSE)/100+100/$X84*$K84*VLOOKUP($J84&amp;"Total",$D:$AK,29,FALSE)/100+100/$X84*$N84*VLOOKUP($M84&amp;"Total",$D:$AK,29,FALSE)/100+100/$X84*$Q84*VLOOKUP($P84&amp;"Total",$D:$AK,29,FALSE)/100+
(IF($G84=AF$66,$H84,0)+IF($J84=AF$66,$K84,0)+IF($M84=AF$66,$N84,0)+IF($P84=AF$66,$Q84,0))*100/$X84</f>
        <v>128.57142857142858</v>
      </c>
      <c r="AG84" s="3">
        <f>100/$X84*$H84*VLOOKUP($G84&amp;"Total",$D:$AK,30,FALSE)/100+100/$X84*$K84*VLOOKUP($J84&amp;"Total",$D:$AK,30,FALSE)/100+100/$X84*$N84*VLOOKUP($M84&amp;"Total",$D:$AK,30,FALSE)/100+100/$X84*$Q84*VLOOKUP($P84&amp;"Total",$D:$AK,30,FALSE)/100+
(IF($G84=AG$66,$H84,0)+IF($J84=AG$66,$K84,0)+IF($M84=AG$66,$N84,0)+IF($P84=AG$66,$Q84,0))*100/$X84</f>
        <v>0</v>
      </c>
      <c r="AH84" s="3">
        <f>100/$X84*$H84*VLOOKUP($G84&amp;"Total",$D:$AK,31,FALSE)/100+100/$X84*$K84*VLOOKUP($J84&amp;"Total",$D:$AK,31,FALSE)/100+100/$X84*$N84*VLOOKUP($M84&amp;"Total",$D:$AK,31,FALSE)/100+100/$X84*$Q84*VLOOKUP($P84&amp;"Total",$D:$AK,31,FALSE)/100+
(IF($G84=AH$66,$H84,0)+IF($J84=AH$66,$K84,0)+IF($M84=AH$66,$N84,0)+IF($P84=AH$66,$Q84,0))*100/$X84</f>
        <v>0</v>
      </c>
      <c r="AI84" s="3">
        <f>100/$X84*$H84*VLOOKUP($G84&amp;"Total",$D:$AK,32,FALSE)/100+100/$X84*$K84*VLOOKUP($J84&amp;"Total",$D:$AK,32,FALSE)/100+100/$X84*$N84*VLOOKUP($M84&amp;"Total",$D:$AK,32,FALSE)/100+100/$X84*$Q84*VLOOKUP($P84&amp;"Total",$D:$AK,32,FALSE)/100+
(IF($G84=AI$66,$H84,0)+IF($J84=AI$66,$K84,0)+IF($M84=AI$66,$N84,0)+IF($P84=AI$66,$Q84,0))*100/$X84</f>
        <v>0</v>
      </c>
      <c r="AJ84" s="3">
        <f>100/$X84*$H84*VLOOKUP($G84&amp;"Total",$D:$AK,33,FALSE)/100+100/$X84*$K84*VLOOKUP($J84&amp;"Total",$D:$AK,33,FALSE)/100+100/$X84*$N84*VLOOKUP($M84&amp;"Total",$D:$AK,33,FALSE)/100+100/$X84*$Q84*VLOOKUP($P84&amp;"Total",$D:$AK,33,FALSE)/100+
(IF($G84=AJ$66,$H84,0)+IF($J84=AJ$66,$K84,0)+IF($M84=AJ$66,$N84,0)+IF($P84=AJ$66,$Q84,0))*100/$X84</f>
        <v>71.428571428571431</v>
      </c>
      <c r="AK84" s="3">
        <f>100/$X84*$H84*VLOOKUP($G84&amp;"Total",$D:$AK,34,FALSE)/100+100/$X84*$K84*VLOOKUP($J84&amp;"Total",$D:$AK,34,FALSE)/100+100/$X84*$N84*VLOOKUP($M84&amp;"Total",$D:$AK,34,FALSE)/100+100/$X84*$Q84*VLOOKUP($P84&amp;"Total",$D:$AK,34,FALSE)/100+
(IF($G84=AK$66,$H84,0)+IF($J84=AK$66,$K84,0)+IF($M84=AK$66,$N84,0)+IF($P84=AK$66,$Q84,0))*100/$X84</f>
        <v>0</v>
      </c>
    </row>
    <row r="85" spans="1:37" x14ac:dyDescent="0.25">
      <c r="E85" s="25"/>
      <c r="G85" s="22"/>
      <c r="H85" s="22"/>
      <c r="J85" s="22"/>
      <c r="K85" s="22"/>
      <c r="M85" s="22"/>
      <c r="N85" s="22"/>
      <c r="P85" s="22"/>
      <c r="Q85" s="22"/>
      <c r="V85" s="22"/>
      <c r="W85" s="22"/>
      <c r="X85" s="22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x14ac:dyDescent="0.25">
      <c r="A86" t="s">
        <v>69</v>
      </c>
      <c r="B86" s="12" t="s">
        <v>76</v>
      </c>
      <c r="D86" t="str">
        <f>A86&amp;C86</f>
        <v>Silicia</v>
      </c>
      <c r="E86" s="26">
        <f t="shared" ref="E86:E88" si="19">100/X86*(T86+W86)</f>
        <v>154.93480662983427</v>
      </c>
      <c r="G86" t="s">
        <v>24</v>
      </c>
      <c r="H86" s="22">
        <v>120</v>
      </c>
      <c r="I86" s="3">
        <f>VLOOKUP(G86&amp;"Total",$D:$AB,2,FALSE)/100*H86</f>
        <v>17.467403314917128</v>
      </c>
      <c r="J86" t="s">
        <v>59</v>
      </c>
      <c r="K86" s="22">
        <v>180</v>
      </c>
      <c r="L86" s="3">
        <f>VLOOKUP(J86&amp;"Total",$D:$AB,2,FALSE)/100*K86</f>
        <v>30.000000000000004</v>
      </c>
      <c r="M86" s="22" t="s">
        <v>27</v>
      </c>
      <c r="N86" s="22"/>
      <c r="O86" s="3">
        <f>VLOOKUP(M86&amp;"Total",$D:$AB,2,FALSE)/100*N86</f>
        <v>0</v>
      </c>
      <c r="P86" s="22" t="s">
        <v>27</v>
      </c>
      <c r="Q86" s="22"/>
      <c r="R86" s="3">
        <f>VLOOKUP(P86&amp;"Total",$D:$AB,2,FALSE)/100*Q86</f>
        <v>0</v>
      </c>
      <c r="T86" s="3">
        <f t="shared" ref="T86:T88" si="20">I86+L86+O86+R86</f>
        <v>47.467403314917135</v>
      </c>
      <c r="V86" s="22" t="s">
        <v>60</v>
      </c>
      <c r="W86" s="22">
        <v>30</v>
      </c>
      <c r="X86" s="22">
        <v>50</v>
      </c>
      <c r="Z86" s="21" t="s">
        <v>77</v>
      </c>
      <c r="AA86" s="3">
        <f>100/$X86*$H86*VLOOKUP($G86&amp;"Total",$D:$AK,24,FALSE)/100+100/$X86*$K86*VLOOKUP($J86&amp;"Total",$D:$AK,24,FALSE)/100+100/$X86*$N86*VLOOKUP($M86&amp;"Total",$D:$AK,24,FALSE)/100+100/$X86*$Q86*VLOOKUP($P86&amp;"Total",$D:$AK,24,FALSE)/100+
(IF($G86=AA$66,$H86,0)+IF($J86=AA$66,$K86,0)+IF($M86=AA$66,$N86,0)+IF($P86=AA$66,$Q86,0))*100/$X86</f>
        <v>0</v>
      </c>
      <c r="AB86" s="3">
        <f>100/$X86*$H86*VLOOKUP($G86&amp;"Total",$D:$AK,25,FALSE)/100+100/$X86*$K86*VLOOKUP($J86&amp;"Total",$D:$AK,25,FALSE)/100+100/$X86*$N86*VLOOKUP($M86&amp;"Total",$D:$AK,25,FALSE)/100+100/$X86*$Q86*VLOOKUP($P86&amp;"Total",$D:$AK,25,FALSE)/100+
(IF($G86=AB$66,$H86,0)+IF($J86=AB$66,$K86,0)+IF($M86=AB$66,$N86,0)+IF($P86=AB$66,$Q86,0))*100/$X86</f>
        <v>0</v>
      </c>
      <c r="AC86" s="3">
        <f>100/$X86*$H86*VLOOKUP($G86&amp;"Total",$D:$AK,26,FALSE)/100+100/$X86*$K86*VLOOKUP($J86&amp;"Total",$D:$AK,26,FALSE)/100+100/$X86*$N86*VLOOKUP($M86&amp;"Total",$D:$AK,26,FALSE)/100+100/$X86*$Q86*VLOOKUP($P86&amp;"Total",$D:$AK,26,FALSE)/100+
(IF($G86=AC$66,$H86,0)+IF($J86=AC$66,$K86,0)+IF($M86=AC$66,$N86,0)+IF($P86=AC$66,$Q86,0))*100/$X86</f>
        <v>0</v>
      </c>
      <c r="AD86" s="3">
        <f>100/$X86*$H86*VLOOKUP($G86&amp;"Total",$D:$AK,27,FALSE)/100+100/$X86*$K86*VLOOKUP($J86&amp;"Total",$D:$AK,27,FALSE)/100+100/$X86*$N86*VLOOKUP($M86&amp;"Total",$D:$AK,27,FALSE)/100+100/$X86*$Q86*VLOOKUP($P86&amp;"Total",$D:$AK,27,FALSE)/100+
(IF($G86=AD$66,$H86,0)+IF($J86=AD$66,$K86,0)+IF($M86=AD$66,$N86,0)+IF($P86=AD$66,$Q86,0))*100/$X86</f>
        <v>0</v>
      </c>
      <c r="AE86" s="3">
        <f>100/$X86*$H86*VLOOKUP($G86&amp;"Total",$D:$AK,28,FALSE)/100+100/$X86*$K86*VLOOKUP($J86&amp;"Total",$D:$AK,28,FALSE)/100+100/$X86*$N86*VLOOKUP($M86&amp;"Total",$D:$AK,28,FALSE)/100+100/$X86*$Q86*VLOOKUP($P86&amp;"Total",$D:$AK,28,FALSE)/100+
(IF($G86=AE$66,$H86,0)+IF($J86=AE$66,$K86,0)+IF($M86=AE$66,$N86,0)+IF($P86=AE$66,$Q86,0))*100/$X86</f>
        <v>0</v>
      </c>
      <c r="AF86" s="3">
        <f>100/$X86*$H86*VLOOKUP($G86&amp;"Total",$D:$AK,29,FALSE)/100+100/$X86*$K86*VLOOKUP($J86&amp;"Total",$D:$AK,29,FALSE)/100+100/$X86*$N86*VLOOKUP($M86&amp;"Total",$D:$AK,29,FALSE)/100+100/$X86*$Q86*VLOOKUP($P86&amp;"Total",$D:$AK,29,FALSE)/100+
(IF($G86=AF$66,$H86,0)+IF($J86=AF$66,$K86,0)+IF($M86=AF$66,$N86,0)+IF($P86=AF$66,$Q86,0))*100/$X86</f>
        <v>0</v>
      </c>
      <c r="AG86" s="3">
        <f>100/$X86*$H86*VLOOKUP($G86&amp;"Total",$D:$AK,30,FALSE)/100+100/$X86*$K86*VLOOKUP($J86&amp;"Total",$D:$AK,30,FALSE)/100+100/$X86*$N86*VLOOKUP($M86&amp;"Total",$D:$AK,30,FALSE)/100+100/$X86*$Q86*VLOOKUP($P86&amp;"Total",$D:$AK,30,FALSE)/100+
(IF($G86=AG$66,$H86,0)+IF($J86=AG$66,$K86,0)+IF($M86=AG$66,$N86,0)+IF($P86=AG$66,$Q86,0))*100/$X86</f>
        <v>0</v>
      </c>
      <c r="AH86" s="3">
        <f>100/$X86*$H86*VLOOKUP($G86&amp;"Total",$D:$AK,31,FALSE)/100+100/$X86*$K86*VLOOKUP($J86&amp;"Total",$D:$AK,31,FALSE)/100+100/$X86*$N86*VLOOKUP($M86&amp;"Total",$D:$AK,31,FALSE)/100+100/$X86*$Q86*VLOOKUP($P86&amp;"Total",$D:$AK,31,FALSE)/100+
(IF($G86=AH$66,$H86,0)+IF($J86=AH$66,$K86,0)+IF($M86=AH$66,$N86,0)+IF($P86=AH$66,$Q86,0))*100/$X86</f>
        <v>240</v>
      </c>
      <c r="AI86" s="3">
        <f>100/$X86*$H86*VLOOKUP($G86&amp;"Total",$D:$AK,32,FALSE)/100+100/$X86*$K86*VLOOKUP($J86&amp;"Total",$D:$AK,32,FALSE)/100+100/$X86*$N86*VLOOKUP($M86&amp;"Total",$D:$AK,32,FALSE)/100+100/$X86*$Q86*VLOOKUP($P86&amp;"Total",$D:$AK,32,FALSE)/100+
(IF($G86=AI$66,$H86,0)+IF($J86=AI$66,$K86,0)+IF($M86=AI$66,$N86,0)+IF($P86=AI$66,$Q86,0))*100/$X86</f>
        <v>0</v>
      </c>
      <c r="AJ86" s="3">
        <f>100/$X86*$H86*VLOOKUP($G86&amp;"Total",$D:$AK,33,FALSE)/100+100/$X86*$K86*VLOOKUP($J86&amp;"Total",$D:$AK,33,FALSE)/100+100/$X86*$N86*VLOOKUP($M86&amp;"Total",$D:$AK,33,FALSE)/100+100/$X86*$Q86*VLOOKUP($P86&amp;"Total",$D:$AK,33,FALSE)/100+
(IF($G86=AJ$66,$H86,0)+IF($J86=AJ$66,$K86,0)+IF($M86=AJ$66,$N86,0)+IF($P86=AJ$66,$Q86,0))*100/$X86</f>
        <v>360</v>
      </c>
      <c r="AK86" s="3">
        <f>100/$X86*$H86*VLOOKUP($G86&amp;"Total",$D:$AK,34,FALSE)/100+100/$X86*$K86*VLOOKUP($J86&amp;"Total",$D:$AK,34,FALSE)/100+100/$X86*$N86*VLOOKUP($M86&amp;"Total",$D:$AK,34,FALSE)/100+100/$X86*$Q86*VLOOKUP($P86&amp;"Total",$D:$AK,34,FALSE)/100+
(IF($G86=AK$66,$H86,0)+IF($J86=AK$66,$K86,0)+IF($M86=AK$66,$N86,0)+IF($P86=AK$66,$Q86,0))*100/$X86</f>
        <v>0</v>
      </c>
    </row>
    <row r="87" spans="1:37" x14ac:dyDescent="0.25">
      <c r="A87" t="s">
        <v>69</v>
      </c>
      <c r="B87" t="s">
        <v>78</v>
      </c>
      <c r="C87" t="s">
        <v>17</v>
      </c>
      <c r="D87" t="str">
        <f t="shared" ref="D87:D88" si="21">A87&amp;C87</f>
        <v>SiliciaTotal</v>
      </c>
      <c r="E87" s="26">
        <f t="shared" si="19"/>
        <v>18.603508771929825</v>
      </c>
      <c r="G87" t="s">
        <v>22</v>
      </c>
      <c r="H87" s="22">
        <v>22.5</v>
      </c>
      <c r="I87" s="3">
        <f>VLOOKUP(G87&amp;"Total",$D:$AB,2,FALSE)/100*H87</f>
        <v>2.9763157894736842</v>
      </c>
      <c r="J87" s="22" t="s">
        <v>27</v>
      </c>
      <c r="K87" s="22"/>
      <c r="L87" s="3">
        <f>VLOOKUP(J87&amp;"Total",$D:$AB,2,FALSE)/100*K87</f>
        <v>0</v>
      </c>
      <c r="M87" s="22" t="s">
        <v>27</v>
      </c>
      <c r="N87" s="22"/>
      <c r="O87" s="3">
        <f>VLOOKUP(M87&amp;"Total",$D:$AB,2,FALSE)/100*N87</f>
        <v>0</v>
      </c>
      <c r="P87" s="22" t="s">
        <v>27</v>
      </c>
      <c r="Q87" s="22"/>
      <c r="R87" s="3">
        <f>VLOOKUP(P87&amp;"Total",$D:$AB,2,FALSE)/100*Q87</f>
        <v>0</v>
      </c>
      <c r="T87" s="3">
        <f t="shared" si="20"/>
        <v>2.9763157894736842</v>
      </c>
      <c r="V87" s="22" t="s">
        <v>67</v>
      </c>
      <c r="W87" s="22">
        <v>4</v>
      </c>
      <c r="X87" s="22">
        <v>37.5</v>
      </c>
      <c r="AA87" s="3">
        <f>100/$X87*$H87*VLOOKUP($G87&amp;"Total",$D:$AK,24,FALSE)/100+100/$X87*$K87*VLOOKUP($J87&amp;"Total",$D:$AK,24,FALSE)/100+100/$X87*$N87*VLOOKUP($M87&amp;"Total",$D:$AK,24,FALSE)/100+100/$X87*$Q87*VLOOKUP($P87&amp;"Total",$D:$AK,24,FALSE)/100+
(IF($G87=AA$66,$H87,0)+IF($J87=AA$66,$K87,0)+IF($M87=AA$66,$N87,0)+IF($P87=AA$66,$Q87,0))*100/$X87</f>
        <v>0</v>
      </c>
      <c r="AB87" s="3">
        <f>100/$X87*$H87*VLOOKUP($G87&amp;"Total",$D:$AK,25,FALSE)/100+100/$X87*$K87*VLOOKUP($J87&amp;"Total",$D:$AK,25,FALSE)/100+100/$X87*$N87*VLOOKUP($M87&amp;"Total",$D:$AK,25,FALSE)/100+100/$X87*$Q87*VLOOKUP($P87&amp;"Total",$D:$AK,25,FALSE)/100+
(IF($G87=AB$66,$H87,0)+IF($J87=AB$66,$K87,0)+IF($M87=AB$66,$N87,0)+IF($P87=AB$66,$Q87,0))*100/$X87</f>
        <v>0</v>
      </c>
      <c r="AC87" s="3">
        <f>100/$X87*$H87*VLOOKUP($G87&amp;"Total",$D:$AK,26,FALSE)/100+100/$X87*$K87*VLOOKUP($J87&amp;"Total",$D:$AK,26,FALSE)/100+100/$X87*$N87*VLOOKUP($M87&amp;"Total",$D:$AK,26,FALSE)/100+100/$X87*$Q87*VLOOKUP($P87&amp;"Total",$D:$AK,26,FALSE)/100+
(IF($G87=AC$66,$H87,0)+IF($J87=AC$66,$K87,0)+IF($M87=AC$66,$N87,0)+IF($P87=AC$66,$Q87,0))*100/$X87</f>
        <v>0</v>
      </c>
      <c r="AD87" s="3">
        <f>100/$X87*$H87*VLOOKUP($G87&amp;"Total",$D:$AK,27,FALSE)/100+100/$X87*$K87*VLOOKUP($J87&amp;"Total",$D:$AK,27,FALSE)/100+100/$X87*$N87*VLOOKUP($M87&amp;"Total",$D:$AK,27,FALSE)/100+100/$X87*$Q87*VLOOKUP($P87&amp;"Total",$D:$AK,27,FALSE)/100+
(IF($G87=AD$66,$H87,0)+IF($J87=AD$66,$K87,0)+IF($M87=AD$66,$N87,0)+IF($P87=AD$66,$Q87,0))*100/$X87</f>
        <v>0</v>
      </c>
      <c r="AE87" s="3">
        <f>100/$X87*$H87*VLOOKUP($G87&amp;"Total",$D:$AK,28,FALSE)/100+100/$X87*$K87*VLOOKUP($J87&amp;"Total",$D:$AK,28,FALSE)/100+100/$X87*$N87*VLOOKUP($M87&amp;"Total",$D:$AK,28,FALSE)/100+100/$X87*$Q87*VLOOKUP($P87&amp;"Total",$D:$AK,28,FALSE)/100+
(IF($G87=AE$66,$H87,0)+IF($J87=AE$66,$K87,0)+IF($M87=AE$66,$N87,0)+IF($P87=AE$66,$Q87,0))*100/$X87</f>
        <v>0</v>
      </c>
      <c r="AF87" s="3">
        <f>100/$X87*$H87*VLOOKUP($G87&amp;"Total",$D:$AK,29,FALSE)/100+100/$X87*$K87*VLOOKUP($J87&amp;"Total",$D:$AK,29,FALSE)/100+100/$X87*$N87*VLOOKUP($M87&amp;"Total",$D:$AK,29,FALSE)/100+100/$X87*$Q87*VLOOKUP($P87&amp;"Total",$D:$AK,29,FALSE)/100+
(IF($G87=AF$66,$H87,0)+IF($J87=AF$66,$K87,0)+IF($M87=AF$66,$N87,0)+IF($P87=AF$66,$Q87,0))*100/$X87</f>
        <v>60</v>
      </c>
      <c r="AG87" s="3">
        <f>100/$X87*$H87*VLOOKUP($G87&amp;"Total",$D:$AK,30,FALSE)/100+100/$X87*$K87*VLOOKUP($J87&amp;"Total",$D:$AK,30,FALSE)/100+100/$X87*$N87*VLOOKUP($M87&amp;"Total",$D:$AK,30,FALSE)/100+100/$X87*$Q87*VLOOKUP($P87&amp;"Total",$D:$AK,30,FALSE)/100+
(IF($G87=AG$66,$H87,0)+IF($J87=AG$66,$K87,0)+IF($M87=AG$66,$N87,0)+IF($P87=AG$66,$Q87,0))*100/$X87</f>
        <v>0</v>
      </c>
      <c r="AH87" s="3">
        <f>100/$X87*$H87*VLOOKUP($G87&amp;"Total",$D:$AK,31,FALSE)/100+100/$X87*$K87*VLOOKUP($J87&amp;"Total",$D:$AK,31,FALSE)/100+100/$X87*$N87*VLOOKUP($M87&amp;"Total",$D:$AK,31,FALSE)/100+100/$X87*$Q87*VLOOKUP($P87&amp;"Total",$D:$AK,31,FALSE)/100+
(IF($G87=AH$66,$H87,0)+IF($J87=AH$66,$K87,0)+IF($M87=AH$66,$N87,0)+IF($P87=AH$66,$Q87,0))*100/$X87</f>
        <v>0</v>
      </c>
      <c r="AI87" s="3">
        <f>100/$X87*$H87*VLOOKUP($G87&amp;"Total",$D:$AK,32,FALSE)/100+100/$X87*$K87*VLOOKUP($J87&amp;"Total",$D:$AK,32,FALSE)/100+100/$X87*$N87*VLOOKUP($M87&amp;"Total",$D:$AK,32,FALSE)/100+100/$X87*$Q87*VLOOKUP($P87&amp;"Total",$D:$AK,32,FALSE)/100+
(IF($G87=AI$66,$H87,0)+IF($J87=AI$66,$K87,0)+IF($M87=AI$66,$N87,0)+IF($P87=AI$66,$Q87,0))*100/$X87</f>
        <v>0</v>
      </c>
      <c r="AJ87" s="3">
        <f>100/$X87*$H87*VLOOKUP($G87&amp;"Total",$D:$AK,33,FALSE)/100+100/$X87*$K87*VLOOKUP($J87&amp;"Total",$D:$AK,33,FALSE)/100+100/$X87*$N87*VLOOKUP($M87&amp;"Total",$D:$AK,33,FALSE)/100+100/$X87*$Q87*VLOOKUP($P87&amp;"Total",$D:$AK,33,FALSE)/100+
(IF($G87=AJ$66,$H87,0)+IF($J87=AJ$66,$K87,0)+IF($M87=AJ$66,$N87,0)+IF($P87=AJ$66,$Q87,0))*100/$X87</f>
        <v>0</v>
      </c>
      <c r="AK87" s="3">
        <f>100/$X87*$H87*VLOOKUP($G87&amp;"Total",$D:$AK,34,FALSE)/100+100/$X87*$K87*VLOOKUP($J87&amp;"Total",$D:$AK,34,FALSE)/100+100/$X87*$N87*VLOOKUP($M87&amp;"Total",$D:$AK,34,FALSE)/100+100/$X87*$Q87*VLOOKUP($P87&amp;"Total",$D:$AK,34,FALSE)/100+
(IF($G87=AK$66,$H87,0)+IF($J87=AK$66,$K87,0)+IF($M87=AK$66,$N87,0)+IF($P87=AK$66,$Q87,0))*100/$X87</f>
        <v>0</v>
      </c>
    </row>
    <row r="88" spans="1:37" x14ac:dyDescent="0.25">
      <c r="A88" t="s">
        <v>69</v>
      </c>
      <c r="B88" t="s">
        <v>79</v>
      </c>
      <c r="D88" t="str">
        <f t="shared" si="21"/>
        <v>Silicia</v>
      </c>
      <c r="E88" s="26">
        <f t="shared" si="19"/>
        <v>72.837770100927983</v>
      </c>
      <c r="G88" t="s">
        <v>22</v>
      </c>
      <c r="H88" s="22">
        <v>11.25</v>
      </c>
      <c r="I88" s="3">
        <f>VLOOKUP(G88&amp;"Total",$D:$AB,2,FALSE)/100*H88</f>
        <v>1.4881578947368421</v>
      </c>
      <c r="J88" t="s">
        <v>19</v>
      </c>
      <c r="K88" s="22">
        <v>18.75</v>
      </c>
      <c r="L88" s="3">
        <f>VLOOKUP(J88&amp;"Total",$D:$AB,2,FALSE)/100*K88</f>
        <v>2.631756756756757</v>
      </c>
      <c r="M88" s="22" t="s">
        <v>27</v>
      </c>
      <c r="N88" s="22"/>
      <c r="O88" s="3">
        <f>VLOOKUP(M88&amp;"Total",$D:$AB,2,FALSE)/100*N88</f>
        <v>0</v>
      </c>
      <c r="P88" s="22" t="s">
        <v>27</v>
      </c>
      <c r="Q88" s="22"/>
      <c r="R88" s="3">
        <f>VLOOKUP(P88&amp;"Total",$D:$AB,2,FALSE)/100*Q88</f>
        <v>0</v>
      </c>
      <c r="T88" s="3">
        <f t="shared" si="20"/>
        <v>4.1199146514935991</v>
      </c>
      <c r="V88" s="22" t="s">
        <v>70</v>
      </c>
      <c r="W88" s="22">
        <v>15</v>
      </c>
      <c r="X88" s="22">
        <v>26.25</v>
      </c>
      <c r="AA88" s="3">
        <f>100/$X88*$H88*VLOOKUP($G88&amp;"Total",$D:$AK,24,FALSE)/100+100/$X88*$K88*VLOOKUP($J88&amp;"Total",$D:$AK,24,FALSE)/100+100/$X88*$N88*VLOOKUP($M88&amp;"Total",$D:$AK,24,FALSE)/100+100/$X88*$Q88*VLOOKUP($P88&amp;"Total",$D:$AK,24,FALSE)/100+
(IF($G88=AA$66,$H88,0)+IF($J88=AA$66,$K88,0)+IF($M88=AA$66,$N88,0)+IF($P88=AA$66,$Q88,0))*100/$X88</f>
        <v>0</v>
      </c>
      <c r="AB88" s="3">
        <f>100/$X88*$H88*VLOOKUP($G88&amp;"Total",$D:$AK,25,FALSE)/100+100/$X88*$K88*VLOOKUP($J88&amp;"Total",$D:$AK,25,FALSE)/100+100/$X88*$N88*VLOOKUP($M88&amp;"Total",$D:$AK,25,FALSE)/100+100/$X88*$Q88*VLOOKUP($P88&amp;"Total",$D:$AK,25,FALSE)/100+
(IF($G88=AB$66,$H88,0)+IF($J88=AB$66,$K88,0)+IF($M88=AB$66,$N88,0)+IF($P88=AB$66,$Q88,0))*100/$X88</f>
        <v>0</v>
      </c>
      <c r="AC88" s="3">
        <f>100/$X88*$H88*VLOOKUP($G88&amp;"Total",$D:$AK,26,FALSE)/100+100/$X88*$K88*VLOOKUP($J88&amp;"Total",$D:$AK,26,FALSE)/100+100/$X88*$N88*VLOOKUP($M88&amp;"Total",$D:$AK,26,FALSE)/100+100/$X88*$Q88*VLOOKUP($P88&amp;"Total",$D:$AK,26,FALSE)/100+
(IF($G88=AC$66,$H88,0)+IF($J88=AC$66,$K88,0)+IF($M88=AC$66,$N88,0)+IF($P88=AC$66,$Q88,0))*100/$X88</f>
        <v>71.428571428571431</v>
      </c>
      <c r="AD88" s="3">
        <f>100/$X88*$H88*VLOOKUP($G88&amp;"Total",$D:$AK,27,FALSE)/100+100/$X88*$K88*VLOOKUP($J88&amp;"Total",$D:$AK,27,FALSE)/100+100/$X88*$N88*VLOOKUP($M88&amp;"Total",$D:$AK,27,FALSE)/100+100/$X88*$Q88*VLOOKUP($P88&amp;"Total",$D:$AK,27,FALSE)/100+
(IF($G88=AD$66,$H88,0)+IF($J88=AD$66,$K88,0)+IF($M88=AD$66,$N88,0)+IF($P88=AD$66,$Q88,0))*100/$X88</f>
        <v>0</v>
      </c>
      <c r="AE88" s="3">
        <f>100/$X88*$H88*VLOOKUP($G88&amp;"Total",$D:$AK,28,FALSE)/100+100/$X88*$K88*VLOOKUP($J88&amp;"Total",$D:$AK,28,FALSE)/100+100/$X88*$N88*VLOOKUP($M88&amp;"Total",$D:$AK,28,FALSE)/100+100/$X88*$Q88*VLOOKUP($P88&amp;"Total",$D:$AK,28,FALSE)/100+
(IF($G88=AE$66,$H88,0)+IF($J88=AE$66,$K88,0)+IF($M88=AE$66,$N88,0)+IF($P88=AE$66,$Q88,0))*100/$X88</f>
        <v>0</v>
      </c>
      <c r="AF88" s="3">
        <f>100/$X88*$H88*VLOOKUP($G88&amp;"Total",$D:$AK,29,FALSE)/100+100/$X88*$K88*VLOOKUP($J88&amp;"Total",$D:$AK,29,FALSE)/100+100/$X88*$N88*VLOOKUP($M88&amp;"Total",$D:$AK,29,FALSE)/100+100/$X88*$Q88*VLOOKUP($P88&amp;"Total",$D:$AK,29,FALSE)/100+
(IF($G88=AF$66,$H88,0)+IF($J88=AF$66,$K88,0)+IF($M88=AF$66,$N88,0)+IF($P88=AF$66,$Q88,0))*100/$X88</f>
        <v>42.857142857142854</v>
      </c>
      <c r="AG88" s="3">
        <f>100/$X88*$H88*VLOOKUP($G88&amp;"Total",$D:$AK,30,FALSE)/100+100/$X88*$K88*VLOOKUP($J88&amp;"Total",$D:$AK,30,FALSE)/100+100/$X88*$N88*VLOOKUP($M88&amp;"Total",$D:$AK,30,FALSE)/100+100/$X88*$Q88*VLOOKUP($P88&amp;"Total",$D:$AK,30,FALSE)/100+
(IF($G88=AG$66,$H88,0)+IF($J88=AG$66,$K88,0)+IF($M88=AG$66,$N88,0)+IF($P88=AG$66,$Q88,0))*100/$X88</f>
        <v>0</v>
      </c>
      <c r="AH88" s="3">
        <f>100/$X88*$H88*VLOOKUP($G88&amp;"Total",$D:$AK,31,FALSE)/100+100/$X88*$K88*VLOOKUP($J88&amp;"Total",$D:$AK,31,FALSE)/100+100/$X88*$N88*VLOOKUP($M88&amp;"Total",$D:$AK,31,FALSE)/100+100/$X88*$Q88*VLOOKUP($P88&amp;"Total",$D:$AK,31,FALSE)/100+
(IF($G88=AH$66,$H88,0)+IF($J88=AH$66,$K88,0)+IF($M88=AH$66,$N88,0)+IF($P88=AH$66,$Q88,0))*100/$X88</f>
        <v>0</v>
      </c>
      <c r="AI88" s="3">
        <f>100/$X88*$H88*VLOOKUP($G88&amp;"Total",$D:$AK,32,FALSE)/100+100/$X88*$K88*VLOOKUP($J88&amp;"Total",$D:$AK,32,FALSE)/100+100/$X88*$N88*VLOOKUP($M88&amp;"Total",$D:$AK,32,FALSE)/100+100/$X88*$Q88*VLOOKUP($P88&amp;"Total",$D:$AK,32,FALSE)/100+
(IF($G88=AI$66,$H88,0)+IF($J88=AI$66,$K88,0)+IF($M88=AI$66,$N88,0)+IF($P88=AI$66,$Q88,0))*100/$X88</f>
        <v>0</v>
      </c>
      <c r="AJ88" s="3">
        <f>100/$X88*$H88*VLOOKUP($G88&amp;"Total",$D:$AK,33,FALSE)/100+100/$X88*$K88*VLOOKUP($J88&amp;"Total",$D:$AK,33,FALSE)/100+100/$X88*$N88*VLOOKUP($M88&amp;"Total",$D:$AK,33,FALSE)/100+100/$X88*$Q88*VLOOKUP($P88&amp;"Total",$D:$AK,33,FALSE)/100+
(IF($G88=AJ$66,$H88,0)+IF($J88=AJ$66,$K88,0)+IF($M88=AJ$66,$N88,0)+IF($P88=AJ$66,$Q88,0))*100/$X88</f>
        <v>0</v>
      </c>
      <c r="AK88" s="3">
        <f>100/$X88*$H88*VLOOKUP($G88&amp;"Total",$D:$AK,34,FALSE)/100+100/$X88*$K88*VLOOKUP($J88&amp;"Total",$D:$AK,34,FALSE)/100+100/$X88*$N88*VLOOKUP($M88&amp;"Total",$D:$AK,34,FALSE)/100+100/$X88*$Q88*VLOOKUP($P88&amp;"Total",$D:$AK,34,FALSE)/100+
(IF($G88=AK$66,$H88,0)+IF($J88=AK$66,$K88,0)+IF($M88=AK$66,$N88,0)+IF($P88=AK$66,$Q88,0))*100/$X88</f>
        <v>0</v>
      </c>
    </row>
    <row r="89" spans="1:37" x14ac:dyDescent="0.25">
      <c r="E89" s="25"/>
      <c r="G89" s="22"/>
      <c r="H89" s="22"/>
      <c r="J89" s="22"/>
      <c r="K89" s="22"/>
      <c r="M89" s="22"/>
      <c r="N89" s="22"/>
      <c r="P89" s="22"/>
      <c r="Q89" s="22"/>
      <c r="V89" s="22"/>
      <c r="W89" s="22"/>
      <c r="X89" s="22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25">
      <c r="A90" t="s">
        <v>80</v>
      </c>
      <c r="B90" t="s">
        <v>80</v>
      </c>
      <c r="C90" t="s">
        <v>17</v>
      </c>
      <c r="D90" t="str">
        <f>A90&amp;C90</f>
        <v>Iron PlateTotal</v>
      </c>
      <c r="E90" s="26">
        <f t="shared" ref="E90:E140" si="22">100/X90*(T90+W90)</f>
        <v>61.053794694655004</v>
      </c>
      <c r="G90" t="s">
        <v>54</v>
      </c>
      <c r="H90" s="22">
        <v>30</v>
      </c>
      <c r="I90" s="3">
        <f>VLOOKUP(G90&amp;"Total",$D:$AB,2,FALSE)/100*H90</f>
        <v>8.2107589389310007</v>
      </c>
      <c r="J90" s="22" t="s">
        <v>27</v>
      </c>
      <c r="K90" s="22"/>
      <c r="L90" s="3">
        <f>VLOOKUP(J90&amp;"Total",$D:$AB,2,FALSE)/100*K90</f>
        <v>0</v>
      </c>
      <c r="M90" s="22" t="s">
        <v>27</v>
      </c>
      <c r="N90" s="22"/>
      <c r="O90" s="3">
        <f>VLOOKUP(M90&amp;"Total",$D:$AB,2,FALSE)/100*N90</f>
        <v>0</v>
      </c>
      <c r="P90" s="22" t="s">
        <v>27</v>
      </c>
      <c r="Q90" s="22"/>
      <c r="R90" s="3">
        <f>VLOOKUP(P90&amp;"Total",$D:$AB,2,FALSE)/100*Q90</f>
        <v>0</v>
      </c>
      <c r="T90" s="3">
        <f t="shared" ref="T90:T140" si="23">I90+L90+O90+R90</f>
        <v>8.2107589389310007</v>
      </c>
      <c r="V90" s="22" t="s">
        <v>67</v>
      </c>
      <c r="W90" s="22">
        <v>4</v>
      </c>
      <c r="X90" s="22">
        <v>20</v>
      </c>
      <c r="Z90" s="21"/>
      <c r="AA90" s="3">
        <f>100/$X90*$H90*VLOOKUP($G90&amp;"Total",$D:$AK,24,FALSE)/100+100/$X90*$K90*VLOOKUP($J90&amp;"Total",$D:$AK,24,FALSE)/100+100/$X90*$N90*VLOOKUP($M90&amp;"Total",$D:$AK,24,FALSE)/100+100/$X90*$Q90*VLOOKUP($P90&amp;"Total",$D:$AK,24,FALSE)/100+
(IF($G90=AA$66,$H90,0)+IF($J90=AA$66,$K90,0)+IF($M90=AA$66,$N90,0)+IF($P90=AA$66,$Q90,0))*100/$X90</f>
        <v>150</v>
      </c>
      <c r="AB90" s="3">
        <f>100/$X90*$H90*VLOOKUP($G90&amp;"Total",$D:$AK,25,FALSE)/100+100/$X90*$K90*VLOOKUP($J90&amp;"Total",$D:$AK,25,FALSE)/100+100/$X90*$N90*VLOOKUP($M90&amp;"Total",$D:$AK,25,FALSE)/100+100/$X90*$Q90*VLOOKUP($P90&amp;"Total",$D:$AK,25,FALSE)/100+
(IF($G90=AB$66,$H90,0)+IF($J90=AB$66,$K90,0)+IF($M90=AB$66,$N90,0)+IF($P90=AB$66,$Q90,0))*100/$X90</f>
        <v>0</v>
      </c>
      <c r="AC90" s="3">
        <f>100/$X90*$H90*VLOOKUP($G90&amp;"Total",$D:$AK,26,FALSE)/100+100/$X90*$K90*VLOOKUP($J90&amp;"Total",$D:$AK,26,FALSE)/100+100/$X90*$N90*VLOOKUP($M90&amp;"Total",$D:$AK,26,FALSE)/100+100/$X90*$Q90*VLOOKUP($P90&amp;"Total",$D:$AK,26,FALSE)/100+
(IF($G90=AC$66,$H90,0)+IF($J90=AC$66,$K90,0)+IF($M90=AC$66,$N90,0)+IF($P90=AC$66,$Q90,0))*100/$X90</f>
        <v>0</v>
      </c>
      <c r="AD90" s="3">
        <f>100/$X90*$H90*VLOOKUP($G90&amp;"Total",$D:$AK,27,FALSE)/100+100/$X90*$K90*VLOOKUP($J90&amp;"Total",$D:$AK,27,FALSE)/100+100/$X90*$N90*VLOOKUP($M90&amp;"Total",$D:$AK,27,FALSE)/100+100/$X90*$Q90*VLOOKUP($P90&amp;"Total",$D:$AK,27,FALSE)/100+
(IF($G90=AD$66,$H90,0)+IF($J90=AD$66,$K90,0)+IF($M90=AD$66,$N90,0)+IF($P90=AD$66,$Q90,0))*100/$X90</f>
        <v>0</v>
      </c>
      <c r="AE90" s="3">
        <f>100/$X90*$H90*VLOOKUP($G90&amp;"Total",$D:$AK,28,FALSE)/100+100/$X90*$K90*VLOOKUP($J90&amp;"Total",$D:$AK,28,FALSE)/100+100/$X90*$N90*VLOOKUP($M90&amp;"Total",$D:$AK,28,FALSE)/100+100/$X90*$Q90*VLOOKUP($P90&amp;"Total",$D:$AK,28,FALSE)/100+
(IF($G90=AE$66,$H90,0)+IF($J90=AE$66,$K90,0)+IF($M90=AE$66,$N90,0)+IF($P90=AE$66,$Q90,0))*100/$X90</f>
        <v>0</v>
      </c>
      <c r="AF90" s="3">
        <f>100/$X90*$H90*VLOOKUP($G90&amp;"Total",$D:$AK,29,FALSE)/100+100/$X90*$K90*VLOOKUP($J90&amp;"Total",$D:$AK,29,FALSE)/100+100/$X90*$N90*VLOOKUP($M90&amp;"Total",$D:$AK,29,FALSE)/100+100/$X90*$Q90*VLOOKUP($P90&amp;"Total",$D:$AK,29,FALSE)/100+
(IF($G90=AF$66,$H90,0)+IF($J90=AF$66,$K90,0)+IF($M90=AF$66,$N90,0)+IF($P90=AF$66,$Q90,0))*100/$X90</f>
        <v>0</v>
      </c>
      <c r="AG90" s="3">
        <f>100/$X90*$H90*VLOOKUP($G90&amp;"Total",$D:$AK,30,FALSE)/100+100/$X90*$K90*VLOOKUP($J90&amp;"Total",$D:$AK,30,FALSE)/100+100/$X90*$N90*VLOOKUP($M90&amp;"Total",$D:$AK,30,FALSE)/100+100/$X90*$Q90*VLOOKUP($P90&amp;"Total",$D:$AK,30,FALSE)/100+
(IF($G90=AG$66,$H90,0)+IF($J90=AG$66,$K90,0)+IF($M90=AG$66,$N90,0)+IF($P90=AG$66,$Q90,0))*100/$X90</f>
        <v>0</v>
      </c>
      <c r="AH90" s="3">
        <f>100/$X90*$H90*VLOOKUP($G90&amp;"Total",$D:$AK,31,FALSE)/100+100/$X90*$K90*VLOOKUP($J90&amp;"Total",$D:$AK,31,FALSE)/100+100/$X90*$N90*VLOOKUP($M90&amp;"Total",$D:$AK,31,FALSE)/100+100/$X90*$Q90*VLOOKUP($P90&amp;"Total",$D:$AK,31,FALSE)/100+
(IF($G90=AH$66,$H90,0)+IF($J90=AH$66,$K90,0)+IF($M90=AH$66,$N90,0)+IF($P90=AH$66,$Q90,0))*100/$X90</f>
        <v>0</v>
      </c>
      <c r="AI90" s="3">
        <f>100/$X90*$H90*VLOOKUP($G90&amp;"Total",$D:$AK,32,FALSE)/100+100/$X90*$K90*VLOOKUP($J90&amp;"Total",$D:$AK,32,FALSE)/100+100/$X90*$N90*VLOOKUP($M90&amp;"Total",$D:$AK,32,FALSE)/100+100/$X90*$Q90*VLOOKUP($P90&amp;"Total",$D:$AK,32,FALSE)/100+
(IF($G90=AI$66,$H90,0)+IF($J90=AI$66,$K90,0)+IF($M90=AI$66,$N90,0)+IF($P90=AI$66,$Q90,0))*100/$X90</f>
        <v>0</v>
      </c>
      <c r="AJ90" s="3">
        <f>100/$X90*$H90*VLOOKUP($G90&amp;"Total",$D:$AK,33,FALSE)/100+100/$X90*$K90*VLOOKUP($J90&amp;"Total",$D:$AK,33,FALSE)/100+100/$X90*$N90*VLOOKUP($M90&amp;"Total",$D:$AK,33,FALSE)/100+100/$X90*$Q90*VLOOKUP($P90&amp;"Total",$D:$AK,33,FALSE)/100+
(IF($G90=AJ$66,$H90,0)+IF($J90=AJ$66,$K90,0)+IF($M90=AJ$66,$N90,0)+IF($P90=AJ$66,$Q90,0))*100/$X90</f>
        <v>0</v>
      </c>
      <c r="AK90" s="3">
        <f>100/$X90*$H90*VLOOKUP($G90&amp;"Total",$D:$AK,34,FALSE)/100+100/$X90*$K90*VLOOKUP($J90&amp;"Total",$D:$AK,34,FALSE)/100+100/$X90*$N90*VLOOKUP($M90&amp;"Total",$D:$AK,34,FALSE)/100+100/$X90*$Q90*VLOOKUP($P90&amp;"Total",$D:$AK,34,FALSE)/100+
(IF($G90=AK$66,$H90,0)+IF($J90=AK$66,$K90,0)+IF($M90=AK$66,$N90,0)+IF($P90=AK$66,$Q90,0))*100/$X90</f>
        <v>0</v>
      </c>
    </row>
    <row r="91" spans="1:37" x14ac:dyDescent="0.25">
      <c r="A91" t="s">
        <v>80</v>
      </c>
      <c r="B91" t="s">
        <v>81</v>
      </c>
      <c r="D91" t="str">
        <f t="shared" ref="D91:D92" si="24">A91&amp;C91</f>
        <v>Iron Plate</v>
      </c>
      <c r="E91" s="26">
        <f t="shared" si="22"/>
        <v>66.855737813009057</v>
      </c>
      <c r="G91" t="s">
        <v>54</v>
      </c>
      <c r="H91" s="22">
        <v>50</v>
      </c>
      <c r="I91" s="3">
        <f>VLOOKUP(G91&amp;"Total",$D:$AB,2,FALSE)/100*H91</f>
        <v>13.684598231551668</v>
      </c>
      <c r="J91" s="22" t="s">
        <v>82</v>
      </c>
      <c r="K91" s="22">
        <v>10</v>
      </c>
      <c r="L91" s="3">
        <f>VLOOKUP(J91&amp;"Total",$D:$AB,2,FALSE)/100*K91</f>
        <v>21.457205128205132</v>
      </c>
      <c r="M91" s="22" t="s">
        <v>27</v>
      </c>
      <c r="N91" s="22"/>
      <c r="O91" s="3">
        <f>VLOOKUP(M91&amp;"Total",$D:$AB,2,FALSE)/100*N91</f>
        <v>0</v>
      </c>
      <c r="P91" s="22" t="s">
        <v>27</v>
      </c>
      <c r="Q91" s="22"/>
      <c r="R91" s="3">
        <f>VLOOKUP(P91&amp;"Total",$D:$AB,2,FALSE)/100*Q91</f>
        <v>0</v>
      </c>
      <c r="T91" s="3">
        <f t="shared" si="23"/>
        <v>35.1418033597568</v>
      </c>
      <c r="V91" s="22" t="s">
        <v>70</v>
      </c>
      <c r="W91" s="22">
        <v>15</v>
      </c>
      <c r="X91" s="22">
        <v>75</v>
      </c>
      <c r="AA91" s="3">
        <f>100/$X91*$H91*VLOOKUP($G91&amp;"Total",$D:$AK,24,FALSE)/100+100/$X91*$K91*VLOOKUP($J91&amp;"Total",$D:$AK,24,FALSE)/100+100/$X91*$N91*VLOOKUP($M91&amp;"Total",$D:$AK,24,FALSE)/100+100/$X91*$Q91*VLOOKUP($P91&amp;"Total",$D:$AK,24,FALSE)/100+
(IF($G91=AA$66,$H91,0)+IF($J91=AA$66,$K91,0)+IF($M91=AA$66,$N91,0)+IF($P91=AA$66,$Q91,0))*100/$X91</f>
        <v>66.666666666666657</v>
      </c>
      <c r="AB91" s="3">
        <f>100/$X91*$H91*VLOOKUP($G91&amp;"Total",$D:$AK,25,FALSE)/100+100/$X91*$K91*VLOOKUP($J91&amp;"Total",$D:$AK,25,FALSE)/100+100/$X91*$N91*VLOOKUP($M91&amp;"Total",$D:$AK,25,FALSE)/100+100/$X91*$Q91*VLOOKUP($P91&amp;"Total",$D:$AK,25,FALSE)/100+
(IF($G91=AB$66,$H91,0)+IF($J91=AB$66,$K91,0)+IF($M91=AB$66,$N91,0)+IF($P91=AB$66,$Q91,0))*100/$X91</f>
        <v>0</v>
      </c>
      <c r="AC91" s="3">
        <f>100/$X91*$H91*VLOOKUP($G91&amp;"Total",$D:$AK,26,FALSE)/100+100/$X91*$K91*VLOOKUP($J91&amp;"Total",$D:$AK,26,FALSE)/100+100/$X91*$N91*VLOOKUP($M91&amp;"Total",$D:$AK,26,FALSE)/100+100/$X91*$Q91*VLOOKUP($P91&amp;"Total",$D:$AK,26,FALSE)/100+
(IF($G91=AC$66,$H91,0)+IF($J91=AC$66,$K91,0)+IF($M91=AC$66,$N91,0)+IF($P91=AC$66,$Q91,0))*100/$X91</f>
        <v>0</v>
      </c>
      <c r="AD91" s="3">
        <f>100/$X91*$H91*VLOOKUP($G91&amp;"Total",$D:$AK,27,FALSE)/100+100/$X91*$K91*VLOOKUP($J91&amp;"Total",$D:$AK,27,FALSE)/100+100/$X91*$N91*VLOOKUP($M91&amp;"Total",$D:$AK,27,FALSE)/100+100/$X91*$Q91*VLOOKUP($P91&amp;"Total",$D:$AK,27,FALSE)/100+
(IF($G91=AD$66,$H91,0)+IF($J91=AD$66,$K91,0)+IF($M91=AD$66,$N91,0)+IF($P91=AD$66,$Q91,0))*100/$X91</f>
        <v>0</v>
      </c>
      <c r="AE91" s="3">
        <f>100/$X91*$H91*VLOOKUP($G91&amp;"Total",$D:$AK,28,FALSE)/100+100/$X91*$K91*VLOOKUP($J91&amp;"Total",$D:$AK,28,FALSE)/100+100/$X91*$N91*VLOOKUP($M91&amp;"Total",$D:$AK,28,FALSE)/100+100/$X91*$Q91*VLOOKUP($P91&amp;"Total",$D:$AK,28,FALSE)/100+
(IF($G91=AE$66,$H91,0)+IF($J91=AE$66,$K91,0)+IF($M91=AE$66,$N91,0)+IF($P91=AE$66,$Q91,0))*100/$X91</f>
        <v>0</v>
      </c>
      <c r="AF91" s="3">
        <f>100/$X91*$H91*VLOOKUP($G91&amp;"Total",$D:$AK,29,FALSE)/100+100/$X91*$K91*VLOOKUP($J91&amp;"Total",$D:$AK,29,FALSE)/100+100/$X91*$N91*VLOOKUP($M91&amp;"Total",$D:$AK,29,FALSE)/100+100/$X91*$Q91*VLOOKUP($P91&amp;"Total",$D:$AK,29,FALSE)/100+
(IF($G91=AF$66,$H91,0)+IF($J91=AF$66,$K91,0)+IF($M91=AF$66,$N91,0)+IF($P91=AF$66,$Q91,0))*100/$X91</f>
        <v>0</v>
      </c>
      <c r="AG91" s="3">
        <f>100/$X91*$H91*VLOOKUP($G91&amp;"Total",$D:$AK,30,FALSE)/100+100/$X91*$K91*VLOOKUP($J91&amp;"Total",$D:$AK,30,FALSE)/100+100/$X91*$N91*VLOOKUP($M91&amp;"Total",$D:$AK,30,FALSE)/100+100/$X91*$Q91*VLOOKUP($P91&amp;"Total",$D:$AK,30,FALSE)/100+
(IF($G91=AG$66,$H91,0)+IF($J91=AG$66,$K91,0)+IF($M91=AG$66,$N91,0)+IF($P91=AG$66,$Q91,0))*100/$X91</f>
        <v>0</v>
      </c>
      <c r="AH91" s="3">
        <f>100/$X91*$H91*VLOOKUP($G91&amp;"Total",$D:$AK,31,FALSE)/100+100/$X91*$K91*VLOOKUP($J91&amp;"Total",$D:$AK,31,FALSE)/100+100/$X91*$N91*VLOOKUP($M91&amp;"Total",$D:$AK,31,FALSE)/100+100/$X91*$Q91*VLOOKUP($P91&amp;"Total",$D:$AK,31,FALSE)/100+
(IF($G91=AH$66,$H91,0)+IF($J91=AH$66,$K91,0)+IF($M91=AH$66,$N91,0)+IF($P91=AH$66,$Q91,0))*100/$X91</f>
        <v>0</v>
      </c>
      <c r="AI91" s="3">
        <f>100/$X91*$H91*VLOOKUP($G91&amp;"Total",$D:$AK,32,FALSE)/100+100/$X91*$K91*VLOOKUP($J91&amp;"Total",$D:$AK,32,FALSE)/100+100/$X91*$N91*VLOOKUP($M91&amp;"Total",$D:$AK,32,FALSE)/100+100/$X91*$Q91*VLOOKUP($P91&amp;"Total",$D:$AK,32,FALSE)/100+
(IF($G91=AI$66,$H91,0)+IF($J91=AI$66,$K91,0)+IF($M91=AI$66,$N91,0)+IF($P91=AI$66,$Q91,0))*100/$X91</f>
        <v>0</v>
      </c>
      <c r="AJ91" s="3">
        <f>100/$X91*$H91*VLOOKUP($G91&amp;"Total",$D:$AK,33,FALSE)/100+100/$X91*$K91*VLOOKUP($J91&amp;"Total",$D:$AK,33,FALSE)/100+100/$X91*$N91*VLOOKUP($M91&amp;"Total",$D:$AK,33,FALSE)/100+100/$X91*$Q91*VLOOKUP($P91&amp;"Total",$D:$AK,33,FALSE)/100+
(IF($G91=AJ$66,$H91,0)+IF($J91=AJ$66,$K91,0)+IF($M91=AJ$66,$N91,0)+IF($P91=AJ$66,$Q91,0))*100/$X91</f>
        <v>0</v>
      </c>
      <c r="AK91" s="3">
        <f>100/$X91*$H91*VLOOKUP($G91&amp;"Total",$D:$AK,34,FALSE)/100+100/$X91*$K91*VLOOKUP($J91&amp;"Total",$D:$AK,34,FALSE)/100+100/$X91*$N91*VLOOKUP($M91&amp;"Total",$D:$AK,34,FALSE)/100+100/$X91*$Q91*VLOOKUP($P91&amp;"Total",$D:$AK,34,FALSE)/100+
(IF($G91=AK$66,$H91,0)+IF($J91=AK$66,$K91,0)+IF($M91=AK$66,$N91,0)+IF($P91=AK$66,$Q91,0))*100/$X91</f>
        <v>19.999999999999996</v>
      </c>
    </row>
    <row r="92" spans="1:37" x14ac:dyDescent="0.25">
      <c r="A92" t="s">
        <v>80</v>
      </c>
      <c r="B92" t="s">
        <v>83</v>
      </c>
      <c r="D92" t="str">
        <f t="shared" si="24"/>
        <v>Iron Plate</v>
      </c>
      <c r="E92" s="26">
        <f t="shared" si="22"/>
        <v>66.224953453165327</v>
      </c>
      <c r="G92" t="s">
        <v>84</v>
      </c>
      <c r="H92" s="22">
        <v>7.5</v>
      </c>
      <c r="I92" s="3">
        <f>VLOOKUP(G92&amp;"Total",$D:$AB,2,FALSE)/100*H92</f>
        <v>4.0726264898218334</v>
      </c>
      <c r="J92" s="22" t="s">
        <v>82</v>
      </c>
      <c r="K92" s="22">
        <v>5</v>
      </c>
      <c r="L92" s="3">
        <f>VLOOKUP(J92&amp;"Total",$D:$AB,2,FALSE)/100*K92</f>
        <v>10.728602564102566</v>
      </c>
      <c r="M92" s="22" t="s">
        <v>27</v>
      </c>
      <c r="N92" s="22"/>
      <c r="O92" s="3">
        <f>VLOOKUP(M92&amp;"Total",$D:$AB,2,FALSE)/100*N92</f>
        <v>0</v>
      </c>
      <c r="P92" s="22" t="s">
        <v>27</v>
      </c>
      <c r="Q92" s="22"/>
      <c r="R92" s="3">
        <f>VLOOKUP(P92&amp;"Total",$D:$AB,2,FALSE)/100*Q92</f>
        <v>0</v>
      </c>
      <c r="T92" s="3">
        <f t="shared" si="23"/>
        <v>14.801229053924398</v>
      </c>
      <c r="V92" s="22" t="s">
        <v>70</v>
      </c>
      <c r="W92" s="22">
        <v>15</v>
      </c>
      <c r="X92" s="22">
        <v>45</v>
      </c>
      <c r="AA92" s="3">
        <f>100/$X92*$H92*VLOOKUP($G92&amp;"Total",$D:$AK,24,FALSE)/100+100/$X92*$K92*VLOOKUP($J92&amp;"Total",$D:$AK,24,FALSE)/100+100/$X92*$N92*VLOOKUP($M92&amp;"Total",$D:$AK,24,FALSE)/100+100/$X92*$Q92*VLOOKUP($P92&amp;"Total",$D:$AK,24,FALSE)/100+
(IF($G92=AA$66,$H92,0)+IF($J92=AA$66,$K92,0)+IF($M92=AA$66,$N92,0)+IF($P92=AA$66,$Q92,0))*100/$X92</f>
        <v>11.111111111111112</v>
      </c>
      <c r="AB92" s="3">
        <f>100/$X92*$H92*VLOOKUP($G92&amp;"Total",$D:$AK,25,FALSE)/100+100/$X92*$K92*VLOOKUP($J92&amp;"Total",$D:$AK,25,FALSE)/100+100/$X92*$N92*VLOOKUP($M92&amp;"Total",$D:$AK,25,FALSE)/100+100/$X92*$Q92*VLOOKUP($P92&amp;"Total",$D:$AK,25,FALSE)/100+
(IF($G92=AB$66,$H92,0)+IF($J92=AB$66,$K92,0)+IF($M92=AB$66,$N92,0)+IF($P92=AB$66,$Q92,0))*100/$X92</f>
        <v>0</v>
      </c>
      <c r="AC92" s="3">
        <f>100/$X92*$H92*VLOOKUP($G92&amp;"Total",$D:$AK,26,FALSE)/100+100/$X92*$K92*VLOOKUP($J92&amp;"Total",$D:$AK,26,FALSE)/100+100/$X92*$N92*VLOOKUP($M92&amp;"Total",$D:$AK,26,FALSE)/100+100/$X92*$Q92*VLOOKUP($P92&amp;"Total",$D:$AK,26,FALSE)/100+
(IF($G92=AC$66,$H92,0)+IF($J92=AC$66,$K92,0)+IF($M92=AC$66,$N92,0)+IF($P92=AC$66,$Q92,0))*100/$X92</f>
        <v>0</v>
      </c>
      <c r="AD92" s="3">
        <f>100/$X92*$H92*VLOOKUP($G92&amp;"Total",$D:$AK,27,FALSE)/100+100/$X92*$K92*VLOOKUP($J92&amp;"Total",$D:$AK,27,FALSE)/100+100/$X92*$N92*VLOOKUP($M92&amp;"Total",$D:$AK,27,FALSE)/100+100/$X92*$Q92*VLOOKUP($P92&amp;"Total",$D:$AK,27,FALSE)/100+
(IF($G92=AD$66,$H92,0)+IF($J92=AD$66,$K92,0)+IF($M92=AD$66,$N92,0)+IF($P92=AD$66,$Q92,0))*100/$X92</f>
        <v>11.111111111111112</v>
      </c>
      <c r="AE92" s="3">
        <f>100/$X92*$H92*VLOOKUP($G92&amp;"Total",$D:$AK,28,FALSE)/100+100/$X92*$K92*VLOOKUP($J92&amp;"Total",$D:$AK,28,FALSE)/100+100/$X92*$N92*VLOOKUP($M92&amp;"Total",$D:$AK,28,FALSE)/100+100/$X92*$Q92*VLOOKUP($P92&amp;"Total",$D:$AK,28,FALSE)/100+
(IF($G92=AE$66,$H92,0)+IF($J92=AE$66,$K92,0)+IF($M92=AE$66,$N92,0)+IF($P92=AE$66,$Q92,0))*100/$X92</f>
        <v>0</v>
      </c>
      <c r="AF92" s="3">
        <f>100/$X92*$H92*VLOOKUP($G92&amp;"Total",$D:$AK,29,FALSE)/100+100/$X92*$K92*VLOOKUP($J92&amp;"Total",$D:$AK,29,FALSE)/100+100/$X92*$N92*VLOOKUP($M92&amp;"Total",$D:$AK,29,FALSE)/100+100/$X92*$Q92*VLOOKUP($P92&amp;"Total",$D:$AK,29,FALSE)/100+
(IF($G92=AF$66,$H92,0)+IF($J92=AF$66,$K92,0)+IF($M92=AF$66,$N92,0)+IF($P92=AF$66,$Q92,0))*100/$X92</f>
        <v>0</v>
      </c>
      <c r="AG92" s="3">
        <f>100/$X92*$H92*VLOOKUP($G92&amp;"Total",$D:$AK,30,FALSE)/100+100/$X92*$K92*VLOOKUP($J92&amp;"Total",$D:$AK,30,FALSE)/100+100/$X92*$N92*VLOOKUP($M92&amp;"Total",$D:$AK,30,FALSE)/100+100/$X92*$Q92*VLOOKUP($P92&amp;"Total",$D:$AK,30,FALSE)/100+
(IF($G92=AG$66,$H92,0)+IF($J92=AG$66,$K92,0)+IF($M92=AG$66,$N92,0)+IF($P92=AG$66,$Q92,0))*100/$X92</f>
        <v>0</v>
      </c>
      <c r="AH92" s="3">
        <f>100/$X92*$H92*VLOOKUP($G92&amp;"Total",$D:$AK,31,FALSE)/100+100/$X92*$K92*VLOOKUP($J92&amp;"Total",$D:$AK,31,FALSE)/100+100/$X92*$N92*VLOOKUP($M92&amp;"Total",$D:$AK,31,FALSE)/100+100/$X92*$Q92*VLOOKUP($P92&amp;"Total",$D:$AK,31,FALSE)/100+
(IF($G92=AH$66,$H92,0)+IF($J92=AH$66,$K92,0)+IF($M92=AH$66,$N92,0)+IF($P92=AH$66,$Q92,0))*100/$X92</f>
        <v>0</v>
      </c>
      <c r="AI92" s="3">
        <f>100/$X92*$H92*VLOOKUP($G92&amp;"Total",$D:$AK,32,FALSE)/100+100/$X92*$K92*VLOOKUP($J92&amp;"Total",$D:$AK,32,FALSE)/100+100/$X92*$N92*VLOOKUP($M92&amp;"Total",$D:$AK,32,FALSE)/100+100/$X92*$Q92*VLOOKUP($P92&amp;"Total",$D:$AK,32,FALSE)/100+
(IF($G92=AI$66,$H92,0)+IF($J92=AI$66,$K92,0)+IF($M92=AI$66,$N92,0)+IF($P92=AI$66,$Q92,0))*100/$X92</f>
        <v>0</v>
      </c>
      <c r="AJ92" s="3">
        <f>100/$X92*$H92*VLOOKUP($G92&amp;"Total",$D:$AK,33,FALSE)/100+100/$X92*$K92*VLOOKUP($J92&amp;"Total",$D:$AK,33,FALSE)/100+100/$X92*$N92*VLOOKUP($M92&amp;"Total",$D:$AK,33,FALSE)/100+100/$X92*$Q92*VLOOKUP($P92&amp;"Total",$D:$AK,33,FALSE)/100+
(IF($G92=AJ$66,$H92,0)+IF($J92=AJ$66,$K92,0)+IF($M92=AJ$66,$N92,0)+IF($P92=AJ$66,$Q92,0))*100/$X92</f>
        <v>0</v>
      </c>
      <c r="AK92" s="3">
        <f>100/$X92*$H92*VLOOKUP($G92&amp;"Total",$D:$AK,34,FALSE)/100+100/$X92*$K92*VLOOKUP($J92&amp;"Total",$D:$AK,34,FALSE)/100+100/$X92*$N92*VLOOKUP($M92&amp;"Total",$D:$AK,34,FALSE)/100+100/$X92*$Q92*VLOOKUP($P92&amp;"Total",$D:$AK,34,FALSE)/100+
(IF($G92=AK$66,$H92,0)+IF($J92=AK$66,$K92,0)+IF($M92=AK$66,$N92,0)+IF($P92=AK$66,$Q92,0))*100/$X92</f>
        <v>16.666666666666664</v>
      </c>
    </row>
    <row r="93" spans="1:37" x14ac:dyDescent="0.25">
      <c r="E93" s="26"/>
      <c r="H93" s="22"/>
      <c r="I93" s="3"/>
      <c r="J93" s="22"/>
      <c r="K93" s="22"/>
      <c r="L93" s="3"/>
      <c r="M93" s="22"/>
      <c r="N93" s="22"/>
      <c r="O93" s="3"/>
      <c r="P93" s="22"/>
      <c r="Q93" s="22"/>
      <c r="R93" s="3"/>
      <c r="T93" s="3"/>
      <c r="V93" s="22"/>
      <c r="W93" s="22"/>
      <c r="X93" s="22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x14ac:dyDescent="0.25">
      <c r="A94" t="s">
        <v>85</v>
      </c>
      <c r="B94" t="s">
        <v>85</v>
      </c>
      <c r="D94" t="str">
        <f t="shared" ref="D94:D95" si="25">A94&amp;C94</f>
        <v>Iron Rod</v>
      </c>
      <c r="E94" s="26">
        <f t="shared" ref="E94:E95" si="26">100/X94*(T94+W94)</f>
        <v>54.035863129770007</v>
      </c>
      <c r="G94" t="s">
        <v>54</v>
      </c>
      <c r="H94" s="22">
        <v>15</v>
      </c>
      <c r="I94" s="3">
        <f>VLOOKUP(G94&amp;"Total",$D:$AB,2,FALSE)/100*H94</f>
        <v>4.1053794694655004</v>
      </c>
      <c r="J94" s="22" t="s">
        <v>27</v>
      </c>
      <c r="K94" s="22"/>
      <c r="L94" s="3">
        <f>VLOOKUP(J94&amp;"Total",$D:$AB,2,FALSE)/100*K94</f>
        <v>0</v>
      </c>
      <c r="M94" s="22" t="s">
        <v>27</v>
      </c>
      <c r="N94" s="22"/>
      <c r="O94" s="3">
        <f>VLOOKUP(M94&amp;"Total",$D:$AB,2,FALSE)/100*N94</f>
        <v>0</v>
      </c>
      <c r="P94" s="22" t="s">
        <v>27</v>
      </c>
      <c r="Q94" s="22"/>
      <c r="R94" s="3">
        <f>VLOOKUP(P94&amp;"Total",$D:$AB,2,FALSE)/100*Q94</f>
        <v>0</v>
      </c>
      <c r="T94" s="3">
        <f t="shared" ref="T94:T95" si="27">I94+L94+O94+R94</f>
        <v>4.1053794694655004</v>
      </c>
      <c r="V94" s="22" t="s">
        <v>67</v>
      </c>
      <c r="W94" s="22">
        <v>4</v>
      </c>
      <c r="X94" s="22">
        <v>15</v>
      </c>
      <c r="AA94" s="3">
        <f>100/$X94*$H94*VLOOKUP($G94&amp;"Total",$D:$AK,24,FALSE)/100+100/$X94*$K94*VLOOKUP($J94&amp;"Total",$D:$AK,24,FALSE)/100+100/$X94*$N94*VLOOKUP($M94&amp;"Total",$D:$AK,24,FALSE)/100+100/$X94*$Q94*VLOOKUP($P94&amp;"Total",$D:$AK,24,FALSE)/100+
(IF($G94=AA$66,$H94,0)+IF($J94=AA$66,$K94,0)+IF($M94=AA$66,$N94,0)+IF($P94=AA$66,$Q94,0))*100/$X94</f>
        <v>100</v>
      </c>
      <c r="AB94" s="3">
        <f>100/$X94*$H94*VLOOKUP($G94&amp;"Total",$D:$AK,25,FALSE)/100+100/$X94*$K94*VLOOKUP($J94&amp;"Total",$D:$AK,25,FALSE)/100+100/$X94*$N94*VLOOKUP($M94&amp;"Total",$D:$AK,25,FALSE)/100+100/$X94*$Q94*VLOOKUP($P94&amp;"Total",$D:$AK,25,FALSE)/100+
(IF($G94=AB$66,$H94,0)+IF($J94=AB$66,$K94,0)+IF($M94=AB$66,$N94,0)+IF($P94=AB$66,$Q94,0))*100/$X94</f>
        <v>0</v>
      </c>
      <c r="AC94" s="3">
        <f>100/$X94*$H94*VLOOKUP($G94&amp;"Total",$D:$AK,26,FALSE)/100+100/$X94*$K94*VLOOKUP($J94&amp;"Total",$D:$AK,26,FALSE)/100+100/$X94*$N94*VLOOKUP($M94&amp;"Total",$D:$AK,26,FALSE)/100+100/$X94*$Q94*VLOOKUP($P94&amp;"Total",$D:$AK,26,FALSE)/100+
(IF($G94=AC$66,$H94,0)+IF($J94=AC$66,$K94,0)+IF($M94=AC$66,$N94,0)+IF($P94=AC$66,$Q94,0))*100/$X94</f>
        <v>0</v>
      </c>
      <c r="AD94" s="3">
        <f>100/$X94*$H94*VLOOKUP($G94&amp;"Total",$D:$AK,27,FALSE)/100+100/$X94*$K94*VLOOKUP($J94&amp;"Total",$D:$AK,27,FALSE)/100+100/$X94*$N94*VLOOKUP($M94&amp;"Total",$D:$AK,27,FALSE)/100+100/$X94*$Q94*VLOOKUP($P94&amp;"Total",$D:$AK,27,FALSE)/100+
(IF($G94=AD$66,$H94,0)+IF($J94=AD$66,$K94,0)+IF($M94=AD$66,$N94,0)+IF($P94=AD$66,$Q94,0))*100/$X94</f>
        <v>0</v>
      </c>
      <c r="AE94" s="3">
        <f>100/$X94*$H94*VLOOKUP($G94&amp;"Total",$D:$AK,28,FALSE)/100+100/$X94*$K94*VLOOKUP($J94&amp;"Total",$D:$AK,28,FALSE)/100+100/$X94*$N94*VLOOKUP($M94&amp;"Total",$D:$AK,28,FALSE)/100+100/$X94*$Q94*VLOOKUP($P94&amp;"Total",$D:$AK,28,FALSE)/100+
(IF($G94=AE$66,$H94,0)+IF($J94=AE$66,$K94,0)+IF($M94=AE$66,$N94,0)+IF($P94=AE$66,$Q94,0))*100/$X94</f>
        <v>0</v>
      </c>
      <c r="AF94" s="3">
        <f>100/$X94*$H94*VLOOKUP($G94&amp;"Total",$D:$AK,29,FALSE)/100+100/$X94*$K94*VLOOKUP($J94&amp;"Total",$D:$AK,29,FALSE)/100+100/$X94*$N94*VLOOKUP($M94&amp;"Total",$D:$AK,29,FALSE)/100+100/$X94*$Q94*VLOOKUP($P94&amp;"Total",$D:$AK,29,FALSE)/100+
(IF($G94=AF$66,$H94,0)+IF($J94=AF$66,$K94,0)+IF($M94=AF$66,$N94,0)+IF($P94=AF$66,$Q94,0))*100/$X94</f>
        <v>0</v>
      </c>
      <c r="AG94" s="3">
        <f>100/$X94*$H94*VLOOKUP($G94&amp;"Total",$D:$AK,30,FALSE)/100+100/$X94*$K94*VLOOKUP($J94&amp;"Total",$D:$AK,30,FALSE)/100+100/$X94*$N94*VLOOKUP($M94&amp;"Total",$D:$AK,30,FALSE)/100+100/$X94*$Q94*VLOOKUP($P94&amp;"Total",$D:$AK,30,FALSE)/100+
(IF($G94=AG$66,$H94,0)+IF($J94=AG$66,$K94,0)+IF($M94=AG$66,$N94,0)+IF($P94=AG$66,$Q94,0))*100/$X94</f>
        <v>0</v>
      </c>
      <c r="AH94" s="3">
        <f>100/$X94*$H94*VLOOKUP($G94&amp;"Total",$D:$AK,31,FALSE)/100+100/$X94*$K94*VLOOKUP($J94&amp;"Total",$D:$AK,31,FALSE)/100+100/$X94*$N94*VLOOKUP($M94&amp;"Total",$D:$AK,31,FALSE)/100+100/$X94*$Q94*VLOOKUP($P94&amp;"Total",$D:$AK,31,FALSE)/100+
(IF($G94=AH$66,$H94,0)+IF($J94=AH$66,$K94,0)+IF($M94=AH$66,$N94,0)+IF($P94=AH$66,$Q94,0))*100/$X94</f>
        <v>0</v>
      </c>
      <c r="AI94" s="3">
        <f>100/$X94*$H94*VLOOKUP($G94&amp;"Total",$D:$AK,32,FALSE)/100+100/$X94*$K94*VLOOKUP($J94&amp;"Total",$D:$AK,32,FALSE)/100+100/$X94*$N94*VLOOKUP($M94&amp;"Total",$D:$AK,32,FALSE)/100+100/$X94*$Q94*VLOOKUP($P94&amp;"Total",$D:$AK,32,FALSE)/100+
(IF($G94=AI$66,$H94,0)+IF($J94=AI$66,$K94,0)+IF($M94=AI$66,$N94,0)+IF($P94=AI$66,$Q94,0))*100/$X94</f>
        <v>0</v>
      </c>
      <c r="AJ94" s="3">
        <f>100/$X94*$H94*VLOOKUP($G94&amp;"Total",$D:$AK,33,FALSE)/100+100/$X94*$K94*VLOOKUP($J94&amp;"Total",$D:$AK,33,FALSE)/100+100/$X94*$N94*VLOOKUP($M94&amp;"Total",$D:$AK,33,FALSE)/100+100/$X94*$Q94*VLOOKUP($P94&amp;"Total",$D:$AK,33,FALSE)/100+
(IF($G94=AJ$66,$H94,0)+IF($J94=AJ$66,$K94,0)+IF($M94=AJ$66,$N94,0)+IF($P94=AJ$66,$Q94,0))*100/$X94</f>
        <v>0</v>
      </c>
      <c r="AK94" s="3">
        <f>100/$X94*$H94*VLOOKUP($G94&amp;"Total",$D:$AK,34,FALSE)/100+100/$X94*$K94*VLOOKUP($J94&amp;"Total",$D:$AK,34,FALSE)/100+100/$X94*$N94*VLOOKUP($M94&amp;"Total",$D:$AK,34,FALSE)/100+100/$X94*$Q94*VLOOKUP($P94&amp;"Total",$D:$AK,34,FALSE)/100+
(IF($G94=AK$66,$H94,0)+IF($J94=AK$66,$K94,0)+IF($M94=AK$66,$N94,0)+IF($P94=AK$66,$Q94,0))*100/$X94</f>
        <v>0</v>
      </c>
    </row>
    <row r="95" spans="1:37" x14ac:dyDescent="0.25">
      <c r="A95" t="s">
        <v>85</v>
      </c>
      <c r="B95" t="s">
        <v>86</v>
      </c>
      <c r="C95" t="s">
        <v>17</v>
      </c>
      <c r="D95" t="str">
        <f t="shared" si="25"/>
        <v>Iron RodTotal</v>
      </c>
      <c r="E95" s="26">
        <f t="shared" si="26"/>
        <v>21.908754966072781</v>
      </c>
      <c r="G95" t="s">
        <v>84</v>
      </c>
      <c r="H95" s="22">
        <v>12</v>
      </c>
      <c r="I95" s="3">
        <f>VLOOKUP(G95&amp;"Total",$D:$AB,2,FALSE)/100*H95</f>
        <v>6.5162023837149334</v>
      </c>
      <c r="J95" s="22" t="s">
        <v>27</v>
      </c>
      <c r="K95" s="22"/>
      <c r="L95" s="3">
        <f>VLOOKUP(J95&amp;"Total",$D:$AB,2,FALSE)/100*K95</f>
        <v>0</v>
      </c>
      <c r="M95" s="22" t="s">
        <v>27</v>
      </c>
      <c r="N95" s="22"/>
      <c r="O95" s="3">
        <f>VLOOKUP(M95&amp;"Total",$D:$AB,2,FALSE)/100*N95</f>
        <v>0</v>
      </c>
      <c r="P95" s="22" t="s">
        <v>27</v>
      </c>
      <c r="Q95" s="22"/>
      <c r="R95" s="3">
        <f>VLOOKUP(P95&amp;"Total",$D:$AB,2,FALSE)/100*Q95</f>
        <v>0</v>
      </c>
      <c r="T95" s="3">
        <f t="shared" si="27"/>
        <v>6.5162023837149334</v>
      </c>
      <c r="V95" s="22" t="s">
        <v>67</v>
      </c>
      <c r="W95" s="22">
        <v>4</v>
      </c>
      <c r="X95" s="22">
        <v>48</v>
      </c>
      <c r="AA95" s="3">
        <f>100/$X95*$H95*VLOOKUP($G95&amp;"Total",$D:$AK,24,FALSE)/100+100/$X95*$K95*VLOOKUP($J95&amp;"Total",$D:$AK,24,FALSE)/100+100/$X95*$N95*VLOOKUP($M95&amp;"Total",$D:$AK,24,FALSE)/100+100/$X95*$Q95*VLOOKUP($P95&amp;"Total",$D:$AK,24,FALSE)/100+
(IF($G95=AA$66,$H95,0)+IF($J95=AA$66,$K95,0)+IF($M95=AA$66,$N95,0)+IF($P95=AA$66,$Q95,0))*100/$X95</f>
        <v>16.666666666666668</v>
      </c>
      <c r="AB95" s="3">
        <f>100/$X95*$H95*VLOOKUP($G95&amp;"Total",$D:$AK,25,FALSE)/100+100/$X95*$K95*VLOOKUP($J95&amp;"Total",$D:$AK,25,FALSE)/100+100/$X95*$N95*VLOOKUP($M95&amp;"Total",$D:$AK,25,FALSE)/100+100/$X95*$Q95*VLOOKUP($P95&amp;"Total",$D:$AK,25,FALSE)/100+
(IF($G95=AB$66,$H95,0)+IF($J95=AB$66,$K95,0)+IF($M95=AB$66,$N95,0)+IF($P95=AB$66,$Q95,0))*100/$X95</f>
        <v>0</v>
      </c>
      <c r="AC95" s="3">
        <f>100/$X95*$H95*VLOOKUP($G95&amp;"Total",$D:$AK,26,FALSE)/100+100/$X95*$K95*VLOOKUP($J95&amp;"Total",$D:$AK,26,FALSE)/100+100/$X95*$N95*VLOOKUP($M95&amp;"Total",$D:$AK,26,FALSE)/100+100/$X95*$Q95*VLOOKUP($P95&amp;"Total",$D:$AK,26,FALSE)/100+
(IF($G95=AC$66,$H95,0)+IF($J95=AC$66,$K95,0)+IF($M95=AC$66,$N95,0)+IF($P95=AC$66,$Q95,0))*100/$X95</f>
        <v>0</v>
      </c>
      <c r="AD95" s="3">
        <f>100/$X95*$H95*VLOOKUP($G95&amp;"Total",$D:$AK,27,FALSE)/100+100/$X95*$K95*VLOOKUP($J95&amp;"Total",$D:$AK,27,FALSE)/100+100/$X95*$N95*VLOOKUP($M95&amp;"Total",$D:$AK,27,FALSE)/100+100/$X95*$Q95*VLOOKUP($P95&amp;"Total",$D:$AK,27,FALSE)/100+
(IF($G95=AD$66,$H95,0)+IF($J95=AD$66,$K95,0)+IF($M95=AD$66,$N95,0)+IF($P95=AD$66,$Q95,0))*100/$X95</f>
        <v>16.666666666666668</v>
      </c>
      <c r="AE95" s="3">
        <f>100/$X95*$H95*VLOOKUP($G95&amp;"Total",$D:$AK,28,FALSE)/100+100/$X95*$K95*VLOOKUP($J95&amp;"Total",$D:$AK,28,FALSE)/100+100/$X95*$N95*VLOOKUP($M95&amp;"Total",$D:$AK,28,FALSE)/100+100/$X95*$Q95*VLOOKUP($P95&amp;"Total",$D:$AK,28,FALSE)/100+
(IF($G95=AE$66,$H95,0)+IF($J95=AE$66,$K95,0)+IF($M95=AE$66,$N95,0)+IF($P95=AE$66,$Q95,0))*100/$X95</f>
        <v>0</v>
      </c>
      <c r="AF95" s="3">
        <f>100/$X95*$H95*VLOOKUP($G95&amp;"Total",$D:$AK,29,FALSE)/100+100/$X95*$K95*VLOOKUP($J95&amp;"Total",$D:$AK,29,FALSE)/100+100/$X95*$N95*VLOOKUP($M95&amp;"Total",$D:$AK,29,FALSE)/100+100/$X95*$Q95*VLOOKUP($P95&amp;"Total",$D:$AK,29,FALSE)/100+
(IF($G95=AF$66,$H95,0)+IF($J95=AF$66,$K95,0)+IF($M95=AF$66,$N95,0)+IF($P95=AF$66,$Q95,0))*100/$X95</f>
        <v>0</v>
      </c>
      <c r="AG95" s="3">
        <f>100/$X95*$H95*VLOOKUP($G95&amp;"Total",$D:$AK,30,FALSE)/100+100/$X95*$K95*VLOOKUP($J95&amp;"Total",$D:$AK,30,FALSE)/100+100/$X95*$N95*VLOOKUP($M95&amp;"Total",$D:$AK,30,FALSE)/100+100/$X95*$Q95*VLOOKUP($P95&amp;"Total",$D:$AK,30,FALSE)/100+
(IF($G95=AG$66,$H95,0)+IF($J95=AG$66,$K95,0)+IF($M95=AG$66,$N95,0)+IF($P95=AG$66,$Q95,0))*100/$X95</f>
        <v>0</v>
      </c>
      <c r="AH95" s="3">
        <f>100/$X95*$H95*VLOOKUP($G95&amp;"Total",$D:$AK,31,FALSE)/100+100/$X95*$K95*VLOOKUP($J95&amp;"Total",$D:$AK,31,FALSE)/100+100/$X95*$N95*VLOOKUP($M95&amp;"Total",$D:$AK,31,FALSE)/100+100/$X95*$Q95*VLOOKUP($P95&amp;"Total",$D:$AK,31,FALSE)/100+
(IF($G95=AH$66,$H95,0)+IF($J95=AH$66,$K95,0)+IF($M95=AH$66,$N95,0)+IF($P95=AH$66,$Q95,0))*100/$X95</f>
        <v>0</v>
      </c>
      <c r="AI95" s="3">
        <f>100/$X95*$H95*VLOOKUP($G95&amp;"Total",$D:$AK,32,FALSE)/100+100/$X95*$K95*VLOOKUP($J95&amp;"Total",$D:$AK,32,FALSE)/100+100/$X95*$N95*VLOOKUP($M95&amp;"Total",$D:$AK,32,FALSE)/100+100/$X95*$Q95*VLOOKUP($P95&amp;"Total",$D:$AK,32,FALSE)/100+
(IF($G95=AI$66,$H95,0)+IF($J95=AI$66,$K95,0)+IF($M95=AI$66,$N95,0)+IF($P95=AI$66,$Q95,0))*100/$X95</f>
        <v>0</v>
      </c>
      <c r="AJ95" s="3">
        <f>100/$X95*$H95*VLOOKUP($G95&amp;"Total",$D:$AK,33,FALSE)/100+100/$X95*$K95*VLOOKUP($J95&amp;"Total",$D:$AK,33,FALSE)/100+100/$X95*$N95*VLOOKUP($M95&amp;"Total",$D:$AK,33,FALSE)/100+100/$X95*$Q95*VLOOKUP($P95&amp;"Total",$D:$AK,33,FALSE)/100+
(IF($G95=AJ$66,$H95,0)+IF($J95=AJ$66,$K95,0)+IF($M95=AJ$66,$N95,0)+IF($P95=AJ$66,$Q95,0))*100/$X95</f>
        <v>0</v>
      </c>
      <c r="AK95" s="3">
        <f>100/$X95*$H95*VLOOKUP($G95&amp;"Total",$D:$AK,34,FALSE)/100+100/$X95*$K95*VLOOKUP($J95&amp;"Total",$D:$AK,34,FALSE)/100+100/$X95*$N95*VLOOKUP($M95&amp;"Total",$D:$AK,34,FALSE)/100+100/$X95*$Q95*VLOOKUP($P95&amp;"Total",$D:$AK,34,FALSE)/100+
(IF($G95=AK$66,$H95,0)+IF($J95=AK$66,$K95,0)+IF($M95=AK$66,$N95,0)+IF($P95=AK$66,$Q95,0))*100/$X95</f>
        <v>0</v>
      </c>
    </row>
    <row r="96" spans="1:37" x14ac:dyDescent="0.25">
      <c r="E96" s="25"/>
      <c r="G96" s="22"/>
      <c r="H96" s="22"/>
      <c r="J96" s="22"/>
      <c r="K96" s="22"/>
      <c r="M96" s="22"/>
      <c r="N96" s="22"/>
      <c r="P96" s="22"/>
      <c r="Q96" s="22"/>
      <c r="V96" s="22"/>
      <c r="W96" s="22"/>
      <c r="X96" s="22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x14ac:dyDescent="0.25">
      <c r="A97" t="s">
        <v>87</v>
      </c>
      <c r="B97" t="s">
        <v>87</v>
      </c>
      <c r="D97" t="str">
        <f>A97&amp;C97</f>
        <v>Screw</v>
      </c>
      <c r="E97" s="26">
        <f t="shared" ref="E97:E99" si="28">100/X97*(T97+W97)</f>
        <v>15.477188741518194</v>
      </c>
      <c r="G97" t="s">
        <v>85</v>
      </c>
      <c r="H97" s="22">
        <v>10</v>
      </c>
      <c r="I97" s="3">
        <f>VLOOKUP(G97&amp;"Total",$D:$AB,2,FALSE)/100*H97</f>
        <v>2.1908754966072781</v>
      </c>
      <c r="J97" s="22" t="s">
        <v>27</v>
      </c>
      <c r="K97" s="22"/>
      <c r="L97" s="3">
        <f>VLOOKUP(J97&amp;"Total",$D:$AB,2,FALSE)/100*K97</f>
        <v>0</v>
      </c>
      <c r="M97" s="22" t="s">
        <v>27</v>
      </c>
      <c r="N97" s="22"/>
      <c r="O97" s="3">
        <f>VLOOKUP(M97&amp;"Total",$D:$AB,2,FALSE)/100*N97</f>
        <v>0</v>
      </c>
      <c r="P97" s="22" t="s">
        <v>27</v>
      </c>
      <c r="Q97" s="22"/>
      <c r="R97" s="3">
        <f>VLOOKUP(P97&amp;"Total",$D:$AB,2,FALSE)/100*Q97</f>
        <v>0</v>
      </c>
      <c r="T97" s="3">
        <f t="shared" ref="T97:T99" si="29">I97+L97+O97+R97</f>
        <v>2.1908754966072781</v>
      </c>
      <c r="V97" s="22" t="s">
        <v>67</v>
      </c>
      <c r="W97" s="22">
        <v>4</v>
      </c>
      <c r="X97" s="22">
        <v>40</v>
      </c>
      <c r="Z97" s="21"/>
      <c r="AA97" s="3">
        <f>100/$X97*$H97*VLOOKUP($G97&amp;"Total",$D:$AK,24,FALSE)/100+100/$X97*$K97*VLOOKUP($J97&amp;"Total",$D:$AK,24,FALSE)/100+100/$X97*$N97*VLOOKUP($M97&amp;"Total",$D:$AK,24,FALSE)/100+100/$X97*$Q97*VLOOKUP($P97&amp;"Total",$D:$AK,24,FALSE)/100+
(IF($G97=AA$66,$H97,0)+IF($J97=AA$66,$K97,0)+IF($M97=AA$66,$N97,0)+IF($P97=AA$66,$Q97,0))*100/$X97</f>
        <v>4.166666666666667</v>
      </c>
      <c r="AB97" s="3">
        <f>100/$X97*$H97*VLOOKUP($G97&amp;"Total",$D:$AK,25,FALSE)/100+100/$X97*$K97*VLOOKUP($J97&amp;"Total",$D:$AK,25,FALSE)/100+100/$X97*$N97*VLOOKUP($M97&amp;"Total",$D:$AK,25,FALSE)/100+100/$X97*$Q97*VLOOKUP($P97&amp;"Total",$D:$AK,25,FALSE)/100+
(IF($G97=AB$66,$H97,0)+IF($J97=AB$66,$K97,0)+IF($M97=AB$66,$N97,0)+IF($P97=AB$66,$Q97,0))*100/$X97</f>
        <v>0</v>
      </c>
      <c r="AC97" s="3">
        <f>100/$X97*$H97*VLOOKUP($G97&amp;"Total",$D:$AK,26,FALSE)/100+100/$X97*$K97*VLOOKUP($J97&amp;"Total",$D:$AK,26,FALSE)/100+100/$X97*$N97*VLOOKUP($M97&amp;"Total",$D:$AK,26,FALSE)/100+100/$X97*$Q97*VLOOKUP($P97&amp;"Total",$D:$AK,26,FALSE)/100+
(IF($G97=AC$66,$H97,0)+IF($J97=AC$66,$K97,0)+IF($M97=AC$66,$N97,0)+IF($P97=AC$66,$Q97,0))*100/$X97</f>
        <v>0</v>
      </c>
      <c r="AD97" s="3">
        <f>100/$X97*$H97*VLOOKUP($G97&amp;"Total",$D:$AK,27,FALSE)/100+100/$X97*$K97*VLOOKUP($J97&amp;"Total",$D:$AK,27,FALSE)/100+100/$X97*$N97*VLOOKUP($M97&amp;"Total",$D:$AK,27,FALSE)/100+100/$X97*$Q97*VLOOKUP($P97&amp;"Total",$D:$AK,27,FALSE)/100+
(IF($G97=AD$66,$H97,0)+IF($J97=AD$66,$K97,0)+IF($M97=AD$66,$N97,0)+IF($P97=AD$66,$Q97,0))*100/$X97</f>
        <v>4.166666666666667</v>
      </c>
      <c r="AE97" s="3">
        <f>100/$X97*$H97*VLOOKUP($G97&amp;"Total",$D:$AK,28,FALSE)/100+100/$X97*$K97*VLOOKUP($J97&amp;"Total",$D:$AK,28,FALSE)/100+100/$X97*$N97*VLOOKUP($M97&amp;"Total",$D:$AK,28,FALSE)/100+100/$X97*$Q97*VLOOKUP($P97&amp;"Total",$D:$AK,28,FALSE)/100+
(IF($G97=AE$66,$H97,0)+IF($J97=AE$66,$K97,0)+IF($M97=AE$66,$N97,0)+IF($P97=AE$66,$Q97,0))*100/$X97</f>
        <v>0</v>
      </c>
      <c r="AF97" s="3">
        <f>100/$X97*$H97*VLOOKUP($G97&amp;"Total",$D:$AK,29,FALSE)/100+100/$X97*$K97*VLOOKUP($J97&amp;"Total",$D:$AK,29,FALSE)/100+100/$X97*$N97*VLOOKUP($M97&amp;"Total",$D:$AK,29,FALSE)/100+100/$X97*$Q97*VLOOKUP($P97&amp;"Total",$D:$AK,29,FALSE)/100+
(IF($G97=AF$66,$H97,0)+IF($J97=AF$66,$K97,0)+IF($M97=AF$66,$N97,0)+IF($P97=AF$66,$Q97,0))*100/$X97</f>
        <v>0</v>
      </c>
      <c r="AG97" s="3">
        <f>100/$X97*$H97*VLOOKUP($G97&amp;"Total",$D:$AK,30,FALSE)/100+100/$X97*$K97*VLOOKUP($J97&amp;"Total",$D:$AK,30,FALSE)/100+100/$X97*$N97*VLOOKUP($M97&amp;"Total",$D:$AK,30,FALSE)/100+100/$X97*$Q97*VLOOKUP($P97&amp;"Total",$D:$AK,30,FALSE)/100+
(IF($G97=AG$66,$H97,0)+IF($J97=AG$66,$K97,0)+IF($M97=AG$66,$N97,0)+IF($P97=AG$66,$Q97,0))*100/$X97</f>
        <v>0</v>
      </c>
      <c r="AH97" s="3">
        <f>100/$X97*$H97*VLOOKUP($G97&amp;"Total",$D:$AK,31,FALSE)/100+100/$X97*$K97*VLOOKUP($J97&amp;"Total",$D:$AK,31,FALSE)/100+100/$X97*$N97*VLOOKUP($M97&amp;"Total",$D:$AK,31,FALSE)/100+100/$X97*$Q97*VLOOKUP($P97&amp;"Total",$D:$AK,31,FALSE)/100+
(IF($G97=AH$66,$H97,0)+IF($J97=AH$66,$K97,0)+IF($M97=AH$66,$N97,0)+IF($P97=AH$66,$Q97,0))*100/$X97</f>
        <v>0</v>
      </c>
      <c r="AI97" s="3">
        <f>100/$X97*$H97*VLOOKUP($G97&amp;"Total",$D:$AK,32,FALSE)/100+100/$X97*$K97*VLOOKUP($J97&amp;"Total",$D:$AK,32,FALSE)/100+100/$X97*$N97*VLOOKUP($M97&amp;"Total",$D:$AK,32,FALSE)/100+100/$X97*$Q97*VLOOKUP($P97&amp;"Total",$D:$AK,32,FALSE)/100+
(IF($G97=AI$66,$H97,0)+IF($J97=AI$66,$K97,0)+IF($M97=AI$66,$N97,0)+IF($P97=AI$66,$Q97,0))*100/$X97</f>
        <v>0</v>
      </c>
      <c r="AJ97" s="3">
        <f>100/$X97*$H97*VLOOKUP($G97&amp;"Total",$D:$AK,33,FALSE)/100+100/$X97*$K97*VLOOKUP($J97&amp;"Total",$D:$AK,33,FALSE)/100+100/$X97*$N97*VLOOKUP($M97&amp;"Total",$D:$AK,33,FALSE)/100+100/$X97*$Q97*VLOOKUP($P97&amp;"Total",$D:$AK,33,FALSE)/100+
(IF($G97=AJ$66,$H97,0)+IF($J97=AJ$66,$K97,0)+IF($M97=AJ$66,$N97,0)+IF($P97=AJ$66,$Q97,0))*100/$X97</f>
        <v>0</v>
      </c>
      <c r="AK97" s="3">
        <f>100/$X97*$H97*VLOOKUP($G97&amp;"Total",$D:$AK,34,FALSE)/100+100/$X97*$K97*VLOOKUP($J97&amp;"Total",$D:$AK,34,FALSE)/100+100/$X97*$N97*VLOOKUP($M97&amp;"Total",$D:$AK,34,FALSE)/100+100/$X97*$Q97*VLOOKUP($P97&amp;"Total",$D:$AK,34,FALSE)/100+
(IF($G97=AK$66,$H97,0)+IF($J97=AK$66,$K97,0)+IF($M97=AK$66,$N97,0)+IF($P97=AK$66,$Q97,0))*100/$X97</f>
        <v>0</v>
      </c>
    </row>
    <row r="98" spans="1:37" x14ac:dyDescent="0.25">
      <c r="A98" t="s">
        <v>87</v>
      </c>
      <c r="B98" t="s">
        <v>88</v>
      </c>
      <c r="D98" t="str">
        <f t="shared" ref="D98:D99" si="30">A98&amp;C98</f>
        <v>Screw</v>
      </c>
      <c r="E98" s="26">
        <f t="shared" si="28"/>
        <v>14.842299115775834</v>
      </c>
      <c r="G98" t="s">
        <v>54</v>
      </c>
      <c r="H98" s="22">
        <v>12.5</v>
      </c>
      <c r="I98" s="3">
        <f>VLOOKUP(G98&amp;"Total",$D:$AB,2,FALSE)/100*H98</f>
        <v>3.421149557887917</v>
      </c>
      <c r="J98" s="22" t="s">
        <v>27</v>
      </c>
      <c r="K98" s="22"/>
      <c r="L98" s="3">
        <f>VLOOKUP(J98&amp;"Total",$D:$AB,2,FALSE)/100*K98</f>
        <v>0</v>
      </c>
      <c r="M98" s="22" t="s">
        <v>27</v>
      </c>
      <c r="N98" s="22"/>
      <c r="O98" s="3">
        <f>VLOOKUP(M98&amp;"Total",$D:$AB,2,FALSE)/100*N98</f>
        <v>0</v>
      </c>
      <c r="P98" s="22" t="s">
        <v>27</v>
      </c>
      <c r="Q98" s="22"/>
      <c r="R98" s="3">
        <f>VLOOKUP(P98&amp;"Total",$D:$AB,2,FALSE)/100*Q98</f>
        <v>0</v>
      </c>
      <c r="T98" s="3">
        <f t="shared" si="29"/>
        <v>3.421149557887917</v>
      </c>
      <c r="V98" s="22" t="s">
        <v>67</v>
      </c>
      <c r="W98" s="22">
        <v>4</v>
      </c>
      <c r="X98" s="22">
        <v>50</v>
      </c>
      <c r="AA98" s="3">
        <f>100/$X98*$H98*VLOOKUP($G98&amp;"Total",$D:$AK,24,FALSE)/100+100/$X98*$K98*VLOOKUP($J98&amp;"Total",$D:$AK,24,FALSE)/100+100/$X98*$N98*VLOOKUP($M98&amp;"Total",$D:$AK,24,FALSE)/100+100/$X98*$Q98*VLOOKUP($P98&amp;"Total",$D:$AK,24,FALSE)/100+
(IF($G98=AA$66,$H98,0)+IF($J98=AA$66,$K98,0)+IF($M98=AA$66,$N98,0)+IF($P98=AA$66,$Q98,0))*100/$X98</f>
        <v>25</v>
      </c>
      <c r="AB98" s="3">
        <f>100/$X98*$H98*VLOOKUP($G98&amp;"Total",$D:$AK,25,FALSE)/100+100/$X98*$K98*VLOOKUP($J98&amp;"Total",$D:$AK,25,FALSE)/100+100/$X98*$N98*VLOOKUP($M98&amp;"Total",$D:$AK,25,FALSE)/100+100/$X98*$Q98*VLOOKUP($P98&amp;"Total",$D:$AK,25,FALSE)/100+
(IF($G98=AB$66,$H98,0)+IF($J98=AB$66,$K98,0)+IF($M98=AB$66,$N98,0)+IF($P98=AB$66,$Q98,0))*100/$X98</f>
        <v>0</v>
      </c>
      <c r="AC98" s="3">
        <f>100/$X98*$H98*VLOOKUP($G98&amp;"Total",$D:$AK,26,FALSE)/100+100/$X98*$K98*VLOOKUP($J98&amp;"Total",$D:$AK,26,FALSE)/100+100/$X98*$N98*VLOOKUP($M98&amp;"Total",$D:$AK,26,FALSE)/100+100/$X98*$Q98*VLOOKUP($P98&amp;"Total",$D:$AK,26,FALSE)/100+
(IF($G98=AC$66,$H98,0)+IF($J98=AC$66,$K98,0)+IF($M98=AC$66,$N98,0)+IF($P98=AC$66,$Q98,0))*100/$X98</f>
        <v>0</v>
      </c>
      <c r="AD98" s="3">
        <f>100/$X98*$H98*VLOOKUP($G98&amp;"Total",$D:$AK,27,FALSE)/100+100/$X98*$K98*VLOOKUP($J98&amp;"Total",$D:$AK,27,FALSE)/100+100/$X98*$N98*VLOOKUP($M98&amp;"Total",$D:$AK,27,FALSE)/100+100/$X98*$Q98*VLOOKUP($P98&amp;"Total",$D:$AK,27,FALSE)/100+
(IF($G98=AD$66,$H98,0)+IF($J98=AD$66,$K98,0)+IF($M98=AD$66,$N98,0)+IF($P98=AD$66,$Q98,0))*100/$X98</f>
        <v>0</v>
      </c>
      <c r="AE98" s="3">
        <f>100/$X98*$H98*VLOOKUP($G98&amp;"Total",$D:$AK,28,FALSE)/100+100/$X98*$K98*VLOOKUP($J98&amp;"Total",$D:$AK,28,FALSE)/100+100/$X98*$N98*VLOOKUP($M98&amp;"Total",$D:$AK,28,FALSE)/100+100/$X98*$Q98*VLOOKUP($P98&amp;"Total",$D:$AK,28,FALSE)/100+
(IF($G98=AE$66,$H98,0)+IF($J98=AE$66,$K98,0)+IF($M98=AE$66,$N98,0)+IF($P98=AE$66,$Q98,0))*100/$X98</f>
        <v>0</v>
      </c>
      <c r="AF98" s="3">
        <f>100/$X98*$H98*VLOOKUP($G98&amp;"Total",$D:$AK,29,FALSE)/100+100/$X98*$K98*VLOOKUP($J98&amp;"Total",$D:$AK,29,FALSE)/100+100/$X98*$N98*VLOOKUP($M98&amp;"Total",$D:$AK,29,FALSE)/100+100/$X98*$Q98*VLOOKUP($P98&amp;"Total",$D:$AK,29,FALSE)/100+
(IF($G98=AF$66,$H98,0)+IF($J98=AF$66,$K98,0)+IF($M98=AF$66,$N98,0)+IF($P98=AF$66,$Q98,0))*100/$X98</f>
        <v>0</v>
      </c>
      <c r="AG98" s="3">
        <f>100/$X98*$H98*VLOOKUP($G98&amp;"Total",$D:$AK,30,FALSE)/100+100/$X98*$K98*VLOOKUP($J98&amp;"Total",$D:$AK,30,FALSE)/100+100/$X98*$N98*VLOOKUP($M98&amp;"Total",$D:$AK,30,FALSE)/100+100/$X98*$Q98*VLOOKUP($P98&amp;"Total",$D:$AK,30,FALSE)/100+
(IF($G98=AG$66,$H98,0)+IF($J98=AG$66,$K98,0)+IF($M98=AG$66,$N98,0)+IF($P98=AG$66,$Q98,0))*100/$X98</f>
        <v>0</v>
      </c>
      <c r="AH98" s="3">
        <f>100/$X98*$H98*VLOOKUP($G98&amp;"Total",$D:$AK,31,FALSE)/100+100/$X98*$K98*VLOOKUP($J98&amp;"Total",$D:$AK,31,FALSE)/100+100/$X98*$N98*VLOOKUP($M98&amp;"Total",$D:$AK,31,FALSE)/100+100/$X98*$Q98*VLOOKUP($P98&amp;"Total",$D:$AK,31,FALSE)/100+
(IF($G98=AH$66,$H98,0)+IF($J98=AH$66,$K98,0)+IF($M98=AH$66,$N98,0)+IF($P98=AH$66,$Q98,0))*100/$X98</f>
        <v>0</v>
      </c>
      <c r="AI98" s="3">
        <f>100/$X98*$H98*VLOOKUP($G98&amp;"Total",$D:$AK,32,FALSE)/100+100/$X98*$K98*VLOOKUP($J98&amp;"Total",$D:$AK,32,FALSE)/100+100/$X98*$N98*VLOOKUP($M98&amp;"Total",$D:$AK,32,FALSE)/100+100/$X98*$Q98*VLOOKUP($P98&amp;"Total",$D:$AK,32,FALSE)/100+
(IF($G98=AI$66,$H98,0)+IF($J98=AI$66,$K98,0)+IF($M98=AI$66,$N98,0)+IF($P98=AI$66,$Q98,0))*100/$X98</f>
        <v>0</v>
      </c>
      <c r="AJ98" s="3">
        <f>100/$X98*$H98*VLOOKUP($G98&amp;"Total",$D:$AK,33,FALSE)/100+100/$X98*$K98*VLOOKUP($J98&amp;"Total",$D:$AK,33,FALSE)/100+100/$X98*$N98*VLOOKUP($M98&amp;"Total",$D:$AK,33,FALSE)/100+100/$X98*$Q98*VLOOKUP($P98&amp;"Total",$D:$AK,33,FALSE)/100+
(IF($G98=AJ$66,$H98,0)+IF($J98=AJ$66,$K98,0)+IF($M98=AJ$66,$N98,0)+IF($P98=AJ$66,$Q98,0))*100/$X98</f>
        <v>0</v>
      </c>
      <c r="AK98" s="3">
        <f>100/$X98*$H98*VLOOKUP($G98&amp;"Total",$D:$AK,34,FALSE)/100+100/$X98*$K98*VLOOKUP($J98&amp;"Total",$D:$AK,34,FALSE)/100+100/$X98*$N98*VLOOKUP($M98&amp;"Total",$D:$AK,34,FALSE)/100+100/$X98*$Q98*VLOOKUP($P98&amp;"Total",$D:$AK,34,FALSE)/100+
(IF($G98=AK$66,$H98,0)+IF($J98=AK$66,$K98,0)+IF($M98=AK$66,$N98,0)+IF($P98=AK$66,$Q98,0))*100/$X98</f>
        <v>0</v>
      </c>
    </row>
    <row r="99" spans="1:37" x14ac:dyDescent="0.25">
      <c r="A99" t="s">
        <v>87</v>
      </c>
      <c r="B99" t="s">
        <v>89</v>
      </c>
      <c r="C99" t="s">
        <v>17</v>
      </c>
      <c r="D99" t="str">
        <f t="shared" si="30"/>
        <v>ScrewTotal</v>
      </c>
      <c r="E99" s="26">
        <f t="shared" si="28"/>
        <v>6.2283348613557266</v>
      </c>
      <c r="G99" t="s">
        <v>90</v>
      </c>
      <c r="H99" s="22">
        <v>5</v>
      </c>
      <c r="I99" s="3">
        <f>VLOOKUP(G99&amp;"Total",$D:$AB,2,FALSE)/100*H99</f>
        <v>12.193670639524889</v>
      </c>
      <c r="J99" s="22" t="s">
        <v>27</v>
      </c>
      <c r="K99" s="22"/>
      <c r="L99" s="3">
        <f>VLOOKUP(J99&amp;"Total",$D:$AB,2,FALSE)/100*K99</f>
        <v>0</v>
      </c>
      <c r="M99" s="22" t="s">
        <v>27</v>
      </c>
      <c r="N99" s="22"/>
      <c r="O99" s="3">
        <f>VLOOKUP(M99&amp;"Total",$D:$AB,2,FALSE)/100*N99</f>
        <v>0</v>
      </c>
      <c r="P99" s="22" t="s">
        <v>27</v>
      </c>
      <c r="Q99" s="22"/>
      <c r="R99" s="3">
        <f>VLOOKUP(P99&amp;"Total",$D:$AB,2,FALSE)/100*Q99</f>
        <v>0</v>
      </c>
      <c r="T99" s="3">
        <f t="shared" si="29"/>
        <v>12.193670639524889</v>
      </c>
      <c r="V99" s="22" t="s">
        <v>67</v>
      </c>
      <c r="W99" s="22">
        <v>4</v>
      </c>
      <c r="X99" s="22">
        <v>260</v>
      </c>
      <c r="AA99" s="3">
        <f>100/$X99*$H99*VLOOKUP($G99&amp;"Total",$D:$AK,24,FALSE)/100+100/$X99*$K99*VLOOKUP($J99&amp;"Total",$D:$AK,24,FALSE)/100+100/$X99*$N99*VLOOKUP($M99&amp;"Total",$D:$AK,24,FALSE)/100+100/$X99*$Q99*VLOOKUP($P99&amp;"Total",$D:$AK,24,FALSE)/100+
(IF($G99=AA$66,$H99,0)+IF($J99=AA$66,$K99,0)+IF($M99=AA$66,$N99,0)+IF($P99=AA$66,$Q99,0))*100/$X99</f>
        <v>5.1282051282051277</v>
      </c>
      <c r="AB99" s="3">
        <f>100/$X99*$H99*VLOOKUP($G99&amp;"Total",$D:$AK,25,FALSE)/100+100/$X99*$K99*VLOOKUP($J99&amp;"Total",$D:$AK,25,FALSE)/100+100/$X99*$N99*VLOOKUP($M99&amp;"Total",$D:$AK,25,FALSE)/100+100/$X99*$Q99*VLOOKUP($P99&amp;"Total",$D:$AK,25,FALSE)/100+
(IF($G99=AB$66,$H99,0)+IF($J99=AB$66,$K99,0)+IF($M99=AB$66,$N99,0)+IF($P99=AB$66,$Q99,0))*100/$X99</f>
        <v>0</v>
      </c>
      <c r="AC99" s="3">
        <f>100/$X99*$H99*VLOOKUP($G99&amp;"Total",$D:$AK,26,FALSE)/100+100/$X99*$K99*VLOOKUP($J99&amp;"Total",$D:$AK,26,FALSE)/100+100/$X99*$N99*VLOOKUP($M99&amp;"Total",$D:$AK,26,FALSE)/100+100/$X99*$Q99*VLOOKUP($P99&amp;"Total",$D:$AK,26,FALSE)/100+
(IF($G99=AC$66,$H99,0)+IF($J99=AC$66,$K99,0)+IF($M99=AC$66,$N99,0)+IF($P99=AC$66,$Q99,0))*100/$X99</f>
        <v>0</v>
      </c>
      <c r="AD99" s="3">
        <f>100/$X99*$H99*VLOOKUP($G99&amp;"Total",$D:$AK,27,FALSE)/100+100/$X99*$K99*VLOOKUP($J99&amp;"Total",$D:$AK,27,FALSE)/100+100/$X99*$N99*VLOOKUP($M99&amp;"Total",$D:$AK,27,FALSE)/100+100/$X99*$Q99*VLOOKUP($P99&amp;"Total",$D:$AK,27,FALSE)/100+
(IF($G99=AD$66,$H99,0)+IF($J99=AD$66,$K99,0)+IF($M99=AD$66,$N99,0)+IF($P99=AD$66,$Q99,0))*100/$X99</f>
        <v>5.1282051282051277</v>
      </c>
      <c r="AE99" s="3">
        <f>100/$X99*$H99*VLOOKUP($G99&amp;"Total",$D:$AK,28,FALSE)/100+100/$X99*$K99*VLOOKUP($J99&amp;"Total",$D:$AK,28,FALSE)/100+100/$X99*$N99*VLOOKUP($M99&amp;"Total",$D:$AK,28,FALSE)/100+100/$X99*$Q99*VLOOKUP($P99&amp;"Total",$D:$AK,28,FALSE)/100+
(IF($G99=AE$66,$H99,0)+IF($J99=AE$66,$K99,0)+IF($M99=AE$66,$N99,0)+IF($P99=AE$66,$Q99,0))*100/$X99</f>
        <v>0</v>
      </c>
      <c r="AF99" s="3">
        <f>100/$X99*$H99*VLOOKUP($G99&amp;"Total",$D:$AK,29,FALSE)/100+100/$X99*$K99*VLOOKUP($J99&amp;"Total",$D:$AK,29,FALSE)/100+100/$X99*$N99*VLOOKUP($M99&amp;"Total",$D:$AK,29,FALSE)/100+100/$X99*$Q99*VLOOKUP($P99&amp;"Total",$D:$AK,29,FALSE)/100+
(IF($G99=AF$66,$H99,0)+IF($J99=AF$66,$K99,0)+IF($M99=AF$66,$N99,0)+IF($P99=AF$66,$Q99,0))*100/$X99</f>
        <v>0</v>
      </c>
      <c r="AG99" s="3">
        <f>100/$X99*$H99*VLOOKUP($G99&amp;"Total",$D:$AK,30,FALSE)/100+100/$X99*$K99*VLOOKUP($J99&amp;"Total",$D:$AK,30,FALSE)/100+100/$X99*$N99*VLOOKUP($M99&amp;"Total",$D:$AK,30,FALSE)/100+100/$X99*$Q99*VLOOKUP($P99&amp;"Total",$D:$AK,30,FALSE)/100+
(IF($G99=AG$66,$H99,0)+IF($J99=AG$66,$K99,0)+IF($M99=AG$66,$N99,0)+IF($P99=AG$66,$Q99,0))*100/$X99</f>
        <v>0</v>
      </c>
      <c r="AH99" s="3">
        <f>100/$X99*$H99*VLOOKUP($G99&amp;"Total",$D:$AK,31,FALSE)/100+100/$X99*$K99*VLOOKUP($J99&amp;"Total",$D:$AK,31,FALSE)/100+100/$X99*$N99*VLOOKUP($M99&amp;"Total",$D:$AK,31,FALSE)/100+100/$X99*$Q99*VLOOKUP($P99&amp;"Total",$D:$AK,31,FALSE)/100+
(IF($G99=AH$66,$H99,0)+IF($J99=AH$66,$K99,0)+IF($M99=AH$66,$N99,0)+IF($P99=AH$66,$Q99,0))*100/$X99</f>
        <v>0</v>
      </c>
      <c r="AI99" s="3">
        <f>100/$X99*$H99*VLOOKUP($G99&amp;"Total",$D:$AK,32,FALSE)/100+100/$X99*$K99*VLOOKUP($J99&amp;"Total",$D:$AK,32,FALSE)/100+100/$X99*$N99*VLOOKUP($M99&amp;"Total",$D:$AK,32,FALSE)/100+100/$X99*$Q99*VLOOKUP($P99&amp;"Total",$D:$AK,32,FALSE)/100+
(IF($G99=AI$66,$H99,0)+IF($J99=AI$66,$K99,0)+IF($M99=AI$66,$N99,0)+IF($P99=AI$66,$Q99,0))*100/$X99</f>
        <v>0</v>
      </c>
      <c r="AJ99" s="3">
        <f>100/$X99*$H99*VLOOKUP($G99&amp;"Total",$D:$AK,33,FALSE)/100+100/$X99*$K99*VLOOKUP($J99&amp;"Total",$D:$AK,33,FALSE)/100+100/$X99*$N99*VLOOKUP($M99&amp;"Total",$D:$AK,33,FALSE)/100+100/$X99*$Q99*VLOOKUP($P99&amp;"Total",$D:$AK,33,FALSE)/100+
(IF($G99=AJ$66,$H99,0)+IF($J99=AJ$66,$K99,0)+IF($M99=AJ$66,$N99,0)+IF($P99=AJ$66,$Q99,0))*100/$X99</f>
        <v>0</v>
      </c>
      <c r="AK99" s="3">
        <f>100/$X99*$H99*VLOOKUP($G99&amp;"Total",$D:$AK,34,FALSE)/100+100/$X99*$K99*VLOOKUP($J99&amp;"Total",$D:$AK,34,FALSE)/100+100/$X99*$N99*VLOOKUP($M99&amp;"Total",$D:$AK,34,FALSE)/100+100/$X99*$Q99*VLOOKUP($P99&amp;"Total",$D:$AK,34,FALSE)/100+
(IF($G99=AK$66,$H99,0)+IF($J99=AK$66,$K99,0)+IF($M99=AK$66,$N99,0)+IF($P99=AK$66,$Q99,0))*100/$X99</f>
        <v>0</v>
      </c>
    </row>
    <row r="100" spans="1:37" x14ac:dyDescent="0.25">
      <c r="E100" s="26"/>
      <c r="H100" s="22"/>
      <c r="I100" s="3"/>
      <c r="J100" s="22"/>
      <c r="K100" s="22"/>
      <c r="L100" s="3"/>
      <c r="M100" s="22"/>
      <c r="N100" s="22"/>
      <c r="O100" s="3"/>
      <c r="P100" s="22"/>
      <c r="Q100" s="22"/>
      <c r="R100" s="3"/>
      <c r="T100" s="3"/>
      <c r="V100" s="22"/>
      <c r="W100" s="22"/>
      <c r="X100" s="22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x14ac:dyDescent="0.25">
      <c r="A101" t="s">
        <v>91</v>
      </c>
      <c r="B101" t="s">
        <v>91</v>
      </c>
      <c r="D101" t="str">
        <f>A101&amp;C101</f>
        <v>Wire</v>
      </c>
      <c r="E101" s="26">
        <f t="shared" ref="E101:E104" si="31">100/X101*(T101+W101)</f>
        <v>27.610573823339784</v>
      </c>
      <c r="G101" t="s">
        <v>61</v>
      </c>
      <c r="H101" s="22">
        <v>15</v>
      </c>
      <c r="I101" s="3">
        <f>VLOOKUP(G101&amp;"Total",$D:$AB,2,FALSE)/100*H101</f>
        <v>4.2831721470019346</v>
      </c>
      <c r="J101" s="22" t="s">
        <v>27</v>
      </c>
      <c r="K101" s="22"/>
      <c r="L101" s="3">
        <f>VLOOKUP(J101&amp;"Total",$D:$AB,2,FALSE)/100*K101</f>
        <v>0</v>
      </c>
      <c r="M101" s="22" t="s">
        <v>27</v>
      </c>
      <c r="N101" s="22"/>
      <c r="O101" s="3">
        <f>VLOOKUP(M101&amp;"Total",$D:$AB,2,FALSE)/100*N101</f>
        <v>0</v>
      </c>
      <c r="P101" s="22" t="s">
        <v>27</v>
      </c>
      <c r="Q101" s="22"/>
      <c r="R101" s="3">
        <f>VLOOKUP(P101&amp;"Total",$D:$AB,2,FALSE)/100*Q101</f>
        <v>0</v>
      </c>
      <c r="T101" s="3">
        <f t="shared" ref="T101:T104" si="32">I101+L101+O101+R101</f>
        <v>4.2831721470019346</v>
      </c>
      <c r="V101" s="22" t="s">
        <v>67</v>
      </c>
      <c r="W101" s="22">
        <v>4</v>
      </c>
      <c r="X101" s="22">
        <v>30</v>
      </c>
      <c r="AA101" s="3">
        <f>100/$X101*$H101*VLOOKUP($G101&amp;"Total",$D:$AK,24,FALSE)/100+100/$X101*$K101*VLOOKUP($J101&amp;"Total",$D:$AK,24,FALSE)/100+100/$X101*$N101*VLOOKUP($M101&amp;"Total",$D:$AK,24,FALSE)/100+100/$X101*$Q101*VLOOKUP($P101&amp;"Total",$D:$AK,24,FALSE)/100+
(IF($G101=AA$66,$H101,0)+IF($J101=AA$66,$K101,0)+IF($M101=AA$66,$N101,0)+IF($P101=AA$66,$Q101,0))*100/$X101</f>
        <v>0</v>
      </c>
      <c r="AB101" s="3">
        <f>100/$X101*$H101*VLOOKUP($G101&amp;"Total",$D:$AK,25,FALSE)/100+100/$X101*$K101*VLOOKUP($J101&amp;"Total",$D:$AK,25,FALSE)/100+100/$X101*$N101*VLOOKUP($M101&amp;"Total",$D:$AK,25,FALSE)/100+100/$X101*$Q101*VLOOKUP($P101&amp;"Total",$D:$AK,25,FALSE)/100+
(IF($G101=AB$66,$H101,0)+IF($J101=AB$66,$K101,0)+IF($M101=AB$66,$N101,0)+IF($P101=AB$66,$Q101,0))*100/$X101</f>
        <v>50</v>
      </c>
      <c r="AC101" s="3">
        <f>100/$X101*$H101*VLOOKUP($G101&amp;"Total",$D:$AK,26,FALSE)/100+100/$X101*$K101*VLOOKUP($J101&amp;"Total",$D:$AK,26,FALSE)/100+100/$X101*$N101*VLOOKUP($M101&amp;"Total",$D:$AK,26,FALSE)/100+100/$X101*$Q101*VLOOKUP($P101&amp;"Total",$D:$AK,26,FALSE)/100+
(IF($G101=AC$66,$H101,0)+IF($J101=AC$66,$K101,0)+IF($M101=AC$66,$N101,0)+IF($P101=AC$66,$Q101,0))*100/$X101</f>
        <v>0</v>
      </c>
      <c r="AD101" s="3">
        <f>100/$X101*$H101*VLOOKUP($G101&amp;"Total",$D:$AK,27,FALSE)/100+100/$X101*$K101*VLOOKUP($J101&amp;"Total",$D:$AK,27,FALSE)/100+100/$X101*$N101*VLOOKUP($M101&amp;"Total",$D:$AK,27,FALSE)/100+100/$X101*$Q101*VLOOKUP($P101&amp;"Total",$D:$AK,27,FALSE)/100+
(IF($G101=AD$66,$H101,0)+IF($J101=AD$66,$K101,0)+IF($M101=AD$66,$N101,0)+IF($P101=AD$66,$Q101,0))*100/$X101</f>
        <v>0</v>
      </c>
      <c r="AE101" s="3">
        <f>100/$X101*$H101*VLOOKUP($G101&amp;"Total",$D:$AK,28,FALSE)/100+100/$X101*$K101*VLOOKUP($J101&amp;"Total",$D:$AK,28,FALSE)/100+100/$X101*$N101*VLOOKUP($M101&amp;"Total",$D:$AK,28,FALSE)/100+100/$X101*$Q101*VLOOKUP($P101&amp;"Total",$D:$AK,28,FALSE)/100+
(IF($G101=AE$66,$H101,0)+IF($J101=AE$66,$K101,0)+IF($M101=AE$66,$N101,0)+IF($P101=AE$66,$Q101,0))*100/$X101</f>
        <v>0</v>
      </c>
      <c r="AF101" s="3">
        <f>100/$X101*$H101*VLOOKUP($G101&amp;"Total",$D:$AK,29,FALSE)/100+100/$X101*$K101*VLOOKUP($J101&amp;"Total",$D:$AK,29,FALSE)/100+100/$X101*$N101*VLOOKUP($M101&amp;"Total",$D:$AK,29,FALSE)/100+100/$X101*$Q101*VLOOKUP($P101&amp;"Total",$D:$AK,29,FALSE)/100+
(IF($G101=AF$66,$H101,0)+IF($J101=AF$66,$K101,0)+IF($M101=AF$66,$N101,0)+IF($P101=AF$66,$Q101,0))*100/$X101</f>
        <v>0</v>
      </c>
      <c r="AG101" s="3">
        <f>100/$X101*$H101*VLOOKUP($G101&amp;"Total",$D:$AK,30,FALSE)/100+100/$X101*$K101*VLOOKUP($J101&amp;"Total",$D:$AK,30,FALSE)/100+100/$X101*$N101*VLOOKUP($M101&amp;"Total",$D:$AK,30,FALSE)/100+100/$X101*$Q101*VLOOKUP($P101&amp;"Total",$D:$AK,30,FALSE)/100+
(IF($G101=AG$66,$H101,0)+IF($J101=AG$66,$K101,0)+IF($M101=AG$66,$N101,0)+IF($P101=AG$66,$Q101,0))*100/$X101</f>
        <v>0</v>
      </c>
      <c r="AH101" s="3">
        <f>100/$X101*$H101*VLOOKUP($G101&amp;"Total",$D:$AK,31,FALSE)/100+100/$X101*$K101*VLOOKUP($J101&amp;"Total",$D:$AK,31,FALSE)/100+100/$X101*$N101*VLOOKUP($M101&amp;"Total",$D:$AK,31,FALSE)/100+100/$X101*$Q101*VLOOKUP($P101&amp;"Total",$D:$AK,31,FALSE)/100+
(IF($G101=AH$66,$H101,0)+IF($J101=AH$66,$K101,0)+IF($M101=AH$66,$N101,0)+IF($P101=AH$66,$Q101,0))*100/$X101</f>
        <v>0</v>
      </c>
      <c r="AI101" s="3">
        <f>100/$X101*$H101*VLOOKUP($G101&amp;"Total",$D:$AK,32,FALSE)/100+100/$X101*$K101*VLOOKUP($J101&amp;"Total",$D:$AK,32,FALSE)/100+100/$X101*$N101*VLOOKUP($M101&amp;"Total",$D:$AK,32,FALSE)/100+100/$X101*$Q101*VLOOKUP($P101&amp;"Total",$D:$AK,32,FALSE)/100+
(IF($G101=AI$66,$H101,0)+IF($J101=AI$66,$K101,0)+IF($M101=AI$66,$N101,0)+IF($P101=AI$66,$Q101,0))*100/$X101</f>
        <v>0</v>
      </c>
      <c r="AJ101" s="3">
        <f>100/$X101*$H101*VLOOKUP($G101&amp;"Total",$D:$AK,33,FALSE)/100+100/$X101*$K101*VLOOKUP($J101&amp;"Total",$D:$AK,33,FALSE)/100+100/$X101*$N101*VLOOKUP($M101&amp;"Total",$D:$AK,33,FALSE)/100+100/$X101*$Q101*VLOOKUP($P101&amp;"Total",$D:$AK,33,FALSE)/100+
(IF($G101=AJ$66,$H101,0)+IF($J101=AJ$66,$K101,0)+IF($M101=AJ$66,$N101,0)+IF($P101=AJ$66,$Q101,0))*100/$X101</f>
        <v>0</v>
      </c>
      <c r="AK101" s="3">
        <f>100/$X101*$H101*VLOOKUP($G101&amp;"Total",$D:$AK,34,FALSE)/100+100/$X101*$K101*VLOOKUP($J101&amp;"Total",$D:$AK,34,FALSE)/100+100/$X101*$N101*VLOOKUP($M101&amp;"Total",$D:$AK,34,FALSE)/100+100/$X101*$Q101*VLOOKUP($P101&amp;"Total",$D:$AK,34,FALSE)/100+
(IF($G101=AK$66,$H101,0)+IF($J101=AK$66,$K101,0)+IF($M101=AK$66,$N101,0)+IF($P101=AK$66,$Q101,0))*100/$X101</f>
        <v>0</v>
      </c>
    </row>
    <row r="102" spans="1:37" x14ac:dyDescent="0.25">
      <c r="A102" t="s">
        <v>91</v>
      </c>
      <c r="B102" t="s">
        <v>92</v>
      </c>
      <c r="C102" s="29" t="s">
        <v>17</v>
      </c>
      <c r="D102" t="str">
        <f t="shared" ref="D102:D104" si="33">A102&amp;C102</f>
        <v>WireTotal</v>
      </c>
      <c r="E102" s="26">
        <f t="shared" si="31"/>
        <v>10.916666666666668</v>
      </c>
      <c r="G102" t="s">
        <v>64</v>
      </c>
      <c r="H102" s="22">
        <v>15</v>
      </c>
      <c r="I102" s="3">
        <f>VLOOKUP(G102&amp;"Total",$D:$AB,2,FALSE)/100*H102</f>
        <v>9.1000000000000014</v>
      </c>
      <c r="J102" s="22" t="s">
        <v>27</v>
      </c>
      <c r="K102" s="22"/>
      <c r="L102" s="3">
        <f>VLOOKUP(J102&amp;"Total",$D:$AB,2,FALSE)/100*K102</f>
        <v>0</v>
      </c>
      <c r="M102" s="22" t="s">
        <v>27</v>
      </c>
      <c r="N102" s="22"/>
      <c r="O102" s="3">
        <f>VLOOKUP(M102&amp;"Total",$D:$AB,2,FALSE)/100*N102</f>
        <v>0</v>
      </c>
      <c r="P102" s="22" t="s">
        <v>27</v>
      </c>
      <c r="Q102" s="22"/>
      <c r="R102" s="3">
        <f>VLOOKUP(P102&amp;"Total",$D:$AB,2,FALSE)/100*Q102</f>
        <v>0</v>
      </c>
      <c r="T102" s="3">
        <f t="shared" si="32"/>
        <v>9.1000000000000014</v>
      </c>
      <c r="V102" s="22" t="s">
        <v>67</v>
      </c>
      <c r="W102" s="22">
        <v>4</v>
      </c>
      <c r="X102" s="22">
        <v>120</v>
      </c>
      <c r="AA102" s="3">
        <f>100/$X102*$H102*VLOOKUP($G102&amp;"Total",$D:$AK,24,FALSE)/100+100/$X102*$K102*VLOOKUP($J102&amp;"Total",$D:$AK,24,FALSE)/100+100/$X102*$N102*VLOOKUP($M102&amp;"Total",$D:$AK,24,FALSE)/100+100/$X102*$Q102*VLOOKUP($P102&amp;"Total",$D:$AK,24,FALSE)/100+
(IF($G102=AA$66,$H102,0)+IF($J102=AA$66,$K102,0)+IF($M102=AA$66,$N102,0)+IF($P102=AA$66,$Q102,0))*100/$X102</f>
        <v>0</v>
      </c>
      <c r="AB102" s="3">
        <f>100/$X102*$H102*VLOOKUP($G102&amp;"Total",$D:$AK,25,FALSE)/100+100/$X102*$K102*VLOOKUP($J102&amp;"Total",$D:$AK,25,FALSE)/100+100/$X102*$N102*VLOOKUP($M102&amp;"Total",$D:$AK,25,FALSE)/100+100/$X102*$Q102*VLOOKUP($P102&amp;"Total",$D:$AK,25,FALSE)/100+
(IF($G102=AB$66,$H102,0)+IF($J102=AB$66,$K102,0)+IF($M102=AB$66,$N102,0)+IF($P102=AB$66,$Q102,0))*100/$X102</f>
        <v>0</v>
      </c>
      <c r="AC102" s="3">
        <f>100/$X102*$H102*VLOOKUP($G102&amp;"Total",$D:$AK,26,FALSE)/100+100/$X102*$K102*VLOOKUP($J102&amp;"Total",$D:$AK,26,FALSE)/100+100/$X102*$N102*VLOOKUP($M102&amp;"Total",$D:$AK,26,FALSE)/100+100/$X102*$Q102*VLOOKUP($P102&amp;"Total",$D:$AK,26,FALSE)/100+
(IF($G102=AC$66,$H102,0)+IF($J102=AC$66,$K102,0)+IF($M102=AC$66,$N102,0)+IF($P102=AC$66,$Q102,0))*100/$X102</f>
        <v>0</v>
      </c>
      <c r="AD102" s="3">
        <f>100/$X102*$H102*VLOOKUP($G102&amp;"Total",$D:$AK,27,FALSE)/100+100/$X102*$K102*VLOOKUP($J102&amp;"Total",$D:$AK,27,FALSE)/100+100/$X102*$N102*VLOOKUP($M102&amp;"Total",$D:$AK,27,FALSE)/100+100/$X102*$Q102*VLOOKUP($P102&amp;"Total",$D:$AK,27,FALSE)/100+
(IF($G102=AD$66,$H102,0)+IF($J102=AD$66,$K102,0)+IF($M102=AD$66,$N102,0)+IF($P102=AD$66,$Q102,0))*100/$X102</f>
        <v>0</v>
      </c>
      <c r="AE102" s="3">
        <f>100/$X102*$H102*VLOOKUP($G102&amp;"Total",$D:$AK,28,FALSE)/100+100/$X102*$K102*VLOOKUP($J102&amp;"Total",$D:$AK,28,FALSE)/100+100/$X102*$N102*VLOOKUP($M102&amp;"Total",$D:$AK,28,FALSE)/100+100/$X102*$Q102*VLOOKUP($P102&amp;"Total",$D:$AK,28,FALSE)/100+
(IF($G102=AE$66,$H102,0)+IF($J102=AE$66,$K102,0)+IF($M102=AE$66,$N102,0)+IF($P102=AE$66,$Q102,0))*100/$X102</f>
        <v>37.5</v>
      </c>
      <c r="AF102" s="3">
        <f>100/$X102*$H102*VLOOKUP($G102&amp;"Total",$D:$AK,29,FALSE)/100+100/$X102*$K102*VLOOKUP($J102&amp;"Total",$D:$AK,29,FALSE)/100+100/$X102*$N102*VLOOKUP($M102&amp;"Total",$D:$AK,29,FALSE)/100+100/$X102*$Q102*VLOOKUP($P102&amp;"Total",$D:$AK,29,FALSE)/100+
(IF($G102=AF$66,$H102,0)+IF($J102=AF$66,$K102,0)+IF($M102=AF$66,$N102,0)+IF($P102=AF$66,$Q102,0))*100/$X102</f>
        <v>0</v>
      </c>
      <c r="AG102" s="3">
        <f>100/$X102*$H102*VLOOKUP($G102&amp;"Total",$D:$AK,30,FALSE)/100+100/$X102*$K102*VLOOKUP($J102&amp;"Total",$D:$AK,30,FALSE)/100+100/$X102*$N102*VLOOKUP($M102&amp;"Total",$D:$AK,30,FALSE)/100+100/$X102*$Q102*VLOOKUP($P102&amp;"Total",$D:$AK,30,FALSE)/100+
(IF($G102=AG$66,$H102,0)+IF($J102=AG$66,$K102,0)+IF($M102=AG$66,$N102,0)+IF($P102=AG$66,$Q102,0))*100/$X102</f>
        <v>0</v>
      </c>
      <c r="AH102" s="3">
        <f>100/$X102*$H102*VLOOKUP($G102&amp;"Total",$D:$AK,31,FALSE)/100+100/$X102*$K102*VLOOKUP($J102&amp;"Total",$D:$AK,31,FALSE)/100+100/$X102*$N102*VLOOKUP($M102&amp;"Total",$D:$AK,31,FALSE)/100+100/$X102*$Q102*VLOOKUP($P102&amp;"Total",$D:$AK,31,FALSE)/100+
(IF($G102=AH$66,$H102,0)+IF($J102=AH$66,$K102,0)+IF($M102=AH$66,$N102,0)+IF($P102=AH$66,$Q102,0))*100/$X102</f>
        <v>0</v>
      </c>
      <c r="AI102" s="3">
        <f>100/$X102*$H102*VLOOKUP($G102&amp;"Total",$D:$AK,32,FALSE)/100+100/$X102*$K102*VLOOKUP($J102&amp;"Total",$D:$AK,32,FALSE)/100+100/$X102*$N102*VLOOKUP($M102&amp;"Total",$D:$AK,32,FALSE)/100+100/$X102*$Q102*VLOOKUP($P102&amp;"Total",$D:$AK,32,FALSE)/100+
(IF($G102=AI$66,$H102,0)+IF($J102=AI$66,$K102,0)+IF($M102=AI$66,$N102,0)+IF($P102=AI$66,$Q102,0))*100/$X102</f>
        <v>0</v>
      </c>
      <c r="AJ102" s="3">
        <f>100/$X102*$H102*VLOOKUP($G102&amp;"Total",$D:$AK,33,FALSE)/100+100/$X102*$K102*VLOOKUP($J102&amp;"Total",$D:$AK,33,FALSE)/100+100/$X102*$N102*VLOOKUP($M102&amp;"Total",$D:$AK,33,FALSE)/100+100/$X102*$Q102*VLOOKUP($P102&amp;"Total",$D:$AK,33,FALSE)/100+
(IF($G102=AJ$66,$H102,0)+IF($J102=AJ$66,$K102,0)+IF($M102=AJ$66,$N102,0)+IF($P102=AJ$66,$Q102,0))*100/$X102</f>
        <v>0</v>
      </c>
      <c r="AK102" s="3">
        <f>100/$X102*$H102*VLOOKUP($G102&amp;"Total",$D:$AK,34,FALSE)/100+100/$X102*$K102*VLOOKUP($J102&amp;"Total",$D:$AK,34,FALSE)/100+100/$X102*$N102*VLOOKUP($M102&amp;"Total",$D:$AK,34,FALSE)/100+100/$X102*$Q102*VLOOKUP($P102&amp;"Total",$D:$AK,34,FALSE)/100+
(IF($G102=AK$66,$H102,0)+IF($J102=AK$66,$K102,0)+IF($M102=AK$66,$N102,0)+IF($P102=AK$66,$Q102,0))*100/$X102</f>
        <v>0</v>
      </c>
    </row>
    <row r="103" spans="1:37" x14ac:dyDescent="0.25">
      <c r="A103" t="s">
        <v>91</v>
      </c>
      <c r="B103" t="s">
        <v>93</v>
      </c>
      <c r="D103" t="str">
        <f t="shared" si="33"/>
        <v>Wire</v>
      </c>
      <c r="E103" s="26">
        <f t="shared" si="31"/>
        <v>22.496153019557276</v>
      </c>
      <c r="G103" t="s">
        <v>61</v>
      </c>
      <c r="H103" s="22">
        <v>12</v>
      </c>
      <c r="I103" s="3">
        <f>VLOOKUP(G103&amp;"Total",$D:$AB,2,FALSE)/100*H103</f>
        <v>3.4265377176015477</v>
      </c>
      <c r="J103" t="s">
        <v>64</v>
      </c>
      <c r="K103" s="22">
        <v>3</v>
      </c>
      <c r="L103" s="3">
        <f>VLOOKUP(J103&amp;"Total",$D:$AB,2,FALSE)/100*K103</f>
        <v>1.8200000000000003</v>
      </c>
      <c r="M103" s="22" t="s">
        <v>27</v>
      </c>
      <c r="N103" s="22"/>
      <c r="O103" s="3">
        <f>VLOOKUP(M103&amp;"Total",$D:$AB,2,FALSE)/100*N103</f>
        <v>0</v>
      </c>
      <c r="P103" s="22" t="s">
        <v>27</v>
      </c>
      <c r="Q103" s="22"/>
      <c r="R103" s="3">
        <f>VLOOKUP(P103&amp;"Total",$D:$AB,2,FALSE)/100*Q103</f>
        <v>0</v>
      </c>
      <c r="T103" s="3">
        <f t="shared" si="32"/>
        <v>5.246537717601548</v>
      </c>
      <c r="V103" s="22" t="s">
        <v>70</v>
      </c>
      <c r="W103" s="22">
        <v>15</v>
      </c>
      <c r="X103" s="22">
        <v>90</v>
      </c>
      <c r="AA103" s="3">
        <f>100/$X103*$H103*VLOOKUP($G103&amp;"Total",$D:$AK,24,FALSE)/100+100/$X103*$K103*VLOOKUP($J103&amp;"Total",$D:$AK,24,FALSE)/100+100/$X103*$N103*VLOOKUP($M103&amp;"Total",$D:$AK,24,FALSE)/100+100/$X103*$Q103*VLOOKUP($P103&amp;"Total",$D:$AK,24,FALSE)/100+
(IF($G103=AA$66,$H103,0)+IF($J103=AA$66,$K103,0)+IF($M103=AA$66,$N103,0)+IF($P103=AA$66,$Q103,0))*100/$X103</f>
        <v>0</v>
      </c>
      <c r="AB103" s="3">
        <f>100/$X103*$H103*VLOOKUP($G103&amp;"Total",$D:$AK,25,FALSE)/100+100/$X103*$K103*VLOOKUP($J103&amp;"Total",$D:$AK,25,FALSE)/100+100/$X103*$N103*VLOOKUP($M103&amp;"Total",$D:$AK,25,FALSE)/100+100/$X103*$Q103*VLOOKUP($P103&amp;"Total",$D:$AK,25,FALSE)/100+
(IF($G103=AB$66,$H103,0)+IF($J103=AB$66,$K103,0)+IF($M103=AB$66,$N103,0)+IF($P103=AB$66,$Q103,0))*100/$X103</f>
        <v>13.333333333333336</v>
      </c>
      <c r="AC103" s="3">
        <f>100/$X103*$H103*VLOOKUP($G103&amp;"Total",$D:$AK,26,FALSE)/100+100/$X103*$K103*VLOOKUP($J103&amp;"Total",$D:$AK,26,FALSE)/100+100/$X103*$N103*VLOOKUP($M103&amp;"Total",$D:$AK,26,FALSE)/100+100/$X103*$Q103*VLOOKUP($P103&amp;"Total",$D:$AK,26,FALSE)/100+
(IF($G103=AC$66,$H103,0)+IF($J103=AC$66,$K103,0)+IF($M103=AC$66,$N103,0)+IF($P103=AC$66,$Q103,0))*100/$X103</f>
        <v>0</v>
      </c>
      <c r="AD103" s="3">
        <f>100/$X103*$H103*VLOOKUP($G103&amp;"Total",$D:$AK,27,FALSE)/100+100/$X103*$K103*VLOOKUP($J103&amp;"Total",$D:$AK,27,FALSE)/100+100/$X103*$N103*VLOOKUP($M103&amp;"Total",$D:$AK,27,FALSE)/100+100/$X103*$Q103*VLOOKUP($P103&amp;"Total",$D:$AK,27,FALSE)/100+
(IF($G103=AD$66,$H103,0)+IF($J103=AD$66,$K103,0)+IF($M103=AD$66,$N103,0)+IF($P103=AD$66,$Q103,0))*100/$X103</f>
        <v>0</v>
      </c>
      <c r="AE103" s="3">
        <f>100/$X103*$H103*VLOOKUP($G103&amp;"Total",$D:$AK,28,FALSE)/100+100/$X103*$K103*VLOOKUP($J103&amp;"Total",$D:$AK,28,FALSE)/100+100/$X103*$N103*VLOOKUP($M103&amp;"Total",$D:$AK,28,FALSE)/100+100/$X103*$Q103*VLOOKUP($P103&amp;"Total",$D:$AK,28,FALSE)/100+
(IF($G103=AE$66,$H103,0)+IF($J103=AE$66,$K103,0)+IF($M103=AE$66,$N103,0)+IF($P103=AE$66,$Q103,0))*100/$X103</f>
        <v>10</v>
      </c>
      <c r="AF103" s="3">
        <f>100/$X103*$H103*VLOOKUP($G103&amp;"Total",$D:$AK,29,FALSE)/100+100/$X103*$K103*VLOOKUP($J103&amp;"Total",$D:$AK,29,FALSE)/100+100/$X103*$N103*VLOOKUP($M103&amp;"Total",$D:$AK,29,FALSE)/100+100/$X103*$Q103*VLOOKUP($P103&amp;"Total",$D:$AK,29,FALSE)/100+
(IF($G103=AF$66,$H103,0)+IF($J103=AF$66,$K103,0)+IF($M103=AF$66,$N103,0)+IF($P103=AF$66,$Q103,0))*100/$X103</f>
        <v>0</v>
      </c>
      <c r="AG103" s="3">
        <f>100/$X103*$H103*VLOOKUP($G103&amp;"Total",$D:$AK,30,FALSE)/100+100/$X103*$K103*VLOOKUP($J103&amp;"Total",$D:$AK,30,FALSE)/100+100/$X103*$N103*VLOOKUP($M103&amp;"Total",$D:$AK,30,FALSE)/100+100/$X103*$Q103*VLOOKUP($P103&amp;"Total",$D:$AK,30,FALSE)/100+
(IF($G103=AG$66,$H103,0)+IF($J103=AG$66,$K103,0)+IF($M103=AG$66,$N103,0)+IF($P103=AG$66,$Q103,0))*100/$X103</f>
        <v>0</v>
      </c>
      <c r="AH103" s="3">
        <f>100/$X103*$H103*VLOOKUP($G103&amp;"Total",$D:$AK,31,FALSE)/100+100/$X103*$K103*VLOOKUP($J103&amp;"Total",$D:$AK,31,FALSE)/100+100/$X103*$N103*VLOOKUP($M103&amp;"Total",$D:$AK,31,FALSE)/100+100/$X103*$Q103*VLOOKUP($P103&amp;"Total",$D:$AK,31,FALSE)/100+
(IF($G103=AH$66,$H103,0)+IF($J103=AH$66,$K103,0)+IF($M103=AH$66,$N103,0)+IF($P103=AH$66,$Q103,0))*100/$X103</f>
        <v>0</v>
      </c>
      <c r="AI103" s="3">
        <f>100/$X103*$H103*VLOOKUP($G103&amp;"Total",$D:$AK,32,FALSE)/100+100/$X103*$K103*VLOOKUP($J103&amp;"Total",$D:$AK,32,FALSE)/100+100/$X103*$N103*VLOOKUP($M103&amp;"Total",$D:$AK,32,FALSE)/100+100/$X103*$Q103*VLOOKUP($P103&amp;"Total",$D:$AK,32,FALSE)/100+
(IF($G103=AI$66,$H103,0)+IF($J103=AI$66,$K103,0)+IF($M103=AI$66,$N103,0)+IF($P103=AI$66,$Q103,0))*100/$X103</f>
        <v>0</v>
      </c>
      <c r="AJ103" s="3">
        <f>100/$X103*$H103*VLOOKUP($G103&amp;"Total",$D:$AK,33,FALSE)/100+100/$X103*$K103*VLOOKUP($J103&amp;"Total",$D:$AK,33,FALSE)/100+100/$X103*$N103*VLOOKUP($M103&amp;"Total",$D:$AK,33,FALSE)/100+100/$X103*$Q103*VLOOKUP($P103&amp;"Total",$D:$AK,33,FALSE)/100+
(IF($G103=AJ$66,$H103,0)+IF($J103=AJ$66,$K103,0)+IF($M103=AJ$66,$N103,0)+IF($P103=AJ$66,$Q103,0))*100/$X103</f>
        <v>0</v>
      </c>
      <c r="AK103" s="3">
        <f>100/$X103*$H103*VLOOKUP($G103&amp;"Total",$D:$AK,34,FALSE)/100+100/$X103*$K103*VLOOKUP($J103&amp;"Total",$D:$AK,34,FALSE)/100+100/$X103*$N103*VLOOKUP($M103&amp;"Total",$D:$AK,34,FALSE)/100+100/$X103*$Q103*VLOOKUP($P103&amp;"Total",$D:$AK,34,FALSE)/100+
(IF($G103=AK$66,$H103,0)+IF($J103=AK$66,$K103,0)+IF($M103=AK$66,$N103,0)+IF($P103=AK$66,$Q103,0))*100/$X103</f>
        <v>0</v>
      </c>
    </row>
    <row r="104" spans="1:37" x14ac:dyDescent="0.25">
      <c r="A104" t="s">
        <v>91</v>
      </c>
      <c r="B104" t="s">
        <v>94</v>
      </c>
      <c r="D104" t="str">
        <f t="shared" si="33"/>
        <v>Wire</v>
      </c>
      <c r="E104" s="26">
        <f t="shared" si="31"/>
        <v>32.982886923946296</v>
      </c>
      <c r="G104" t="s">
        <v>54</v>
      </c>
      <c r="H104" s="22">
        <v>12.5</v>
      </c>
      <c r="I104" s="3">
        <f>VLOOKUP(G104&amp;"Total",$D:$AB,2,FALSE)/100*H104</f>
        <v>3.421149557887917</v>
      </c>
      <c r="J104" s="22" t="s">
        <v>27</v>
      </c>
      <c r="K104" s="22"/>
      <c r="L104" s="3">
        <f>VLOOKUP(J104&amp;"Total",$D:$AB,2,FALSE)/100*K104</f>
        <v>0</v>
      </c>
      <c r="M104" s="22" t="s">
        <v>27</v>
      </c>
      <c r="N104" s="22"/>
      <c r="O104" s="3">
        <f>VLOOKUP(M104&amp;"Total",$D:$AB,2,FALSE)/100*N104</f>
        <v>0</v>
      </c>
      <c r="P104" s="22" t="s">
        <v>27</v>
      </c>
      <c r="Q104" s="22"/>
      <c r="R104" s="3">
        <f>VLOOKUP(P104&amp;"Total",$D:$AB,2,FALSE)/100*Q104</f>
        <v>0</v>
      </c>
      <c r="T104" s="3">
        <f t="shared" si="32"/>
        <v>3.421149557887917</v>
      </c>
      <c r="V104" s="22" t="s">
        <v>67</v>
      </c>
      <c r="W104" s="22">
        <v>4</v>
      </c>
      <c r="X104" s="22">
        <v>22.5</v>
      </c>
      <c r="AA104" s="3">
        <f>100/$X104*$H104*VLOOKUP($G104&amp;"Total",$D:$AK,24,FALSE)/100+100/$X104*$K104*VLOOKUP($J104&amp;"Total",$D:$AK,24,FALSE)/100+100/$X104*$N104*VLOOKUP($M104&amp;"Total",$D:$AK,24,FALSE)/100+100/$X104*$Q104*VLOOKUP($P104&amp;"Total",$D:$AK,24,FALSE)/100+
(IF($G104=AA$66,$H104,0)+IF($J104=AA$66,$K104,0)+IF($M104=AA$66,$N104,0)+IF($P104=AA$66,$Q104,0))*100/$X104</f>
        <v>55.555555555555557</v>
      </c>
      <c r="AB104" s="3">
        <f>100/$X104*$H104*VLOOKUP($G104&amp;"Total",$D:$AK,25,FALSE)/100+100/$X104*$K104*VLOOKUP($J104&amp;"Total",$D:$AK,25,FALSE)/100+100/$X104*$N104*VLOOKUP($M104&amp;"Total",$D:$AK,25,FALSE)/100+100/$X104*$Q104*VLOOKUP($P104&amp;"Total",$D:$AK,25,FALSE)/100+
(IF($G104=AB$66,$H104,0)+IF($J104=AB$66,$K104,0)+IF($M104=AB$66,$N104,0)+IF($P104=AB$66,$Q104,0))*100/$X104</f>
        <v>0</v>
      </c>
      <c r="AC104" s="3">
        <f>100/$X104*$H104*VLOOKUP($G104&amp;"Total",$D:$AK,26,FALSE)/100+100/$X104*$K104*VLOOKUP($J104&amp;"Total",$D:$AK,26,FALSE)/100+100/$X104*$N104*VLOOKUP($M104&amp;"Total",$D:$AK,26,FALSE)/100+100/$X104*$Q104*VLOOKUP($P104&amp;"Total",$D:$AK,26,FALSE)/100+
(IF($G104=AC$66,$H104,0)+IF($J104=AC$66,$K104,0)+IF($M104=AC$66,$N104,0)+IF($P104=AC$66,$Q104,0))*100/$X104</f>
        <v>0</v>
      </c>
      <c r="AD104" s="3">
        <f>100/$X104*$H104*VLOOKUP($G104&amp;"Total",$D:$AK,27,FALSE)/100+100/$X104*$K104*VLOOKUP($J104&amp;"Total",$D:$AK,27,FALSE)/100+100/$X104*$N104*VLOOKUP($M104&amp;"Total",$D:$AK,27,FALSE)/100+100/$X104*$Q104*VLOOKUP($P104&amp;"Total",$D:$AK,27,FALSE)/100+
(IF($G104=AD$66,$H104,0)+IF($J104=AD$66,$K104,0)+IF($M104=AD$66,$N104,0)+IF($P104=AD$66,$Q104,0))*100/$X104</f>
        <v>0</v>
      </c>
      <c r="AE104" s="3">
        <f>100/$X104*$H104*VLOOKUP($G104&amp;"Total",$D:$AK,28,FALSE)/100+100/$X104*$K104*VLOOKUP($J104&amp;"Total",$D:$AK,28,FALSE)/100+100/$X104*$N104*VLOOKUP($M104&amp;"Total",$D:$AK,28,FALSE)/100+100/$X104*$Q104*VLOOKUP($P104&amp;"Total",$D:$AK,28,FALSE)/100+
(IF($G104=AE$66,$H104,0)+IF($J104=AE$66,$K104,0)+IF($M104=AE$66,$N104,0)+IF($P104=AE$66,$Q104,0))*100/$X104</f>
        <v>0</v>
      </c>
      <c r="AF104" s="3">
        <f>100/$X104*$H104*VLOOKUP($G104&amp;"Total",$D:$AK,29,FALSE)/100+100/$X104*$K104*VLOOKUP($J104&amp;"Total",$D:$AK,29,FALSE)/100+100/$X104*$N104*VLOOKUP($M104&amp;"Total",$D:$AK,29,FALSE)/100+100/$X104*$Q104*VLOOKUP($P104&amp;"Total",$D:$AK,29,FALSE)/100+
(IF($G104=AF$66,$H104,0)+IF($J104=AF$66,$K104,0)+IF($M104=AF$66,$N104,0)+IF($P104=AF$66,$Q104,0))*100/$X104</f>
        <v>0</v>
      </c>
      <c r="AG104" s="3">
        <f>100/$X104*$H104*VLOOKUP($G104&amp;"Total",$D:$AK,30,FALSE)/100+100/$X104*$K104*VLOOKUP($J104&amp;"Total",$D:$AK,30,FALSE)/100+100/$X104*$N104*VLOOKUP($M104&amp;"Total",$D:$AK,30,FALSE)/100+100/$X104*$Q104*VLOOKUP($P104&amp;"Total",$D:$AK,30,FALSE)/100+
(IF($G104=AG$66,$H104,0)+IF($J104=AG$66,$K104,0)+IF($M104=AG$66,$N104,0)+IF($P104=AG$66,$Q104,0))*100/$X104</f>
        <v>0</v>
      </c>
      <c r="AH104" s="3">
        <f>100/$X104*$H104*VLOOKUP($G104&amp;"Total",$D:$AK,31,FALSE)/100+100/$X104*$K104*VLOOKUP($J104&amp;"Total",$D:$AK,31,FALSE)/100+100/$X104*$N104*VLOOKUP($M104&amp;"Total",$D:$AK,31,FALSE)/100+100/$X104*$Q104*VLOOKUP($P104&amp;"Total",$D:$AK,31,FALSE)/100+
(IF($G104=AH$66,$H104,0)+IF($J104=AH$66,$K104,0)+IF($M104=AH$66,$N104,0)+IF($P104=AH$66,$Q104,0))*100/$X104</f>
        <v>0</v>
      </c>
      <c r="AI104" s="3">
        <f>100/$X104*$H104*VLOOKUP($G104&amp;"Total",$D:$AK,32,FALSE)/100+100/$X104*$K104*VLOOKUP($J104&amp;"Total",$D:$AK,32,FALSE)/100+100/$X104*$N104*VLOOKUP($M104&amp;"Total",$D:$AK,32,FALSE)/100+100/$X104*$Q104*VLOOKUP($P104&amp;"Total",$D:$AK,32,FALSE)/100+
(IF($G104=AI$66,$H104,0)+IF($J104=AI$66,$K104,0)+IF($M104=AI$66,$N104,0)+IF($P104=AI$66,$Q104,0))*100/$X104</f>
        <v>0</v>
      </c>
      <c r="AJ104" s="3">
        <f>100/$X104*$H104*VLOOKUP($G104&amp;"Total",$D:$AK,33,FALSE)/100+100/$X104*$K104*VLOOKUP($J104&amp;"Total",$D:$AK,33,FALSE)/100+100/$X104*$N104*VLOOKUP($M104&amp;"Total",$D:$AK,33,FALSE)/100+100/$X104*$Q104*VLOOKUP($P104&amp;"Total",$D:$AK,33,FALSE)/100+
(IF($G104=AJ$66,$H104,0)+IF($J104=AJ$66,$K104,0)+IF($M104=AJ$66,$N104,0)+IF($P104=AJ$66,$Q104,0))*100/$X104</f>
        <v>0</v>
      </c>
      <c r="AK104" s="3">
        <f>100/$X104*$H104*VLOOKUP($G104&amp;"Total",$D:$AK,34,FALSE)/100+100/$X104*$K104*VLOOKUP($J104&amp;"Total",$D:$AK,34,FALSE)/100+100/$X104*$N104*VLOOKUP($M104&amp;"Total",$D:$AK,34,FALSE)/100+100/$X104*$Q104*VLOOKUP($P104&amp;"Total",$D:$AK,34,FALSE)/100+
(IF($G104=AK$66,$H104,0)+IF($J104=AK$66,$K104,0)+IF($M104=AK$66,$N104,0)+IF($P104=AK$66,$Q104,0))*100/$X104</f>
        <v>0</v>
      </c>
    </row>
    <row r="105" spans="1:37" x14ac:dyDescent="0.25">
      <c r="E105" s="25"/>
      <c r="G105" s="22"/>
      <c r="H105" s="22"/>
      <c r="J105" s="22"/>
      <c r="K105" s="22"/>
      <c r="M105" s="22"/>
      <c r="N105" s="22"/>
      <c r="P105" s="22"/>
      <c r="Q105" s="22"/>
      <c r="V105" s="22"/>
      <c r="W105" s="22"/>
      <c r="X105" s="22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x14ac:dyDescent="0.25">
      <c r="A106" t="s">
        <v>95</v>
      </c>
      <c r="B106" t="s">
        <v>95</v>
      </c>
      <c r="C106" t="s">
        <v>17</v>
      </c>
      <c r="D106" t="str">
        <f t="shared" ref="D106:D107" si="34">A106&amp;C106</f>
        <v>Copper SheetTotal</v>
      </c>
      <c r="E106" s="26">
        <f t="shared" ref="E106:E107" si="35">100/X106*(T106+W106)</f>
        <v>97.108961960025795</v>
      </c>
      <c r="G106" t="s">
        <v>61</v>
      </c>
      <c r="H106" s="22">
        <v>20</v>
      </c>
      <c r="I106" s="3">
        <f>VLOOKUP(G106&amp;"Total",$D:$AB,2,FALSE)/100*H106</f>
        <v>5.7108961960025795</v>
      </c>
      <c r="J106" s="22" t="s">
        <v>27</v>
      </c>
      <c r="K106" s="22"/>
      <c r="L106" s="3">
        <f>VLOOKUP(J106&amp;"Total",$D:$AB,2,FALSE)/100*K106</f>
        <v>0</v>
      </c>
      <c r="M106" s="22" t="s">
        <v>27</v>
      </c>
      <c r="N106" s="22"/>
      <c r="O106" s="3">
        <f>VLOOKUP(M106&amp;"Total",$D:$AB,2,FALSE)/100*N106</f>
        <v>0</v>
      </c>
      <c r="P106" s="22" t="s">
        <v>27</v>
      </c>
      <c r="Q106" s="22"/>
      <c r="R106" s="3">
        <f>VLOOKUP(P106&amp;"Total",$D:$AB,2,FALSE)/100*Q106</f>
        <v>0</v>
      </c>
      <c r="T106" s="3">
        <f t="shared" ref="T106:T107" si="36">I106+L106+O106+R106</f>
        <v>5.7108961960025795</v>
      </c>
      <c r="V106" s="22" t="s">
        <v>67</v>
      </c>
      <c r="W106" s="22">
        <v>4</v>
      </c>
      <c r="X106" s="22">
        <v>10</v>
      </c>
      <c r="AA106" s="3">
        <f>100/$X106*$H106*VLOOKUP($G106&amp;"Total",$D:$AK,24,FALSE)/100+100/$X106*$K106*VLOOKUP($J106&amp;"Total",$D:$AK,24,FALSE)/100+100/$X106*$N106*VLOOKUP($M106&amp;"Total",$D:$AK,24,FALSE)/100+100/$X106*$Q106*VLOOKUP($P106&amp;"Total",$D:$AK,24,FALSE)/100+
(IF($G106=AA$66,$H106,0)+IF($J106=AA$66,$K106,0)+IF($M106=AA$66,$N106,0)+IF($P106=AA$66,$Q106,0))*100/$X106</f>
        <v>0</v>
      </c>
      <c r="AB106" s="3">
        <f>100/$X106*$H106*VLOOKUP($G106&amp;"Total",$D:$AK,25,FALSE)/100+100/$X106*$K106*VLOOKUP($J106&amp;"Total",$D:$AK,25,FALSE)/100+100/$X106*$N106*VLOOKUP($M106&amp;"Total",$D:$AK,25,FALSE)/100+100/$X106*$Q106*VLOOKUP($P106&amp;"Total",$D:$AK,25,FALSE)/100+
(IF($G106=AB$66,$H106,0)+IF($J106=AB$66,$K106,0)+IF($M106=AB$66,$N106,0)+IF($P106=AB$66,$Q106,0))*100/$X106</f>
        <v>200</v>
      </c>
      <c r="AC106" s="3">
        <f>100/$X106*$H106*VLOOKUP($G106&amp;"Total",$D:$AK,26,FALSE)/100+100/$X106*$K106*VLOOKUP($J106&amp;"Total",$D:$AK,26,FALSE)/100+100/$X106*$N106*VLOOKUP($M106&amp;"Total",$D:$AK,26,FALSE)/100+100/$X106*$Q106*VLOOKUP($P106&amp;"Total",$D:$AK,26,FALSE)/100+
(IF($G106=AC$66,$H106,0)+IF($J106=AC$66,$K106,0)+IF($M106=AC$66,$N106,0)+IF($P106=AC$66,$Q106,0))*100/$X106</f>
        <v>0</v>
      </c>
      <c r="AD106" s="3">
        <f>100/$X106*$H106*VLOOKUP($G106&amp;"Total",$D:$AK,27,FALSE)/100+100/$X106*$K106*VLOOKUP($J106&amp;"Total",$D:$AK,27,FALSE)/100+100/$X106*$N106*VLOOKUP($M106&amp;"Total",$D:$AK,27,FALSE)/100+100/$X106*$Q106*VLOOKUP($P106&amp;"Total",$D:$AK,27,FALSE)/100+
(IF($G106=AD$66,$H106,0)+IF($J106=AD$66,$K106,0)+IF($M106=AD$66,$N106,0)+IF($P106=AD$66,$Q106,0))*100/$X106</f>
        <v>0</v>
      </c>
      <c r="AE106" s="3">
        <f>100/$X106*$H106*VLOOKUP($G106&amp;"Total",$D:$AK,28,FALSE)/100+100/$X106*$K106*VLOOKUP($J106&amp;"Total",$D:$AK,28,FALSE)/100+100/$X106*$N106*VLOOKUP($M106&amp;"Total",$D:$AK,28,FALSE)/100+100/$X106*$Q106*VLOOKUP($P106&amp;"Total",$D:$AK,28,FALSE)/100+
(IF($G106=AE$66,$H106,0)+IF($J106=AE$66,$K106,0)+IF($M106=AE$66,$N106,0)+IF($P106=AE$66,$Q106,0))*100/$X106</f>
        <v>0</v>
      </c>
      <c r="AF106" s="3">
        <f>100/$X106*$H106*VLOOKUP($G106&amp;"Total",$D:$AK,29,FALSE)/100+100/$X106*$K106*VLOOKUP($J106&amp;"Total",$D:$AK,29,FALSE)/100+100/$X106*$N106*VLOOKUP($M106&amp;"Total",$D:$AK,29,FALSE)/100+100/$X106*$Q106*VLOOKUP($P106&amp;"Total",$D:$AK,29,FALSE)/100+
(IF($G106=AF$66,$H106,0)+IF($J106=AF$66,$K106,0)+IF($M106=AF$66,$N106,0)+IF($P106=AF$66,$Q106,0))*100/$X106</f>
        <v>0</v>
      </c>
      <c r="AG106" s="3">
        <f>100/$X106*$H106*VLOOKUP($G106&amp;"Total",$D:$AK,30,FALSE)/100+100/$X106*$K106*VLOOKUP($J106&amp;"Total",$D:$AK,30,FALSE)/100+100/$X106*$N106*VLOOKUP($M106&amp;"Total",$D:$AK,30,FALSE)/100+100/$X106*$Q106*VLOOKUP($P106&amp;"Total",$D:$AK,30,FALSE)/100+
(IF($G106=AG$66,$H106,0)+IF($J106=AG$66,$K106,0)+IF($M106=AG$66,$N106,0)+IF($P106=AG$66,$Q106,0))*100/$X106</f>
        <v>0</v>
      </c>
      <c r="AH106" s="3">
        <f>100/$X106*$H106*VLOOKUP($G106&amp;"Total",$D:$AK,31,FALSE)/100+100/$X106*$K106*VLOOKUP($J106&amp;"Total",$D:$AK,31,FALSE)/100+100/$X106*$N106*VLOOKUP($M106&amp;"Total",$D:$AK,31,FALSE)/100+100/$X106*$Q106*VLOOKUP($P106&amp;"Total",$D:$AK,31,FALSE)/100+
(IF($G106=AH$66,$H106,0)+IF($J106=AH$66,$K106,0)+IF($M106=AH$66,$N106,0)+IF($P106=AH$66,$Q106,0))*100/$X106</f>
        <v>0</v>
      </c>
      <c r="AI106" s="3">
        <f>100/$X106*$H106*VLOOKUP($G106&amp;"Total",$D:$AK,32,FALSE)/100+100/$X106*$K106*VLOOKUP($J106&amp;"Total",$D:$AK,32,FALSE)/100+100/$X106*$N106*VLOOKUP($M106&amp;"Total",$D:$AK,32,FALSE)/100+100/$X106*$Q106*VLOOKUP($P106&amp;"Total",$D:$AK,32,FALSE)/100+
(IF($G106=AI$66,$H106,0)+IF($J106=AI$66,$K106,0)+IF($M106=AI$66,$N106,0)+IF($P106=AI$66,$Q106,0))*100/$X106</f>
        <v>0</v>
      </c>
      <c r="AJ106" s="3">
        <f>100/$X106*$H106*VLOOKUP($G106&amp;"Total",$D:$AK,33,FALSE)/100+100/$X106*$K106*VLOOKUP($J106&amp;"Total",$D:$AK,33,FALSE)/100+100/$X106*$N106*VLOOKUP($M106&amp;"Total",$D:$AK,33,FALSE)/100+100/$X106*$Q106*VLOOKUP($P106&amp;"Total",$D:$AK,33,FALSE)/100+
(IF($G106=AJ$66,$H106,0)+IF($J106=AJ$66,$K106,0)+IF($M106=AJ$66,$N106,0)+IF($P106=AJ$66,$Q106,0))*100/$X106</f>
        <v>0</v>
      </c>
      <c r="AK106" s="3">
        <f>100/$X106*$H106*VLOOKUP($G106&amp;"Total",$D:$AK,34,FALSE)/100+100/$X106*$K106*VLOOKUP($J106&amp;"Total",$D:$AK,34,FALSE)/100+100/$X106*$N106*VLOOKUP($M106&amp;"Total",$D:$AK,34,FALSE)/100+100/$X106*$Q106*VLOOKUP($P106&amp;"Total",$D:$AK,34,FALSE)/100+
(IF($G106=AK$66,$H106,0)+IF($J106=AK$66,$K106,0)+IF($M106=AK$66,$N106,0)+IF($P106=AK$66,$Q106,0))*100/$X106</f>
        <v>0</v>
      </c>
    </row>
    <row r="107" spans="1:37" x14ac:dyDescent="0.25">
      <c r="A107" t="s">
        <v>95</v>
      </c>
      <c r="B107" t="s">
        <v>96</v>
      </c>
      <c r="D107" t="str">
        <f t="shared" si="34"/>
        <v>Copper Sheet</v>
      </c>
      <c r="E107" s="26">
        <f t="shared" si="35"/>
        <v>178.5544809800129</v>
      </c>
      <c r="G107" t="s">
        <v>61</v>
      </c>
      <c r="H107" s="22">
        <v>22.5</v>
      </c>
      <c r="I107" s="3">
        <f>VLOOKUP(G107&amp;"Total",$D:$AB,2,FALSE)/100*H107</f>
        <v>6.4247582205029019</v>
      </c>
      <c r="J107" t="s">
        <v>59</v>
      </c>
      <c r="K107" s="22">
        <v>22.5</v>
      </c>
      <c r="L107" s="3">
        <f>VLOOKUP(J107&amp;"Total",$D:$AB,2,FALSE)/100*K107</f>
        <v>3.7500000000000004</v>
      </c>
      <c r="M107" s="22" t="s">
        <v>27</v>
      </c>
      <c r="N107" s="22"/>
      <c r="O107" s="3">
        <f>VLOOKUP(M107&amp;"Total",$D:$AB,2,FALSE)/100*N107</f>
        <v>0</v>
      </c>
      <c r="P107" s="22" t="s">
        <v>27</v>
      </c>
      <c r="Q107" s="22"/>
      <c r="R107" s="3">
        <f>VLOOKUP(P107&amp;"Total",$D:$AB,2,FALSE)/100*Q107</f>
        <v>0</v>
      </c>
      <c r="T107" s="3">
        <f t="shared" si="36"/>
        <v>10.174758220502902</v>
      </c>
      <c r="V107" s="22" t="s">
        <v>60</v>
      </c>
      <c r="W107" s="22">
        <v>30</v>
      </c>
      <c r="X107" s="22">
        <v>22.5</v>
      </c>
      <c r="AA107" s="3">
        <f>100/$X107*$H107*VLOOKUP($G107&amp;"Total",$D:$AK,24,FALSE)/100+100/$X107*$K107*VLOOKUP($J107&amp;"Total",$D:$AK,24,FALSE)/100+100/$X107*$N107*VLOOKUP($M107&amp;"Total",$D:$AK,24,FALSE)/100+100/$X107*$Q107*VLOOKUP($P107&amp;"Total",$D:$AK,24,FALSE)/100+
(IF($G107=AA$66,$H107,0)+IF($J107=AA$66,$K107,0)+IF($M107=AA$66,$N107,0)+IF($P107=AA$66,$Q107,0))*100/$X107</f>
        <v>0</v>
      </c>
      <c r="AB107" s="3">
        <f>100/$X107*$H107*VLOOKUP($G107&amp;"Total",$D:$AK,25,FALSE)/100+100/$X107*$K107*VLOOKUP($J107&amp;"Total",$D:$AK,25,FALSE)/100+100/$X107*$N107*VLOOKUP($M107&amp;"Total",$D:$AK,25,FALSE)/100+100/$X107*$Q107*VLOOKUP($P107&amp;"Total",$D:$AK,25,FALSE)/100+
(IF($G107=AB$66,$H107,0)+IF($J107=AB$66,$K107,0)+IF($M107=AB$66,$N107,0)+IF($P107=AB$66,$Q107,0))*100/$X107</f>
        <v>100</v>
      </c>
      <c r="AC107" s="3">
        <f>100/$X107*$H107*VLOOKUP($G107&amp;"Total",$D:$AK,26,FALSE)/100+100/$X107*$K107*VLOOKUP($J107&amp;"Total",$D:$AK,26,FALSE)/100+100/$X107*$N107*VLOOKUP($M107&amp;"Total",$D:$AK,26,FALSE)/100+100/$X107*$Q107*VLOOKUP($P107&amp;"Total",$D:$AK,26,FALSE)/100+
(IF($G107=AC$66,$H107,0)+IF($J107=AC$66,$K107,0)+IF($M107=AC$66,$N107,0)+IF($P107=AC$66,$Q107,0))*100/$X107</f>
        <v>0</v>
      </c>
      <c r="AD107" s="3">
        <f>100/$X107*$H107*VLOOKUP($G107&amp;"Total",$D:$AK,27,FALSE)/100+100/$X107*$K107*VLOOKUP($J107&amp;"Total",$D:$AK,27,FALSE)/100+100/$X107*$N107*VLOOKUP($M107&amp;"Total",$D:$AK,27,FALSE)/100+100/$X107*$Q107*VLOOKUP($P107&amp;"Total",$D:$AK,27,FALSE)/100+
(IF($G107=AD$66,$H107,0)+IF($J107=AD$66,$K107,0)+IF($M107=AD$66,$N107,0)+IF($P107=AD$66,$Q107,0))*100/$X107</f>
        <v>0</v>
      </c>
      <c r="AE107" s="3">
        <f>100/$X107*$H107*VLOOKUP($G107&amp;"Total",$D:$AK,28,FALSE)/100+100/$X107*$K107*VLOOKUP($J107&amp;"Total",$D:$AK,28,FALSE)/100+100/$X107*$N107*VLOOKUP($M107&amp;"Total",$D:$AK,28,FALSE)/100+100/$X107*$Q107*VLOOKUP($P107&amp;"Total",$D:$AK,28,FALSE)/100+
(IF($G107=AE$66,$H107,0)+IF($J107=AE$66,$K107,0)+IF($M107=AE$66,$N107,0)+IF($P107=AE$66,$Q107,0))*100/$X107</f>
        <v>0</v>
      </c>
      <c r="AF107" s="3">
        <f>100/$X107*$H107*VLOOKUP($G107&amp;"Total",$D:$AK,29,FALSE)/100+100/$X107*$K107*VLOOKUP($J107&amp;"Total",$D:$AK,29,FALSE)/100+100/$X107*$N107*VLOOKUP($M107&amp;"Total",$D:$AK,29,FALSE)/100+100/$X107*$Q107*VLOOKUP($P107&amp;"Total",$D:$AK,29,FALSE)/100+
(IF($G107=AF$66,$H107,0)+IF($J107=AF$66,$K107,0)+IF($M107=AF$66,$N107,0)+IF($P107=AF$66,$Q107,0))*100/$X107</f>
        <v>0</v>
      </c>
      <c r="AG107" s="3">
        <f>100/$X107*$H107*VLOOKUP($G107&amp;"Total",$D:$AK,30,FALSE)/100+100/$X107*$K107*VLOOKUP($J107&amp;"Total",$D:$AK,30,FALSE)/100+100/$X107*$N107*VLOOKUP($M107&amp;"Total",$D:$AK,30,FALSE)/100+100/$X107*$Q107*VLOOKUP($P107&amp;"Total",$D:$AK,30,FALSE)/100+
(IF($G107=AG$66,$H107,0)+IF($J107=AG$66,$K107,0)+IF($M107=AG$66,$N107,0)+IF($P107=AG$66,$Q107,0))*100/$X107</f>
        <v>0</v>
      </c>
      <c r="AH107" s="3">
        <f>100/$X107*$H107*VLOOKUP($G107&amp;"Total",$D:$AK,31,FALSE)/100+100/$X107*$K107*VLOOKUP($J107&amp;"Total",$D:$AK,31,FALSE)/100+100/$X107*$N107*VLOOKUP($M107&amp;"Total",$D:$AK,31,FALSE)/100+100/$X107*$Q107*VLOOKUP($P107&amp;"Total",$D:$AK,31,FALSE)/100+
(IF($G107=AH$66,$H107,0)+IF($J107=AH$66,$K107,0)+IF($M107=AH$66,$N107,0)+IF($P107=AH$66,$Q107,0))*100/$X107</f>
        <v>0</v>
      </c>
      <c r="AI107" s="3">
        <f>100/$X107*$H107*VLOOKUP($G107&amp;"Total",$D:$AK,32,FALSE)/100+100/$X107*$K107*VLOOKUP($J107&amp;"Total",$D:$AK,32,FALSE)/100+100/$X107*$N107*VLOOKUP($M107&amp;"Total",$D:$AK,32,FALSE)/100+100/$X107*$Q107*VLOOKUP($P107&amp;"Total",$D:$AK,32,FALSE)/100+
(IF($G107=AI$66,$H107,0)+IF($J107=AI$66,$K107,0)+IF($M107=AI$66,$N107,0)+IF($P107=AI$66,$Q107,0))*100/$X107</f>
        <v>0</v>
      </c>
      <c r="AJ107" s="3">
        <f>100/$X107*$H107*VLOOKUP($G107&amp;"Total",$D:$AK,33,FALSE)/100+100/$X107*$K107*VLOOKUP($J107&amp;"Total",$D:$AK,33,FALSE)/100+100/$X107*$N107*VLOOKUP($M107&amp;"Total",$D:$AK,33,FALSE)/100+100/$X107*$Q107*VLOOKUP($P107&amp;"Total",$D:$AK,33,FALSE)/100+
(IF($G107=AJ$66,$H107,0)+IF($J107=AJ$66,$K107,0)+IF($M107=AJ$66,$N107,0)+IF($P107=AJ$66,$Q107,0))*100/$X107</f>
        <v>100</v>
      </c>
      <c r="AK107" s="3">
        <f>100/$X107*$H107*VLOOKUP($G107&amp;"Total",$D:$AK,34,FALSE)/100+100/$X107*$K107*VLOOKUP($J107&amp;"Total",$D:$AK,34,FALSE)/100+100/$X107*$N107*VLOOKUP($M107&amp;"Total",$D:$AK,34,FALSE)/100+100/$X107*$Q107*VLOOKUP($P107&amp;"Total",$D:$AK,34,FALSE)/100+
(IF($G107=AK$66,$H107,0)+IF($J107=AK$66,$K107,0)+IF($M107=AK$66,$N107,0)+IF($P107=AK$66,$Q107,0))*100/$X107</f>
        <v>0</v>
      </c>
    </row>
    <row r="108" spans="1:37" x14ac:dyDescent="0.25">
      <c r="E108" s="25"/>
      <c r="G108" s="22"/>
      <c r="H108" s="22"/>
      <c r="J108" s="22"/>
      <c r="K108" s="22"/>
      <c r="M108" s="22"/>
      <c r="N108" s="22"/>
      <c r="P108" s="22"/>
      <c r="Q108" s="22"/>
      <c r="V108" s="22"/>
      <c r="W108" s="22"/>
      <c r="X108" s="22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25">
      <c r="A109" t="s">
        <v>97</v>
      </c>
      <c r="B109" t="s">
        <v>97</v>
      </c>
      <c r="C109" t="s">
        <v>17</v>
      </c>
      <c r="D109" t="str">
        <f>A109&amp;C109</f>
        <v>CableTotal</v>
      </c>
      <c r="E109" s="26">
        <f t="shared" ref="E109:E112" si="37">100/X109*(T109+W109)</f>
        <v>35.166666666666671</v>
      </c>
      <c r="G109" t="s">
        <v>91</v>
      </c>
      <c r="H109" s="22">
        <v>60</v>
      </c>
      <c r="I109" s="3">
        <f>VLOOKUP(G109&amp;"Total",$D:$AB,2,FALSE)/100*H109</f>
        <v>6.5500000000000007</v>
      </c>
      <c r="J109" s="22" t="s">
        <v>27</v>
      </c>
      <c r="K109" s="22"/>
      <c r="L109" s="3">
        <f>VLOOKUP(J109&amp;"Total",$D:$AB,2,FALSE)/100*K109</f>
        <v>0</v>
      </c>
      <c r="M109" s="22" t="s">
        <v>27</v>
      </c>
      <c r="N109" s="22"/>
      <c r="O109" s="3">
        <f>VLOOKUP(M109&amp;"Total",$D:$AB,2,FALSE)/100*N109</f>
        <v>0</v>
      </c>
      <c r="P109" s="22" t="s">
        <v>27</v>
      </c>
      <c r="Q109" s="22"/>
      <c r="R109" s="3">
        <f>VLOOKUP(P109&amp;"Total",$D:$AB,2,FALSE)/100*Q109</f>
        <v>0</v>
      </c>
      <c r="T109" s="3">
        <f t="shared" ref="T109:T112" si="38">I109+L109+O109+R109</f>
        <v>6.5500000000000007</v>
      </c>
      <c r="V109" s="22" t="s">
        <v>67</v>
      </c>
      <c r="W109" s="22">
        <v>4</v>
      </c>
      <c r="X109" s="22">
        <v>30</v>
      </c>
      <c r="AA109" s="3">
        <f>100/$X109*$H109*VLOOKUP($G109&amp;"Total",$D:$AK,24,FALSE)/100+100/$X109*$K109*VLOOKUP($J109&amp;"Total",$D:$AK,24,FALSE)/100+100/$X109*$N109*VLOOKUP($M109&amp;"Total",$D:$AK,24,FALSE)/100+100/$X109*$Q109*VLOOKUP($P109&amp;"Total",$D:$AK,24,FALSE)/100+
(IF($G109=AA$66,$H109,0)+IF($J109=AA$66,$K109,0)+IF($M109=AA$66,$N109,0)+IF($P109=AA$66,$Q109,0))*100/$X109</f>
        <v>0</v>
      </c>
      <c r="AB109" s="3">
        <f>100/$X109*$H109*VLOOKUP($G109&amp;"Total",$D:$AK,25,FALSE)/100+100/$X109*$K109*VLOOKUP($J109&amp;"Total",$D:$AK,25,FALSE)/100+100/$X109*$N109*VLOOKUP($M109&amp;"Total",$D:$AK,25,FALSE)/100+100/$X109*$Q109*VLOOKUP($P109&amp;"Total",$D:$AK,25,FALSE)/100+
(IF($G109=AB$66,$H109,0)+IF($J109=AB$66,$K109,0)+IF($M109=AB$66,$N109,0)+IF($P109=AB$66,$Q109,0))*100/$X109</f>
        <v>0</v>
      </c>
      <c r="AC109" s="3">
        <f>100/$X109*$H109*VLOOKUP($G109&amp;"Total",$D:$AK,26,FALSE)/100+100/$X109*$K109*VLOOKUP($J109&amp;"Total",$D:$AK,26,FALSE)/100+100/$X109*$N109*VLOOKUP($M109&amp;"Total",$D:$AK,26,FALSE)/100+100/$X109*$Q109*VLOOKUP($P109&amp;"Total",$D:$AK,26,FALSE)/100+
(IF($G109=AC$66,$H109,0)+IF($J109=AC$66,$K109,0)+IF($M109=AC$66,$N109,0)+IF($P109=AC$66,$Q109,0))*100/$X109</f>
        <v>0</v>
      </c>
      <c r="AD109" s="3">
        <f>100/$X109*$H109*VLOOKUP($G109&amp;"Total",$D:$AK,27,FALSE)/100+100/$X109*$K109*VLOOKUP($J109&amp;"Total",$D:$AK,27,FALSE)/100+100/$X109*$N109*VLOOKUP($M109&amp;"Total",$D:$AK,27,FALSE)/100+100/$X109*$Q109*VLOOKUP($P109&amp;"Total",$D:$AK,27,FALSE)/100+
(IF($G109=AD$66,$H109,0)+IF($J109=AD$66,$K109,0)+IF($M109=AD$66,$N109,0)+IF($P109=AD$66,$Q109,0))*100/$X109</f>
        <v>0</v>
      </c>
      <c r="AE109" s="3">
        <f>100/$X109*$H109*VLOOKUP($G109&amp;"Total",$D:$AK,28,FALSE)/100+100/$X109*$K109*VLOOKUP($J109&amp;"Total",$D:$AK,28,FALSE)/100+100/$X109*$N109*VLOOKUP($M109&amp;"Total",$D:$AK,28,FALSE)/100+100/$X109*$Q109*VLOOKUP($P109&amp;"Total",$D:$AK,28,FALSE)/100+
(IF($G109=AE$66,$H109,0)+IF($J109=AE$66,$K109,0)+IF($M109=AE$66,$N109,0)+IF($P109=AE$66,$Q109,0))*100/$X109</f>
        <v>75</v>
      </c>
      <c r="AF109" s="3">
        <f>100/$X109*$H109*VLOOKUP($G109&amp;"Total",$D:$AK,29,FALSE)/100+100/$X109*$K109*VLOOKUP($J109&amp;"Total",$D:$AK,29,FALSE)/100+100/$X109*$N109*VLOOKUP($M109&amp;"Total",$D:$AK,29,FALSE)/100+100/$X109*$Q109*VLOOKUP($P109&amp;"Total",$D:$AK,29,FALSE)/100+
(IF($G109=AF$66,$H109,0)+IF($J109=AF$66,$K109,0)+IF($M109=AF$66,$N109,0)+IF($P109=AF$66,$Q109,0))*100/$X109</f>
        <v>0</v>
      </c>
      <c r="AG109" s="3">
        <f>100/$X109*$H109*VLOOKUP($G109&amp;"Total",$D:$AK,30,FALSE)/100+100/$X109*$K109*VLOOKUP($J109&amp;"Total",$D:$AK,30,FALSE)/100+100/$X109*$N109*VLOOKUP($M109&amp;"Total",$D:$AK,30,FALSE)/100+100/$X109*$Q109*VLOOKUP($P109&amp;"Total",$D:$AK,30,FALSE)/100+
(IF($G109=AG$66,$H109,0)+IF($J109=AG$66,$K109,0)+IF($M109=AG$66,$N109,0)+IF($P109=AG$66,$Q109,0))*100/$X109</f>
        <v>0</v>
      </c>
      <c r="AH109" s="3">
        <f>100/$X109*$H109*VLOOKUP($G109&amp;"Total",$D:$AK,31,FALSE)/100+100/$X109*$K109*VLOOKUP($J109&amp;"Total",$D:$AK,31,FALSE)/100+100/$X109*$N109*VLOOKUP($M109&amp;"Total",$D:$AK,31,FALSE)/100+100/$X109*$Q109*VLOOKUP($P109&amp;"Total",$D:$AK,31,FALSE)/100+
(IF($G109=AH$66,$H109,0)+IF($J109=AH$66,$K109,0)+IF($M109=AH$66,$N109,0)+IF($P109=AH$66,$Q109,0))*100/$X109</f>
        <v>0</v>
      </c>
      <c r="AI109" s="3">
        <f>100/$X109*$H109*VLOOKUP($G109&amp;"Total",$D:$AK,32,FALSE)/100+100/$X109*$K109*VLOOKUP($J109&amp;"Total",$D:$AK,32,FALSE)/100+100/$X109*$N109*VLOOKUP($M109&amp;"Total",$D:$AK,32,FALSE)/100+100/$X109*$Q109*VLOOKUP($P109&amp;"Total",$D:$AK,32,FALSE)/100+
(IF($G109=AI$66,$H109,0)+IF($J109=AI$66,$K109,0)+IF($M109=AI$66,$N109,0)+IF($P109=AI$66,$Q109,0))*100/$X109</f>
        <v>0</v>
      </c>
      <c r="AJ109" s="3">
        <f>100/$X109*$H109*VLOOKUP($G109&amp;"Total",$D:$AK,33,FALSE)/100+100/$X109*$K109*VLOOKUP($J109&amp;"Total",$D:$AK,33,FALSE)/100+100/$X109*$N109*VLOOKUP($M109&amp;"Total",$D:$AK,33,FALSE)/100+100/$X109*$Q109*VLOOKUP($P109&amp;"Total",$D:$AK,33,FALSE)/100+
(IF($G109=AJ$66,$H109,0)+IF($J109=AJ$66,$K109,0)+IF($M109=AJ$66,$N109,0)+IF($P109=AJ$66,$Q109,0))*100/$X109</f>
        <v>0</v>
      </c>
      <c r="AK109" s="3">
        <f>100/$X109*$H109*VLOOKUP($G109&amp;"Total",$D:$AK,34,FALSE)/100+100/$X109*$K109*VLOOKUP($J109&amp;"Total",$D:$AK,34,FALSE)/100+100/$X109*$N109*VLOOKUP($M109&amp;"Total",$D:$AK,34,FALSE)/100+100/$X109*$Q109*VLOOKUP($P109&amp;"Total",$D:$AK,34,FALSE)/100+
(IF($G109=AK$66,$H109,0)+IF($J109=AK$66,$K109,0)+IF($M109=AK$66,$N109,0)+IF($P109=AK$66,$Q109,0))*100/$X109</f>
        <v>0</v>
      </c>
    </row>
    <row r="110" spans="1:37" x14ac:dyDescent="0.25">
      <c r="A110" t="s">
        <v>97</v>
      </c>
      <c r="B110" t="s">
        <v>98</v>
      </c>
      <c r="D110" t="str">
        <f t="shared" ref="D110:D112" si="39">A110&amp;C110</f>
        <v>Cable</v>
      </c>
      <c r="E110" s="26">
        <f t="shared" si="37"/>
        <v>74.350598290598285</v>
      </c>
      <c r="G110" t="s">
        <v>91</v>
      </c>
      <c r="H110" s="22">
        <v>37.5</v>
      </c>
      <c r="I110" s="3">
        <f>VLOOKUP(G110&amp;"Total",$D:$AB,2,FALSE)/100*H110</f>
        <v>4.09375</v>
      </c>
      <c r="J110" t="s">
        <v>99</v>
      </c>
      <c r="K110" s="22">
        <v>15</v>
      </c>
      <c r="L110" s="3">
        <f>VLOOKUP(J110&amp;"Total",$D:$AB,2,FALSE)/100*K110</f>
        <v>16.092903846153849</v>
      </c>
      <c r="M110" s="22" t="s">
        <v>27</v>
      </c>
      <c r="N110" s="22"/>
      <c r="O110" s="3">
        <f>VLOOKUP(M110&amp;"Total",$D:$AB,2,FALSE)/100*N110</f>
        <v>0</v>
      </c>
      <c r="P110" s="22" t="s">
        <v>27</v>
      </c>
      <c r="Q110" s="22"/>
      <c r="R110" s="3">
        <f>VLOOKUP(P110&amp;"Total",$D:$AB,2,FALSE)/100*Q110</f>
        <v>0</v>
      </c>
      <c r="T110" s="3">
        <f t="shared" si="38"/>
        <v>20.186653846153849</v>
      </c>
      <c r="V110" s="22" t="s">
        <v>60</v>
      </c>
      <c r="W110" s="22">
        <v>30</v>
      </c>
      <c r="X110" s="22">
        <v>67.5</v>
      </c>
      <c r="AA110" s="3">
        <f>100/$X110*$H110*VLOOKUP($G110&amp;"Total",$D:$AK,24,FALSE)/100+100/$X110*$K110*VLOOKUP($J110&amp;"Total",$D:$AK,24,FALSE)/100+100/$X110*$N110*VLOOKUP($M110&amp;"Total",$D:$AK,24,FALSE)/100+100/$X110*$Q110*VLOOKUP($P110&amp;"Total",$D:$AK,24,FALSE)/100+
(IF($G110=AA$66,$H110,0)+IF($J110=AA$66,$K110,0)+IF($M110=AA$66,$N110,0)+IF($P110=AA$66,$Q110,0))*100/$X110</f>
        <v>0</v>
      </c>
      <c r="AB110" s="3">
        <f>100/$X110*$H110*VLOOKUP($G110&amp;"Total",$D:$AK,25,FALSE)/100+100/$X110*$K110*VLOOKUP($J110&amp;"Total",$D:$AK,25,FALSE)/100+100/$X110*$N110*VLOOKUP($M110&amp;"Total",$D:$AK,25,FALSE)/100+100/$X110*$Q110*VLOOKUP($P110&amp;"Total",$D:$AK,25,FALSE)/100+
(IF($G110=AB$66,$H110,0)+IF($J110=AB$66,$K110,0)+IF($M110=AB$66,$N110,0)+IF($P110=AB$66,$Q110,0))*100/$X110</f>
        <v>0</v>
      </c>
      <c r="AC110" s="3">
        <f>100/$X110*$H110*VLOOKUP($G110&amp;"Total",$D:$AK,26,FALSE)/100+100/$X110*$K110*VLOOKUP($J110&amp;"Total",$D:$AK,26,FALSE)/100+100/$X110*$N110*VLOOKUP($M110&amp;"Total",$D:$AK,26,FALSE)/100+100/$X110*$Q110*VLOOKUP($P110&amp;"Total",$D:$AK,26,FALSE)/100+
(IF($G110=AC$66,$H110,0)+IF($J110=AC$66,$K110,0)+IF($M110=AC$66,$N110,0)+IF($P110=AC$66,$Q110,0))*100/$X110</f>
        <v>0</v>
      </c>
      <c r="AD110" s="3">
        <f>100/$X110*$H110*VLOOKUP($G110&amp;"Total",$D:$AK,27,FALSE)/100+100/$X110*$K110*VLOOKUP($J110&amp;"Total",$D:$AK,27,FALSE)/100+100/$X110*$N110*VLOOKUP($M110&amp;"Total",$D:$AK,27,FALSE)/100+100/$X110*$Q110*VLOOKUP($P110&amp;"Total",$D:$AK,27,FALSE)/100+
(IF($G110=AD$66,$H110,0)+IF($J110=AD$66,$K110,0)+IF($M110=AD$66,$N110,0)+IF($P110=AD$66,$Q110,0))*100/$X110</f>
        <v>0</v>
      </c>
      <c r="AE110" s="3">
        <f>100/$X110*$H110*VLOOKUP($G110&amp;"Total",$D:$AK,28,FALSE)/100+100/$X110*$K110*VLOOKUP($J110&amp;"Total",$D:$AK,28,FALSE)/100+100/$X110*$N110*VLOOKUP($M110&amp;"Total",$D:$AK,28,FALSE)/100+100/$X110*$Q110*VLOOKUP($P110&amp;"Total",$D:$AK,28,FALSE)/100+
(IF($G110=AE$66,$H110,0)+IF($J110=AE$66,$K110,0)+IF($M110=AE$66,$N110,0)+IF($P110=AE$66,$Q110,0))*100/$X110</f>
        <v>20.833333333333329</v>
      </c>
      <c r="AF110" s="3">
        <f>100/$X110*$H110*VLOOKUP($G110&amp;"Total",$D:$AK,29,FALSE)/100+100/$X110*$K110*VLOOKUP($J110&amp;"Total",$D:$AK,29,FALSE)/100+100/$X110*$N110*VLOOKUP($M110&amp;"Total",$D:$AK,29,FALSE)/100+100/$X110*$Q110*VLOOKUP($P110&amp;"Total",$D:$AK,29,FALSE)/100+
(IF($G110=AF$66,$H110,0)+IF($J110=AF$66,$K110,0)+IF($M110=AF$66,$N110,0)+IF($P110=AF$66,$Q110,0))*100/$X110</f>
        <v>0</v>
      </c>
      <c r="AG110" s="3">
        <f>100/$X110*$H110*VLOOKUP($G110&amp;"Total",$D:$AK,30,FALSE)/100+100/$X110*$K110*VLOOKUP($J110&amp;"Total",$D:$AK,30,FALSE)/100+100/$X110*$N110*VLOOKUP($M110&amp;"Total",$D:$AK,30,FALSE)/100+100/$X110*$Q110*VLOOKUP($P110&amp;"Total",$D:$AK,30,FALSE)/100+
(IF($G110=AG$66,$H110,0)+IF($J110=AG$66,$K110,0)+IF($M110=AG$66,$N110,0)+IF($P110=AG$66,$Q110,0))*100/$X110</f>
        <v>0</v>
      </c>
      <c r="AH110" s="3">
        <f>100/$X110*$H110*VLOOKUP($G110&amp;"Total",$D:$AK,31,FALSE)/100+100/$X110*$K110*VLOOKUP($J110&amp;"Total",$D:$AK,31,FALSE)/100+100/$X110*$N110*VLOOKUP($M110&amp;"Total",$D:$AK,31,FALSE)/100+100/$X110*$Q110*VLOOKUP($P110&amp;"Total",$D:$AK,31,FALSE)/100+
(IF($G110=AH$66,$H110,0)+IF($J110=AH$66,$K110,0)+IF($M110=AH$66,$N110,0)+IF($P110=AH$66,$Q110,0))*100/$X110</f>
        <v>0</v>
      </c>
      <c r="AI110" s="3">
        <f>100/$X110*$H110*VLOOKUP($G110&amp;"Total",$D:$AK,32,FALSE)/100+100/$X110*$K110*VLOOKUP($J110&amp;"Total",$D:$AK,32,FALSE)/100+100/$X110*$N110*VLOOKUP($M110&amp;"Total",$D:$AK,32,FALSE)/100+100/$X110*$Q110*VLOOKUP($P110&amp;"Total",$D:$AK,32,FALSE)/100+
(IF($G110=AI$66,$H110,0)+IF($J110=AI$66,$K110,0)+IF($M110=AI$66,$N110,0)+IF($P110=AI$66,$Q110,0))*100/$X110</f>
        <v>0</v>
      </c>
      <c r="AJ110" s="3">
        <f>100/$X110*$H110*VLOOKUP($G110&amp;"Total",$D:$AK,33,FALSE)/100+100/$X110*$K110*VLOOKUP($J110&amp;"Total",$D:$AK,33,FALSE)/100+100/$X110*$N110*VLOOKUP($M110&amp;"Total",$D:$AK,33,FALSE)/100+100/$X110*$Q110*VLOOKUP($P110&amp;"Total",$D:$AK,33,FALSE)/100+
(IF($G110=AJ$66,$H110,0)+IF($J110=AJ$66,$K110,0)+IF($M110=AJ$66,$N110,0)+IF($P110=AJ$66,$Q110,0))*100/$X110</f>
        <v>0</v>
      </c>
      <c r="AK110" s="3">
        <f>100/$X110*$H110*VLOOKUP($G110&amp;"Total",$D:$AK,34,FALSE)/100+100/$X110*$K110*VLOOKUP($J110&amp;"Total",$D:$AK,34,FALSE)/100+100/$X110*$N110*VLOOKUP($M110&amp;"Total",$D:$AK,34,FALSE)/100+100/$X110*$Q110*VLOOKUP($P110&amp;"Total",$D:$AK,34,FALSE)/100+
(IF($G110=AK$66,$H110,0)+IF($J110=AK$66,$K110,0)+IF($M110=AK$66,$N110,0)+IF($P110=AK$66,$Q110,0))*100/$X110</f>
        <v>16.666666666666664</v>
      </c>
    </row>
    <row r="111" spans="1:37" x14ac:dyDescent="0.25">
      <c r="A111" t="s">
        <v>97</v>
      </c>
      <c r="B111" t="s">
        <v>100</v>
      </c>
      <c r="D111" t="str">
        <f t="shared" si="39"/>
        <v>Cable</v>
      </c>
      <c r="E111" s="26">
        <f t="shared" si="37"/>
        <v>84.28411538461539</v>
      </c>
      <c r="G111" t="s">
        <v>91</v>
      </c>
      <c r="H111" s="22">
        <v>45</v>
      </c>
      <c r="I111" s="3">
        <f>VLOOKUP(G111&amp;"Total",$D:$AB,2,FALSE)/100*H111</f>
        <v>4.9125000000000005</v>
      </c>
      <c r="J111" t="s">
        <v>72</v>
      </c>
      <c r="K111" s="22">
        <v>30</v>
      </c>
      <c r="L111" s="3">
        <f>VLOOKUP(J111&amp;"Total",$D:$AB,2,FALSE)/100*K111</f>
        <v>64.371615384615396</v>
      </c>
      <c r="M111" s="22" t="s">
        <v>27</v>
      </c>
      <c r="N111" s="22"/>
      <c r="O111" s="3">
        <f>VLOOKUP(M111&amp;"Total",$D:$AB,2,FALSE)/100*N111</f>
        <v>0</v>
      </c>
      <c r="P111" s="22" t="s">
        <v>27</v>
      </c>
      <c r="Q111" s="22"/>
      <c r="R111" s="3">
        <f>VLOOKUP(P111&amp;"Total",$D:$AB,2,FALSE)/100*Q111</f>
        <v>0</v>
      </c>
      <c r="T111" s="3">
        <f t="shared" si="38"/>
        <v>69.28411538461539</v>
      </c>
      <c r="V111" s="22" t="s">
        <v>70</v>
      </c>
      <c r="W111" s="22">
        <v>15</v>
      </c>
      <c r="X111" s="22">
        <v>100</v>
      </c>
      <c r="AA111" s="3">
        <f>100/$X111*$H111*VLOOKUP($G111&amp;"Total",$D:$AK,24,FALSE)/100+100/$X111*$K111*VLOOKUP($J111&amp;"Total",$D:$AK,24,FALSE)/100+100/$X111*$N111*VLOOKUP($M111&amp;"Total",$D:$AK,24,FALSE)/100+100/$X111*$Q111*VLOOKUP($P111&amp;"Total",$D:$AK,24,FALSE)/100+
(IF($G111=AA$66,$H111,0)+IF($J111=AA$66,$K111,0)+IF($M111=AA$66,$N111,0)+IF($P111=AA$66,$Q111,0))*100/$X111</f>
        <v>0</v>
      </c>
      <c r="AB111" s="3">
        <f>100/$X111*$H111*VLOOKUP($G111&amp;"Total",$D:$AK,25,FALSE)/100+100/$X111*$K111*VLOOKUP($J111&amp;"Total",$D:$AK,25,FALSE)/100+100/$X111*$N111*VLOOKUP($M111&amp;"Total",$D:$AK,25,FALSE)/100+100/$X111*$Q111*VLOOKUP($P111&amp;"Total",$D:$AK,25,FALSE)/100+
(IF($G111=AB$66,$H111,0)+IF($J111=AB$66,$K111,0)+IF($M111=AB$66,$N111,0)+IF($P111=AB$66,$Q111,0))*100/$X111</f>
        <v>0</v>
      </c>
      <c r="AC111" s="3">
        <f>100/$X111*$H111*VLOOKUP($G111&amp;"Total",$D:$AK,26,FALSE)/100+100/$X111*$K111*VLOOKUP($J111&amp;"Total",$D:$AK,26,FALSE)/100+100/$X111*$N111*VLOOKUP($M111&amp;"Total",$D:$AK,26,FALSE)/100+100/$X111*$Q111*VLOOKUP($P111&amp;"Total",$D:$AK,26,FALSE)/100+
(IF($G111=AC$66,$H111,0)+IF($J111=AC$66,$K111,0)+IF($M111=AC$66,$N111,0)+IF($P111=AC$66,$Q111,0))*100/$X111</f>
        <v>0</v>
      </c>
      <c r="AD111" s="3">
        <f>100/$X111*$H111*VLOOKUP($G111&amp;"Total",$D:$AK,27,FALSE)/100+100/$X111*$K111*VLOOKUP($J111&amp;"Total",$D:$AK,27,FALSE)/100+100/$X111*$N111*VLOOKUP($M111&amp;"Total",$D:$AK,27,FALSE)/100+100/$X111*$Q111*VLOOKUP($P111&amp;"Total",$D:$AK,27,FALSE)/100+
(IF($G111=AD$66,$H111,0)+IF($J111=AD$66,$K111,0)+IF($M111=AD$66,$N111,0)+IF($P111=AD$66,$Q111,0))*100/$X111</f>
        <v>0</v>
      </c>
      <c r="AE111" s="3">
        <f>100/$X111*$H111*VLOOKUP($G111&amp;"Total",$D:$AK,28,FALSE)/100+100/$X111*$K111*VLOOKUP($J111&amp;"Total",$D:$AK,28,FALSE)/100+100/$X111*$N111*VLOOKUP($M111&amp;"Total",$D:$AK,28,FALSE)/100+100/$X111*$Q111*VLOOKUP($P111&amp;"Total",$D:$AK,28,FALSE)/100+
(IF($G111=AE$66,$H111,0)+IF($J111=AE$66,$K111,0)+IF($M111=AE$66,$N111,0)+IF($P111=AE$66,$Q111,0))*100/$X111</f>
        <v>16.875</v>
      </c>
      <c r="AF111" s="3">
        <f>100/$X111*$H111*VLOOKUP($G111&amp;"Total",$D:$AK,29,FALSE)/100+100/$X111*$K111*VLOOKUP($J111&amp;"Total",$D:$AK,29,FALSE)/100+100/$X111*$N111*VLOOKUP($M111&amp;"Total",$D:$AK,29,FALSE)/100+100/$X111*$Q111*VLOOKUP($P111&amp;"Total",$D:$AK,29,FALSE)/100+
(IF($G111=AF$66,$H111,0)+IF($J111=AF$66,$K111,0)+IF($M111=AF$66,$N111,0)+IF($P111=AF$66,$Q111,0))*100/$X111</f>
        <v>0</v>
      </c>
      <c r="AG111" s="3">
        <f>100/$X111*$H111*VLOOKUP($G111&amp;"Total",$D:$AK,30,FALSE)/100+100/$X111*$K111*VLOOKUP($J111&amp;"Total",$D:$AK,30,FALSE)/100+100/$X111*$N111*VLOOKUP($M111&amp;"Total",$D:$AK,30,FALSE)/100+100/$X111*$Q111*VLOOKUP($P111&amp;"Total",$D:$AK,30,FALSE)/100+
(IF($G111=AG$66,$H111,0)+IF($J111=AG$66,$K111,0)+IF($M111=AG$66,$N111,0)+IF($P111=AG$66,$Q111,0))*100/$X111</f>
        <v>0</v>
      </c>
      <c r="AH111" s="3">
        <f>100/$X111*$H111*VLOOKUP($G111&amp;"Total",$D:$AK,31,FALSE)/100+100/$X111*$K111*VLOOKUP($J111&amp;"Total",$D:$AK,31,FALSE)/100+100/$X111*$N111*VLOOKUP($M111&amp;"Total",$D:$AK,31,FALSE)/100+100/$X111*$Q111*VLOOKUP($P111&amp;"Total",$D:$AK,31,FALSE)/100+
(IF($G111=AH$66,$H111,0)+IF($J111=AH$66,$K111,0)+IF($M111=AH$66,$N111,0)+IF($P111=AH$66,$Q111,0))*100/$X111</f>
        <v>0</v>
      </c>
      <c r="AI111" s="3">
        <f>100/$X111*$H111*VLOOKUP($G111&amp;"Total",$D:$AK,32,FALSE)/100+100/$X111*$K111*VLOOKUP($J111&amp;"Total",$D:$AK,32,FALSE)/100+100/$X111*$N111*VLOOKUP($M111&amp;"Total",$D:$AK,32,FALSE)/100+100/$X111*$Q111*VLOOKUP($P111&amp;"Total",$D:$AK,32,FALSE)/100+
(IF($G111=AI$66,$H111,0)+IF($J111=AI$66,$K111,0)+IF($M111=AI$66,$N111,0)+IF($P111=AI$66,$Q111,0))*100/$X111</f>
        <v>0</v>
      </c>
      <c r="AJ111" s="3">
        <f>100/$X111*$H111*VLOOKUP($G111&amp;"Total",$D:$AK,33,FALSE)/100+100/$X111*$K111*VLOOKUP($J111&amp;"Total",$D:$AK,33,FALSE)/100+100/$X111*$N111*VLOOKUP($M111&amp;"Total",$D:$AK,33,FALSE)/100+100/$X111*$Q111*VLOOKUP($P111&amp;"Total",$D:$AK,33,FALSE)/100+
(IF($G111=AJ$66,$H111,0)+IF($J111=AJ$66,$K111,0)+IF($M111=AJ$66,$N111,0)+IF($P111=AJ$66,$Q111,0))*100/$X111</f>
        <v>0</v>
      </c>
      <c r="AK111" s="3">
        <f>100/$X111*$H111*VLOOKUP($G111&amp;"Total",$D:$AK,34,FALSE)/100+100/$X111*$K111*VLOOKUP($J111&amp;"Total",$D:$AK,34,FALSE)/100+100/$X111*$N111*VLOOKUP($M111&amp;"Total",$D:$AK,34,FALSE)/100+100/$X111*$Q111*VLOOKUP($P111&amp;"Total",$D:$AK,34,FALSE)/100+
(IF($G111=AK$66,$H111,0)+IF($J111=AK$66,$K111,0)+IF($M111=AK$66,$N111,0)+IF($P111=AK$66,$Q111,0))*100/$X111</f>
        <v>45</v>
      </c>
    </row>
    <row r="112" spans="1:37" x14ac:dyDescent="0.25">
      <c r="A112" t="s">
        <v>97</v>
      </c>
      <c r="B112" t="s">
        <v>101</v>
      </c>
      <c r="D112" t="str">
        <f t="shared" si="39"/>
        <v>Cable</v>
      </c>
      <c r="E112" s="26">
        <f t="shared" si="37"/>
        <v>98.685827505827504</v>
      </c>
      <c r="G112" t="s">
        <v>102</v>
      </c>
      <c r="H112" s="22">
        <v>7.5</v>
      </c>
      <c r="I112" s="3">
        <f>VLOOKUP(G112&amp;"Total",$D:$AB,2,FALSE)/100*H112</f>
        <v>1.4100000000000004</v>
      </c>
      <c r="J112" t="s">
        <v>72</v>
      </c>
      <c r="K112" s="22">
        <v>5</v>
      </c>
      <c r="L112" s="3">
        <f>VLOOKUP(J112&amp;"Total",$D:$AB,2,FALSE)/100*K112</f>
        <v>10.728602564102566</v>
      </c>
      <c r="M112" s="22" t="s">
        <v>27</v>
      </c>
      <c r="N112" s="22"/>
      <c r="O112" s="3">
        <f>VLOOKUP(M112&amp;"Total",$D:$AB,2,FALSE)/100*N112</f>
        <v>0</v>
      </c>
      <c r="P112" s="22" t="s">
        <v>27</v>
      </c>
      <c r="Q112" s="22"/>
      <c r="R112" s="3">
        <f>VLOOKUP(P112&amp;"Total",$D:$AB,2,FALSE)/100*Q112</f>
        <v>0</v>
      </c>
      <c r="T112" s="3">
        <f t="shared" si="38"/>
        <v>12.138602564102566</v>
      </c>
      <c r="V112" s="22" t="s">
        <v>70</v>
      </c>
      <c r="W112" s="22">
        <v>15</v>
      </c>
      <c r="X112" s="22">
        <v>27.5</v>
      </c>
      <c r="AA112" s="3">
        <f>100/$X112*$H112*VLOOKUP($G112&amp;"Total",$D:$AK,24,FALSE)/100+100/$X112*$K112*VLOOKUP($J112&amp;"Total",$D:$AK,24,FALSE)/100+100/$X112*$N112*VLOOKUP($M112&amp;"Total",$D:$AK,24,FALSE)/100+100/$X112*$Q112*VLOOKUP($P112&amp;"Total",$D:$AK,24,FALSE)/100+
(IF($G112=AA$66,$H112,0)+IF($J112=AA$66,$K112,0)+IF($M112=AA$66,$N112,0)+IF($P112=AA$66,$Q112,0))*100/$X112</f>
        <v>0</v>
      </c>
      <c r="AB112" s="3">
        <f>100/$X112*$H112*VLOOKUP($G112&amp;"Total",$D:$AK,25,FALSE)/100+100/$X112*$K112*VLOOKUP($J112&amp;"Total",$D:$AK,25,FALSE)/100+100/$X112*$N112*VLOOKUP($M112&amp;"Total",$D:$AK,25,FALSE)/100+100/$X112*$Q112*VLOOKUP($P112&amp;"Total",$D:$AK,25,FALSE)/100+
(IF($G112=AB$66,$H112,0)+IF($J112=AB$66,$K112,0)+IF($M112=AB$66,$N112,0)+IF($P112=AB$66,$Q112,0))*100/$X112</f>
        <v>0</v>
      </c>
      <c r="AC112" s="3">
        <f>100/$X112*$H112*VLOOKUP($G112&amp;"Total",$D:$AK,26,FALSE)/100+100/$X112*$K112*VLOOKUP($J112&amp;"Total",$D:$AK,26,FALSE)/100+100/$X112*$N112*VLOOKUP($M112&amp;"Total",$D:$AK,26,FALSE)/100+100/$X112*$Q112*VLOOKUP($P112&amp;"Total",$D:$AK,26,FALSE)/100+
(IF($G112=AC$66,$H112,0)+IF($J112=AC$66,$K112,0)+IF($M112=AC$66,$N112,0)+IF($P112=AC$66,$Q112,0))*100/$X112</f>
        <v>0</v>
      </c>
      <c r="AD112" s="3">
        <f>100/$X112*$H112*VLOOKUP($G112&amp;"Total",$D:$AK,27,FALSE)/100+100/$X112*$K112*VLOOKUP($J112&amp;"Total",$D:$AK,27,FALSE)/100+100/$X112*$N112*VLOOKUP($M112&amp;"Total",$D:$AK,27,FALSE)/100+100/$X112*$Q112*VLOOKUP($P112&amp;"Total",$D:$AK,27,FALSE)/100+
(IF($G112=AD$66,$H112,0)+IF($J112=AD$66,$K112,0)+IF($M112=AD$66,$N112,0)+IF($P112=AD$66,$Q112,0))*100/$X112</f>
        <v>0</v>
      </c>
      <c r="AE112" s="3">
        <f>100/$X112*$H112*VLOOKUP($G112&amp;"Total",$D:$AK,28,FALSE)/100+100/$X112*$K112*VLOOKUP($J112&amp;"Total",$D:$AK,28,FALSE)/100+100/$X112*$N112*VLOOKUP($M112&amp;"Total",$D:$AK,28,FALSE)/100+100/$X112*$Q112*VLOOKUP($P112&amp;"Total",$D:$AK,28,FALSE)/100+
(IF($G112=AE$66,$H112,0)+IF($J112=AE$66,$K112,0)+IF($M112=AE$66,$N112,0)+IF($P112=AE$66,$Q112,0))*100/$X112</f>
        <v>16.363636363636363</v>
      </c>
      <c r="AF112" s="3">
        <f>100/$X112*$H112*VLOOKUP($G112&amp;"Total",$D:$AK,29,FALSE)/100+100/$X112*$K112*VLOOKUP($J112&amp;"Total",$D:$AK,29,FALSE)/100+100/$X112*$N112*VLOOKUP($M112&amp;"Total",$D:$AK,29,FALSE)/100+100/$X112*$Q112*VLOOKUP($P112&amp;"Total",$D:$AK,29,FALSE)/100+
(IF($G112=AF$66,$H112,0)+IF($J112=AF$66,$K112,0)+IF($M112=AF$66,$N112,0)+IF($P112=AF$66,$Q112,0))*100/$X112</f>
        <v>0</v>
      </c>
      <c r="AG112" s="3">
        <f>100/$X112*$H112*VLOOKUP($G112&amp;"Total",$D:$AK,30,FALSE)/100+100/$X112*$K112*VLOOKUP($J112&amp;"Total",$D:$AK,30,FALSE)/100+100/$X112*$N112*VLOOKUP($M112&amp;"Total",$D:$AK,30,FALSE)/100+100/$X112*$Q112*VLOOKUP($P112&amp;"Total",$D:$AK,30,FALSE)/100+
(IF($G112=AG$66,$H112,0)+IF($J112=AG$66,$K112,0)+IF($M112=AG$66,$N112,0)+IF($P112=AG$66,$Q112,0))*100/$X112</f>
        <v>0</v>
      </c>
      <c r="AH112" s="3">
        <f>100/$X112*$H112*VLOOKUP($G112&amp;"Total",$D:$AK,31,FALSE)/100+100/$X112*$K112*VLOOKUP($J112&amp;"Total",$D:$AK,31,FALSE)/100+100/$X112*$N112*VLOOKUP($M112&amp;"Total",$D:$AK,31,FALSE)/100+100/$X112*$Q112*VLOOKUP($P112&amp;"Total",$D:$AK,31,FALSE)/100+
(IF($G112=AH$66,$H112,0)+IF($J112=AH$66,$K112,0)+IF($M112=AH$66,$N112,0)+IF($P112=AH$66,$Q112,0))*100/$X112</f>
        <v>0</v>
      </c>
      <c r="AI112" s="3">
        <f>100/$X112*$H112*VLOOKUP($G112&amp;"Total",$D:$AK,32,FALSE)/100+100/$X112*$K112*VLOOKUP($J112&amp;"Total",$D:$AK,32,FALSE)/100+100/$X112*$N112*VLOOKUP($M112&amp;"Total",$D:$AK,32,FALSE)/100+100/$X112*$Q112*VLOOKUP($P112&amp;"Total",$D:$AK,32,FALSE)/100+
(IF($G112=AI$66,$H112,0)+IF($J112=AI$66,$K112,0)+IF($M112=AI$66,$N112,0)+IF($P112=AI$66,$Q112,0))*100/$X112</f>
        <v>0</v>
      </c>
      <c r="AJ112" s="3">
        <f>100/$X112*$H112*VLOOKUP($G112&amp;"Total",$D:$AK,33,FALSE)/100+100/$X112*$K112*VLOOKUP($J112&amp;"Total",$D:$AK,33,FALSE)/100+100/$X112*$N112*VLOOKUP($M112&amp;"Total",$D:$AK,33,FALSE)/100+100/$X112*$Q112*VLOOKUP($P112&amp;"Total",$D:$AK,33,FALSE)/100+
(IF($G112=AJ$66,$H112,0)+IF($J112=AJ$66,$K112,0)+IF($M112=AJ$66,$N112,0)+IF($P112=AJ$66,$Q112,0))*100/$X112</f>
        <v>0</v>
      </c>
      <c r="AK112" s="3">
        <f>100/$X112*$H112*VLOOKUP($G112&amp;"Total",$D:$AK,34,FALSE)/100+100/$X112*$K112*VLOOKUP($J112&amp;"Total",$D:$AK,34,FALSE)/100+100/$X112*$N112*VLOOKUP($M112&amp;"Total",$D:$AK,34,FALSE)/100+100/$X112*$Q112*VLOOKUP($P112&amp;"Total",$D:$AK,34,FALSE)/100+
(IF($G112=AK$66,$H112,0)+IF($J112=AK$66,$K112,0)+IF($M112=AK$66,$N112,0)+IF($P112=AK$66,$Q112,0))*100/$X112</f>
        <v>27.27272727272727</v>
      </c>
    </row>
    <row r="113" spans="1:37" x14ac:dyDescent="0.25">
      <c r="E113" s="25"/>
      <c r="G113" s="22"/>
      <c r="H113" s="22"/>
      <c r="J113" s="22"/>
      <c r="K113" s="22"/>
      <c r="M113" s="22"/>
      <c r="N113" s="22"/>
      <c r="P113" s="22"/>
      <c r="Q113" s="22"/>
      <c r="V113" s="22"/>
      <c r="W113" s="22"/>
      <c r="X113" s="22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25">
      <c r="A114" t="s">
        <v>102</v>
      </c>
      <c r="B114" t="s">
        <v>102</v>
      </c>
      <c r="C114" t="s">
        <v>17</v>
      </c>
      <c r="D114" t="str">
        <f t="shared" ref="D114:D115" si="40">A114&amp;C114</f>
        <v>QuickwireTotal</v>
      </c>
      <c r="E114" s="26">
        <f t="shared" ref="E114:E115" si="41">100/X114*(T114+W114)</f>
        <v>18.800000000000004</v>
      </c>
      <c r="G114" t="s">
        <v>64</v>
      </c>
      <c r="H114" s="22">
        <v>12</v>
      </c>
      <c r="I114" s="3">
        <f>VLOOKUP(G114&amp;"Total",$D:$AB,2,FALSE)/100*H114</f>
        <v>7.2800000000000011</v>
      </c>
      <c r="J114" s="22" t="s">
        <v>27</v>
      </c>
      <c r="K114" s="22"/>
      <c r="L114" s="3">
        <f>VLOOKUP(J114&amp;"Total",$D:$AB,2,FALSE)/100*K114</f>
        <v>0</v>
      </c>
      <c r="M114" s="22" t="s">
        <v>27</v>
      </c>
      <c r="N114" s="22"/>
      <c r="O114" s="3">
        <f>VLOOKUP(M114&amp;"Total",$D:$AB,2,FALSE)/100*N114</f>
        <v>0</v>
      </c>
      <c r="P114" s="22" t="s">
        <v>27</v>
      </c>
      <c r="Q114" s="22"/>
      <c r="R114" s="3">
        <f>VLOOKUP(P114&amp;"Total",$D:$AB,2,FALSE)/100*Q114</f>
        <v>0</v>
      </c>
      <c r="T114" s="3">
        <f t="shared" ref="T114:T115" si="42">I114+L114+O114+R114</f>
        <v>7.2800000000000011</v>
      </c>
      <c r="V114" s="22" t="s">
        <v>67</v>
      </c>
      <c r="W114" s="22">
        <v>4</v>
      </c>
      <c r="X114" s="22">
        <v>60</v>
      </c>
      <c r="AA114" s="3">
        <f>100/$X114*$H114*VLOOKUP($G114&amp;"Total",$D:$AK,24,FALSE)/100+100/$X114*$K114*VLOOKUP($J114&amp;"Total",$D:$AK,24,FALSE)/100+100/$X114*$N114*VLOOKUP($M114&amp;"Total",$D:$AK,24,FALSE)/100+100/$X114*$Q114*VLOOKUP($P114&amp;"Total",$D:$AK,24,FALSE)/100+
(IF($G114=AA$66,$H114,0)+IF($J114=AA$66,$K114,0)+IF($M114=AA$66,$N114,0)+IF($P114=AA$66,$Q114,0))*100/$X114</f>
        <v>0</v>
      </c>
      <c r="AB114" s="3">
        <f>100/$X114*$H114*VLOOKUP($G114&amp;"Total",$D:$AK,25,FALSE)/100+100/$X114*$K114*VLOOKUP($J114&amp;"Total",$D:$AK,25,FALSE)/100+100/$X114*$N114*VLOOKUP($M114&amp;"Total",$D:$AK,25,FALSE)/100+100/$X114*$Q114*VLOOKUP($P114&amp;"Total",$D:$AK,25,FALSE)/100+
(IF($G114=AB$66,$H114,0)+IF($J114=AB$66,$K114,0)+IF($M114=AB$66,$N114,0)+IF($P114=AB$66,$Q114,0))*100/$X114</f>
        <v>0</v>
      </c>
      <c r="AC114" s="3">
        <f>100/$X114*$H114*VLOOKUP($G114&amp;"Total",$D:$AK,26,FALSE)/100+100/$X114*$K114*VLOOKUP($J114&amp;"Total",$D:$AK,26,FALSE)/100+100/$X114*$N114*VLOOKUP($M114&amp;"Total",$D:$AK,26,FALSE)/100+100/$X114*$Q114*VLOOKUP($P114&amp;"Total",$D:$AK,26,FALSE)/100+
(IF($G114=AC$66,$H114,0)+IF($J114=AC$66,$K114,0)+IF($M114=AC$66,$N114,0)+IF($P114=AC$66,$Q114,0))*100/$X114</f>
        <v>0</v>
      </c>
      <c r="AD114" s="3">
        <f>100/$X114*$H114*VLOOKUP($G114&amp;"Total",$D:$AK,27,FALSE)/100+100/$X114*$K114*VLOOKUP($J114&amp;"Total",$D:$AK,27,FALSE)/100+100/$X114*$N114*VLOOKUP($M114&amp;"Total",$D:$AK,27,FALSE)/100+100/$X114*$Q114*VLOOKUP($P114&amp;"Total",$D:$AK,27,FALSE)/100+
(IF($G114=AD$66,$H114,0)+IF($J114=AD$66,$K114,0)+IF($M114=AD$66,$N114,0)+IF($P114=AD$66,$Q114,0))*100/$X114</f>
        <v>0</v>
      </c>
      <c r="AE114" s="3">
        <f>100/$X114*$H114*VLOOKUP($G114&amp;"Total",$D:$AK,28,FALSE)/100+100/$X114*$K114*VLOOKUP($J114&amp;"Total",$D:$AK,28,FALSE)/100+100/$X114*$N114*VLOOKUP($M114&amp;"Total",$D:$AK,28,FALSE)/100+100/$X114*$Q114*VLOOKUP($P114&amp;"Total",$D:$AK,28,FALSE)/100+
(IF($G114=AE$66,$H114,0)+IF($J114=AE$66,$K114,0)+IF($M114=AE$66,$N114,0)+IF($P114=AE$66,$Q114,0))*100/$X114</f>
        <v>60</v>
      </c>
      <c r="AF114" s="3">
        <f>100/$X114*$H114*VLOOKUP($G114&amp;"Total",$D:$AK,29,FALSE)/100+100/$X114*$K114*VLOOKUP($J114&amp;"Total",$D:$AK,29,FALSE)/100+100/$X114*$N114*VLOOKUP($M114&amp;"Total",$D:$AK,29,FALSE)/100+100/$X114*$Q114*VLOOKUP($P114&amp;"Total",$D:$AK,29,FALSE)/100+
(IF($G114=AF$66,$H114,0)+IF($J114=AF$66,$K114,0)+IF($M114=AF$66,$N114,0)+IF($P114=AF$66,$Q114,0))*100/$X114</f>
        <v>0</v>
      </c>
      <c r="AG114" s="3">
        <f>100/$X114*$H114*VLOOKUP($G114&amp;"Total",$D:$AK,30,FALSE)/100+100/$X114*$K114*VLOOKUP($J114&amp;"Total",$D:$AK,30,FALSE)/100+100/$X114*$N114*VLOOKUP($M114&amp;"Total",$D:$AK,30,FALSE)/100+100/$X114*$Q114*VLOOKUP($P114&amp;"Total",$D:$AK,30,FALSE)/100+
(IF($G114=AG$66,$H114,0)+IF($J114=AG$66,$K114,0)+IF($M114=AG$66,$N114,0)+IF($P114=AG$66,$Q114,0))*100/$X114</f>
        <v>0</v>
      </c>
      <c r="AH114" s="3">
        <f>100/$X114*$H114*VLOOKUP($G114&amp;"Total",$D:$AK,31,FALSE)/100+100/$X114*$K114*VLOOKUP($J114&amp;"Total",$D:$AK,31,FALSE)/100+100/$X114*$N114*VLOOKUP($M114&amp;"Total",$D:$AK,31,FALSE)/100+100/$X114*$Q114*VLOOKUP($P114&amp;"Total",$D:$AK,31,FALSE)/100+
(IF($G114=AH$66,$H114,0)+IF($J114=AH$66,$K114,0)+IF($M114=AH$66,$N114,0)+IF($P114=AH$66,$Q114,0))*100/$X114</f>
        <v>0</v>
      </c>
      <c r="AI114" s="3">
        <f>100/$X114*$H114*VLOOKUP($G114&amp;"Total",$D:$AK,32,FALSE)/100+100/$X114*$K114*VLOOKUP($J114&amp;"Total",$D:$AK,32,FALSE)/100+100/$X114*$N114*VLOOKUP($M114&amp;"Total",$D:$AK,32,FALSE)/100+100/$X114*$Q114*VLOOKUP($P114&amp;"Total",$D:$AK,32,FALSE)/100+
(IF($G114=AI$66,$H114,0)+IF($J114=AI$66,$K114,0)+IF($M114=AI$66,$N114,0)+IF($P114=AI$66,$Q114,0))*100/$X114</f>
        <v>0</v>
      </c>
      <c r="AJ114" s="3">
        <f>100/$X114*$H114*VLOOKUP($G114&amp;"Total",$D:$AK,33,FALSE)/100+100/$X114*$K114*VLOOKUP($J114&amp;"Total",$D:$AK,33,FALSE)/100+100/$X114*$N114*VLOOKUP($M114&amp;"Total",$D:$AK,33,FALSE)/100+100/$X114*$Q114*VLOOKUP($P114&amp;"Total",$D:$AK,33,FALSE)/100+
(IF($G114=AJ$66,$H114,0)+IF($J114=AJ$66,$K114,0)+IF($M114=AJ$66,$N114,0)+IF($P114=AJ$66,$Q114,0))*100/$X114</f>
        <v>0</v>
      </c>
      <c r="AK114" s="3">
        <f>100/$X114*$H114*VLOOKUP($G114&amp;"Total",$D:$AK,34,FALSE)/100+100/$X114*$K114*VLOOKUP($J114&amp;"Total",$D:$AK,34,FALSE)/100+100/$X114*$N114*VLOOKUP($M114&amp;"Total",$D:$AK,34,FALSE)/100+100/$X114*$Q114*VLOOKUP($P114&amp;"Total",$D:$AK,34,FALSE)/100+
(IF($G114=AK$66,$H114,0)+IF($J114=AK$66,$K114,0)+IF($M114=AK$66,$N114,0)+IF($P114=AK$66,$Q114,0))*100/$X114</f>
        <v>0</v>
      </c>
    </row>
    <row r="115" spans="1:37" x14ac:dyDescent="0.25">
      <c r="A115" t="s">
        <v>102</v>
      </c>
      <c r="B115" t="s">
        <v>103</v>
      </c>
      <c r="D115" t="str">
        <f t="shared" si="40"/>
        <v>Quickwire</v>
      </c>
      <c r="E115" s="26">
        <f t="shared" si="41"/>
        <v>33.619922630560929</v>
      </c>
      <c r="G115" t="s">
        <v>64</v>
      </c>
      <c r="H115" s="22">
        <v>7.5</v>
      </c>
      <c r="I115" s="3">
        <f>VLOOKUP(G115&amp;"Total",$D:$AB,2,FALSE)/100*H115</f>
        <v>4.5500000000000007</v>
      </c>
      <c r="J115" t="s">
        <v>61</v>
      </c>
      <c r="K115" s="22">
        <v>37.5</v>
      </c>
      <c r="L115" s="3">
        <f>VLOOKUP(J115&amp;"Total",$D:$AB,2,FALSE)/100*K115</f>
        <v>10.707930367504837</v>
      </c>
      <c r="M115" s="22" t="s">
        <v>27</v>
      </c>
      <c r="N115" s="22"/>
      <c r="O115" s="3">
        <f>VLOOKUP(M115&amp;"Total",$D:$AB,2,FALSE)/100*N115</f>
        <v>0</v>
      </c>
      <c r="P115" s="22" t="s">
        <v>27</v>
      </c>
      <c r="Q115" s="22"/>
      <c r="R115" s="3">
        <f>VLOOKUP(P115&amp;"Total",$D:$AB,2,FALSE)/100*Q115</f>
        <v>0</v>
      </c>
      <c r="T115" s="3">
        <f t="shared" si="42"/>
        <v>15.257930367504837</v>
      </c>
      <c r="V115" s="22" t="s">
        <v>70</v>
      </c>
      <c r="W115" s="22">
        <v>15</v>
      </c>
      <c r="X115" s="22">
        <v>90</v>
      </c>
      <c r="AA115" s="3">
        <f>100/$X115*$H115*VLOOKUP($G115&amp;"Total",$D:$AK,24,FALSE)/100+100/$X115*$K115*VLOOKUP($J115&amp;"Total",$D:$AK,24,FALSE)/100+100/$X115*$N115*VLOOKUP($M115&amp;"Total",$D:$AK,24,FALSE)/100+100/$X115*$Q115*VLOOKUP($P115&amp;"Total",$D:$AK,24,FALSE)/100+
(IF($G115=AA$66,$H115,0)+IF($J115=AA$66,$K115,0)+IF($M115=AA$66,$N115,0)+IF($P115=AA$66,$Q115,0))*100/$X115</f>
        <v>0</v>
      </c>
      <c r="AB115" s="3">
        <f>100/$X115*$H115*VLOOKUP($G115&amp;"Total",$D:$AK,25,FALSE)/100+100/$X115*$K115*VLOOKUP($J115&amp;"Total",$D:$AK,25,FALSE)/100+100/$X115*$N115*VLOOKUP($M115&amp;"Total",$D:$AK,25,FALSE)/100+100/$X115*$Q115*VLOOKUP($P115&amp;"Total",$D:$AK,25,FALSE)/100+
(IF($G115=AB$66,$H115,0)+IF($J115=AB$66,$K115,0)+IF($M115=AB$66,$N115,0)+IF($P115=AB$66,$Q115,0))*100/$X115</f>
        <v>41.666666666666671</v>
      </c>
      <c r="AC115" s="3">
        <f>100/$X115*$H115*VLOOKUP($G115&amp;"Total",$D:$AK,26,FALSE)/100+100/$X115*$K115*VLOOKUP($J115&amp;"Total",$D:$AK,26,FALSE)/100+100/$X115*$N115*VLOOKUP($M115&amp;"Total",$D:$AK,26,FALSE)/100+100/$X115*$Q115*VLOOKUP($P115&amp;"Total",$D:$AK,26,FALSE)/100+
(IF($G115=AC$66,$H115,0)+IF($J115=AC$66,$K115,0)+IF($M115=AC$66,$N115,0)+IF($P115=AC$66,$Q115,0))*100/$X115</f>
        <v>0</v>
      </c>
      <c r="AD115" s="3">
        <f>100/$X115*$H115*VLOOKUP($G115&amp;"Total",$D:$AK,27,FALSE)/100+100/$X115*$K115*VLOOKUP($J115&amp;"Total",$D:$AK,27,FALSE)/100+100/$X115*$N115*VLOOKUP($M115&amp;"Total",$D:$AK,27,FALSE)/100+100/$X115*$Q115*VLOOKUP($P115&amp;"Total",$D:$AK,27,FALSE)/100+
(IF($G115=AD$66,$H115,0)+IF($J115=AD$66,$K115,0)+IF($M115=AD$66,$N115,0)+IF($P115=AD$66,$Q115,0))*100/$X115</f>
        <v>0</v>
      </c>
      <c r="AE115" s="3">
        <f>100/$X115*$H115*VLOOKUP($G115&amp;"Total",$D:$AK,28,FALSE)/100+100/$X115*$K115*VLOOKUP($J115&amp;"Total",$D:$AK,28,FALSE)/100+100/$X115*$N115*VLOOKUP($M115&amp;"Total",$D:$AK,28,FALSE)/100+100/$X115*$Q115*VLOOKUP($P115&amp;"Total",$D:$AK,28,FALSE)/100+
(IF($G115=AE$66,$H115,0)+IF($J115=AE$66,$K115,0)+IF($M115=AE$66,$N115,0)+IF($P115=AE$66,$Q115,0))*100/$X115</f>
        <v>25</v>
      </c>
      <c r="AF115" s="3">
        <f>100/$X115*$H115*VLOOKUP($G115&amp;"Total",$D:$AK,29,FALSE)/100+100/$X115*$K115*VLOOKUP($J115&amp;"Total",$D:$AK,29,FALSE)/100+100/$X115*$N115*VLOOKUP($M115&amp;"Total",$D:$AK,29,FALSE)/100+100/$X115*$Q115*VLOOKUP($P115&amp;"Total",$D:$AK,29,FALSE)/100+
(IF($G115=AF$66,$H115,0)+IF($J115=AF$66,$K115,0)+IF($M115=AF$66,$N115,0)+IF($P115=AF$66,$Q115,0))*100/$X115</f>
        <v>0</v>
      </c>
      <c r="AG115" s="3">
        <f>100/$X115*$H115*VLOOKUP($G115&amp;"Total",$D:$AK,30,FALSE)/100+100/$X115*$K115*VLOOKUP($J115&amp;"Total",$D:$AK,30,FALSE)/100+100/$X115*$N115*VLOOKUP($M115&amp;"Total",$D:$AK,30,FALSE)/100+100/$X115*$Q115*VLOOKUP($P115&amp;"Total",$D:$AK,30,FALSE)/100+
(IF($G115=AG$66,$H115,0)+IF($J115=AG$66,$K115,0)+IF($M115=AG$66,$N115,0)+IF($P115=AG$66,$Q115,0))*100/$X115</f>
        <v>0</v>
      </c>
      <c r="AH115" s="3">
        <f>100/$X115*$H115*VLOOKUP($G115&amp;"Total",$D:$AK,31,FALSE)/100+100/$X115*$K115*VLOOKUP($J115&amp;"Total",$D:$AK,31,FALSE)/100+100/$X115*$N115*VLOOKUP($M115&amp;"Total",$D:$AK,31,FALSE)/100+100/$X115*$Q115*VLOOKUP($P115&amp;"Total",$D:$AK,31,FALSE)/100+
(IF($G115=AH$66,$H115,0)+IF($J115=AH$66,$K115,0)+IF($M115=AH$66,$N115,0)+IF($P115=AH$66,$Q115,0))*100/$X115</f>
        <v>0</v>
      </c>
      <c r="AI115" s="3">
        <f>100/$X115*$H115*VLOOKUP($G115&amp;"Total",$D:$AK,32,FALSE)/100+100/$X115*$K115*VLOOKUP($J115&amp;"Total",$D:$AK,32,FALSE)/100+100/$X115*$N115*VLOOKUP($M115&amp;"Total",$D:$AK,32,FALSE)/100+100/$X115*$Q115*VLOOKUP($P115&amp;"Total",$D:$AK,32,FALSE)/100+
(IF($G115=AI$66,$H115,0)+IF($J115=AI$66,$K115,0)+IF($M115=AI$66,$N115,0)+IF($P115=AI$66,$Q115,0))*100/$X115</f>
        <v>0</v>
      </c>
      <c r="AJ115" s="3">
        <f>100/$X115*$H115*VLOOKUP($G115&amp;"Total",$D:$AK,33,FALSE)/100+100/$X115*$K115*VLOOKUP($J115&amp;"Total",$D:$AK,33,FALSE)/100+100/$X115*$N115*VLOOKUP($M115&amp;"Total",$D:$AK,33,FALSE)/100+100/$X115*$Q115*VLOOKUP($P115&amp;"Total",$D:$AK,33,FALSE)/100+
(IF($G115=AJ$66,$H115,0)+IF($J115=AJ$66,$K115,0)+IF($M115=AJ$66,$N115,0)+IF($P115=AJ$66,$Q115,0))*100/$X115</f>
        <v>0</v>
      </c>
      <c r="AK115" s="3">
        <f>100/$X115*$H115*VLOOKUP($G115&amp;"Total",$D:$AK,34,FALSE)/100+100/$X115*$K115*VLOOKUP($J115&amp;"Total",$D:$AK,34,FALSE)/100+100/$X115*$N115*VLOOKUP($M115&amp;"Total",$D:$AK,34,FALSE)/100+100/$X115*$Q115*VLOOKUP($P115&amp;"Total",$D:$AK,34,FALSE)/100+
(IF($G115=AK$66,$H115,0)+IF($J115=AK$66,$K115,0)+IF($M115=AK$66,$N115,0)+IF($P115=AK$66,$Q115,0))*100/$X115</f>
        <v>0</v>
      </c>
    </row>
    <row r="116" spans="1:37" x14ac:dyDescent="0.25">
      <c r="E116" s="25"/>
      <c r="G116" s="22"/>
      <c r="H116" s="22"/>
      <c r="J116" s="22"/>
      <c r="K116" s="22"/>
      <c r="M116" s="22"/>
      <c r="N116" s="22"/>
      <c r="P116" s="22"/>
      <c r="Q116" s="22"/>
      <c r="V116" s="22"/>
      <c r="W116" s="22"/>
      <c r="X116" s="22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25">
      <c r="A117" t="s">
        <v>104</v>
      </c>
      <c r="B117" t="s">
        <v>104</v>
      </c>
      <c r="C117" t="s">
        <v>17</v>
      </c>
      <c r="D117" t="str">
        <f t="shared" ref="D117" si="43">A117&amp;C117</f>
        <v>AI LimiterTotal</v>
      </c>
      <c r="E117" s="26">
        <f t="shared" ref="E117" si="44">100/X117*(T117+W117)</f>
        <v>1161.5448098001291</v>
      </c>
      <c r="G117" t="s">
        <v>95</v>
      </c>
      <c r="H117" s="22">
        <v>25</v>
      </c>
      <c r="I117" s="3">
        <f>VLOOKUP(G117&amp;"Total",$D:$AB,2,FALSE)/100*H117</f>
        <v>24.277240490006449</v>
      </c>
      <c r="J117" t="s">
        <v>102</v>
      </c>
      <c r="K117" s="22">
        <v>100</v>
      </c>
      <c r="L117" s="3">
        <f>VLOOKUP(J117&amp;"Total",$D:$AB,2,FALSE)/100*K117</f>
        <v>18.800000000000004</v>
      </c>
      <c r="M117" s="22" t="s">
        <v>27</v>
      </c>
      <c r="N117" s="22"/>
      <c r="O117" s="3">
        <f>VLOOKUP(M117&amp;"Total",$D:$AB,2,FALSE)/100*N117</f>
        <v>0</v>
      </c>
      <c r="P117" s="22" t="s">
        <v>27</v>
      </c>
      <c r="Q117" s="22"/>
      <c r="R117" s="3">
        <f>VLOOKUP(P117&amp;"Total",$D:$AB,2,FALSE)/100*Q117</f>
        <v>0</v>
      </c>
      <c r="T117" s="3">
        <f t="shared" ref="T117" si="45">I117+L117+O117+R117</f>
        <v>43.077240490006453</v>
      </c>
      <c r="V117" s="22" t="s">
        <v>70</v>
      </c>
      <c r="W117" s="22">
        <v>15</v>
      </c>
      <c r="X117" s="22">
        <v>5</v>
      </c>
      <c r="AA117" s="3">
        <f>100/$X117*$H117*VLOOKUP($G117&amp;"Total",$D:$AK,24,FALSE)/100+100/$X117*$K117*VLOOKUP($J117&amp;"Total",$D:$AK,24,FALSE)/100+100/$X117*$N117*VLOOKUP($M117&amp;"Total",$D:$AK,24,FALSE)/100+100/$X117*$Q117*VLOOKUP($P117&amp;"Total",$D:$AK,24,FALSE)/100+
(IF($G117=AA$66,$H117,0)+IF($J117=AA$66,$K117,0)+IF($M117=AA$66,$N117,0)+IF($P117=AA$66,$Q117,0))*100/$X117</f>
        <v>0</v>
      </c>
      <c r="AB117" s="3">
        <f>100/$X117*$H117*VLOOKUP($G117&amp;"Total",$D:$AK,25,FALSE)/100+100/$X117*$K117*VLOOKUP($J117&amp;"Total",$D:$AK,25,FALSE)/100+100/$X117*$N117*VLOOKUP($M117&amp;"Total",$D:$AK,25,FALSE)/100+100/$X117*$Q117*VLOOKUP($P117&amp;"Total",$D:$AK,25,FALSE)/100+
(IF($G117=AB$66,$H117,0)+IF($J117=AB$66,$K117,0)+IF($M117=AB$66,$N117,0)+IF($P117=AB$66,$Q117,0))*100/$X117</f>
        <v>1000</v>
      </c>
      <c r="AC117" s="3">
        <f>100/$X117*$H117*VLOOKUP($G117&amp;"Total",$D:$AK,26,FALSE)/100+100/$X117*$K117*VLOOKUP($J117&amp;"Total",$D:$AK,26,FALSE)/100+100/$X117*$N117*VLOOKUP($M117&amp;"Total",$D:$AK,26,FALSE)/100+100/$X117*$Q117*VLOOKUP($P117&amp;"Total",$D:$AK,26,FALSE)/100+
(IF($G117=AC$66,$H117,0)+IF($J117=AC$66,$K117,0)+IF($M117=AC$66,$N117,0)+IF($P117=AC$66,$Q117,0))*100/$X117</f>
        <v>0</v>
      </c>
      <c r="AD117" s="3">
        <f>100/$X117*$H117*VLOOKUP($G117&amp;"Total",$D:$AK,27,FALSE)/100+100/$X117*$K117*VLOOKUP($J117&amp;"Total",$D:$AK,27,FALSE)/100+100/$X117*$N117*VLOOKUP($M117&amp;"Total",$D:$AK,27,FALSE)/100+100/$X117*$Q117*VLOOKUP($P117&amp;"Total",$D:$AK,27,FALSE)/100+
(IF($G117=AD$66,$H117,0)+IF($J117=AD$66,$K117,0)+IF($M117=AD$66,$N117,0)+IF($P117=AD$66,$Q117,0))*100/$X117</f>
        <v>0</v>
      </c>
      <c r="AE117" s="3">
        <f>100/$X117*$H117*VLOOKUP($G117&amp;"Total",$D:$AK,28,FALSE)/100+100/$X117*$K117*VLOOKUP($J117&amp;"Total",$D:$AK,28,FALSE)/100+100/$X117*$N117*VLOOKUP($M117&amp;"Total",$D:$AK,28,FALSE)/100+100/$X117*$Q117*VLOOKUP($P117&amp;"Total",$D:$AK,28,FALSE)/100+
(IF($G117=AE$66,$H117,0)+IF($J117=AE$66,$K117,0)+IF($M117=AE$66,$N117,0)+IF($P117=AE$66,$Q117,0))*100/$X117</f>
        <v>1200</v>
      </c>
      <c r="AF117" s="3">
        <f>100/$X117*$H117*VLOOKUP($G117&amp;"Total",$D:$AK,29,FALSE)/100+100/$X117*$K117*VLOOKUP($J117&amp;"Total",$D:$AK,29,FALSE)/100+100/$X117*$N117*VLOOKUP($M117&amp;"Total",$D:$AK,29,FALSE)/100+100/$X117*$Q117*VLOOKUP($P117&amp;"Total",$D:$AK,29,FALSE)/100+
(IF($G117=AF$66,$H117,0)+IF($J117=AF$66,$K117,0)+IF($M117=AF$66,$N117,0)+IF($P117=AF$66,$Q117,0))*100/$X117</f>
        <v>0</v>
      </c>
      <c r="AG117" s="3">
        <f>100/$X117*$H117*VLOOKUP($G117&amp;"Total",$D:$AK,30,FALSE)/100+100/$X117*$K117*VLOOKUP($J117&amp;"Total",$D:$AK,30,FALSE)/100+100/$X117*$N117*VLOOKUP($M117&amp;"Total",$D:$AK,30,FALSE)/100+100/$X117*$Q117*VLOOKUP($P117&amp;"Total",$D:$AK,30,FALSE)/100+
(IF($G117=AG$66,$H117,0)+IF($J117=AG$66,$K117,0)+IF($M117=AG$66,$N117,0)+IF($P117=AG$66,$Q117,0))*100/$X117</f>
        <v>0</v>
      </c>
      <c r="AH117" s="3">
        <f>100/$X117*$H117*VLOOKUP($G117&amp;"Total",$D:$AK,31,FALSE)/100+100/$X117*$K117*VLOOKUP($J117&amp;"Total",$D:$AK,31,FALSE)/100+100/$X117*$N117*VLOOKUP($M117&amp;"Total",$D:$AK,31,FALSE)/100+100/$X117*$Q117*VLOOKUP($P117&amp;"Total",$D:$AK,31,FALSE)/100+
(IF($G117=AH$66,$H117,0)+IF($J117=AH$66,$K117,0)+IF($M117=AH$66,$N117,0)+IF($P117=AH$66,$Q117,0))*100/$X117</f>
        <v>0</v>
      </c>
      <c r="AI117" s="3">
        <f>100/$X117*$H117*VLOOKUP($G117&amp;"Total",$D:$AK,32,FALSE)/100+100/$X117*$K117*VLOOKUP($J117&amp;"Total",$D:$AK,32,FALSE)/100+100/$X117*$N117*VLOOKUP($M117&amp;"Total",$D:$AK,32,FALSE)/100+100/$X117*$Q117*VLOOKUP($P117&amp;"Total",$D:$AK,32,FALSE)/100+
(IF($G117=AI$66,$H117,0)+IF($J117=AI$66,$K117,0)+IF($M117=AI$66,$N117,0)+IF($P117=AI$66,$Q117,0))*100/$X117</f>
        <v>0</v>
      </c>
      <c r="AJ117" s="3">
        <f>100/$X117*$H117*VLOOKUP($G117&amp;"Total",$D:$AK,33,FALSE)/100+100/$X117*$K117*VLOOKUP($J117&amp;"Total",$D:$AK,33,FALSE)/100+100/$X117*$N117*VLOOKUP($M117&amp;"Total",$D:$AK,33,FALSE)/100+100/$X117*$Q117*VLOOKUP($P117&amp;"Total",$D:$AK,33,FALSE)/100+
(IF($G117=AJ$66,$H117,0)+IF($J117=AJ$66,$K117,0)+IF($M117=AJ$66,$N117,0)+IF($P117=AJ$66,$Q117,0))*100/$X117</f>
        <v>0</v>
      </c>
      <c r="AK117" s="3">
        <f>100/$X117*$H117*VLOOKUP($G117&amp;"Total",$D:$AK,34,FALSE)/100+100/$X117*$K117*VLOOKUP($J117&amp;"Total",$D:$AK,34,FALSE)/100+100/$X117*$N117*VLOOKUP($M117&amp;"Total",$D:$AK,34,FALSE)/100+100/$X117*$Q117*VLOOKUP($P117&amp;"Total",$D:$AK,34,FALSE)/100+
(IF($G117=AK$66,$H117,0)+IF($J117=AK$66,$K117,0)+IF($M117=AK$66,$N117,0)+IF($P117=AK$66,$Q117,0))*100/$X117</f>
        <v>0</v>
      </c>
    </row>
    <row r="118" spans="1:37" x14ac:dyDescent="0.25">
      <c r="E118" s="25"/>
      <c r="G118" s="22"/>
      <c r="H118" s="22"/>
      <c r="J118" s="22"/>
      <c r="K118" s="22"/>
      <c r="M118" s="22"/>
      <c r="N118" s="22"/>
      <c r="P118" s="22"/>
      <c r="Q118" s="22"/>
      <c r="V118" s="22"/>
      <c r="W118" s="22"/>
      <c r="X118" s="22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25">
      <c r="A119" t="s">
        <v>105</v>
      </c>
      <c r="B119" t="s">
        <v>105</v>
      </c>
      <c r="D119" t="str">
        <f>A119&amp;C119</f>
        <v>Circuit Board</v>
      </c>
      <c r="E119" s="26">
        <f t="shared" ref="E119:E122" si="46">100/X119*(T119+W119)</f>
        <v>1252.506129048257</v>
      </c>
      <c r="G119" t="s">
        <v>95</v>
      </c>
      <c r="H119" s="22">
        <v>15</v>
      </c>
      <c r="I119" s="3">
        <f>VLOOKUP(G119&amp;"Total",$D:$AB,2,FALSE)/100*H119</f>
        <v>14.566344294003869</v>
      </c>
      <c r="J119" t="s">
        <v>82</v>
      </c>
      <c r="K119" s="22">
        <v>30</v>
      </c>
      <c r="L119" s="3">
        <f>VLOOKUP(J119&amp;"Total",$D:$AB,2,FALSE)/100*K119</f>
        <v>64.371615384615396</v>
      </c>
      <c r="M119" s="22" t="s">
        <v>27</v>
      </c>
      <c r="N119" s="22"/>
      <c r="O119" s="3">
        <f>VLOOKUP(M119&amp;"Total",$D:$AB,2,FALSE)/100*N119</f>
        <v>0</v>
      </c>
      <c r="P119" s="22" t="s">
        <v>27</v>
      </c>
      <c r="Q119" s="22"/>
      <c r="R119" s="3">
        <f>VLOOKUP(P119&amp;"Total",$D:$AB,2,FALSE)/100*Q119</f>
        <v>0</v>
      </c>
      <c r="T119" s="3">
        <f t="shared" ref="T119:T122" si="47">I119+L119+O119+R119</f>
        <v>78.937959678619265</v>
      </c>
      <c r="V119" s="22" t="s">
        <v>70</v>
      </c>
      <c r="W119" s="22">
        <v>15</v>
      </c>
      <c r="X119" s="22">
        <v>7.5</v>
      </c>
      <c r="AA119" s="3">
        <f>100/$X119*$H119*VLOOKUP($G119&amp;"Total",$D:$AK,24,FALSE)/100+100/$X119*$K119*VLOOKUP($J119&amp;"Total",$D:$AK,24,FALSE)/100+100/$X119*$N119*VLOOKUP($M119&amp;"Total",$D:$AK,24,FALSE)/100+100/$X119*$Q119*VLOOKUP($P119&amp;"Total",$D:$AK,24,FALSE)/100+
(IF($G119=AA$66,$H119,0)+IF($J119=AA$66,$K119,0)+IF($M119=AA$66,$N119,0)+IF($P119=AA$66,$Q119,0))*100/$X119</f>
        <v>0</v>
      </c>
      <c r="AB119" s="3">
        <f>100/$X119*$H119*VLOOKUP($G119&amp;"Total",$D:$AK,25,FALSE)/100+100/$X119*$K119*VLOOKUP($J119&amp;"Total",$D:$AK,25,FALSE)/100+100/$X119*$N119*VLOOKUP($M119&amp;"Total",$D:$AK,25,FALSE)/100+100/$X119*$Q119*VLOOKUP($P119&amp;"Total",$D:$AK,25,FALSE)/100+
(IF($G119=AB$66,$H119,0)+IF($J119=AB$66,$K119,0)+IF($M119=AB$66,$N119,0)+IF($P119=AB$66,$Q119,0))*100/$X119</f>
        <v>400</v>
      </c>
      <c r="AC119" s="3">
        <f>100/$X119*$H119*VLOOKUP($G119&amp;"Total",$D:$AK,26,FALSE)/100+100/$X119*$K119*VLOOKUP($J119&amp;"Total",$D:$AK,26,FALSE)/100+100/$X119*$N119*VLOOKUP($M119&amp;"Total",$D:$AK,26,FALSE)/100+100/$X119*$Q119*VLOOKUP($P119&amp;"Total",$D:$AK,26,FALSE)/100+
(IF($G119=AC$66,$H119,0)+IF($J119=AC$66,$K119,0)+IF($M119=AC$66,$N119,0)+IF($P119=AC$66,$Q119,0))*100/$X119</f>
        <v>0</v>
      </c>
      <c r="AD119" s="3">
        <f>100/$X119*$H119*VLOOKUP($G119&amp;"Total",$D:$AK,27,FALSE)/100+100/$X119*$K119*VLOOKUP($J119&amp;"Total",$D:$AK,27,FALSE)/100+100/$X119*$N119*VLOOKUP($M119&amp;"Total",$D:$AK,27,FALSE)/100+100/$X119*$Q119*VLOOKUP($P119&amp;"Total",$D:$AK,27,FALSE)/100+
(IF($G119=AD$66,$H119,0)+IF($J119=AD$66,$K119,0)+IF($M119=AD$66,$N119,0)+IF($P119=AD$66,$Q119,0))*100/$X119</f>
        <v>0</v>
      </c>
      <c r="AE119" s="3">
        <f>100/$X119*$H119*VLOOKUP($G119&amp;"Total",$D:$AK,28,FALSE)/100+100/$X119*$K119*VLOOKUP($J119&amp;"Total",$D:$AK,28,FALSE)/100+100/$X119*$N119*VLOOKUP($M119&amp;"Total",$D:$AK,28,FALSE)/100+100/$X119*$Q119*VLOOKUP($P119&amp;"Total",$D:$AK,28,FALSE)/100+
(IF($G119=AE$66,$H119,0)+IF($J119=AE$66,$K119,0)+IF($M119=AE$66,$N119,0)+IF($P119=AE$66,$Q119,0))*100/$X119</f>
        <v>0</v>
      </c>
      <c r="AF119" s="3">
        <f>100/$X119*$H119*VLOOKUP($G119&amp;"Total",$D:$AK,29,FALSE)/100+100/$X119*$K119*VLOOKUP($J119&amp;"Total",$D:$AK,29,FALSE)/100+100/$X119*$N119*VLOOKUP($M119&amp;"Total",$D:$AK,29,FALSE)/100+100/$X119*$Q119*VLOOKUP($P119&amp;"Total",$D:$AK,29,FALSE)/100+
(IF($G119=AF$66,$H119,0)+IF($J119=AF$66,$K119,0)+IF($M119=AF$66,$N119,0)+IF($P119=AF$66,$Q119,0))*100/$X119</f>
        <v>0</v>
      </c>
      <c r="AG119" s="3">
        <f>100/$X119*$H119*VLOOKUP($G119&amp;"Total",$D:$AK,30,FALSE)/100+100/$X119*$K119*VLOOKUP($J119&amp;"Total",$D:$AK,30,FALSE)/100+100/$X119*$N119*VLOOKUP($M119&amp;"Total",$D:$AK,30,FALSE)/100+100/$X119*$Q119*VLOOKUP($P119&amp;"Total",$D:$AK,30,FALSE)/100+
(IF($G119=AG$66,$H119,0)+IF($J119=AG$66,$K119,0)+IF($M119=AG$66,$N119,0)+IF($P119=AG$66,$Q119,0))*100/$X119</f>
        <v>0</v>
      </c>
      <c r="AH119" s="3">
        <f>100/$X119*$H119*VLOOKUP($G119&amp;"Total",$D:$AK,31,FALSE)/100+100/$X119*$K119*VLOOKUP($J119&amp;"Total",$D:$AK,31,FALSE)/100+100/$X119*$N119*VLOOKUP($M119&amp;"Total",$D:$AK,31,FALSE)/100+100/$X119*$Q119*VLOOKUP($P119&amp;"Total",$D:$AK,31,FALSE)/100+
(IF($G119=AH$66,$H119,0)+IF($J119=AH$66,$K119,0)+IF($M119=AH$66,$N119,0)+IF($P119=AH$66,$Q119,0))*100/$X119</f>
        <v>0</v>
      </c>
      <c r="AI119" s="3">
        <f>100/$X119*$H119*VLOOKUP($G119&amp;"Total",$D:$AK,32,FALSE)/100+100/$X119*$K119*VLOOKUP($J119&amp;"Total",$D:$AK,32,FALSE)/100+100/$X119*$N119*VLOOKUP($M119&amp;"Total",$D:$AK,32,FALSE)/100+100/$X119*$Q119*VLOOKUP($P119&amp;"Total",$D:$AK,32,FALSE)/100+
(IF($G119=AI$66,$H119,0)+IF($J119=AI$66,$K119,0)+IF($M119=AI$66,$N119,0)+IF($P119=AI$66,$Q119,0))*100/$X119</f>
        <v>0</v>
      </c>
      <c r="AJ119" s="3">
        <f>100/$X119*$H119*VLOOKUP($G119&amp;"Total",$D:$AK,33,FALSE)/100+100/$X119*$K119*VLOOKUP($J119&amp;"Total",$D:$AK,33,FALSE)/100+100/$X119*$N119*VLOOKUP($M119&amp;"Total",$D:$AK,33,FALSE)/100+100/$X119*$Q119*VLOOKUP($P119&amp;"Total",$D:$AK,33,FALSE)/100+
(IF($G119=AJ$66,$H119,0)+IF($J119=AJ$66,$K119,0)+IF($M119=AJ$66,$N119,0)+IF($P119=AJ$66,$Q119,0))*100/$X119</f>
        <v>0</v>
      </c>
      <c r="AK119" s="3">
        <f>100/$X119*$H119*VLOOKUP($G119&amp;"Total",$D:$AK,34,FALSE)/100+100/$X119*$K119*VLOOKUP($J119&amp;"Total",$D:$AK,34,FALSE)/100+100/$X119*$N119*VLOOKUP($M119&amp;"Total",$D:$AK,34,FALSE)/100+100/$X119*$Q119*VLOOKUP($P119&amp;"Total",$D:$AK,34,FALSE)/100+
(IF($G119=AK$66,$H119,0)+IF($J119=AK$66,$K119,0)+IF($M119=AK$66,$N119,0)+IF($P119=AK$66,$Q119,0))*100/$X119</f>
        <v>600</v>
      </c>
    </row>
    <row r="120" spans="1:37" x14ac:dyDescent="0.25">
      <c r="A120" t="s">
        <v>105</v>
      </c>
      <c r="B120" t="s">
        <v>106</v>
      </c>
      <c r="D120" t="str">
        <f t="shared" ref="D120:D122" si="48">A120&amp;C120</f>
        <v>Circuit Board</v>
      </c>
      <c r="E120" s="26">
        <f t="shared" si="46"/>
        <v>558.53150183150194</v>
      </c>
      <c r="G120" t="s">
        <v>82</v>
      </c>
      <c r="H120" s="22">
        <v>12.5</v>
      </c>
      <c r="I120" s="3">
        <f>VLOOKUP(G120&amp;"Total",$D:$AB,2,FALSE)/100*H120</f>
        <v>26.821506410256411</v>
      </c>
      <c r="J120" t="s">
        <v>102</v>
      </c>
      <c r="K120" s="22">
        <v>37.5</v>
      </c>
      <c r="L120" s="3">
        <f>VLOOKUP(J120&amp;"Total",$D:$AB,2,FALSE)/100*K120</f>
        <v>7.0500000000000025</v>
      </c>
      <c r="M120" s="22" t="s">
        <v>27</v>
      </c>
      <c r="N120" s="22"/>
      <c r="O120" s="3">
        <f>VLOOKUP(M120&amp;"Total",$D:$AB,2,FALSE)/100*N120</f>
        <v>0</v>
      </c>
      <c r="P120" s="22" t="s">
        <v>27</v>
      </c>
      <c r="Q120" s="22"/>
      <c r="R120" s="3">
        <f>VLOOKUP(P120&amp;"Total",$D:$AB,2,FALSE)/100*Q120</f>
        <v>0</v>
      </c>
      <c r="T120" s="3">
        <f t="shared" si="47"/>
        <v>33.871506410256416</v>
      </c>
      <c r="V120" s="22" t="s">
        <v>70</v>
      </c>
      <c r="W120" s="22">
        <v>15</v>
      </c>
      <c r="X120" s="22">
        <v>8.75</v>
      </c>
      <c r="AA120" s="3">
        <f>100/$X120*$H120*VLOOKUP($G120&amp;"Total",$D:$AK,24,FALSE)/100+100/$X120*$K120*VLOOKUP($J120&amp;"Total",$D:$AK,24,FALSE)/100+100/$X120*$N120*VLOOKUP($M120&amp;"Total",$D:$AK,24,FALSE)/100+100/$X120*$Q120*VLOOKUP($P120&amp;"Total",$D:$AK,24,FALSE)/100+
(IF($G120=AA$66,$H120,0)+IF($J120=AA$66,$K120,0)+IF($M120=AA$66,$N120,0)+IF($P120=AA$66,$Q120,0))*100/$X120</f>
        <v>0</v>
      </c>
      <c r="AB120" s="3">
        <f>100/$X120*$H120*VLOOKUP($G120&amp;"Total",$D:$AK,25,FALSE)/100+100/$X120*$K120*VLOOKUP($J120&amp;"Total",$D:$AK,25,FALSE)/100+100/$X120*$N120*VLOOKUP($M120&amp;"Total",$D:$AK,25,FALSE)/100+100/$X120*$Q120*VLOOKUP($P120&amp;"Total",$D:$AK,25,FALSE)/100+
(IF($G120=AB$66,$H120,0)+IF($J120=AB$66,$K120,0)+IF($M120=AB$66,$N120,0)+IF($P120=AB$66,$Q120,0))*100/$X120</f>
        <v>0</v>
      </c>
      <c r="AC120" s="3">
        <f>100/$X120*$H120*VLOOKUP($G120&amp;"Total",$D:$AK,26,FALSE)/100+100/$X120*$K120*VLOOKUP($J120&amp;"Total",$D:$AK,26,FALSE)/100+100/$X120*$N120*VLOOKUP($M120&amp;"Total",$D:$AK,26,FALSE)/100+100/$X120*$Q120*VLOOKUP($P120&amp;"Total",$D:$AK,26,FALSE)/100+
(IF($G120=AC$66,$H120,0)+IF($J120=AC$66,$K120,0)+IF($M120=AC$66,$N120,0)+IF($P120=AC$66,$Q120,0))*100/$X120</f>
        <v>0</v>
      </c>
      <c r="AD120" s="3">
        <f>100/$X120*$H120*VLOOKUP($G120&amp;"Total",$D:$AK,27,FALSE)/100+100/$X120*$K120*VLOOKUP($J120&amp;"Total",$D:$AK,27,FALSE)/100+100/$X120*$N120*VLOOKUP($M120&amp;"Total",$D:$AK,27,FALSE)/100+100/$X120*$Q120*VLOOKUP($P120&amp;"Total",$D:$AK,27,FALSE)/100+
(IF($G120=AD$66,$H120,0)+IF($J120=AD$66,$K120,0)+IF($M120=AD$66,$N120,0)+IF($P120=AD$66,$Q120,0))*100/$X120</f>
        <v>0</v>
      </c>
      <c r="AE120" s="3">
        <f>100/$X120*$H120*VLOOKUP($G120&amp;"Total",$D:$AK,28,FALSE)/100+100/$X120*$K120*VLOOKUP($J120&amp;"Total",$D:$AK,28,FALSE)/100+100/$X120*$N120*VLOOKUP($M120&amp;"Total",$D:$AK,28,FALSE)/100+100/$X120*$Q120*VLOOKUP($P120&amp;"Total",$D:$AK,28,FALSE)/100+
(IF($G120=AE$66,$H120,0)+IF($J120=AE$66,$K120,0)+IF($M120=AE$66,$N120,0)+IF($P120=AE$66,$Q120,0))*100/$X120</f>
        <v>257.14285714285711</v>
      </c>
      <c r="AF120" s="3">
        <f>100/$X120*$H120*VLOOKUP($G120&amp;"Total",$D:$AK,29,FALSE)/100+100/$X120*$K120*VLOOKUP($J120&amp;"Total",$D:$AK,29,FALSE)/100+100/$X120*$N120*VLOOKUP($M120&amp;"Total",$D:$AK,29,FALSE)/100+100/$X120*$Q120*VLOOKUP($P120&amp;"Total",$D:$AK,29,FALSE)/100+
(IF($G120=AF$66,$H120,0)+IF($J120=AF$66,$K120,0)+IF($M120=AF$66,$N120,0)+IF($P120=AF$66,$Q120,0))*100/$X120</f>
        <v>0</v>
      </c>
      <c r="AG120" s="3">
        <f>100/$X120*$H120*VLOOKUP($G120&amp;"Total",$D:$AK,30,FALSE)/100+100/$X120*$K120*VLOOKUP($J120&amp;"Total",$D:$AK,30,FALSE)/100+100/$X120*$N120*VLOOKUP($M120&amp;"Total",$D:$AK,30,FALSE)/100+100/$X120*$Q120*VLOOKUP($P120&amp;"Total",$D:$AK,30,FALSE)/100+
(IF($G120=AG$66,$H120,0)+IF($J120=AG$66,$K120,0)+IF($M120=AG$66,$N120,0)+IF($P120=AG$66,$Q120,0))*100/$X120</f>
        <v>0</v>
      </c>
      <c r="AH120" s="3">
        <f>100/$X120*$H120*VLOOKUP($G120&amp;"Total",$D:$AK,31,FALSE)/100+100/$X120*$K120*VLOOKUP($J120&amp;"Total",$D:$AK,31,FALSE)/100+100/$X120*$N120*VLOOKUP($M120&amp;"Total",$D:$AK,31,FALSE)/100+100/$X120*$Q120*VLOOKUP($P120&amp;"Total",$D:$AK,31,FALSE)/100+
(IF($G120=AH$66,$H120,0)+IF($J120=AH$66,$K120,0)+IF($M120=AH$66,$N120,0)+IF($P120=AH$66,$Q120,0))*100/$X120</f>
        <v>0</v>
      </c>
      <c r="AI120" s="3">
        <f>100/$X120*$H120*VLOOKUP($G120&amp;"Total",$D:$AK,32,FALSE)/100+100/$X120*$K120*VLOOKUP($J120&amp;"Total",$D:$AK,32,FALSE)/100+100/$X120*$N120*VLOOKUP($M120&amp;"Total",$D:$AK,32,FALSE)/100+100/$X120*$Q120*VLOOKUP($P120&amp;"Total",$D:$AK,32,FALSE)/100+
(IF($G120=AI$66,$H120,0)+IF($J120=AI$66,$K120,0)+IF($M120=AI$66,$N120,0)+IF($P120=AI$66,$Q120,0))*100/$X120</f>
        <v>0</v>
      </c>
      <c r="AJ120" s="3">
        <f>100/$X120*$H120*VLOOKUP($G120&amp;"Total",$D:$AK,33,FALSE)/100+100/$X120*$K120*VLOOKUP($J120&amp;"Total",$D:$AK,33,FALSE)/100+100/$X120*$N120*VLOOKUP($M120&amp;"Total",$D:$AK,33,FALSE)/100+100/$X120*$Q120*VLOOKUP($P120&amp;"Total",$D:$AK,33,FALSE)/100+
(IF($G120=AJ$66,$H120,0)+IF($J120=AJ$66,$K120,0)+IF($M120=AJ$66,$N120,0)+IF($P120=AJ$66,$Q120,0))*100/$X120</f>
        <v>0</v>
      </c>
      <c r="AK120" s="3">
        <f>100/$X120*$H120*VLOOKUP($G120&amp;"Total",$D:$AK,34,FALSE)/100+100/$X120*$K120*VLOOKUP($J120&amp;"Total",$D:$AK,34,FALSE)/100+100/$X120*$N120*VLOOKUP($M120&amp;"Total",$D:$AK,34,FALSE)/100+100/$X120*$Q120*VLOOKUP($P120&amp;"Total",$D:$AK,34,FALSE)/100+
(IF($G120=AK$66,$H120,0)+IF($J120=AK$66,$K120,0)+IF($M120=AK$66,$N120,0)+IF($P120=AK$66,$Q120,0))*100/$X120</f>
        <v>214.28571428571428</v>
      </c>
    </row>
    <row r="121" spans="1:37" x14ac:dyDescent="0.25">
      <c r="A121" t="s">
        <v>105</v>
      </c>
      <c r="B121" t="s">
        <v>107</v>
      </c>
      <c r="D121" t="str">
        <f t="shared" si="48"/>
        <v>Circuit Board</v>
      </c>
      <c r="E121" s="26">
        <f t="shared" si="46"/>
        <v>2134.2903846153849</v>
      </c>
      <c r="G121" t="s">
        <v>72</v>
      </c>
      <c r="H121" s="22">
        <v>30</v>
      </c>
      <c r="I121" s="3">
        <f>VLOOKUP(G121&amp;"Total",$D:$AB,2,FALSE)/100*H121</f>
        <v>64.371615384615396</v>
      </c>
      <c r="J121" t="s">
        <v>108</v>
      </c>
      <c r="K121" s="22">
        <v>45</v>
      </c>
      <c r="L121" s="3">
        <f>VLOOKUP(J121&amp;"Total",$D:$AB,2,FALSE)/100*K121</f>
        <v>27.342903846153849</v>
      </c>
      <c r="M121" s="22" t="s">
        <v>27</v>
      </c>
      <c r="N121" s="22"/>
      <c r="O121" s="3">
        <f>VLOOKUP(M121&amp;"Total",$D:$AB,2,FALSE)/100*N121</f>
        <v>0</v>
      </c>
      <c r="P121" s="22" t="s">
        <v>27</v>
      </c>
      <c r="Q121" s="22"/>
      <c r="R121" s="3">
        <f>VLOOKUP(P121&amp;"Total",$D:$AB,2,FALSE)/100*Q121</f>
        <v>0</v>
      </c>
      <c r="T121" s="3">
        <f t="shared" si="47"/>
        <v>91.714519230769241</v>
      </c>
      <c r="V121" s="22" t="s">
        <v>70</v>
      </c>
      <c r="W121" s="22">
        <v>15</v>
      </c>
      <c r="X121" s="22">
        <v>5</v>
      </c>
      <c r="AA121" s="3">
        <f>100/$X121*$H121*VLOOKUP($G121&amp;"Total",$D:$AK,24,FALSE)/100+100/$X121*$K121*VLOOKUP($J121&amp;"Total",$D:$AK,24,FALSE)/100+100/$X121*$N121*VLOOKUP($M121&amp;"Total",$D:$AK,24,FALSE)/100+100/$X121*$Q121*VLOOKUP($P121&amp;"Total",$D:$AK,24,FALSE)/100+
(IF($G121=AA$66,$H121,0)+IF($J121=AA$66,$K121,0)+IF($M121=AA$66,$N121,0)+IF($P121=AA$66,$Q121,0))*100/$X121</f>
        <v>0</v>
      </c>
      <c r="AB121" s="3">
        <f>100/$X121*$H121*VLOOKUP($G121&amp;"Total",$D:$AK,25,FALSE)/100+100/$X121*$K121*VLOOKUP($J121&amp;"Total",$D:$AK,25,FALSE)/100+100/$X121*$N121*VLOOKUP($M121&amp;"Total",$D:$AK,25,FALSE)/100+100/$X121*$Q121*VLOOKUP($P121&amp;"Total",$D:$AK,25,FALSE)/100+
(IF($G121=AB$66,$H121,0)+IF($J121=AB$66,$K121,0)+IF($M121=AB$66,$N121,0)+IF($P121=AB$66,$Q121,0))*100/$X121</f>
        <v>0</v>
      </c>
      <c r="AC121" s="3">
        <f>100/$X121*$H121*VLOOKUP($G121&amp;"Total",$D:$AK,26,FALSE)/100+100/$X121*$K121*VLOOKUP($J121&amp;"Total",$D:$AK,26,FALSE)/100+100/$X121*$N121*VLOOKUP($M121&amp;"Total",$D:$AK,26,FALSE)/100+100/$X121*$Q121*VLOOKUP($P121&amp;"Total",$D:$AK,26,FALSE)/100+
(IF($G121=AC$66,$H121,0)+IF($J121=AC$66,$K121,0)+IF($M121=AC$66,$N121,0)+IF($P121=AC$66,$Q121,0))*100/$X121</f>
        <v>0</v>
      </c>
      <c r="AD121" s="3">
        <f>100/$X121*$H121*VLOOKUP($G121&amp;"Total",$D:$AK,27,FALSE)/100+100/$X121*$K121*VLOOKUP($J121&amp;"Total",$D:$AK,27,FALSE)/100+100/$X121*$N121*VLOOKUP($M121&amp;"Total",$D:$AK,27,FALSE)/100+100/$X121*$Q121*VLOOKUP($P121&amp;"Total",$D:$AK,27,FALSE)/100+
(IF($G121=AD$66,$H121,0)+IF($J121=AD$66,$K121,0)+IF($M121=AD$66,$N121,0)+IF($P121=AD$66,$Q121,0))*100/$X121</f>
        <v>0</v>
      </c>
      <c r="AE121" s="3">
        <f>100/$X121*$H121*VLOOKUP($G121&amp;"Total",$D:$AK,28,FALSE)/100+100/$X121*$K121*VLOOKUP($J121&amp;"Total",$D:$AK,28,FALSE)/100+100/$X121*$N121*VLOOKUP($M121&amp;"Total",$D:$AK,28,FALSE)/100+100/$X121*$Q121*VLOOKUP($P121&amp;"Total",$D:$AK,28,FALSE)/100+
(IF($G121=AE$66,$H121,0)+IF($J121=AE$66,$K121,0)+IF($M121=AE$66,$N121,0)+IF($P121=AE$66,$Q121,0))*100/$X121</f>
        <v>0</v>
      </c>
      <c r="AF121" s="3">
        <f>100/$X121*$H121*VLOOKUP($G121&amp;"Total",$D:$AK,29,FALSE)/100+100/$X121*$K121*VLOOKUP($J121&amp;"Total",$D:$AK,29,FALSE)/100+100/$X121*$N121*VLOOKUP($M121&amp;"Total",$D:$AK,29,FALSE)/100+100/$X121*$Q121*VLOOKUP($P121&amp;"Total",$D:$AK,29,FALSE)/100+
(IF($G121=AF$66,$H121,0)+IF($J121=AF$66,$K121,0)+IF($M121=AF$66,$N121,0)+IF($P121=AF$66,$Q121,0))*100/$X121</f>
        <v>0</v>
      </c>
      <c r="AG121" s="3">
        <f>100/$X121*$H121*VLOOKUP($G121&amp;"Total",$D:$AK,30,FALSE)/100+100/$X121*$K121*VLOOKUP($J121&amp;"Total",$D:$AK,30,FALSE)/100+100/$X121*$N121*VLOOKUP($M121&amp;"Total",$D:$AK,30,FALSE)/100+100/$X121*$Q121*VLOOKUP($P121&amp;"Total",$D:$AK,30,FALSE)/100+
(IF($G121=AG$66,$H121,0)+IF($J121=AG$66,$K121,0)+IF($M121=AG$66,$N121,0)+IF($P121=AG$66,$Q121,0))*100/$X121</f>
        <v>0</v>
      </c>
      <c r="AH121" s="3">
        <f>100/$X121*$H121*VLOOKUP($G121&amp;"Total",$D:$AK,31,FALSE)/100+100/$X121*$K121*VLOOKUP($J121&amp;"Total",$D:$AK,31,FALSE)/100+100/$X121*$N121*VLOOKUP($M121&amp;"Total",$D:$AK,31,FALSE)/100+100/$X121*$Q121*VLOOKUP($P121&amp;"Total",$D:$AK,31,FALSE)/100+
(IF($G121=AH$66,$H121,0)+IF($J121=AH$66,$K121,0)+IF($M121=AH$66,$N121,0)+IF($P121=AH$66,$Q121,0))*100/$X121</f>
        <v>0</v>
      </c>
      <c r="AI121" s="3">
        <f>100/$X121*$H121*VLOOKUP($G121&amp;"Total",$D:$AK,32,FALSE)/100+100/$X121*$K121*VLOOKUP($J121&amp;"Total",$D:$AK,32,FALSE)/100+100/$X121*$N121*VLOOKUP($M121&amp;"Total",$D:$AK,32,FALSE)/100+100/$X121*$Q121*VLOOKUP($P121&amp;"Total",$D:$AK,32,FALSE)/100+
(IF($G121=AI$66,$H121,0)+IF($J121=AI$66,$K121,0)+IF($M121=AI$66,$N121,0)+IF($P121=AI$66,$Q121,0))*100/$X121</f>
        <v>0</v>
      </c>
      <c r="AJ121" s="3">
        <f>100/$X121*$H121*VLOOKUP($G121&amp;"Total",$D:$AK,33,FALSE)/100+100/$X121*$K121*VLOOKUP($J121&amp;"Total",$D:$AK,33,FALSE)/100+100/$X121*$N121*VLOOKUP($M121&amp;"Total",$D:$AK,33,FALSE)/100+100/$X121*$Q121*VLOOKUP($P121&amp;"Total",$D:$AK,33,FALSE)/100+
(IF($G121=AJ$66,$H121,0)+IF($J121=AJ$66,$K121,0)+IF($M121=AJ$66,$N121,0)+IF($P121=AJ$66,$Q121,0))*100/$X121</f>
        <v>0</v>
      </c>
      <c r="AK121" s="3">
        <f>100/$X121*$H121*VLOOKUP($G121&amp;"Total",$D:$AK,34,FALSE)/100+100/$X121*$K121*VLOOKUP($J121&amp;"Total",$D:$AK,34,FALSE)/100+100/$X121*$N121*VLOOKUP($M121&amp;"Total",$D:$AK,34,FALSE)/100+100/$X121*$Q121*VLOOKUP($P121&amp;"Total",$D:$AK,34,FALSE)/100+
(IF($G121=AK$66,$H121,0)+IF($J121=AK$66,$K121,0)+IF($M121=AK$66,$N121,0)+IF($P121=AK$66,$Q121,0))*100/$X121</f>
        <v>1125</v>
      </c>
    </row>
    <row r="122" spans="1:37" x14ac:dyDescent="0.25">
      <c r="A122" t="s">
        <v>105</v>
      </c>
      <c r="B122" t="s">
        <v>109</v>
      </c>
      <c r="C122" t="s">
        <v>17</v>
      </c>
      <c r="D122" t="str">
        <f t="shared" si="48"/>
        <v>Circuit BoardTotal</v>
      </c>
      <c r="E122" s="26">
        <f t="shared" si="46"/>
        <v>374.56743561030237</v>
      </c>
      <c r="G122" t="s">
        <v>95</v>
      </c>
      <c r="H122" s="22">
        <v>27.5</v>
      </c>
      <c r="I122" s="3">
        <f>VLOOKUP(G122&amp;"Total",$D:$AB,2,FALSE)/100*H122</f>
        <v>26.704964539007094</v>
      </c>
      <c r="J122" t="s">
        <v>69</v>
      </c>
      <c r="K122" s="22">
        <v>27.5</v>
      </c>
      <c r="L122" s="3">
        <f>VLOOKUP(J122&amp;"Total",$D:$AB,2,FALSE)/100*K122</f>
        <v>5.1159649122807016</v>
      </c>
      <c r="M122" s="22" t="s">
        <v>27</v>
      </c>
      <c r="N122" s="22"/>
      <c r="O122" s="3">
        <f>VLOOKUP(M122&amp;"Total",$D:$AB,2,FALSE)/100*N122</f>
        <v>0</v>
      </c>
      <c r="P122" s="22" t="s">
        <v>27</v>
      </c>
      <c r="Q122" s="22"/>
      <c r="R122" s="3">
        <f>VLOOKUP(P122&amp;"Total",$D:$AB,2,FALSE)/100*Q122</f>
        <v>0</v>
      </c>
      <c r="T122" s="3">
        <f t="shared" si="47"/>
        <v>31.820929451287796</v>
      </c>
      <c r="V122" s="22" t="s">
        <v>70</v>
      </c>
      <c r="W122" s="22">
        <v>15</v>
      </c>
      <c r="X122" s="22">
        <v>12.5</v>
      </c>
      <c r="AA122" s="3">
        <f>100/$X122*$H122*VLOOKUP($G122&amp;"Total",$D:$AK,24,FALSE)/100+100/$X122*$K122*VLOOKUP($J122&amp;"Total",$D:$AK,24,FALSE)/100+100/$X122*$N122*VLOOKUP($M122&amp;"Total",$D:$AK,24,FALSE)/100+100/$X122*$Q122*VLOOKUP($P122&amp;"Total",$D:$AK,24,FALSE)/100+
(IF($G122=AA$66,$H122,0)+IF($J122=AA$66,$K122,0)+IF($M122=AA$66,$N122,0)+IF($P122=AA$66,$Q122,0))*100/$X122</f>
        <v>0</v>
      </c>
      <c r="AB122" s="3">
        <f>100/$X122*$H122*VLOOKUP($G122&amp;"Total",$D:$AK,25,FALSE)/100+100/$X122*$K122*VLOOKUP($J122&amp;"Total",$D:$AK,25,FALSE)/100+100/$X122*$N122*VLOOKUP($M122&amp;"Total",$D:$AK,25,FALSE)/100+100/$X122*$Q122*VLOOKUP($P122&amp;"Total",$D:$AK,25,FALSE)/100+
(IF($G122=AB$66,$H122,0)+IF($J122=AB$66,$K122,0)+IF($M122=AB$66,$N122,0)+IF($P122=AB$66,$Q122,0))*100/$X122</f>
        <v>440</v>
      </c>
      <c r="AC122" s="3">
        <f>100/$X122*$H122*VLOOKUP($G122&amp;"Total",$D:$AK,26,FALSE)/100+100/$X122*$K122*VLOOKUP($J122&amp;"Total",$D:$AK,26,FALSE)/100+100/$X122*$N122*VLOOKUP($M122&amp;"Total",$D:$AK,26,FALSE)/100+100/$X122*$Q122*VLOOKUP($P122&amp;"Total",$D:$AK,26,FALSE)/100+
(IF($G122=AC$66,$H122,0)+IF($J122=AC$66,$K122,0)+IF($M122=AC$66,$N122,0)+IF($P122=AC$66,$Q122,0))*100/$X122</f>
        <v>0</v>
      </c>
      <c r="AD122" s="3">
        <f>100/$X122*$H122*VLOOKUP($G122&amp;"Total",$D:$AK,27,FALSE)/100+100/$X122*$K122*VLOOKUP($J122&amp;"Total",$D:$AK,27,FALSE)/100+100/$X122*$N122*VLOOKUP($M122&amp;"Total",$D:$AK,27,FALSE)/100+100/$X122*$Q122*VLOOKUP($P122&amp;"Total",$D:$AK,27,FALSE)/100+
(IF($G122=AD$66,$H122,0)+IF($J122=AD$66,$K122,0)+IF($M122=AD$66,$N122,0)+IF($P122=AD$66,$Q122,0))*100/$X122</f>
        <v>0</v>
      </c>
      <c r="AE122" s="3">
        <f>100/$X122*$H122*VLOOKUP($G122&amp;"Total",$D:$AK,28,FALSE)/100+100/$X122*$K122*VLOOKUP($J122&amp;"Total",$D:$AK,28,FALSE)/100+100/$X122*$N122*VLOOKUP($M122&amp;"Total",$D:$AK,28,FALSE)/100+100/$X122*$Q122*VLOOKUP($P122&amp;"Total",$D:$AK,28,FALSE)/100+
(IF($G122=AE$66,$H122,0)+IF($J122=AE$66,$K122,0)+IF($M122=AE$66,$N122,0)+IF($P122=AE$66,$Q122,0))*100/$X122</f>
        <v>0</v>
      </c>
      <c r="AF122" s="3">
        <f>100/$X122*$H122*VLOOKUP($G122&amp;"Total",$D:$AK,29,FALSE)/100+100/$X122*$K122*VLOOKUP($J122&amp;"Total",$D:$AK,29,FALSE)/100+100/$X122*$N122*VLOOKUP($M122&amp;"Total",$D:$AK,29,FALSE)/100+100/$X122*$Q122*VLOOKUP($P122&amp;"Total",$D:$AK,29,FALSE)/100+
(IF($G122=AF$66,$H122,0)+IF($J122=AF$66,$K122,0)+IF($M122=AF$66,$N122,0)+IF($P122=AF$66,$Q122,0))*100/$X122</f>
        <v>132</v>
      </c>
      <c r="AG122" s="3">
        <f>100/$X122*$H122*VLOOKUP($G122&amp;"Total",$D:$AK,30,FALSE)/100+100/$X122*$K122*VLOOKUP($J122&amp;"Total",$D:$AK,30,FALSE)/100+100/$X122*$N122*VLOOKUP($M122&amp;"Total",$D:$AK,30,FALSE)/100+100/$X122*$Q122*VLOOKUP($P122&amp;"Total",$D:$AK,30,FALSE)/100+
(IF($G122=AG$66,$H122,0)+IF($J122=AG$66,$K122,0)+IF($M122=AG$66,$N122,0)+IF($P122=AG$66,$Q122,0))*100/$X122</f>
        <v>0</v>
      </c>
      <c r="AH122" s="3">
        <f>100/$X122*$H122*VLOOKUP($G122&amp;"Total",$D:$AK,31,FALSE)/100+100/$X122*$K122*VLOOKUP($J122&amp;"Total",$D:$AK,31,FALSE)/100+100/$X122*$N122*VLOOKUP($M122&amp;"Total",$D:$AK,31,FALSE)/100+100/$X122*$Q122*VLOOKUP($P122&amp;"Total",$D:$AK,31,FALSE)/100+
(IF($G122=AH$66,$H122,0)+IF($J122=AH$66,$K122,0)+IF($M122=AH$66,$N122,0)+IF($P122=AH$66,$Q122,0))*100/$X122</f>
        <v>0</v>
      </c>
      <c r="AI122" s="3">
        <f>100/$X122*$H122*VLOOKUP($G122&amp;"Total",$D:$AK,32,FALSE)/100+100/$X122*$K122*VLOOKUP($J122&amp;"Total",$D:$AK,32,FALSE)/100+100/$X122*$N122*VLOOKUP($M122&amp;"Total",$D:$AK,32,FALSE)/100+100/$X122*$Q122*VLOOKUP($P122&amp;"Total",$D:$AK,32,FALSE)/100+
(IF($G122=AI$66,$H122,0)+IF($J122=AI$66,$K122,0)+IF($M122=AI$66,$N122,0)+IF($P122=AI$66,$Q122,0))*100/$X122</f>
        <v>0</v>
      </c>
      <c r="AJ122" s="3">
        <f>100/$X122*$H122*VLOOKUP($G122&amp;"Total",$D:$AK,33,FALSE)/100+100/$X122*$K122*VLOOKUP($J122&amp;"Total",$D:$AK,33,FALSE)/100+100/$X122*$N122*VLOOKUP($M122&amp;"Total",$D:$AK,33,FALSE)/100+100/$X122*$Q122*VLOOKUP($P122&amp;"Total",$D:$AK,33,FALSE)/100+
(IF($G122=AJ$66,$H122,0)+IF($J122=AJ$66,$K122,0)+IF($M122=AJ$66,$N122,0)+IF($P122=AJ$66,$Q122,0))*100/$X122</f>
        <v>0</v>
      </c>
      <c r="AK122" s="3">
        <f>100/$X122*$H122*VLOOKUP($G122&amp;"Total",$D:$AK,34,FALSE)/100+100/$X122*$K122*VLOOKUP($J122&amp;"Total",$D:$AK,34,FALSE)/100+100/$X122*$N122*VLOOKUP($M122&amp;"Total",$D:$AK,34,FALSE)/100+100/$X122*$Q122*VLOOKUP($P122&amp;"Total",$D:$AK,34,FALSE)/100+
(IF($G122=AK$66,$H122,0)+IF($J122=AK$66,$K122,0)+IF($M122=AK$66,$N122,0)+IF($P122=AK$66,$Q122,0))*100/$X122</f>
        <v>0</v>
      </c>
    </row>
    <row r="123" spans="1:37" x14ac:dyDescent="0.25">
      <c r="E123" s="25"/>
      <c r="G123" s="22"/>
      <c r="H123" s="22"/>
      <c r="J123" s="22"/>
      <c r="K123" s="22"/>
      <c r="M123" s="22"/>
      <c r="N123" s="22"/>
      <c r="P123" s="22"/>
      <c r="Q123" s="22"/>
      <c r="V123" s="22"/>
      <c r="W123" s="22"/>
      <c r="X123" s="22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25">
      <c r="A124" t="s">
        <v>110</v>
      </c>
      <c r="B124" t="s">
        <v>110</v>
      </c>
      <c r="D124" t="str">
        <f t="shared" ref="D124:D125" si="49">A124&amp;C124</f>
        <v>High-Speed Connector</v>
      </c>
      <c r="E124" s="26">
        <f t="shared" ref="E124:E125" si="50">100/X124*(T124+W124)</f>
        <v>3245.7007689436364</v>
      </c>
      <c r="G124" t="s">
        <v>102</v>
      </c>
      <c r="H124" s="22">
        <v>210</v>
      </c>
      <c r="I124" s="3">
        <f>VLOOKUP(G124&amp;"Total",$D:$AB,2,FALSE)/100*H124</f>
        <v>39.480000000000011</v>
      </c>
      <c r="J124" t="s">
        <v>97</v>
      </c>
      <c r="K124" s="22">
        <v>37.5</v>
      </c>
      <c r="L124" s="3">
        <f>VLOOKUP(J124&amp;"Total",$D:$AB,2,FALSE)/100*K124</f>
        <v>13.187500000000004</v>
      </c>
      <c r="M124" t="s">
        <v>105</v>
      </c>
      <c r="N124" s="22">
        <v>3.75</v>
      </c>
      <c r="O124" s="3">
        <f>VLOOKUP(M124&amp;"Total",$D:$AB,2,FALSE)/100*N124</f>
        <v>14.046278835386339</v>
      </c>
      <c r="P124" s="22" t="s">
        <v>27</v>
      </c>
      <c r="Q124" s="22"/>
      <c r="R124" s="3">
        <f>VLOOKUP(P124&amp;"Total",$D:$AB,2,FALSE)/100*Q124</f>
        <v>0</v>
      </c>
      <c r="T124" s="3">
        <f t="shared" ref="T124:T125" si="51">I124+L124+O124+R124</f>
        <v>66.713778835386364</v>
      </c>
      <c r="V124" s="22" t="s">
        <v>111</v>
      </c>
      <c r="W124" s="22">
        <v>55</v>
      </c>
      <c r="X124" s="22">
        <v>3.75</v>
      </c>
      <c r="AA124" s="3">
        <f>100/$X124*$H124*VLOOKUP($G124&amp;"Total",$D:$AK,24,FALSE)/100+100/$X124*$K124*VLOOKUP($J124&amp;"Total",$D:$AK,24,FALSE)/100+100/$X124*$N124*VLOOKUP($M124&amp;"Total",$D:$AK,24,FALSE)/100+100/$X124*$Q124*VLOOKUP($P124&amp;"Total",$D:$AK,24,FALSE)/100+
(IF($G124=AA$66,$H124,0)+IF($J124=AA$66,$K124,0)+IF($M124=AA$66,$N124,0)+IF($P124=AA$66,$Q124,0))*100/$X124</f>
        <v>0</v>
      </c>
      <c r="AB124" s="3">
        <f>100/$X124*$H124*VLOOKUP($G124&amp;"Total",$D:$AK,25,FALSE)/100+100/$X124*$K124*VLOOKUP($J124&amp;"Total",$D:$AK,25,FALSE)/100+100/$X124*$N124*VLOOKUP($M124&amp;"Total",$D:$AK,25,FALSE)/100+100/$X124*$Q124*VLOOKUP($P124&amp;"Total",$D:$AK,25,FALSE)/100+
(IF($G124=AB$66,$H124,0)+IF($J124=AB$66,$K124,0)+IF($M124=AB$66,$N124,0)+IF($P124=AB$66,$Q124,0))*100/$X124</f>
        <v>440</v>
      </c>
      <c r="AC124" s="3">
        <f>100/$X124*$H124*VLOOKUP($G124&amp;"Total",$D:$AK,26,FALSE)/100+100/$X124*$K124*VLOOKUP($J124&amp;"Total",$D:$AK,26,FALSE)/100+100/$X124*$N124*VLOOKUP($M124&amp;"Total",$D:$AK,26,FALSE)/100+100/$X124*$Q124*VLOOKUP($P124&amp;"Total",$D:$AK,26,FALSE)/100+
(IF($G124=AC$66,$H124,0)+IF($J124=AC$66,$K124,0)+IF($M124=AC$66,$N124,0)+IF($P124=AC$66,$Q124,0))*100/$X124</f>
        <v>0</v>
      </c>
      <c r="AD124" s="3">
        <f>100/$X124*$H124*VLOOKUP($G124&amp;"Total",$D:$AK,27,FALSE)/100+100/$X124*$K124*VLOOKUP($J124&amp;"Total",$D:$AK,27,FALSE)/100+100/$X124*$N124*VLOOKUP($M124&amp;"Total",$D:$AK,27,FALSE)/100+100/$X124*$Q124*VLOOKUP($P124&amp;"Total",$D:$AK,27,FALSE)/100+
(IF($G124=AD$66,$H124,0)+IF($J124=AD$66,$K124,0)+IF($M124=AD$66,$N124,0)+IF($P124=AD$66,$Q124,0))*100/$X124</f>
        <v>0</v>
      </c>
      <c r="AE124" s="3">
        <f>100/$X124*$H124*VLOOKUP($G124&amp;"Total",$D:$AK,28,FALSE)/100+100/$X124*$K124*VLOOKUP($J124&amp;"Total",$D:$AK,28,FALSE)/100+100/$X124*$N124*VLOOKUP($M124&amp;"Total",$D:$AK,28,FALSE)/100+100/$X124*$Q124*VLOOKUP($P124&amp;"Total",$D:$AK,28,FALSE)/100+
(IF($G124=AE$66,$H124,0)+IF($J124=AE$66,$K124,0)+IF($M124=AE$66,$N124,0)+IF($P124=AE$66,$Q124,0))*100/$X124</f>
        <v>4110</v>
      </c>
      <c r="AF124" s="3">
        <f>100/$X124*$H124*VLOOKUP($G124&amp;"Total",$D:$AK,29,FALSE)/100+100/$X124*$K124*VLOOKUP($J124&amp;"Total",$D:$AK,29,FALSE)/100+100/$X124*$N124*VLOOKUP($M124&amp;"Total",$D:$AK,29,FALSE)/100+100/$X124*$Q124*VLOOKUP($P124&amp;"Total",$D:$AK,29,FALSE)/100+
(IF($G124=AF$66,$H124,0)+IF($J124=AF$66,$K124,0)+IF($M124=AF$66,$N124,0)+IF($P124=AF$66,$Q124,0))*100/$X124</f>
        <v>132</v>
      </c>
      <c r="AG124" s="3">
        <f>100/$X124*$H124*VLOOKUP($G124&amp;"Total",$D:$AK,30,FALSE)/100+100/$X124*$K124*VLOOKUP($J124&amp;"Total",$D:$AK,30,FALSE)/100+100/$X124*$N124*VLOOKUP($M124&amp;"Total",$D:$AK,30,FALSE)/100+100/$X124*$Q124*VLOOKUP($P124&amp;"Total",$D:$AK,30,FALSE)/100+
(IF($G124=AG$66,$H124,0)+IF($J124=AG$66,$K124,0)+IF($M124=AG$66,$N124,0)+IF($P124=AG$66,$Q124,0))*100/$X124</f>
        <v>0</v>
      </c>
      <c r="AH124" s="3">
        <f>100/$X124*$H124*VLOOKUP($G124&amp;"Total",$D:$AK,31,FALSE)/100+100/$X124*$K124*VLOOKUP($J124&amp;"Total",$D:$AK,31,FALSE)/100+100/$X124*$N124*VLOOKUP($M124&amp;"Total",$D:$AK,31,FALSE)/100+100/$X124*$Q124*VLOOKUP($P124&amp;"Total",$D:$AK,31,FALSE)/100+
(IF($G124=AH$66,$H124,0)+IF($J124=AH$66,$K124,0)+IF($M124=AH$66,$N124,0)+IF($P124=AH$66,$Q124,0))*100/$X124</f>
        <v>0</v>
      </c>
      <c r="AI124" s="3">
        <f>100/$X124*$H124*VLOOKUP($G124&amp;"Total",$D:$AK,32,FALSE)/100+100/$X124*$K124*VLOOKUP($J124&amp;"Total",$D:$AK,32,FALSE)/100+100/$X124*$N124*VLOOKUP($M124&amp;"Total",$D:$AK,32,FALSE)/100+100/$X124*$Q124*VLOOKUP($P124&amp;"Total",$D:$AK,32,FALSE)/100+
(IF($G124=AI$66,$H124,0)+IF($J124=AI$66,$K124,0)+IF($M124=AI$66,$N124,0)+IF($P124=AI$66,$Q124,0))*100/$X124</f>
        <v>0</v>
      </c>
      <c r="AJ124" s="3">
        <f>100/$X124*$H124*VLOOKUP($G124&amp;"Total",$D:$AK,33,FALSE)/100+100/$X124*$K124*VLOOKUP($J124&amp;"Total",$D:$AK,33,FALSE)/100+100/$X124*$N124*VLOOKUP($M124&amp;"Total",$D:$AK,33,FALSE)/100+100/$X124*$Q124*VLOOKUP($P124&amp;"Total",$D:$AK,33,FALSE)/100+
(IF($G124=AJ$66,$H124,0)+IF($J124=AJ$66,$K124,0)+IF($M124=AJ$66,$N124,0)+IF($P124=AJ$66,$Q124,0))*100/$X124</f>
        <v>0</v>
      </c>
      <c r="AK124" s="3">
        <f>100/$X124*$H124*VLOOKUP($G124&amp;"Total",$D:$AK,34,FALSE)/100+100/$X124*$K124*VLOOKUP($J124&amp;"Total",$D:$AK,34,FALSE)/100+100/$X124*$N124*VLOOKUP($M124&amp;"Total",$D:$AK,34,FALSE)/100+100/$X124*$Q124*VLOOKUP($P124&amp;"Total",$D:$AK,34,FALSE)/100+
(IF($G124=AK$66,$H124,0)+IF($J124=AK$66,$K124,0)+IF($M124=AK$66,$N124,0)+IF($P124=AK$66,$Q124,0))*100/$X124</f>
        <v>0</v>
      </c>
    </row>
    <row r="125" spans="1:37" x14ac:dyDescent="0.25">
      <c r="A125" t="s">
        <v>110</v>
      </c>
      <c r="B125" t="s">
        <v>112</v>
      </c>
      <c r="C125" t="s">
        <v>17</v>
      </c>
      <c r="D125" t="str">
        <f t="shared" si="49"/>
        <v>High-Speed ConnectorTotal</v>
      </c>
      <c r="E125" s="26">
        <f t="shared" si="50"/>
        <v>3004.4446285927588</v>
      </c>
      <c r="G125" t="s">
        <v>102</v>
      </c>
      <c r="H125" s="22">
        <v>90</v>
      </c>
      <c r="I125" s="3">
        <f>VLOOKUP(G125&amp;"Total",$D:$AB,2,FALSE)/100*H125</f>
        <v>16.920000000000005</v>
      </c>
      <c r="J125" t="s">
        <v>69</v>
      </c>
      <c r="K125" s="22">
        <v>37.5</v>
      </c>
      <c r="L125" s="3">
        <f>VLOOKUP(J125&amp;"Total",$D:$AB,2,FALSE)/100*K125</f>
        <v>6.9763157894736842</v>
      </c>
      <c r="M125" t="s">
        <v>105</v>
      </c>
      <c r="N125" s="22">
        <v>3</v>
      </c>
      <c r="O125" s="3">
        <f>VLOOKUP(M125&amp;"Total",$D:$AB,2,FALSE)/100*N125</f>
        <v>11.237023068309071</v>
      </c>
      <c r="P125" s="22" t="s">
        <v>27</v>
      </c>
      <c r="Q125" s="22"/>
      <c r="R125" s="3">
        <f>VLOOKUP(P125&amp;"Total",$D:$AB,2,FALSE)/100*Q125</f>
        <v>0</v>
      </c>
      <c r="T125" s="3">
        <f t="shared" si="51"/>
        <v>35.133338857782761</v>
      </c>
      <c r="V125" s="22" t="s">
        <v>111</v>
      </c>
      <c r="W125" s="22">
        <v>55</v>
      </c>
      <c r="X125" s="22">
        <v>3</v>
      </c>
      <c r="AA125" s="3">
        <f>100/$X125*$H125*VLOOKUP($G125&amp;"Total",$D:$AK,24,FALSE)/100+100/$X125*$K125*VLOOKUP($J125&amp;"Total",$D:$AK,24,FALSE)/100+100/$X125*$N125*VLOOKUP($M125&amp;"Total",$D:$AK,24,FALSE)/100+100/$X125*$Q125*VLOOKUP($P125&amp;"Total",$D:$AK,24,FALSE)/100+
(IF($G125=AA$66,$H125,0)+IF($J125=AA$66,$K125,0)+IF($M125=AA$66,$N125,0)+IF($P125=AA$66,$Q125,0))*100/$X125</f>
        <v>0</v>
      </c>
      <c r="AB125" s="3">
        <f>100/$X125*$H125*VLOOKUP($G125&amp;"Total",$D:$AK,25,FALSE)/100+100/$X125*$K125*VLOOKUP($J125&amp;"Total",$D:$AK,25,FALSE)/100+100/$X125*$N125*VLOOKUP($M125&amp;"Total",$D:$AK,25,FALSE)/100+100/$X125*$Q125*VLOOKUP($P125&amp;"Total",$D:$AK,25,FALSE)/100+
(IF($G125=AB$66,$H125,0)+IF($J125=AB$66,$K125,0)+IF($M125=AB$66,$N125,0)+IF($P125=AB$66,$Q125,0))*100/$X125</f>
        <v>440</v>
      </c>
      <c r="AC125" s="3">
        <f>100/$X125*$H125*VLOOKUP($G125&amp;"Total",$D:$AK,26,FALSE)/100+100/$X125*$K125*VLOOKUP($J125&amp;"Total",$D:$AK,26,FALSE)/100+100/$X125*$N125*VLOOKUP($M125&amp;"Total",$D:$AK,26,FALSE)/100+100/$X125*$Q125*VLOOKUP($P125&amp;"Total",$D:$AK,26,FALSE)/100+
(IF($G125=AC$66,$H125,0)+IF($J125=AC$66,$K125,0)+IF($M125=AC$66,$N125,0)+IF($P125=AC$66,$Q125,0))*100/$X125</f>
        <v>0</v>
      </c>
      <c r="AD125" s="3">
        <f>100/$X125*$H125*VLOOKUP($G125&amp;"Total",$D:$AK,27,FALSE)/100+100/$X125*$K125*VLOOKUP($J125&amp;"Total",$D:$AK,27,FALSE)/100+100/$X125*$N125*VLOOKUP($M125&amp;"Total",$D:$AK,27,FALSE)/100+100/$X125*$Q125*VLOOKUP($P125&amp;"Total",$D:$AK,27,FALSE)/100+
(IF($G125=AD$66,$H125,0)+IF($J125=AD$66,$K125,0)+IF($M125=AD$66,$N125,0)+IF($P125=AD$66,$Q125,0))*100/$X125</f>
        <v>0</v>
      </c>
      <c r="AE125" s="3">
        <f>100/$X125*$H125*VLOOKUP($G125&amp;"Total",$D:$AK,28,FALSE)/100+100/$X125*$K125*VLOOKUP($J125&amp;"Total",$D:$AK,28,FALSE)/100+100/$X125*$N125*VLOOKUP($M125&amp;"Total",$D:$AK,28,FALSE)/100+100/$X125*$Q125*VLOOKUP($P125&amp;"Total",$D:$AK,28,FALSE)/100+
(IF($G125=AE$66,$H125,0)+IF($J125=AE$66,$K125,0)+IF($M125=AE$66,$N125,0)+IF($P125=AE$66,$Q125,0))*100/$X125</f>
        <v>1800</v>
      </c>
      <c r="AF125" s="3">
        <f>100/$X125*$H125*VLOOKUP($G125&amp;"Total",$D:$AK,29,FALSE)/100+100/$X125*$K125*VLOOKUP($J125&amp;"Total",$D:$AK,29,FALSE)/100+100/$X125*$N125*VLOOKUP($M125&amp;"Total",$D:$AK,29,FALSE)/100+100/$X125*$Q125*VLOOKUP($P125&amp;"Total",$D:$AK,29,FALSE)/100+
(IF($G125=AF$66,$H125,0)+IF($J125=AF$66,$K125,0)+IF($M125=AF$66,$N125,0)+IF($P125=AF$66,$Q125,0))*100/$X125</f>
        <v>882</v>
      </c>
      <c r="AG125" s="3">
        <f>100/$X125*$H125*VLOOKUP($G125&amp;"Total",$D:$AK,30,FALSE)/100+100/$X125*$K125*VLOOKUP($J125&amp;"Total",$D:$AK,30,FALSE)/100+100/$X125*$N125*VLOOKUP($M125&amp;"Total",$D:$AK,30,FALSE)/100+100/$X125*$Q125*VLOOKUP($P125&amp;"Total",$D:$AK,30,FALSE)/100+
(IF($G125=AG$66,$H125,0)+IF($J125=AG$66,$K125,0)+IF($M125=AG$66,$N125,0)+IF($P125=AG$66,$Q125,0))*100/$X125</f>
        <v>0</v>
      </c>
      <c r="AH125" s="3">
        <f>100/$X125*$H125*VLOOKUP($G125&amp;"Total",$D:$AK,31,FALSE)/100+100/$X125*$K125*VLOOKUP($J125&amp;"Total",$D:$AK,31,FALSE)/100+100/$X125*$N125*VLOOKUP($M125&amp;"Total",$D:$AK,31,FALSE)/100+100/$X125*$Q125*VLOOKUP($P125&amp;"Total",$D:$AK,31,FALSE)/100+
(IF($G125=AH$66,$H125,0)+IF($J125=AH$66,$K125,0)+IF($M125=AH$66,$N125,0)+IF($P125=AH$66,$Q125,0))*100/$X125</f>
        <v>0</v>
      </c>
      <c r="AI125" s="3">
        <f>100/$X125*$H125*VLOOKUP($G125&amp;"Total",$D:$AK,32,FALSE)/100+100/$X125*$K125*VLOOKUP($J125&amp;"Total",$D:$AK,32,FALSE)/100+100/$X125*$N125*VLOOKUP($M125&amp;"Total",$D:$AK,32,FALSE)/100+100/$X125*$Q125*VLOOKUP($P125&amp;"Total",$D:$AK,32,FALSE)/100+
(IF($G125=AI$66,$H125,0)+IF($J125=AI$66,$K125,0)+IF($M125=AI$66,$N125,0)+IF($P125=AI$66,$Q125,0))*100/$X125</f>
        <v>0</v>
      </c>
      <c r="AJ125" s="3">
        <f>100/$X125*$H125*VLOOKUP($G125&amp;"Total",$D:$AK,33,FALSE)/100+100/$X125*$K125*VLOOKUP($J125&amp;"Total",$D:$AK,33,FALSE)/100+100/$X125*$N125*VLOOKUP($M125&amp;"Total",$D:$AK,33,FALSE)/100+100/$X125*$Q125*VLOOKUP($P125&amp;"Total",$D:$AK,33,FALSE)/100+
(IF($G125=AJ$66,$H125,0)+IF($J125=AJ$66,$K125,0)+IF($M125=AJ$66,$N125,0)+IF($P125=AJ$66,$Q125,0))*100/$X125</f>
        <v>0</v>
      </c>
      <c r="AK125" s="3">
        <f>100/$X125*$H125*VLOOKUP($G125&amp;"Total",$D:$AK,34,FALSE)/100+100/$X125*$K125*VLOOKUP($J125&amp;"Total",$D:$AK,34,FALSE)/100+100/$X125*$N125*VLOOKUP($M125&amp;"Total",$D:$AK,34,FALSE)/100+100/$X125*$Q125*VLOOKUP($P125&amp;"Total",$D:$AK,34,FALSE)/100+
(IF($G125=AK$66,$H125,0)+IF($J125=AK$66,$K125,0)+IF($M125=AK$66,$N125,0)+IF($P125=AK$66,$Q125,0))*100/$X125</f>
        <v>0</v>
      </c>
    </row>
    <row r="126" spans="1:37" x14ac:dyDescent="0.25">
      <c r="E126" s="25"/>
      <c r="G126" s="22"/>
      <c r="H126" s="22"/>
      <c r="J126" s="22"/>
      <c r="K126" s="22"/>
      <c r="M126" s="22"/>
      <c r="N126" s="22"/>
      <c r="P126" s="22"/>
      <c r="Q126" s="22"/>
      <c r="V126" s="22"/>
      <c r="W126" s="22"/>
      <c r="X126" s="22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25">
      <c r="A127" t="s">
        <v>113</v>
      </c>
      <c r="B127" t="s">
        <v>113</v>
      </c>
      <c r="D127" t="str">
        <f t="shared" ref="D127:D128" si="52">A127&amp;C127</f>
        <v>Crystal Oscillator</v>
      </c>
      <c r="E127" s="26">
        <f t="shared" ref="E127:E128" si="53">100/X127*(T127+W127)</f>
        <v>8066.5681721630608</v>
      </c>
      <c r="G127" t="s">
        <v>74</v>
      </c>
      <c r="H127" s="22">
        <v>18</v>
      </c>
      <c r="I127" s="3">
        <f>VLOOKUP(G127&amp;"Total",$D:$AB,2,FALSE)/100*H127</f>
        <v>7.1684210526315795</v>
      </c>
      <c r="J127" t="s">
        <v>97</v>
      </c>
      <c r="K127" s="22">
        <v>14</v>
      </c>
      <c r="L127" s="3">
        <f>VLOOKUP(J127&amp;"Total",$D:$AB,2,FALSE)/100*K127</f>
        <v>4.9233333333333347</v>
      </c>
      <c r="M127" t="s">
        <v>114</v>
      </c>
      <c r="N127" s="22">
        <v>2.5</v>
      </c>
      <c r="O127" s="3">
        <f>VLOOKUP(M127&amp;"Total",$D:$AB,2,FALSE)/100*N127</f>
        <v>13.573927335665694</v>
      </c>
      <c r="P127" s="22" t="s">
        <v>27</v>
      </c>
      <c r="Q127" s="22"/>
      <c r="R127" s="3">
        <f>VLOOKUP(P127&amp;"Total",$D:$AB,2,FALSE)/100*Q127</f>
        <v>0</v>
      </c>
      <c r="T127" s="3">
        <f t="shared" ref="T127:T128" si="54">I127+L127+O127+R127</f>
        <v>25.665681721630609</v>
      </c>
      <c r="V127" s="22" t="s">
        <v>111</v>
      </c>
      <c r="W127" s="22">
        <v>55</v>
      </c>
      <c r="X127" s="22">
        <v>1</v>
      </c>
      <c r="AA127" s="3">
        <f>100/$X127*$H127*VLOOKUP($G127&amp;"Total",$D:$AK,24,FALSE)/100+100/$X127*$K127*VLOOKUP($J127&amp;"Total",$D:$AK,24,FALSE)/100+100/$X127*$N127*VLOOKUP($M127&amp;"Total",$D:$AK,24,FALSE)/100+100/$X127*$Q127*VLOOKUP($P127&amp;"Total",$D:$AK,24,FALSE)/100+
(IF($G127=AA$66,$H127,0)+IF($J127=AA$66,$K127,0)+IF($M127=AA$66,$N127,0)+IF($P127=AA$66,$Q127,0))*100/$X127</f>
        <v>1250.0000000000002</v>
      </c>
      <c r="AB127" s="3">
        <f>100/$X127*$H127*VLOOKUP($G127&amp;"Total",$D:$AK,25,FALSE)/100+100/$X127*$K127*VLOOKUP($J127&amp;"Total",$D:$AK,25,FALSE)/100+100/$X127*$N127*VLOOKUP($M127&amp;"Total",$D:$AK,25,FALSE)/100+100/$X127*$Q127*VLOOKUP($P127&amp;"Total",$D:$AK,25,FALSE)/100+
(IF($G127=AB$66,$H127,0)+IF($J127=AB$66,$K127,0)+IF($M127=AB$66,$N127,0)+IF($P127=AB$66,$Q127,0))*100/$X127</f>
        <v>0</v>
      </c>
      <c r="AC127" s="3">
        <f>100/$X127*$H127*VLOOKUP($G127&amp;"Total",$D:$AK,26,FALSE)/100+100/$X127*$K127*VLOOKUP($J127&amp;"Total",$D:$AK,26,FALSE)/100+100/$X127*$N127*VLOOKUP($M127&amp;"Total",$D:$AK,26,FALSE)/100+100/$X127*$Q127*VLOOKUP($P127&amp;"Total",$D:$AK,26,FALSE)/100+
(IF($G127=AC$66,$H127,0)+IF($J127=AC$66,$K127,0)+IF($M127=AC$66,$N127,0)+IF($P127=AC$66,$Q127,0))*100/$X127</f>
        <v>0</v>
      </c>
      <c r="AD127" s="3">
        <f>100/$X127*$H127*VLOOKUP($G127&amp;"Total",$D:$AK,27,FALSE)/100+100/$X127*$K127*VLOOKUP($J127&amp;"Total",$D:$AK,27,FALSE)/100+100/$X127*$N127*VLOOKUP($M127&amp;"Total",$D:$AK,27,FALSE)/100+100/$X127*$Q127*VLOOKUP($P127&amp;"Total",$D:$AK,27,FALSE)/100+
(IF($G127=AD$66,$H127,0)+IF($J127=AD$66,$K127,0)+IF($M127=AD$66,$N127,0)+IF($P127=AD$66,$Q127,0))*100/$X127</f>
        <v>0</v>
      </c>
      <c r="AE127" s="3">
        <f>100/$X127*$H127*VLOOKUP($G127&amp;"Total",$D:$AK,28,FALSE)/100+100/$X127*$K127*VLOOKUP($J127&amp;"Total",$D:$AK,28,FALSE)/100+100/$X127*$N127*VLOOKUP($M127&amp;"Total",$D:$AK,28,FALSE)/100+100/$X127*$Q127*VLOOKUP($P127&amp;"Total",$D:$AK,28,FALSE)/100+
(IF($G127=AE$66,$H127,0)+IF($J127=AE$66,$K127,0)+IF($M127=AE$66,$N127,0)+IF($P127=AE$66,$Q127,0))*100/$X127</f>
        <v>1675</v>
      </c>
      <c r="AF127" s="3">
        <f>100/$X127*$H127*VLOOKUP($G127&amp;"Total",$D:$AK,29,FALSE)/100+100/$X127*$K127*VLOOKUP($J127&amp;"Total",$D:$AK,29,FALSE)/100+100/$X127*$N127*VLOOKUP($M127&amp;"Total",$D:$AK,29,FALSE)/100+100/$X127*$Q127*VLOOKUP($P127&amp;"Total",$D:$AK,29,FALSE)/100+
(IF($G127=AF$66,$H127,0)+IF($J127=AF$66,$K127,0)+IF($M127=AF$66,$N127,0)+IF($P127=AF$66,$Q127,0))*100/$X127</f>
        <v>3000</v>
      </c>
      <c r="AG127" s="3">
        <f>100/$X127*$H127*VLOOKUP($G127&amp;"Total",$D:$AK,30,FALSE)/100+100/$X127*$K127*VLOOKUP($J127&amp;"Total",$D:$AK,30,FALSE)/100+100/$X127*$N127*VLOOKUP($M127&amp;"Total",$D:$AK,30,FALSE)/100+100/$X127*$Q127*VLOOKUP($P127&amp;"Total",$D:$AK,30,FALSE)/100+
(IF($G127=AG$66,$H127,0)+IF($J127=AG$66,$K127,0)+IF($M127=AG$66,$N127,0)+IF($P127=AG$66,$Q127,0))*100/$X127</f>
        <v>0</v>
      </c>
      <c r="AH127" s="3">
        <f>100/$X127*$H127*VLOOKUP($G127&amp;"Total",$D:$AK,31,FALSE)/100+100/$X127*$K127*VLOOKUP($J127&amp;"Total",$D:$AK,31,FALSE)/100+100/$X127*$N127*VLOOKUP($M127&amp;"Total",$D:$AK,31,FALSE)/100+100/$X127*$Q127*VLOOKUP($P127&amp;"Total",$D:$AK,31,FALSE)/100+
(IF($G127=AH$66,$H127,0)+IF($J127=AH$66,$K127,0)+IF($M127=AH$66,$N127,0)+IF($P127=AH$66,$Q127,0))*100/$X127</f>
        <v>0</v>
      </c>
      <c r="AI127" s="3">
        <f>100/$X127*$H127*VLOOKUP($G127&amp;"Total",$D:$AK,32,FALSE)/100+100/$X127*$K127*VLOOKUP($J127&amp;"Total",$D:$AK,32,FALSE)/100+100/$X127*$N127*VLOOKUP($M127&amp;"Total",$D:$AK,32,FALSE)/100+100/$X127*$Q127*VLOOKUP($P127&amp;"Total",$D:$AK,32,FALSE)/100+
(IF($G127=AI$66,$H127,0)+IF($J127=AI$66,$K127,0)+IF($M127=AI$66,$N127,0)+IF($P127=AI$66,$Q127,0))*100/$X127</f>
        <v>0</v>
      </c>
      <c r="AJ127" s="3">
        <f>100/$X127*$H127*VLOOKUP($G127&amp;"Total",$D:$AK,33,FALSE)/100+100/$X127*$K127*VLOOKUP($J127&amp;"Total",$D:$AK,33,FALSE)/100+100/$X127*$N127*VLOOKUP($M127&amp;"Total",$D:$AK,33,FALSE)/100+100/$X127*$Q127*VLOOKUP($P127&amp;"Total",$D:$AK,33,FALSE)/100+
(IF($G127=AJ$66,$H127,0)+IF($J127=AJ$66,$K127,0)+IF($M127=AJ$66,$N127,0)+IF($P127=AJ$66,$Q127,0))*100/$X127</f>
        <v>0</v>
      </c>
      <c r="AK127" s="3">
        <f>100/$X127*$H127*VLOOKUP($G127&amp;"Total",$D:$AK,34,FALSE)/100+100/$X127*$K127*VLOOKUP($J127&amp;"Total",$D:$AK,34,FALSE)/100+100/$X127*$N127*VLOOKUP($M127&amp;"Total",$D:$AK,34,FALSE)/100+100/$X127*$Q127*VLOOKUP($P127&amp;"Total",$D:$AK,34,FALSE)/100+
(IF($G127=AK$66,$H127,0)+IF($J127=AK$66,$K127,0)+IF($M127=AK$66,$N127,0)+IF($P127=AK$66,$Q127,0))*100/$X127</f>
        <v>0</v>
      </c>
    </row>
    <row r="128" spans="1:37" x14ac:dyDescent="0.25">
      <c r="A128" t="s">
        <v>113</v>
      </c>
      <c r="B128" t="s">
        <v>115</v>
      </c>
      <c r="C128" t="s">
        <v>17</v>
      </c>
      <c r="D128" t="str">
        <f t="shared" si="52"/>
        <v>Crystal OscillatorTotal</v>
      </c>
      <c r="E128" s="26">
        <f t="shared" si="53"/>
        <v>5995.1281161429097</v>
      </c>
      <c r="G128" t="s">
        <v>74</v>
      </c>
      <c r="H128" s="22">
        <v>18.75</v>
      </c>
      <c r="I128" s="3">
        <f>VLOOKUP(G128&amp;"Total",$D:$AB,2,FALSE)/100*H128</f>
        <v>7.4671052631578947</v>
      </c>
      <c r="J128" t="s">
        <v>72</v>
      </c>
      <c r="K128" s="22">
        <v>13.125</v>
      </c>
      <c r="L128" s="3">
        <f>VLOOKUP(J128&amp;"Total",$D:$AB,2,FALSE)/100*K128</f>
        <v>28.162581730769233</v>
      </c>
      <c r="M128" t="s">
        <v>104</v>
      </c>
      <c r="N128" s="22">
        <v>1.875</v>
      </c>
      <c r="O128" s="3">
        <f>VLOOKUP(M128&amp;"Total",$D:$AB,2,FALSE)/100*N128</f>
        <v>21.778965183752423</v>
      </c>
      <c r="P128" s="22" t="s">
        <v>27</v>
      </c>
      <c r="Q128" s="22"/>
      <c r="R128" s="3">
        <f>VLOOKUP(P128&amp;"Total",$D:$AB,2,FALSE)/100*Q128</f>
        <v>0</v>
      </c>
      <c r="T128" s="3">
        <f t="shared" si="54"/>
        <v>57.408652177679556</v>
      </c>
      <c r="V128" s="22" t="s">
        <v>111</v>
      </c>
      <c r="W128" s="22">
        <v>55</v>
      </c>
      <c r="X128" s="22">
        <v>1.875</v>
      </c>
      <c r="AA128" s="3">
        <f>100/$X128*$H128*VLOOKUP($G128&amp;"Total",$D:$AK,24,FALSE)/100+100/$X128*$K128*VLOOKUP($J128&amp;"Total",$D:$AK,24,FALSE)/100+100/$X128*$N128*VLOOKUP($M128&amp;"Total",$D:$AK,24,FALSE)/100+100/$X128*$Q128*VLOOKUP($P128&amp;"Total",$D:$AK,24,FALSE)/100+
(IF($G128=AA$66,$H128,0)+IF($J128=AA$66,$K128,0)+IF($M128=AA$66,$N128,0)+IF($P128=AA$66,$Q128,0))*100/$X128</f>
        <v>0</v>
      </c>
      <c r="AB128" s="3">
        <f>100/$X128*$H128*VLOOKUP($G128&amp;"Total",$D:$AK,25,FALSE)/100+100/$X128*$K128*VLOOKUP($J128&amp;"Total",$D:$AK,25,FALSE)/100+100/$X128*$N128*VLOOKUP($M128&amp;"Total",$D:$AK,25,FALSE)/100+100/$X128*$Q128*VLOOKUP($P128&amp;"Total",$D:$AK,25,FALSE)/100+
(IF($G128=AB$66,$H128,0)+IF($J128=AB$66,$K128,0)+IF($M128=AB$66,$N128,0)+IF($P128=AB$66,$Q128,0))*100/$X128</f>
        <v>1000</v>
      </c>
      <c r="AC128" s="3">
        <f>100/$X128*$H128*VLOOKUP($G128&amp;"Total",$D:$AK,26,FALSE)/100+100/$X128*$K128*VLOOKUP($J128&amp;"Total",$D:$AK,26,FALSE)/100+100/$X128*$N128*VLOOKUP($M128&amp;"Total",$D:$AK,26,FALSE)/100+100/$X128*$Q128*VLOOKUP($P128&amp;"Total",$D:$AK,26,FALSE)/100+
(IF($G128=AC$66,$H128,0)+IF($J128=AC$66,$K128,0)+IF($M128=AC$66,$N128,0)+IF($P128=AC$66,$Q128,0))*100/$X128</f>
        <v>0</v>
      </c>
      <c r="AD128" s="3">
        <f>100/$X128*$H128*VLOOKUP($G128&amp;"Total",$D:$AK,27,FALSE)/100+100/$X128*$K128*VLOOKUP($J128&amp;"Total",$D:$AK,27,FALSE)/100+100/$X128*$N128*VLOOKUP($M128&amp;"Total",$D:$AK,27,FALSE)/100+100/$X128*$Q128*VLOOKUP($P128&amp;"Total",$D:$AK,27,FALSE)/100+
(IF($G128=AD$66,$H128,0)+IF($J128=AD$66,$K128,0)+IF($M128=AD$66,$N128,0)+IF($P128=AD$66,$Q128,0))*100/$X128</f>
        <v>0</v>
      </c>
      <c r="AE128" s="3">
        <f>100/$X128*$H128*VLOOKUP($G128&amp;"Total",$D:$AK,28,FALSE)/100+100/$X128*$K128*VLOOKUP($J128&amp;"Total",$D:$AK,28,FALSE)/100+100/$X128*$N128*VLOOKUP($M128&amp;"Total",$D:$AK,28,FALSE)/100+100/$X128*$Q128*VLOOKUP($P128&amp;"Total",$D:$AK,28,FALSE)/100+
(IF($G128=AE$66,$H128,0)+IF($J128=AE$66,$K128,0)+IF($M128=AE$66,$N128,0)+IF($P128=AE$66,$Q128,0))*100/$X128</f>
        <v>1200</v>
      </c>
      <c r="AF128" s="3">
        <f>100/$X128*$H128*VLOOKUP($G128&amp;"Total",$D:$AK,29,FALSE)/100+100/$X128*$K128*VLOOKUP($J128&amp;"Total",$D:$AK,29,FALSE)/100+100/$X128*$N128*VLOOKUP($M128&amp;"Total",$D:$AK,29,FALSE)/100+100/$X128*$Q128*VLOOKUP($P128&amp;"Total",$D:$AK,29,FALSE)/100+
(IF($G128=AF$66,$H128,0)+IF($J128=AF$66,$K128,0)+IF($M128=AF$66,$N128,0)+IF($P128=AF$66,$Q128,0))*100/$X128</f>
        <v>1666.6666666666665</v>
      </c>
      <c r="AG128" s="3">
        <f>100/$X128*$H128*VLOOKUP($G128&amp;"Total",$D:$AK,30,FALSE)/100+100/$X128*$K128*VLOOKUP($J128&amp;"Total",$D:$AK,30,FALSE)/100+100/$X128*$N128*VLOOKUP($M128&amp;"Total",$D:$AK,30,FALSE)/100+100/$X128*$Q128*VLOOKUP($P128&amp;"Total",$D:$AK,30,FALSE)/100+
(IF($G128=AG$66,$H128,0)+IF($J128=AG$66,$K128,0)+IF($M128=AG$66,$N128,0)+IF($P128=AG$66,$Q128,0))*100/$X128</f>
        <v>0</v>
      </c>
      <c r="AH128" s="3">
        <f>100/$X128*$H128*VLOOKUP($G128&amp;"Total",$D:$AK,31,FALSE)/100+100/$X128*$K128*VLOOKUP($J128&amp;"Total",$D:$AK,31,FALSE)/100+100/$X128*$N128*VLOOKUP($M128&amp;"Total",$D:$AK,31,FALSE)/100+100/$X128*$Q128*VLOOKUP($P128&amp;"Total",$D:$AK,31,FALSE)/100+
(IF($G128=AH$66,$H128,0)+IF($J128=AH$66,$K128,0)+IF($M128=AH$66,$N128,0)+IF($P128=AH$66,$Q128,0))*100/$X128</f>
        <v>0</v>
      </c>
      <c r="AI128" s="3">
        <f>100/$X128*$H128*VLOOKUP($G128&amp;"Total",$D:$AK,32,FALSE)/100+100/$X128*$K128*VLOOKUP($J128&amp;"Total",$D:$AK,32,FALSE)/100+100/$X128*$N128*VLOOKUP($M128&amp;"Total",$D:$AK,32,FALSE)/100+100/$X128*$Q128*VLOOKUP($P128&amp;"Total",$D:$AK,32,FALSE)/100+
(IF($G128=AI$66,$H128,0)+IF($J128=AI$66,$K128,0)+IF($M128=AI$66,$N128,0)+IF($P128=AI$66,$Q128,0))*100/$X128</f>
        <v>0</v>
      </c>
      <c r="AJ128" s="3">
        <f>100/$X128*$H128*VLOOKUP($G128&amp;"Total",$D:$AK,33,FALSE)/100+100/$X128*$K128*VLOOKUP($J128&amp;"Total",$D:$AK,33,FALSE)/100+100/$X128*$N128*VLOOKUP($M128&amp;"Total",$D:$AK,33,FALSE)/100+100/$X128*$Q128*VLOOKUP($P128&amp;"Total",$D:$AK,33,FALSE)/100+
(IF($G128=AJ$66,$H128,0)+IF($J128=AJ$66,$K128,0)+IF($M128=AJ$66,$N128,0)+IF($P128=AJ$66,$Q128,0))*100/$X128</f>
        <v>0</v>
      </c>
      <c r="AK128" s="3">
        <f>100/$X128*$H128*VLOOKUP($G128&amp;"Total",$D:$AK,34,FALSE)/100+100/$X128*$K128*VLOOKUP($J128&amp;"Total",$D:$AK,34,FALSE)/100+100/$X128*$N128*VLOOKUP($M128&amp;"Total",$D:$AK,34,FALSE)/100+100/$X128*$Q128*VLOOKUP($P128&amp;"Total",$D:$AK,34,FALSE)/100+
(IF($G128=AK$66,$H128,0)+IF($J128=AK$66,$K128,0)+IF($M128=AK$66,$N128,0)+IF($P128=AK$66,$Q128,0))*100/$X128</f>
        <v>1050</v>
      </c>
    </row>
    <row r="129" spans="1:37" x14ac:dyDescent="0.25">
      <c r="E129" s="25"/>
      <c r="G129" s="22"/>
      <c r="H129" s="22"/>
      <c r="J129" s="22"/>
      <c r="K129" s="22"/>
      <c r="M129" s="22"/>
      <c r="N129" s="22"/>
      <c r="P129" s="22"/>
      <c r="Q129" s="22"/>
      <c r="V129" s="22"/>
      <c r="W129" s="22"/>
      <c r="X129" s="22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25">
      <c r="A130" t="s">
        <v>116</v>
      </c>
      <c r="B130" t="s">
        <v>116</v>
      </c>
      <c r="D130" t="str">
        <f t="shared" ref="D130:D131" si="55">A130&amp;C130</f>
        <v>electromagnetic control rod</v>
      </c>
      <c r="E130" s="26">
        <f t="shared" ref="E130:E131" si="56">100/X130*(T130+W130)</f>
        <v>2333.6523991894392</v>
      </c>
      <c r="G130" t="s">
        <v>117</v>
      </c>
      <c r="H130" s="22">
        <v>6</v>
      </c>
      <c r="I130" s="3">
        <f>VLOOKUP(G130&amp;"Total",$D:$AB,2,FALSE)/100*H130</f>
        <v>31.884303575572403</v>
      </c>
      <c r="J130" t="s">
        <v>104</v>
      </c>
      <c r="K130" s="22">
        <v>4</v>
      </c>
      <c r="L130" s="3">
        <f>VLOOKUP(J130&amp;"Total",$D:$AB,2,FALSE)/100*K130</f>
        <v>46.461792392005165</v>
      </c>
      <c r="M130" s="22" t="s">
        <v>27</v>
      </c>
      <c r="N130" s="22"/>
      <c r="O130" s="3">
        <f>VLOOKUP(M130&amp;"Total",$D:$AB,2,FALSE)/100*N130</f>
        <v>0</v>
      </c>
      <c r="P130" s="22" t="s">
        <v>27</v>
      </c>
      <c r="Q130" s="22"/>
      <c r="R130" s="3">
        <f>VLOOKUP(P130&amp;"Total",$D:$AB,2,FALSE)/100*Q130</f>
        <v>0</v>
      </c>
      <c r="T130" s="3">
        <f t="shared" ref="T130:T131" si="57">I130+L130+O130+R130</f>
        <v>78.346095967577568</v>
      </c>
      <c r="V130" s="22" t="s">
        <v>70</v>
      </c>
      <c r="W130" s="22">
        <v>15</v>
      </c>
      <c r="X130" s="22">
        <v>4</v>
      </c>
      <c r="AA130" s="3">
        <f>100/$X130*$H130*VLOOKUP($G130&amp;"Total",$D:$AK,24,FALSE)/100+100/$X130*$K130*VLOOKUP($J130&amp;"Total",$D:$AK,24,FALSE)/100+100/$X130*$N130*VLOOKUP($M130&amp;"Total",$D:$AK,24,FALSE)/100+100/$X130*$Q130*VLOOKUP($P130&amp;"Total",$D:$AK,24,FALSE)/100+
(IF($G130=AA$66,$H130,0)+IF($J130=AA$66,$K130,0)+IF($M130=AA$66,$N130,0)+IF($P130=AA$66,$Q130,0))*100/$X130</f>
        <v>300</v>
      </c>
      <c r="AB130" s="3">
        <f>100/$X130*$H130*VLOOKUP($G130&amp;"Total",$D:$AK,25,FALSE)/100+100/$X130*$K130*VLOOKUP($J130&amp;"Total",$D:$AK,25,FALSE)/100+100/$X130*$N130*VLOOKUP($M130&amp;"Total",$D:$AK,25,FALSE)/100+100/$X130*$Q130*VLOOKUP($P130&amp;"Total",$D:$AK,25,FALSE)/100+
(IF($G130=AB$66,$H130,0)+IF($J130=AB$66,$K130,0)+IF($M130=AB$66,$N130,0)+IF($P130=AB$66,$Q130,0))*100/$X130</f>
        <v>1000</v>
      </c>
      <c r="AC130" s="3">
        <f>100/$X130*$H130*VLOOKUP($G130&amp;"Total",$D:$AK,26,FALSE)/100+100/$X130*$K130*VLOOKUP($J130&amp;"Total",$D:$AK,26,FALSE)/100+100/$X130*$N130*VLOOKUP($M130&amp;"Total",$D:$AK,26,FALSE)/100+100/$X130*$Q130*VLOOKUP($P130&amp;"Total",$D:$AK,26,FALSE)/100+
(IF($G130=AC$66,$H130,0)+IF($J130=AC$66,$K130,0)+IF($M130=AC$66,$N130,0)+IF($P130=AC$66,$Q130,0))*100/$X130</f>
        <v>0</v>
      </c>
      <c r="AD130" s="3">
        <f>100/$X130*$H130*VLOOKUP($G130&amp;"Total",$D:$AK,27,FALSE)/100+100/$X130*$K130*VLOOKUP($J130&amp;"Total",$D:$AK,27,FALSE)/100+100/$X130*$N130*VLOOKUP($M130&amp;"Total",$D:$AK,27,FALSE)/100+100/$X130*$Q130*VLOOKUP($P130&amp;"Total",$D:$AK,27,FALSE)/100+
(IF($G130=AD$66,$H130,0)+IF($J130=AD$66,$K130,0)+IF($M130=AD$66,$N130,0)+IF($P130=AD$66,$Q130,0))*100/$X130</f>
        <v>300</v>
      </c>
      <c r="AE130" s="3">
        <f>100/$X130*$H130*VLOOKUP($G130&amp;"Total",$D:$AK,28,FALSE)/100+100/$X130*$K130*VLOOKUP($J130&amp;"Total",$D:$AK,28,FALSE)/100+100/$X130*$N130*VLOOKUP($M130&amp;"Total",$D:$AK,28,FALSE)/100+100/$X130*$Q130*VLOOKUP($P130&amp;"Total",$D:$AK,28,FALSE)/100+
(IF($G130=AE$66,$H130,0)+IF($J130=AE$66,$K130,0)+IF($M130=AE$66,$N130,0)+IF($P130=AE$66,$Q130,0))*100/$X130</f>
        <v>1875</v>
      </c>
      <c r="AF130" s="3">
        <f>100/$X130*$H130*VLOOKUP($G130&amp;"Total",$D:$AK,29,FALSE)/100+100/$X130*$K130*VLOOKUP($J130&amp;"Total",$D:$AK,29,FALSE)/100+100/$X130*$N130*VLOOKUP($M130&amp;"Total",$D:$AK,29,FALSE)/100+100/$X130*$Q130*VLOOKUP($P130&amp;"Total",$D:$AK,29,FALSE)/100+
(IF($G130=AF$66,$H130,0)+IF($J130=AF$66,$K130,0)+IF($M130=AF$66,$N130,0)+IF($P130=AF$66,$Q130,0))*100/$X130</f>
        <v>0</v>
      </c>
      <c r="AG130" s="3">
        <f>100/$X130*$H130*VLOOKUP($G130&amp;"Total",$D:$AK,30,FALSE)/100+100/$X130*$K130*VLOOKUP($J130&amp;"Total",$D:$AK,30,FALSE)/100+100/$X130*$N130*VLOOKUP($M130&amp;"Total",$D:$AK,30,FALSE)/100+100/$X130*$Q130*VLOOKUP($P130&amp;"Total",$D:$AK,30,FALSE)/100+
(IF($G130=AG$66,$H130,0)+IF($J130=AG$66,$K130,0)+IF($M130=AG$66,$N130,0)+IF($P130=AG$66,$Q130,0))*100/$X130</f>
        <v>0</v>
      </c>
      <c r="AH130" s="3">
        <f>100/$X130*$H130*VLOOKUP($G130&amp;"Total",$D:$AK,31,FALSE)/100+100/$X130*$K130*VLOOKUP($J130&amp;"Total",$D:$AK,31,FALSE)/100+100/$X130*$N130*VLOOKUP($M130&amp;"Total",$D:$AK,31,FALSE)/100+100/$X130*$Q130*VLOOKUP($P130&amp;"Total",$D:$AK,31,FALSE)/100+
(IF($G130=AH$66,$H130,0)+IF($J130=AH$66,$K130,0)+IF($M130=AH$66,$N130,0)+IF($P130=AH$66,$Q130,0))*100/$X130</f>
        <v>0</v>
      </c>
      <c r="AI130" s="3">
        <f>100/$X130*$H130*VLOOKUP($G130&amp;"Total",$D:$AK,32,FALSE)/100+100/$X130*$K130*VLOOKUP($J130&amp;"Total",$D:$AK,32,FALSE)/100+100/$X130*$N130*VLOOKUP($M130&amp;"Total",$D:$AK,32,FALSE)/100+100/$X130*$Q130*VLOOKUP($P130&amp;"Total",$D:$AK,32,FALSE)/100+
(IF($G130=AI$66,$H130,0)+IF($J130=AI$66,$K130,0)+IF($M130=AI$66,$N130,0)+IF($P130=AI$66,$Q130,0))*100/$X130</f>
        <v>0</v>
      </c>
      <c r="AJ130" s="3">
        <f>100/$X130*$H130*VLOOKUP($G130&amp;"Total",$D:$AK,33,FALSE)/100+100/$X130*$K130*VLOOKUP($J130&amp;"Total",$D:$AK,33,FALSE)/100+100/$X130*$N130*VLOOKUP($M130&amp;"Total",$D:$AK,33,FALSE)/100+100/$X130*$Q130*VLOOKUP($P130&amp;"Total",$D:$AK,33,FALSE)/100+
(IF($G130=AJ$66,$H130,0)+IF($J130=AJ$66,$K130,0)+IF($M130=AJ$66,$N130,0)+IF($P130=AJ$66,$Q130,0))*100/$X130</f>
        <v>0</v>
      </c>
      <c r="AK130" s="3">
        <f>100/$X130*$H130*VLOOKUP($G130&amp;"Total",$D:$AK,34,FALSE)/100+100/$X130*$K130*VLOOKUP($J130&amp;"Total",$D:$AK,34,FALSE)/100+100/$X130*$N130*VLOOKUP($M130&amp;"Total",$D:$AK,34,FALSE)/100+100/$X130*$Q130*VLOOKUP($P130&amp;"Total",$D:$AK,34,FALSE)/100+
(IF($G130=AK$66,$H130,0)+IF($J130=AK$66,$K130,0)+IF($M130=AK$66,$N130,0)+IF($P130=AK$66,$Q130,0))*100/$X130</f>
        <v>0</v>
      </c>
    </row>
    <row r="131" spans="1:37" x14ac:dyDescent="0.25">
      <c r="A131" t="s">
        <v>116</v>
      </c>
      <c r="B131" t="s">
        <v>118</v>
      </c>
      <c r="C131" t="s">
        <v>17</v>
      </c>
      <c r="D131" t="str">
        <f t="shared" si="55"/>
        <v>electromagnetic control rodTotal</v>
      </c>
      <c r="E131" s="26">
        <f t="shared" si="56"/>
        <v>2221.1273738892528</v>
      </c>
      <c r="G131" t="s">
        <v>117</v>
      </c>
      <c r="H131" s="22">
        <v>8</v>
      </c>
      <c r="I131" s="3">
        <f>VLOOKUP(G131&amp;"Total",$D:$AB,2,FALSE)/100*H131</f>
        <v>42.512404767429871</v>
      </c>
      <c r="J131" t="s">
        <v>110</v>
      </c>
      <c r="K131" s="22">
        <v>4</v>
      </c>
      <c r="L131" s="3">
        <f>VLOOKUP(J131&amp;"Total",$D:$AB,2,FALSE)/100*K131</f>
        <v>120.17778514371035</v>
      </c>
      <c r="M131" s="22" t="s">
        <v>27</v>
      </c>
      <c r="N131" s="22"/>
      <c r="O131" s="3">
        <f>VLOOKUP(M131&amp;"Total",$D:$AB,2,FALSE)/100*N131</f>
        <v>0</v>
      </c>
      <c r="P131" s="22" t="s">
        <v>27</v>
      </c>
      <c r="Q131" s="22"/>
      <c r="R131" s="3">
        <f>VLOOKUP(P131&amp;"Total",$D:$AB,2,FALSE)/100*Q131</f>
        <v>0</v>
      </c>
      <c r="T131" s="3">
        <f t="shared" si="57"/>
        <v>162.69018991114024</v>
      </c>
      <c r="V131" s="22" t="s">
        <v>70</v>
      </c>
      <c r="W131" s="22">
        <v>15</v>
      </c>
      <c r="X131" s="22">
        <v>8</v>
      </c>
      <c r="AA131" s="3">
        <f>100/$X131*$H131*VLOOKUP($G131&amp;"Total",$D:$AK,24,FALSE)/100+100/$X131*$K131*VLOOKUP($J131&amp;"Total",$D:$AK,24,FALSE)/100+100/$X131*$N131*VLOOKUP($M131&amp;"Total",$D:$AK,24,FALSE)/100+100/$X131*$Q131*VLOOKUP($P131&amp;"Total",$D:$AK,24,FALSE)/100+
(IF($G131=AA$66,$H131,0)+IF($J131=AA$66,$K131,0)+IF($M131=AA$66,$N131,0)+IF($P131=AA$66,$Q131,0))*100/$X131</f>
        <v>200</v>
      </c>
      <c r="AB131" s="3">
        <f>100/$X131*$H131*VLOOKUP($G131&amp;"Total",$D:$AK,25,FALSE)/100+100/$X131*$K131*VLOOKUP($J131&amp;"Total",$D:$AK,25,FALSE)/100+100/$X131*$N131*VLOOKUP($M131&amp;"Total",$D:$AK,25,FALSE)/100+100/$X131*$Q131*VLOOKUP($P131&amp;"Total",$D:$AK,25,FALSE)/100+
(IF($G131=AB$66,$H131,0)+IF($J131=AB$66,$K131,0)+IF($M131=AB$66,$N131,0)+IF($P131=AB$66,$Q131,0))*100/$X131</f>
        <v>220</v>
      </c>
      <c r="AC131" s="3">
        <f>100/$X131*$H131*VLOOKUP($G131&amp;"Total",$D:$AK,26,FALSE)/100+100/$X131*$K131*VLOOKUP($J131&amp;"Total",$D:$AK,26,FALSE)/100+100/$X131*$N131*VLOOKUP($M131&amp;"Total",$D:$AK,26,FALSE)/100+100/$X131*$Q131*VLOOKUP($P131&amp;"Total",$D:$AK,26,FALSE)/100+
(IF($G131=AC$66,$H131,0)+IF($J131=AC$66,$K131,0)+IF($M131=AC$66,$N131,0)+IF($P131=AC$66,$Q131,0))*100/$X131</f>
        <v>0</v>
      </c>
      <c r="AD131" s="3">
        <f>100/$X131*$H131*VLOOKUP($G131&amp;"Total",$D:$AK,27,FALSE)/100+100/$X131*$K131*VLOOKUP($J131&amp;"Total",$D:$AK,27,FALSE)/100+100/$X131*$N131*VLOOKUP($M131&amp;"Total",$D:$AK,27,FALSE)/100+100/$X131*$Q131*VLOOKUP($P131&amp;"Total",$D:$AK,27,FALSE)/100+
(IF($G131=AD$66,$H131,0)+IF($J131=AD$66,$K131,0)+IF($M131=AD$66,$N131,0)+IF($P131=AD$66,$Q131,0))*100/$X131</f>
        <v>200</v>
      </c>
      <c r="AE131" s="3">
        <f>100/$X131*$H131*VLOOKUP($G131&amp;"Total",$D:$AK,28,FALSE)/100+100/$X131*$K131*VLOOKUP($J131&amp;"Total",$D:$AK,28,FALSE)/100+100/$X131*$N131*VLOOKUP($M131&amp;"Total",$D:$AK,28,FALSE)/100+100/$X131*$Q131*VLOOKUP($P131&amp;"Total",$D:$AK,28,FALSE)/100+
(IF($G131=AE$66,$H131,0)+IF($J131=AE$66,$K131,0)+IF($M131=AE$66,$N131,0)+IF($P131=AE$66,$Q131,0))*100/$X131</f>
        <v>1350</v>
      </c>
      <c r="AF131" s="3">
        <f>100/$X131*$H131*VLOOKUP($G131&amp;"Total",$D:$AK,29,FALSE)/100+100/$X131*$K131*VLOOKUP($J131&amp;"Total",$D:$AK,29,FALSE)/100+100/$X131*$N131*VLOOKUP($M131&amp;"Total",$D:$AK,29,FALSE)/100+100/$X131*$Q131*VLOOKUP($P131&amp;"Total",$D:$AK,29,FALSE)/100+
(IF($G131=AF$66,$H131,0)+IF($J131=AF$66,$K131,0)+IF($M131=AF$66,$N131,0)+IF($P131=AF$66,$Q131,0))*100/$X131</f>
        <v>441</v>
      </c>
      <c r="AG131" s="3">
        <f>100/$X131*$H131*VLOOKUP($G131&amp;"Total",$D:$AK,30,FALSE)/100+100/$X131*$K131*VLOOKUP($J131&amp;"Total",$D:$AK,30,FALSE)/100+100/$X131*$N131*VLOOKUP($M131&amp;"Total",$D:$AK,30,FALSE)/100+100/$X131*$Q131*VLOOKUP($P131&amp;"Total",$D:$AK,30,FALSE)/100+
(IF($G131=AG$66,$H131,0)+IF($J131=AG$66,$K131,0)+IF($M131=AG$66,$N131,0)+IF($P131=AG$66,$Q131,0))*100/$X131</f>
        <v>0</v>
      </c>
      <c r="AH131" s="3">
        <f>100/$X131*$H131*VLOOKUP($G131&amp;"Total",$D:$AK,31,FALSE)/100+100/$X131*$K131*VLOOKUP($J131&amp;"Total",$D:$AK,31,FALSE)/100+100/$X131*$N131*VLOOKUP($M131&amp;"Total",$D:$AK,31,FALSE)/100+100/$X131*$Q131*VLOOKUP($P131&amp;"Total",$D:$AK,31,FALSE)/100+
(IF($G131=AH$66,$H131,0)+IF($J131=AH$66,$K131,0)+IF($M131=AH$66,$N131,0)+IF($P131=AH$66,$Q131,0))*100/$X131</f>
        <v>0</v>
      </c>
      <c r="AI131" s="3">
        <f>100/$X131*$H131*VLOOKUP($G131&amp;"Total",$D:$AK,32,FALSE)/100+100/$X131*$K131*VLOOKUP($J131&amp;"Total",$D:$AK,32,FALSE)/100+100/$X131*$N131*VLOOKUP($M131&amp;"Total",$D:$AK,32,FALSE)/100+100/$X131*$Q131*VLOOKUP($P131&amp;"Total",$D:$AK,32,FALSE)/100+
(IF($G131=AI$66,$H131,0)+IF($J131=AI$66,$K131,0)+IF($M131=AI$66,$N131,0)+IF($P131=AI$66,$Q131,0))*100/$X131</f>
        <v>0</v>
      </c>
      <c r="AJ131" s="3">
        <f>100/$X131*$H131*VLOOKUP($G131&amp;"Total",$D:$AK,33,FALSE)/100+100/$X131*$K131*VLOOKUP($J131&amp;"Total",$D:$AK,33,FALSE)/100+100/$X131*$N131*VLOOKUP($M131&amp;"Total",$D:$AK,33,FALSE)/100+100/$X131*$Q131*VLOOKUP($P131&amp;"Total",$D:$AK,33,FALSE)/100+
(IF($G131=AJ$66,$H131,0)+IF($J131=AJ$66,$K131,0)+IF($M131=AJ$66,$N131,0)+IF($P131=AJ$66,$Q131,0))*100/$X131</f>
        <v>0</v>
      </c>
      <c r="AK131" s="3">
        <f>100/$X131*$H131*VLOOKUP($G131&amp;"Total",$D:$AK,34,FALSE)/100+100/$X131*$K131*VLOOKUP($J131&amp;"Total",$D:$AK,34,FALSE)/100+100/$X131*$N131*VLOOKUP($M131&amp;"Total",$D:$AK,34,FALSE)/100+100/$X131*$Q131*VLOOKUP($P131&amp;"Total",$D:$AK,34,FALSE)/100+
(IF($G131=AK$66,$H131,0)+IF($J131=AK$66,$K131,0)+IF($M131=AK$66,$N131,0)+IF($P131=AK$66,$Q131,0))*100/$X131</f>
        <v>0</v>
      </c>
    </row>
    <row r="132" spans="1:37" x14ac:dyDescent="0.25">
      <c r="E132" s="25"/>
      <c r="G132" s="22"/>
      <c r="H132" s="22"/>
      <c r="J132" s="22"/>
      <c r="K132" s="22"/>
      <c r="M132" s="22"/>
      <c r="N132" s="22"/>
      <c r="P132" s="22"/>
      <c r="Q132" s="22"/>
      <c r="V132" s="22"/>
      <c r="W132" s="22"/>
      <c r="X132" s="22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25">
      <c r="A133" t="s">
        <v>119</v>
      </c>
      <c r="B133" t="s">
        <v>119</v>
      </c>
      <c r="D133" t="str">
        <f t="shared" ref="D133:D135" si="58">A133&amp;C133</f>
        <v>Computer</v>
      </c>
      <c r="E133" s="26">
        <f t="shared" ref="E133:E135" si="59">100/X133*(T133+W133)</f>
        <v>10448.344691970447</v>
      </c>
      <c r="G133" t="s">
        <v>105</v>
      </c>
      <c r="H133" s="22">
        <v>25</v>
      </c>
      <c r="I133" s="3">
        <f>VLOOKUP(G133&amp;"Total",$D:$AB,2,FALSE)/100*H133</f>
        <v>93.641858902575592</v>
      </c>
      <c r="J133" t="s">
        <v>97</v>
      </c>
      <c r="K133" s="22">
        <v>22.5</v>
      </c>
      <c r="L133" s="3">
        <f>VLOOKUP(J133&amp;"Total",$D:$AB,2,FALSE)/100*K133</f>
        <v>7.9125000000000014</v>
      </c>
      <c r="M133" t="s">
        <v>82</v>
      </c>
      <c r="N133" s="22">
        <v>45</v>
      </c>
      <c r="O133" s="3">
        <f>VLOOKUP(M133&amp;"Total",$D:$AB,2,FALSE)/100*N133</f>
        <v>96.557423076923087</v>
      </c>
      <c r="P133" t="s">
        <v>87</v>
      </c>
      <c r="Q133" s="22">
        <v>130</v>
      </c>
      <c r="R133" s="3">
        <f>VLOOKUP(P133&amp;"Total",$D:$AB,2,FALSE)/100*Q133</f>
        <v>8.0968353197624445</v>
      </c>
      <c r="T133" s="3">
        <f t="shared" ref="T133:T135" si="60">I133+L133+O133+R133</f>
        <v>206.20861729926114</v>
      </c>
      <c r="V133" s="22" t="s">
        <v>111</v>
      </c>
      <c r="W133" s="22">
        <v>55</v>
      </c>
      <c r="X133" s="22">
        <v>2.5</v>
      </c>
      <c r="AA133" s="3">
        <f>100/$X133*$H133*VLOOKUP($G133&amp;"Total",$D:$AK,24,FALSE)/100+100/$X133*$K133*VLOOKUP($J133&amp;"Total",$D:$AK,24,FALSE)/100+100/$X133*$N133*VLOOKUP($M133&amp;"Total",$D:$AK,24,FALSE)/100+100/$X133*$Q133*VLOOKUP($P133&amp;"Total",$D:$AK,24,FALSE)/100+
(IF($G133=AA$66,$H133,0)+IF($J133=AA$66,$K133,0)+IF($M133=AA$66,$N133,0)+IF($P133=AA$66,$Q133,0))*100/$X133</f>
        <v>266.66666666666663</v>
      </c>
      <c r="AB133" s="3">
        <f>100/$X133*$H133*VLOOKUP($G133&amp;"Total",$D:$AK,25,FALSE)/100+100/$X133*$K133*VLOOKUP($J133&amp;"Total",$D:$AK,25,FALSE)/100+100/$X133*$N133*VLOOKUP($M133&amp;"Total",$D:$AK,25,FALSE)/100+100/$X133*$Q133*VLOOKUP($P133&amp;"Total",$D:$AK,25,FALSE)/100+
(IF($G133=AB$66,$H133,0)+IF($J133=AB$66,$K133,0)+IF($M133=AB$66,$N133,0)+IF($P133=AB$66,$Q133,0))*100/$X133</f>
        <v>4400</v>
      </c>
      <c r="AC133" s="3">
        <f>100/$X133*$H133*VLOOKUP($G133&amp;"Total",$D:$AK,26,FALSE)/100+100/$X133*$K133*VLOOKUP($J133&amp;"Total",$D:$AK,26,FALSE)/100+100/$X133*$N133*VLOOKUP($M133&amp;"Total",$D:$AK,26,FALSE)/100+100/$X133*$Q133*VLOOKUP($P133&amp;"Total",$D:$AK,26,FALSE)/100+
(IF($G133=AC$66,$H133,0)+IF($J133=AC$66,$K133,0)+IF($M133=AC$66,$N133,0)+IF($P133=AC$66,$Q133,0))*100/$X133</f>
        <v>0</v>
      </c>
      <c r="AD133" s="3">
        <f>100/$X133*$H133*VLOOKUP($G133&amp;"Total",$D:$AK,27,FALSE)/100+100/$X133*$K133*VLOOKUP($J133&amp;"Total",$D:$AK,27,FALSE)/100+100/$X133*$N133*VLOOKUP($M133&amp;"Total",$D:$AK,27,FALSE)/100+100/$X133*$Q133*VLOOKUP($P133&amp;"Total",$D:$AK,27,FALSE)/100+
(IF($G133=AD$66,$H133,0)+IF($J133=AD$66,$K133,0)+IF($M133=AD$66,$N133,0)+IF($P133=AD$66,$Q133,0))*100/$X133</f>
        <v>266.66666666666663</v>
      </c>
      <c r="AE133" s="3">
        <f>100/$X133*$H133*VLOOKUP($G133&amp;"Total",$D:$AK,28,FALSE)/100+100/$X133*$K133*VLOOKUP($J133&amp;"Total",$D:$AK,28,FALSE)/100+100/$X133*$N133*VLOOKUP($M133&amp;"Total",$D:$AK,28,FALSE)/100+100/$X133*$Q133*VLOOKUP($P133&amp;"Total",$D:$AK,28,FALSE)/100+
(IF($G133=AE$66,$H133,0)+IF($J133=AE$66,$K133,0)+IF($M133=AE$66,$N133,0)+IF($P133=AE$66,$Q133,0))*100/$X133</f>
        <v>675</v>
      </c>
      <c r="AF133" s="3">
        <f>100/$X133*$H133*VLOOKUP($G133&amp;"Total",$D:$AK,29,FALSE)/100+100/$X133*$K133*VLOOKUP($J133&amp;"Total",$D:$AK,29,FALSE)/100+100/$X133*$N133*VLOOKUP($M133&amp;"Total",$D:$AK,29,FALSE)/100+100/$X133*$Q133*VLOOKUP($P133&amp;"Total",$D:$AK,29,FALSE)/100+
(IF($G133=AF$66,$H133,0)+IF($J133=AF$66,$K133,0)+IF($M133=AF$66,$N133,0)+IF($P133=AF$66,$Q133,0))*100/$X133</f>
        <v>1320</v>
      </c>
      <c r="AG133" s="3">
        <f>100/$X133*$H133*VLOOKUP($G133&amp;"Total",$D:$AK,30,FALSE)/100+100/$X133*$K133*VLOOKUP($J133&amp;"Total",$D:$AK,30,FALSE)/100+100/$X133*$N133*VLOOKUP($M133&amp;"Total",$D:$AK,30,FALSE)/100+100/$X133*$Q133*VLOOKUP($P133&amp;"Total",$D:$AK,30,FALSE)/100+
(IF($G133=AG$66,$H133,0)+IF($J133=AG$66,$K133,0)+IF($M133=AG$66,$N133,0)+IF($P133=AG$66,$Q133,0))*100/$X133</f>
        <v>0</v>
      </c>
      <c r="AH133" s="3">
        <f>100/$X133*$H133*VLOOKUP($G133&amp;"Total",$D:$AK,31,FALSE)/100+100/$X133*$K133*VLOOKUP($J133&amp;"Total",$D:$AK,31,FALSE)/100+100/$X133*$N133*VLOOKUP($M133&amp;"Total",$D:$AK,31,FALSE)/100+100/$X133*$Q133*VLOOKUP($P133&amp;"Total",$D:$AK,31,FALSE)/100+
(IF($G133=AH$66,$H133,0)+IF($J133=AH$66,$K133,0)+IF($M133=AH$66,$N133,0)+IF($P133=AH$66,$Q133,0))*100/$X133</f>
        <v>0</v>
      </c>
      <c r="AI133" s="3">
        <f>100/$X133*$H133*VLOOKUP($G133&amp;"Total",$D:$AK,32,FALSE)/100+100/$X133*$K133*VLOOKUP($J133&amp;"Total",$D:$AK,32,FALSE)/100+100/$X133*$N133*VLOOKUP($M133&amp;"Total",$D:$AK,32,FALSE)/100+100/$X133*$Q133*VLOOKUP($P133&amp;"Total",$D:$AK,32,FALSE)/100+
(IF($G133=AI$66,$H133,0)+IF($J133=AI$66,$K133,0)+IF($M133=AI$66,$N133,0)+IF($P133=AI$66,$Q133,0))*100/$X133</f>
        <v>0</v>
      </c>
      <c r="AJ133" s="3">
        <f>100/$X133*$H133*VLOOKUP($G133&amp;"Total",$D:$AK,33,FALSE)/100+100/$X133*$K133*VLOOKUP($J133&amp;"Total",$D:$AK,33,FALSE)/100+100/$X133*$N133*VLOOKUP($M133&amp;"Total",$D:$AK,33,FALSE)/100+100/$X133*$Q133*VLOOKUP($P133&amp;"Total",$D:$AK,33,FALSE)/100+
(IF($G133=AJ$66,$H133,0)+IF($J133=AJ$66,$K133,0)+IF($M133=AJ$66,$N133,0)+IF($P133=AJ$66,$Q133,0))*100/$X133</f>
        <v>0</v>
      </c>
      <c r="AK133" s="3">
        <f>100/$X133*$H133*VLOOKUP($G133&amp;"Total",$D:$AK,34,FALSE)/100+100/$X133*$K133*VLOOKUP($J133&amp;"Total",$D:$AK,34,FALSE)/100+100/$X133*$N133*VLOOKUP($M133&amp;"Total",$D:$AK,34,FALSE)/100+100/$X133*$Q133*VLOOKUP($P133&amp;"Total",$D:$AK,34,FALSE)/100+
(IF($G133=AK$66,$H133,0)+IF($J133=AK$66,$K133,0)+IF($M133=AK$66,$N133,0)+IF($P133=AK$66,$Q133,0))*100/$X133</f>
        <v>2700</v>
      </c>
    </row>
    <row r="134" spans="1:37" x14ac:dyDescent="0.25">
      <c r="A134" t="s">
        <v>119</v>
      </c>
      <c r="B134" t="s">
        <v>120</v>
      </c>
      <c r="C134" t="s">
        <v>17</v>
      </c>
      <c r="D134" t="str">
        <f t="shared" si="58"/>
        <v>ComputerTotal</v>
      </c>
      <c r="E134" s="26">
        <f t="shared" si="59"/>
        <v>7189.9033313233986</v>
      </c>
      <c r="G134" t="s">
        <v>105</v>
      </c>
      <c r="H134" s="22">
        <v>26.25</v>
      </c>
      <c r="I134" s="3">
        <f>VLOOKUP(G134&amp;"Total",$D:$AB,2,FALSE)/100*H134</f>
        <v>98.323951847704365</v>
      </c>
      <c r="J134" t="s">
        <v>102</v>
      </c>
      <c r="K134" s="22">
        <v>105</v>
      </c>
      <c r="L134" s="3">
        <f>VLOOKUP(J134&amp;"Total",$D:$AB,2,FALSE)/100*K134</f>
        <v>19.740000000000006</v>
      </c>
      <c r="M134" t="s">
        <v>72</v>
      </c>
      <c r="N134" s="22">
        <v>45</v>
      </c>
      <c r="O134" s="3">
        <f>VLOOKUP(M134&amp;"Total",$D:$AB,2,FALSE)/100*N134</f>
        <v>96.557423076923087</v>
      </c>
      <c r="P134" s="22" t="s">
        <v>27</v>
      </c>
      <c r="Q134" s="22"/>
      <c r="R134" s="3">
        <f>VLOOKUP(P134&amp;"Total",$D:$AB,2,FALSE)/100*Q134</f>
        <v>0</v>
      </c>
      <c r="T134" s="3">
        <f t="shared" si="60"/>
        <v>214.62137492462745</v>
      </c>
      <c r="V134" s="22" t="s">
        <v>111</v>
      </c>
      <c r="W134" s="22">
        <v>55</v>
      </c>
      <c r="X134" s="22">
        <v>3.75</v>
      </c>
      <c r="AA134" s="3">
        <f>100/$X134*$H134*VLOOKUP($G134&amp;"Total",$D:$AK,24,FALSE)/100+100/$X134*$K134*VLOOKUP($J134&amp;"Total",$D:$AK,24,FALSE)/100+100/$X134*$N134*VLOOKUP($M134&amp;"Total",$D:$AK,24,FALSE)/100+100/$X134*$Q134*VLOOKUP($P134&amp;"Total",$D:$AK,24,FALSE)/100+
(IF($G134=AA$66,$H134,0)+IF($J134=AA$66,$K134,0)+IF($M134=AA$66,$N134,0)+IF($P134=AA$66,$Q134,0))*100/$X134</f>
        <v>0</v>
      </c>
      <c r="AB134" s="3">
        <f>100/$X134*$H134*VLOOKUP($G134&amp;"Total",$D:$AK,25,FALSE)/100+100/$X134*$K134*VLOOKUP($J134&amp;"Total",$D:$AK,25,FALSE)/100+100/$X134*$N134*VLOOKUP($M134&amp;"Total",$D:$AK,25,FALSE)/100+100/$X134*$Q134*VLOOKUP($P134&amp;"Total",$D:$AK,25,FALSE)/100+
(IF($G134=AB$66,$H134,0)+IF($J134=AB$66,$K134,0)+IF($M134=AB$66,$N134,0)+IF($P134=AB$66,$Q134,0))*100/$X134</f>
        <v>3080</v>
      </c>
      <c r="AC134" s="3">
        <f>100/$X134*$H134*VLOOKUP($G134&amp;"Total",$D:$AK,26,FALSE)/100+100/$X134*$K134*VLOOKUP($J134&amp;"Total",$D:$AK,26,FALSE)/100+100/$X134*$N134*VLOOKUP($M134&amp;"Total",$D:$AK,26,FALSE)/100+100/$X134*$Q134*VLOOKUP($P134&amp;"Total",$D:$AK,26,FALSE)/100+
(IF($G134=AC$66,$H134,0)+IF($J134=AC$66,$K134,0)+IF($M134=AC$66,$N134,0)+IF($P134=AC$66,$Q134,0))*100/$X134</f>
        <v>0</v>
      </c>
      <c r="AD134" s="3">
        <f>100/$X134*$H134*VLOOKUP($G134&amp;"Total",$D:$AK,27,FALSE)/100+100/$X134*$K134*VLOOKUP($J134&amp;"Total",$D:$AK,27,FALSE)/100+100/$X134*$N134*VLOOKUP($M134&amp;"Total",$D:$AK,27,FALSE)/100+100/$X134*$Q134*VLOOKUP($P134&amp;"Total",$D:$AK,27,FALSE)/100+
(IF($G134=AD$66,$H134,0)+IF($J134=AD$66,$K134,0)+IF($M134=AD$66,$N134,0)+IF($P134=AD$66,$Q134,0))*100/$X134</f>
        <v>0</v>
      </c>
      <c r="AE134" s="3">
        <f>100/$X134*$H134*VLOOKUP($G134&amp;"Total",$D:$AK,28,FALSE)/100+100/$X134*$K134*VLOOKUP($J134&amp;"Total",$D:$AK,28,FALSE)/100+100/$X134*$N134*VLOOKUP($M134&amp;"Total",$D:$AK,28,FALSE)/100+100/$X134*$Q134*VLOOKUP($P134&amp;"Total",$D:$AK,28,FALSE)/100+
(IF($G134=AE$66,$H134,0)+IF($J134=AE$66,$K134,0)+IF($M134=AE$66,$N134,0)+IF($P134=AE$66,$Q134,0))*100/$X134</f>
        <v>1680</v>
      </c>
      <c r="AF134" s="3">
        <f>100/$X134*$H134*VLOOKUP($G134&amp;"Total",$D:$AK,29,FALSE)/100+100/$X134*$K134*VLOOKUP($J134&amp;"Total",$D:$AK,29,FALSE)/100+100/$X134*$N134*VLOOKUP($M134&amp;"Total",$D:$AK,29,FALSE)/100+100/$X134*$Q134*VLOOKUP($P134&amp;"Total",$D:$AK,29,FALSE)/100+
(IF($G134=AF$66,$H134,0)+IF($J134=AF$66,$K134,0)+IF($M134=AF$66,$N134,0)+IF($P134=AF$66,$Q134,0))*100/$X134</f>
        <v>924</v>
      </c>
      <c r="AG134" s="3">
        <f>100/$X134*$H134*VLOOKUP($G134&amp;"Total",$D:$AK,30,FALSE)/100+100/$X134*$K134*VLOOKUP($J134&amp;"Total",$D:$AK,30,FALSE)/100+100/$X134*$N134*VLOOKUP($M134&amp;"Total",$D:$AK,30,FALSE)/100+100/$X134*$Q134*VLOOKUP($P134&amp;"Total",$D:$AK,30,FALSE)/100+
(IF($G134=AG$66,$H134,0)+IF($J134=AG$66,$K134,0)+IF($M134=AG$66,$N134,0)+IF($P134=AG$66,$Q134,0))*100/$X134</f>
        <v>0</v>
      </c>
      <c r="AH134" s="3">
        <f>100/$X134*$H134*VLOOKUP($G134&amp;"Total",$D:$AK,31,FALSE)/100+100/$X134*$K134*VLOOKUP($J134&amp;"Total",$D:$AK,31,FALSE)/100+100/$X134*$N134*VLOOKUP($M134&amp;"Total",$D:$AK,31,FALSE)/100+100/$X134*$Q134*VLOOKUP($P134&amp;"Total",$D:$AK,31,FALSE)/100+
(IF($G134=AH$66,$H134,0)+IF($J134=AH$66,$K134,0)+IF($M134=AH$66,$N134,0)+IF($P134=AH$66,$Q134,0))*100/$X134</f>
        <v>0</v>
      </c>
      <c r="AI134" s="3">
        <f>100/$X134*$H134*VLOOKUP($G134&amp;"Total",$D:$AK,32,FALSE)/100+100/$X134*$K134*VLOOKUP($J134&amp;"Total",$D:$AK,32,FALSE)/100+100/$X134*$N134*VLOOKUP($M134&amp;"Total",$D:$AK,32,FALSE)/100+100/$X134*$Q134*VLOOKUP($P134&amp;"Total",$D:$AK,32,FALSE)/100+
(IF($G134=AI$66,$H134,0)+IF($J134=AI$66,$K134,0)+IF($M134=AI$66,$N134,0)+IF($P134=AI$66,$Q134,0))*100/$X134</f>
        <v>0</v>
      </c>
      <c r="AJ134" s="3">
        <f>100/$X134*$H134*VLOOKUP($G134&amp;"Total",$D:$AK,33,FALSE)/100+100/$X134*$K134*VLOOKUP($J134&amp;"Total",$D:$AK,33,FALSE)/100+100/$X134*$N134*VLOOKUP($M134&amp;"Total",$D:$AK,33,FALSE)/100+100/$X134*$Q134*VLOOKUP($P134&amp;"Total",$D:$AK,33,FALSE)/100+
(IF($G134=AJ$66,$H134,0)+IF($J134=AJ$66,$K134,0)+IF($M134=AJ$66,$N134,0)+IF($P134=AJ$66,$Q134,0))*100/$X134</f>
        <v>0</v>
      </c>
      <c r="AK134" s="3">
        <f>100/$X134*$H134*VLOOKUP($G134&amp;"Total",$D:$AK,34,FALSE)/100+100/$X134*$K134*VLOOKUP($J134&amp;"Total",$D:$AK,34,FALSE)/100+100/$X134*$N134*VLOOKUP($M134&amp;"Total",$D:$AK,34,FALSE)/100+100/$X134*$Q134*VLOOKUP($P134&amp;"Total",$D:$AK,34,FALSE)/100+
(IF($G134=AK$66,$H134,0)+IF($J134=AK$66,$K134,0)+IF($M134=AK$66,$N134,0)+IF($P134=AK$66,$Q134,0))*100/$X134</f>
        <v>1800</v>
      </c>
    </row>
    <row r="135" spans="1:37" x14ac:dyDescent="0.25">
      <c r="A135" t="s">
        <v>119</v>
      </c>
      <c r="B135" t="s">
        <v>121</v>
      </c>
      <c r="D135" t="str">
        <f t="shared" si="58"/>
        <v>Computer</v>
      </c>
      <c r="E135" s="26">
        <f t="shared" si="59"/>
        <v>7527.3079444370487</v>
      </c>
      <c r="G135" t="s">
        <v>105</v>
      </c>
      <c r="H135" s="22">
        <v>7.5</v>
      </c>
      <c r="I135" s="3">
        <f>VLOOKUP(G135&amp;"Total",$D:$AB,2,FALSE)/100*H135</f>
        <v>28.092557670772678</v>
      </c>
      <c r="J135" t="s">
        <v>113</v>
      </c>
      <c r="K135" s="22">
        <v>2.8125</v>
      </c>
      <c r="L135" s="3">
        <f>VLOOKUP(J135&amp;"Total",$D:$AB,2,FALSE)/100*K135</f>
        <v>168.61297826651932</v>
      </c>
      <c r="M135" s="22" t="s">
        <v>27</v>
      </c>
      <c r="N135" s="22"/>
      <c r="O135" s="3">
        <f>VLOOKUP(M135&amp;"Total",$D:$AB,2,FALSE)/100*N135</f>
        <v>0</v>
      </c>
      <c r="P135" s="22" t="s">
        <v>27</v>
      </c>
      <c r="Q135" s="22"/>
      <c r="R135" s="3">
        <f>VLOOKUP(P135&amp;"Total",$D:$AB,2,FALSE)/100*Q135</f>
        <v>0</v>
      </c>
      <c r="T135" s="3">
        <f t="shared" si="60"/>
        <v>196.70553593729198</v>
      </c>
      <c r="V135" s="22" t="s">
        <v>70</v>
      </c>
      <c r="W135" s="22">
        <v>15</v>
      </c>
      <c r="X135" s="22">
        <v>2.8125</v>
      </c>
      <c r="AA135" s="3">
        <f>100/$X135*$H135*VLOOKUP($G135&amp;"Total",$D:$AK,24,FALSE)/100+100/$X135*$K135*VLOOKUP($J135&amp;"Total",$D:$AK,24,FALSE)/100+100/$X135*$N135*VLOOKUP($M135&amp;"Total",$D:$AK,24,FALSE)/100+100/$X135*$Q135*VLOOKUP($P135&amp;"Total",$D:$AK,24,FALSE)/100+
(IF($G135=AA$66,$H135,0)+IF($J135=AA$66,$K135,0)+IF($M135=AA$66,$N135,0)+IF($P135=AA$66,$Q135,0))*100/$X135</f>
        <v>0</v>
      </c>
      <c r="AB135" s="3">
        <f>100/$X135*$H135*VLOOKUP($G135&amp;"Total",$D:$AK,25,FALSE)/100+100/$X135*$K135*VLOOKUP($J135&amp;"Total",$D:$AK,25,FALSE)/100+100/$X135*$N135*VLOOKUP($M135&amp;"Total",$D:$AK,25,FALSE)/100+100/$X135*$Q135*VLOOKUP($P135&amp;"Total",$D:$AK,25,FALSE)/100+
(IF($G135=AB$66,$H135,0)+IF($J135=AB$66,$K135,0)+IF($M135=AB$66,$N135,0)+IF($P135=AB$66,$Q135,0))*100/$X135</f>
        <v>2173.3333333333335</v>
      </c>
      <c r="AC135" s="3">
        <f>100/$X135*$H135*VLOOKUP($G135&amp;"Total",$D:$AK,26,FALSE)/100+100/$X135*$K135*VLOOKUP($J135&amp;"Total",$D:$AK,26,FALSE)/100+100/$X135*$N135*VLOOKUP($M135&amp;"Total",$D:$AK,26,FALSE)/100+100/$X135*$Q135*VLOOKUP($P135&amp;"Total",$D:$AK,26,FALSE)/100+
(IF($G135=AC$66,$H135,0)+IF($J135=AC$66,$K135,0)+IF($M135=AC$66,$N135,0)+IF($P135=AC$66,$Q135,0))*100/$X135</f>
        <v>0</v>
      </c>
      <c r="AD135" s="3">
        <f>100/$X135*$H135*VLOOKUP($G135&amp;"Total",$D:$AK,27,FALSE)/100+100/$X135*$K135*VLOOKUP($J135&amp;"Total",$D:$AK,27,FALSE)/100+100/$X135*$N135*VLOOKUP($M135&amp;"Total",$D:$AK,27,FALSE)/100+100/$X135*$Q135*VLOOKUP($P135&amp;"Total",$D:$AK,27,FALSE)/100+
(IF($G135=AD$66,$H135,0)+IF($J135=AD$66,$K135,0)+IF($M135=AD$66,$N135,0)+IF($P135=AD$66,$Q135,0))*100/$X135</f>
        <v>0</v>
      </c>
      <c r="AE135" s="3">
        <f>100/$X135*$H135*VLOOKUP($G135&amp;"Total",$D:$AK,28,FALSE)/100+100/$X135*$K135*VLOOKUP($J135&amp;"Total",$D:$AK,28,FALSE)/100+100/$X135*$N135*VLOOKUP($M135&amp;"Total",$D:$AK,28,FALSE)/100+100/$X135*$Q135*VLOOKUP($P135&amp;"Total",$D:$AK,28,FALSE)/100+
(IF($G135=AE$66,$H135,0)+IF($J135=AE$66,$K135,0)+IF($M135=AE$66,$N135,0)+IF($P135=AE$66,$Q135,0))*100/$X135</f>
        <v>1200</v>
      </c>
      <c r="AF135" s="3">
        <f>100/$X135*$H135*VLOOKUP($G135&amp;"Total",$D:$AK,29,FALSE)/100+100/$X135*$K135*VLOOKUP($J135&amp;"Total",$D:$AK,29,FALSE)/100+100/$X135*$N135*VLOOKUP($M135&amp;"Total",$D:$AK,29,FALSE)/100+100/$X135*$Q135*VLOOKUP($P135&amp;"Total",$D:$AK,29,FALSE)/100+
(IF($G135=AF$66,$H135,0)+IF($J135=AF$66,$K135,0)+IF($M135=AF$66,$N135,0)+IF($P135=AF$66,$Q135,0))*100/$X135</f>
        <v>2018.6666666666665</v>
      </c>
      <c r="AG135" s="3">
        <f>100/$X135*$H135*VLOOKUP($G135&amp;"Total",$D:$AK,30,FALSE)/100+100/$X135*$K135*VLOOKUP($J135&amp;"Total",$D:$AK,30,FALSE)/100+100/$X135*$N135*VLOOKUP($M135&amp;"Total",$D:$AK,30,FALSE)/100+100/$X135*$Q135*VLOOKUP($P135&amp;"Total",$D:$AK,30,FALSE)/100+
(IF($G135=AG$66,$H135,0)+IF($J135=AG$66,$K135,0)+IF($M135=AG$66,$N135,0)+IF($P135=AG$66,$Q135,0))*100/$X135</f>
        <v>0</v>
      </c>
      <c r="AH135" s="3">
        <f>100/$X135*$H135*VLOOKUP($G135&amp;"Total",$D:$AK,31,FALSE)/100+100/$X135*$K135*VLOOKUP($J135&amp;"Total",$D:$AK,31,FALSE)/100+100/$X135*$N135*VLOOKUP($M135&amp;"Total",$D:$AK,31,FALSE)/100+100/$X135*$Q135*VLOOKUP($P135&amp;"Total",$D:$AK,31,FALSE)/100+
(IF($G135=AH$66,$H135,0)+IF($J135=AH$66,$K135,0)+IF($M135=AH$66,$N135,0)+IF($P135=AH$66,$Q135,0))*100/$X135</f>
        <v>0</v>
      </c>
      <c r="AI135" s="3">
        <f>100/$X135*$H135*VLOOKUP($G135&amp;"Total",$D:$AK,32,FALSE)/100+100/$X135*$K135*VLOOKUP($J135&amp;"Total",$D:$AK,32,FALSE)/100+100/$X135*$N135*VLOOKUP($M135&amp;"Total",$D:$AK,32,FALSE)/100+100/$X135*$Q135*VLOOKUP($P135&amp;"Total",$D:$AK,32,FALSE)/100+
(IF($G135=AI$66,$H135,0)+IF($J135=AI$66,$K135,0)+IF($M135=AI$66,$N135,0)+IF($P135=AI$66,$Q135,0))*100/$X135</f>
        <v>0</v>
      </c>
      <c r="AJ135" s="3">
        <f>100/$X135*$H135*VLOOKUP($G135&amp;"Total",$D:$AK,33,FALSE)/100+100/$X135*$K135*VLOOKUP($J135&amp;"Total",$D:$AK,33,FALSE)/100+100/$X135*$N135*VLOOKUP($M135&amp;"Total",$D:$AK,33,FALSE)/100+100/$X135*$Q135*VLOOKUP($P135&amp;"Total",$D:$AK,33,FALSE)/100+
(IF($G135=AJ$66,$H135,0)+IF($J135=AJ$66,$K135,0)+IF($M135=AJ$66,$N135,0)+IF($P135=AJ$66,$Q135,0))*100/$X135</f>
        <v>0</v>
      </c>
      <c r="AK135" s="3">
        <f>100/$X135*$H135*VLOOKUP($G135&amp;"Total",$D:$AK,34,FALSE)/100+100/$X135*$K135*VLOOKUP($J135&amp;"Total",$D:$AK,34,FALSE)/100+100/$X135*$N135*VLOOKUP($M135&amp;"Total",$D:$AK,34,FALSE)/100+100/$X135*$Q135*VLOOKUP($P135&amp;"Total",$D:$AK,34,FALSE)/100+
(IF($G135=AK$66,$H135,0)+IF($J135=AK$66,$K135,0)+IF($M135=AK$66,$N135,0)+IF($P135=AK$66,$Q135,0))*100/$X135</f>
        <v>1050</v>
      </c>
    </row>
    <row r="136" spans="1:37" x14ac:dyDescent="0.25">
      <c r="E136" s="25"/>
      <c r="G136" s="22"/>
      <c r="H136" s="22"/>
      <c r="J136" s="22"/>
      <c r="K136" s="22"/>
      <c r="M136" s="22"/>
      <c r="N136" s="22"/>
      <c r="P136" s="22"/>
      <c r="Q136" s="22"/>
      <c r="V136" s="22"/>
      <c r="W136" s="22"/>
      <c r="X136" s="22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25">
      <c r="A137" t="s">
        <v>84</v>
      </c>
      <c r="B137" t="s">
        <v>84</v>
      </c>
      <c r="D137" t="str">
        <f>A137&amp;C137</f>
        <v>Steel Ingot</v>
      </c>
      <c r="E137" s="26">
        <f t="shared" si="22"/>
        <v>63.6747520186589</v>
      </c>
      <c r="G137" t="s">
        <v>13</v>
      </c>
      <c r="H137" s="22">
        <v>45</v>
      </c>
      <c r="I137" s="3">
        <f>VLOOKUP(G137&amp;"Total",$D:$AB,2,FALSE)/100*H137</f>
        <v>6.316138408396502</v>
      </c>
      <c r="J137" s="22" t="s">
        <v>20</v>
      </c>
      <c r="K137" s="22">
        <v>45</v>
      </c>
      <c r="L137" s="3">
        <f>VLOOKUP(J137&amp;"Total",$D:$AB,2,FALSE)/100*K137</f>
        <v>6.3375000000000004</v>
      </c>
      <c r="M137" s="22" t="s">
        <v>27</v>
      </c>
      <c r="N137" s="22"/>
      <c r="O137" s="3">
        <f>VLOOKUP(M137&amp;"Total",$D:$AB,2,FALSE)/100*N137</f>
        <v>0</v>
      </c>
      <c r="P137" s="22" t="s">
        <v>27</v>
      </c>
      <c r="Q137" s="22"/>
      <c r="R137" s="3">
        <f>VLOOKUP(P137&amp;"Total",$D:$AB,2,FALSE)/100*Q137</f>
        <v>0</v>
      </c>
      <c r="T137" s="3">
        <f t="shared" si="23"/>
        <v>12.653638408396503</v>
      </c>
      <c r="V137" s="22" t="s">
        <v>57</v>
      </c>
      <c r="W137" s="22">
        <v>16</v>
      </c>
      <c r="X137" s="22">
        <v>45</v>
      </c>
      <c r="AA137" s="3">
        <f>100/$X137*$H137*VLOOKUP($G137&amp;"Total",$D:$AK,24,FALSE)/100+100/$X137*$K137*VLOOKUP($J137&amp;"Total",$D:$AK,24,FALSE)/100+100/$X137*$N137*VLOOKUP($M137&amp;"Total",$D:$AK,24,FALSE)/100+100/$X137*$Q137*VLOOKUP($P137&amp;"Total",$D:$AK,24,FALSE)/100+
(IF($G137=AA$66,$H137,0)+IF($J137=AA$66,$K137,0)+IF($M137=AA$66,$N137,0)+IF($P137=AA$66,$Q137,0))*100/$X137</f>
        <v>100</v>
      </c>
      <c r="AB137" s="3">
        <f>100/$X137*$H137*VLOOKUP($G137&amp;"Total",$D:$AK,25,FALSE)/100+100/$X137*$K137*VLOOKUP($J137&amp;"Total",$D:$AK,25,FALSE)/100+100/$X137*$N137*VLOOKUP($M137&amp;"Total",$D:$AK,25,FALSE)/100+100/$X137*$Q137*VLOOKUP($P137&amp;"Total",$D:$AK,25,FALSE)/100+
(IF($G137=AB$66,$H137,0)+IF($J137=AB$66,$K137,0)+IF($M137=AB$66,$N137,0)+IF($P137=AB$66,$Q137,0))*100/$X137</f>
        <v>0</v>
      </c>
      <c r="AC137" s="3">
        <f>100/$X137*$H137*VLOOKUP($G137&amp;"Total",$D:$AK,26,FALSE)/100+100/$X137*$K137*VLOOKUP($J137&amp;"Total",$D:$AK,26,FALSE)/100+100/$X137*$N137*VLOOKUP($M137&amp;"Total",$D:$AK,26,FALSE)/100+100/$X137*$Q137*VLOOKUP($P137&amp;"Total",$D:$AK,26,FALSE)/100+
(IF($G137=AC$66,$H137,0)+IF($J137=AC$66,$K137,0)+IF($M137=AC$66,$N137,0)+IF($P137=AC$66,$Q137,0))*100/$X137</f>
        <v>0</v>
      </c>
      <c r="AD137" s="3">
        <f>100/$X137*$H137*VLOOKUP($G137&amp;"Total",$D:$AK,27,FALSE)/100+100/$X137*$K137*VLOOKUP($J137&amp;"Total",$D:$AK,27,FALSE)/100+100/$X137*$N137*VLOOKUP($M137&amp;"Total",$D:$AK,27,FALSE)/100+100/$X137*$Q137*VLOOKUP($P137&amp;"Total",$D:$AK,27,FALSE)/100+
(IF($G137=AD$66,$H137,0)+IF($J137=AD$66,$K137,0)+IF($M137=AD$66,$N137,0)+IF($P137=AD$66,$Q137,0))*100/$X137</f>
        <v>100</v>
      </c>
      <c r="AE137" s="3">
        <f>100/$X137*$H137*VLOOKUP($G137&amp;"Total",$D:$AK,28,FALSE)/100+100/$X137*$K137*VLOOKUP($J137&amp;"Total",$D:$AK,28,FALSE)/100+100/$X137*$N137*VLOOKUP($M137&amp;"Total",$D:$AK,28,FALSE)/100+100/$X137*$Q137*VLOOKUP($P137&amp;"Total",$D:$AK,28,FALSE)/100+
(IF($G137=AE$66,$H137,0)+IF($J137=AE$66,$K137,0)+IF($M137=AE$66,$N137,0)+IF($P137=AE$66,$Q137,0))*100/$X137</f>
        <v>0</v>
      </c>
      <c r="AF137" s="3">
        <f>100/$X137*$H137*VLOOKUP($G137&amp;"Total",$D:$AK,29,FALSE)/100+100/$X137*$K137*VLOOKUP($J137&amp;"Total",$D:$AK,29,FALSE)/100+100/$X137*$N137*VLOOKUP($M137&amp;"Total",$D:$AK,29,FALSE)/100+100/$X137*$Q137*VLOOKUP($P137&amp;"Total",$D:$AK,29,FALSE)/100+
(IF($G137=AF$66,$H137,0)+IF($J137=AF$66,$K137,0)+IF($M137=AF$66,$N137,0)+IF($P137=AF$66,$Q137,0))*100/$X137</f>
        <v>0</v>
      </c>
      <c r="AG137" s="3">
        <f>100/$X137*$H137*VLOOKUP($G137&amp;"Total",$D:$AK,30,FALSE)/100+100/$X137*$K137*VLOOKUP($J137&amp;"Total",$D:$AK,30,FALSE)/100+100/$X137*$N137*VLOOKUP($M137&amp;"Total",$D:$AK,30,FALSE)/100+100/$X137*$Q137*VLOOKUP($P137&amp;"Total",$D:$AK,30,FALSE)/100+
(IF($G137=AG$66,$H137,0)+IF($J137=AG$66,$K137,0)+IF($M137=AG$66,$N137,0)+IF($P137=AG$66,$Q137,0))*100/$X137</f>
        <v>0</v>
      </c>
      <c r="AH137" s="3">
        <f>100/$X137*$H137*VLOOKUP($G137&amp;"Total",$D:$AK,31,FALSE)/100+100/$X137*$K137*VLOOKUP($J137&amp;"Total",$D:$AK,31,FALSE)/100+100/$X137*$N137*VLOOKUP($M137&amp;"Total",$D:$AK,31,FALSE)/100+100/$X137*$Q137*VLOOKUP($P137&amp;"Total",$D:$AK,31,FALSE)/100+
(IF($G137=AH$66,$H137,0)+IF($J137=AH$66,$K137,0)+IF($M137=AH$66,$N137,0)+IF($P137=AH$66,$Q137,0))*100/$X137</f>
        <v>0</v>
      </c>
      <c r="AI137" s="3">
        <f>100/$X137*$H137*VLOOKUP($G137&amp;"Total",$D:$AK,32,FALSE)/100+100/$X137*$K137*VLOOKUP($J137&amp;"Total",$D:$AK,32,FALSE)/100+100/$X137*$N137*VLOOKUP($M137&amp;"Total",$D:$AK,32,FALSE)/100+100/$X137*$Q137*VLOOKUP($P137&amp;"Total",$D:$AK,32,FALSE)/100+
(IF($G137=AI$66,$H137,0)+IF($J137=AI$66,$K137,0)+IF($M137=AI$66,$N137,0)+IF($P137=AI$66,$Q137,0))*100/$X137</f>
        <v>0</v>
      </c>
      <c r="AJ137" s="3">
        <f>100/$X137*$H137*VLOOKUP($G137&amp;"Total",$D:$AK,33,FALSE)/100+100/$X137*$K137*VLOOKUP($J137&amp;"Total",$D:$AK,33,FALSE)/100+100/$X137*$N137*VLOOKUP($M137&amp;"Total",$D:$AK,33,FALSE)/100+100/$X137*$Q137*VLOOKUP($P137&amp;"Total",$D:$AK,33,FALSE)/100+
(IF($G137=AJ$66,$H137,0)+IF($J137=AJ$66,$K137,0)+IF($M137=AJ$66,$N137,0)+IF($P137=AJ$66,$Q137,0))*100/$X137</f>
        <v>0</v>
      </c>
      <c r="AK137" s="3">
        <f>100/$X137*$H137*VLOOKUP($G137&amp;"Total",$D:$AK,34,FALSE)/100+100/$X137*$K137*VLOOKUP($J137&amp;"Total",$D:$AK,34,FALSE)/100+100/$X137*$N137*VLOOKUP($M137&amp;"Total",$D:$AK,34,FALSE)/100+100/$X137*$Q137*VLOOKUP($P137&amp;"Total",$D:$AK,34,FALSE)/100+
(IF($G137=AK$66,$H137,0)+IF($J137=AK$66,$K137,0)+IF($M137=AK$66,$N137,0)+IF($P137=AK$66,$Q137,0))*100/$X137</f>
        <v>0</v>
      </c>
    </row>
    <row r="138" spans="1:37" x14ac:dyDescent="0.25">
      <c r="A138" t="s">
        <v>84</v>
      </c>
      <c r="B138" t="s">
        <v>122</v>
      </c>
      <c r="D138" t="str">
        <f t="shared" ref="D138:D140" si="61">A138&amp;C138</f>
        <v>Steel Ingot</v>
      </c>
      <c r="E138" s="26">
        <f t="shared" si="22"/>
        <v>72.098403757583924</v>
      </c>
      <c r="G138" t="s">
        <v>13</v>
      </c>
      <c r="H138" s="22">
        <v>75</v>
      </c>
      <c r="I138" s="3">
        <f>VLOOKUP(G138&amp;"Total",$D:$AB,2,FALSE)/100*H138</f>
        <v>10.526897347327504</v>
      </c>
      <c r="J138" t="s">
        <v>108</v>
      </c>
      <c r="K138" s="22">
        <v>75</v>
      </c>
      <c r="L138" s="3">
        <f>VLOOKUP(J138&amp;"Total",$D:$AB,2,FALSE)/100*K138</f>
        <v>45.571506410256411</v>
      </c>
      <c r="M138" s="22" t="s">
        <v>27</v>
      </c>
      <c r="N138" s="22"/>
      <c r="O138" s="3">
        <f>VLOOKUP(M138&amp;"Total",$D:$AB,2,FALSE)/100*N138</f>
        <v>0</v>
      </c>
      <c r="P138" s="22" t="s">
        <v>27</v>
      </c>
      <c r="Q138" s="22"/>
      <c r="R138" s="3">
        <f>VLOOKUP(P138&amp;"Total",$D:$AB,2,FALSE)/100*Q138</f>
        <v>0</v>
      </c>
      <c r="T138" s="3">
        <f t="shared" si="23"/>
        <v>56.098403757583917</v>
      </c>
      <c r="V138" s="22" t="s">
        <v>57</v>
      </c>
      <c r="W138" s="22">
        <v>16</v>
      </c>
      <c r="X138" s="22">
        <v>100</v>
      </c>
      <c r="AA138" s="3">
        <f>100/$X138*$H138*VLOOKUP($G138&amp;"Total",$D:$AK,24,FALSE)/100+100/$X138*$K138*VLOOKUP($J138&amp;"Total",$D:$AK,24,FALSE)/100+100/$X138*$N138*VLOOKUP($M138&amp;"Total",$D:$AK,24,FALSE)/100+100/$X138*$Q138*VLOOKUP($P138&amp;"Total",$D:$AK,24,FALSE)/100+
(IF($G138=AA$66,$H138,0)+IF($J138=AA$66,$K138,0)+IF($M138=AA$66,$N138,0)+IF($P138=AA$66,$Q138,0))*100/$X138</f>
        <v>75</v>
      </c>
      <c r="AB138" s="3">
        <f>100/$X138*$H138*VLOOKUP($G138&amp;"Total",$D:$AK,25,FALSE)/100+100/$X138*$K138*VLOOKUP($J138&amp;"Total",$D:$AK,25,FALSE)/100+100/$X138*$N138*VLOOKUP($M138&amp;"Total",$D:$AK,25,FALSE)/100+100/$X138*$Q138*VLOOKUP($P138&amp;"Total",$D:$AK,25,FALSE)/100+
(IF($G138=AB$66,$H138,0)+IF($J138=AB$66,$K138,0)+IF($M138=AB$66,$N138,0)+IF($P138=AB$66,$Q138,0))*100/$X138</f>
        <v>0</v>
      </c>
      <c r="AC138" s="3">
        <f>100/$X138*$H138*VLOOKUP($G138&amp;"Total",$D:$AK,26,FALSE)/100+100/$X138*$K138*VLOOKUP($J138&amp;"Total",$D:$AK,26,FALSE)/100+100/$X138*$N138*VLOOKUP($M138&amp;"Total",$D:$AK,26,FALSE)/100+100/$X138*$Q138*VLOOKUP($P138&amp;"Total",$D:$AK,26,FALSE)/100+
(IF($G138=AC$66,$H138,0)+IF($J138=AC$66,$K138,0)+IF($M138=AC$66,$N138,0)+IF($P138=AC$66,$Q138,0))*100/$X138</f>
        <v>0</v>
      </c>
      <c r="AD138" s="3">
        <f>100/$X138*$H138*VLOOKUP($G138&amp;"Total",$D:$AK,27,FALSE)/100+100/$X138*$K138*VLOOKUP($J138&amp;"Total",$D:$AK,27,FALSE)/100+100/$X138*$N138*VLOOKUP($M138&amp;"Total",$D:$AK,27,FALSE)/100+100/$X138*$Q138*VLOOKUP($P138&amp;"Total",$D:$AK,27,FALSE)/100+
(IF($G138=AD$66,$H138,0)+IF($J138=AD$66,$K138,0)+IF($M138=AD$66,$N138,0)+IF($P138=AD$66,$Q138,0))*100/$X138</f>
        <v>0</v>
      </c>
      <c r="AE138" s="3">
        <f>100/$X138*$H138*VLOOKUP($G138&amp;"Total",$D:$AK,28,FALSE)/100+100/$X138*$K138*VLOOKUP($J138&amp;"Total",$D:$AK,28,FALSE)/100+100/$X138*$N138*VLOOKUP($M138&amp;"Total",$D:$AK,28,FALSE)/100+100/$X138*$Q138*VLOOKUP($P138&amp;"Total",$D:$AK,28,FALSE)/100+
(IF($G138=AE$66,$H138,0)+IF($J138=AE$66,$K138,0)+IF($M138=AE$66,$N138,0)+IF($P138=AE$66,$Q138,0))*100/$X138</f>
        <v>0</v>
      </c>
      <c r="AF138" s="3">
        <f>100/$X138*$H138*VLOOKUP($G138&amp;"Total",$D:$AK,29,FALSE)/100+100/$X138*$K138*VLOOKUP($J138&amp;"Total",$D:$AK,29,FALSE)/100+100/$X138*$N138*VLOOKUP($M138&amp;"Total",$D:$AK,29,FALSE)/100+100/$X138*$Q138*VLOOKUP($P138&amp;"Total",$D:$AK,29,FALSE)/100+
(IF($G138=AF$66,$H138,0)+IF($J138=AF$66,$K138,0)+IF($M138=AF$66,$N138,0)+IF($P138=AF$66,$Q138,0))*100/$X138</f>
        <v>0</v>
      </c>
      <c r="AG138" s="3">
        <f>100/$X138*$H138*VLOOKUP($G138&amp;"Total",$D:$AK,30,FALSE)/100+100/$X138*$K138*VLOOKUP($J138&amp;"Total",$D:$AK,30,FALSE)/100+100/$X138*$N138*VLOOKUP($M138&amp;"Total",$D:$AK,30,FALSE)/100+100/$X138*$Q138*VLOOKUP($P138&amp;"Total",$D:$AK,30,FALSE)/100+
(IF($G138=AG$66,$H138,0)+IF($J138=AG$66,$K138,0)+IF($M138=AG$66,$N138,0)+IF($P138=AG$66,$Q138,0))*100/$X138</f>
        <v>0</v>
      </c>
      <c r="AH138" s="3">
        <f>100/$X138*$H138*VLOOKUP($G138&amp;"Total",$D:$AK,31,FALSE)/100+100/$X138*$K138*VLOOKUP($J138&amp;"Total",$D:$AK,31,FALSE)/100+100/$X138*$N138*VLOOKUP($M138&amp;"Total",$D:$AK,31,FALSE)/100+100/$X138*$Q138*VLOOKUP($P138&amp;"Total",$D:$AK,31,FALSE)/100+
(IF($G138=AH$66,$H138,0)+IF($J138=AH$66,$K138,0)+IF($M138=AH$66,$N138,0)+IF($P138=AH$66,$Q138,0))*100/$X138</f>
        <v>0</v>
      </c>
      <c r="AI138" s="3">
        <f>100/$X138*$H138*VLOOKUP($G138&amp;"Total",$D:$AK,32,FALSE)/100+100/$X138*$K138*VLOOKUP($J138&amp;"Total",$D:$AK,32,FALSE)/100+100/$X138*$N138*VLOOKUP($M138&amp;"Total",$D:$AK,32,FALSE)/100+100/$X138*$Q138*VLOOKUP($P138&amp;"Total",$D:$AK,32,FALSE)/100+
(IF($G138=AI$66,$H138,0)+IF($J138=AI$66,$K138,0)+IF($M138=AI$66,$N138,0)+IF($P138=AI$66,$Q138,0))*100/$X138</f>
        <v>0</v>
      </c>
      <c r="AJ138" s="3">
        <f>100/$X138*$H138*VLOOKUP($G138&amp;"Total",$D:$AK,33,FALSE)/100+100/$X138*$K138*VLOOKUP($J138&amp;"Total",$D:$AK,33,FALSE)/100+100/$X138*$N138*VLOOKUP($M138&amp;"Total",$D:$AK,33,FALSE)/100+100/$X138*$Q138*VLOOKUP($P138&amp;"Total",$D:$AK,33,FALSE)/100+
(IF($G138=AJ$66,$H138,0)+IF($J138=AJ$66,$K138,0)+IF($M138=AJ$66,$N138,0)+IF($P138=AJ$66,$Q138,0))*100/$X138</f>
        <v>0</v>
      </c>
      <c r="AK138" s="3">
        <f>100/$X138*$H138*VLOOKUP($G138&amp;"Total",$D:$AK,34,FALSE)/100+100/$X138*$K138*VLOOKUP($J138&amp;"Total",$D:$AK,34,FALSE)/100+100/$X138*$N138*VLOOKUP($M138&amp;"Total",$D:$AK,34,FALSE)/100+100/$X138*$Q138*VLOOKUP($P138&amp;"Total",$D:$AK,34,FALSE)/100+
(IF($G138=AK$66,$H138,0)+IF($J138=AK$66,$K138,0)+IF($M138=AK$66,$N138,0)+IF($P138=AK$66,$Q138,0))*100/$X138</f>
        <v>18.75</v>
      </c>
    </row>
    <row r="139" spans="1:37" x14ac:dyDescent="0.25">
      <c r="A139" t="s">
        <v>84</v>
      </c>
      <c r="B139" t="s">
        <v>123</v>
      </c>
      <c r="D139" t="str">
        <f t="shared" si="61"/>
        <v>Steel Ingot</v>
      </c>
      <c r="E139" s="26">
        <f t="shared" si="22"/>
        <v>183.56277804046363</v>
      </c>
      <c r="G139" t="s">
        <v>13</v>
      </c>
      <c r="H139" s="22">
        <v>22.5</v>
      </c>
      <c r="I139" s="3">
        <f>VLOOKUP(G139&amp;"Total",$D:$AB,2,FALSE)/100*H139</f>
        <v>3.158069204198251</v>
      </c>
      <c r="J139" t="s">
        <v>124</v>
      </c>
      <c r="K139" s="22">
        <v>11.25</v>
      </c>
      <c r="L139" s="3">
        <f>VLOOKUP(J139&amp;"Total",$D:$AB,2,FALSE)/100*K139</f>
        <v>49.677972560975611</v>
      </c>
      <c r="M139" s="22" t="s">
        <v>27</v>
      </c>
      <c r="N139" s="22"/>
      <c r="O139" s="3">
        <f>VLOOKUP(M139&amp;"Total",$D:$AB,2,FALSE)/100*N139</f>
        <v>0</v>
      </c>
      <c r="P139" s="22" t="s">
        <v>27</v>
      </c>
      <c r="Q139" s="22"/>
      <c r="R139" s="3">
        <f>VLOOKUP(P139&amp;"Total",$D:$AB,2,FALSE)/100*Q139</f>
        <v>0</v>
      </c>
      <c r="T139" s="3">
        <f t="shared" si="23"/>
        <v>52.83604176517386</v>
      </c>
      <c r="V139" s="22" t="s">
        <v>57</v>
      </c>
      <c r="W139" s="22">
        <v>16</v>
      </c>
      <c r="X139" s="22">
        <v>37.5</v>
      </c>
      <c r="AA139" s="3">
        <f>100/$X139*$H139*VLOOKUP($G139&amp;"Total",$D:$AK,24,FALSE)/100+100/$X139*$K139*VLOOKUP($J139&amp;"Total",$D:$AK,24,FALSE)/100+100/$X139*$N139*VLOOKUP($M139&amp;"Total",$D:$AK,24,FALSE)/100+100/$X139*$Q139*VLOOKUP($P139&amp;"Total",$D:$AK,24,FALSE)/100+
(IF($G139=AA$66,$H139,0)+IF($J139=AA$66,$K139,0)+IF($M139=AA$66,$N139,0)+IF($P139=AA$66,$Q139,0))*100/$X139</f>
        <v>60</v>
      </c>
      <c r="AB139" s="3">
        <f>100/$X139*$H139*VLOOKUP($G139&amp;"Total",$D:$AK,25,FALSE)/100+100/$X139*$K139*VLOOKUP($J139&amp;"Total",$D:$AK,25,FALSE)/100+100/$X139*$N139*VLOOKUP($M139&amp;"Total",$D:$AK,25,FALSE)/100+100/$X139*$Q139*VLOOKUP($P139&amp;"Total",$D:$AK,25,FALSE)/100+
(IF($G139=AB$66,$H139,0)+IF($J139=AB$66,$K139,0)+IF($M139=AB$66,$N139,0)+IF($P139=AB$66,$Q139,0))*100/$X139</f>
        <v>0</v>
      </c>
      <c r="AC139" s="3">
        <f>100/$X139*$H139*VLOOKUP($G139&amp;"Total",$D:$AK,26,FALSE)/100+100/$X139*$K139*VLOOKUP($J139&amp;"Total",$D:$AK,26,FALSE)/100+100/$X139*$N139*VLOOKUP($M139&amp;"Total",$D:$AK,26,FALSE)/100+100/$X139*$Q139*VLOOKUP($P139&amp;"Total",$D:$AK,26,FALSE)/100+
(IF($G139=AC$66,$H139,0)+IF($J139=AC$66,$K139,0)+IF($M139=AC$66,$N139,0)+IF($P139=AC$66,$Q139,0))*100/$X139</f>
        <v>0</v>
      </c>
      <c r="AD139" s="3">
        <f>100/$X139*$H139*VLOOKUP($G139&amp;"Total",$D:$AK,27,FALSE)/100+100/$X139*$K139*VLOOKUP($J139&amp;"Total",$D:$AK,27,FALSE)/100+100/$X139*$N139*VLOOKUP($M139&amp;"Total",$D:$AK,27,FALSE)/100+100/$X139*$Q139*VLOOKUP($P139&amp;"Total",$D:$AK,27,FALSE)/100+
(IF($G139=AD$66,$H139,0)+IF($J139=AD$66,$K139,0)+IF($M139=AD$66,$N139,0)+IF($P139=AD$66,$Q139,0))*100/$X139</f>
        <v>150</v>
      </c>
      <c r="AE139" s="3">
        <f>100/$X139*$H139*VLOOKUP($G139&amp;"Total",$D:$AK,28,FALSE)/100+100/$X139*$K139*VLOOKUP($J139&amp;"Total",$D:$AK,28,FALSE)/100+100/$X139*$N139*VLOOKUP($M139&amp;"Total",$D:$AK,28,FALSE)/100+100/$X139*$Q139*VLOOKUP($P139&amp;"Total",$D:$AK,28,FALSE)/100+
(IF($G139=AE$66,$H139,0)+IF($J139=AE$66,$K139,0)+IF($M139=AE$66,$N139,0)+IF($P139=AE$66,$Q139,0))*100/$X139</f>
        <v>0</v>
      </c>
      <c r="AF139" s="3">
        <f>100/$X139*$H139*VLOOKUP($G139&amp;"Total",$D:$AK,29,FALSE)/100+100/$X139*$K139*VLOOKUP($J139&amp;"Total",$D:$AK,29,FALSE)/100+100/$X139*$N139*VLOOKUP($M139&amp;"Total",$D:$AK,29,FALSE)/100+100/$X139*$Q139*VLOOKUP($P139&amp;"Total",$D:$AK,29,FALSE)/100+
(IF($G139=AF$66,$H139,0)+IF($J139=AF$66,$K139,0)+IF($M139=AF$66,$N139,0)+IF($P139=AF$66,$Q139,0))*100/$X139</f>
        <v>0</v>
      </c>
      <c r="AG139" s="3">
        <f>100/$X139*$H139*VLOOKUP($G139&amp;"Total",$D:$AK,30,FALSE)/100+100/$X139*$K139*VLOOKUP($J139&amp;"Total",$D:$AK,30,FALSE)/100+100/$X139*$N139*VLOOKUP($M139&amp;"Total",$D:$AK,30,FALSE)/100+100/$X139*$Q139*VLOOKUP($P139&amp;"Total",$D:$AK,30,FALSE)/100+
(IF($G139=AG$66,$H139,0)+IF($J139=AG$66,$K139,0)+IF($M139=AG$66,$N139,0)+IF($P139=AG$66,$Q139,0))*100/$X139</f>
        <v>0</v>
      </c>
      <c r="AH139" s="3">
        <f>100/$X139*$H139*VLOOKUP($G139&amp;"Total",$D:$AK,31,FALSE)/100+100/$X139*$K139*VLOOKUP($J139&amp;"Total",$D:$AK,31,FALSE)/100+100/$X139*$N139*VLOOKUP($M139&amp;"Total",$D:$AK,31,FALSE)/100+100/$X139*$Q139*VLOOKUP($P139&amp;"Total",$D:$AK,31,FALSE)/100+
(IF($G139=AH$66,$H139,0)+IF($J139=AH$66,$K139,0)+IF($M139=AH$66,$N139,0)+IF($P139=AH$66,$Q139,0))*100/$X139</f>
        <v>0</v>
      </c>
      <c r="AI139" s="3">
        <f>100/$X139*$H139*VLOOKUP($G139&amp;"Total",$D:$AK,32,FALSE)/100+100/$X139*$K139*VLOOKUP($J139&amp;"Total",$D:$AK,32,FALSE)/100+100/$X139*$N139*VLOOKUP($M139&amp;"Total",$D:$AK,32,FALSE)/100+100/$X139*$Q139*VLOOKUP($P139&amp;"Total",$D:$AK,32,FALSE)/100+
(IF($G139=AI$66,$H139,0)+IF($J139=AI$66,$K139,0)+IF($M139=AI$66,$N139,0)+IF($P139=AI$66,$Q139,0))*100/$X139</f>
        <v>0</v>
      </c>
      <c r="AJ139" s="3">
        <f>100/$X139*$H139*VLOOKUP($G139&amp;"Total",$D:$AK,33,FALSE)/100+100/$X139*$K139*VLOOKUP($J139&amp;"Total",$D:$AK,33,FALSE)/100+100/$X139*$N139*VLOOKUP($M139&amp;"Total",$D:$AK,33,FALSE)/100+100/$X139*$Q139*VLOOKUP($P139&amp;"Total",$D:$AK,33,FALSE)/100+
(IF($G139=AJ$66,$H139,0)+IF($J139=AJ$66,$K139,0)+IF($M139=AJ$66,$N139,0)+IF($P139=AJ$66,$Q139,0))*100/$X139</f>
        <v>0</v>
      </c>
      <c r="AK139" s="3">
        <f>100/$X139*$H139*VLOOKUP($G139&amp;"Total",$D:$AK,34,FALSE)/100+100/$X139*$K139*VLOOKUP($J139&amp;"Total",$D:$AK,34,FALSE)/100+100/$X139*$N139*VLOOKUP($M139&amp;"Total",$D:$AK,34,FALSE)/100+100/$X139*$Q139*VLOOKUP($P139&amp;"Total",$D:$AK,34,FALSE)/100+
(IF($G139=AK$66,$H139,0)+IF($J139=AK$66,$K139,0)+IF($M139=AK$66,$N139,0)+IF($P139=AK$66,$Q139,0))*100/$X139</f>
        <v>0</v>
      </c>
    </row>
    <row r="140" spans="1:37" x14ac:dyDescent="0.25">
      <c r="A140" t="s">
        <v>84</v>
      </c>
      <c r="B140" t="s">
        <v>125</v>
      </c>
      <c r="C140" t="s">
        <v>17</v>
      </c>
      <c r="D140" t="str">
        <f t="shared" si="61"/>
        <v>Steel IngotTotal</v>
      </c>
      <c r="E140" s="26">
        <f t="shared" si="22"/>
        <v>54.301686530957781</v>
      </c>
      <c r="G140" t="s">
        <v>54</v>
      </c>
      <c r="H140" s="22">
        <v>40</v>
      </c>
      <c r="I140" s="3">
        <f>VLOOKUP(G140&amp;"Total",$D:$AB,2,FALSE)/100*H140</f>
        <v>10.947678585241334</v>
      </c>
      <c r="J140" t="s">
        <v>20</v>
      </c>
      <c r="K140" s="22">
        <v>40</v>
      </c>
      <c r="L140" s="3">
        <f>VLOOKUP(J140&amp;"Total",$D:$AB,2,FALSE)/100*K140</f>
        <v>5.6333333333333337</v>
      </c>
      <c r="M140" s="22" t="s">
        <v>27</v>
      </c>
      <c r="N140" s="22"/>
      <c r="O140" s="3">
        <f>VLOOKUP(M140&amp;"Total",$D:$AB,2,FALSE)/100*N140</f>
        <v>0</v>
      </c>
      <c r="P140" s="22" t="s">
        <v>27</v>
      </c>
      <c r="Q140" s="22"/>
      <c r="R140" s="3">
        <f>VLOOKUP(P140&amp;"Total",$D:$AB,2,FALSE)/100*Q140</f>
        <v>0</v>
      </c>
      <c r="T140" s="3">
        <f t="shared" si="23"/>
        <v>16.581011918574667</v>
      </c>
      <c r="V140" s="22" t="s">
        <v>57</v>
      </c>
      <c r="W140" s="22">
        <v>16</v>
      </c>
      <c r="X140" s="22">
        <v>60</v>
      </c>
      <c r="AA140" s="3">
        <f>100/$X140*$H140*VLOOKUP($G140&amp;"Total",$D:$AK,24,FALSE)/100+100/$X140*$K140*VLOOKUP($J140&amp;"Total",$D:$AK,24,FALSE)/100+100/$X140*$N140*VLOOKUP($M140&amp;"Total",$D:$AK,24,FALSE)/100+100/$X140*$Q140*VLOOKUP($P140&amp;"Total",$D:$AK,24,FALSE)/100+
(IF($G140=AA$66,$H140,0)+IF($J140=AA$66,$K140,0)+IF($M140=AA$66,$N140,0)+IF($P140=AA$66,$Q140,0))*100/$X140</f>
        <v>66.666666666666671</v>
      </c>
      <c r="AB140" s="3">
        <f>100/$X140*$H140*VLOOKUP($G140&amp;"Total",$D:$AK,25,FALSE)/100+100/$X140*$K140*VLOOKUP($J140&amp;"Total",$D:$AK,25,FALSE)/100+100/$X140*$N140*VLOOKUP($M140&amp;"Total",$D:$AK,25,FALSE)/100+100/$X140*$Q140*VLOOKUP($P140&amp;"Total",$D:$AK,25,FALSE)/100+
(IF($G140=AB$66,$H140,0)+IF($J140=AB$66,$K140,0)+IF($M140=AB$66,$N140,0)+IF($P140=AB$66,$Q140,0))*100/$X140</f>
        <v>0</v>
      </c>
      <c r="AC140" s="3">
        <f>100/$X140*$H140*VLOOKUP($G140&amp;"Total",$D:$AK,26,FALSE)/100+100/$X140*$K140*VLOOKUP($J140&amp;"Total",$D:$AK,26,FALSE)/100+100/$X140*$N140*VLOOKUP($M140&amp;"Total",$D:$AK,26,FALSE)/100+100/$X140*$Q140*VLOOKUP($P140&amp;"Total",$D:$AK,26,FALSE)/100+
(IF($G140=AC$66,$H140,0)+IF($J140=AC$66,$K140,0)+IF($M140=AC$66,$N140,0)+IF($P140=AC$66,$Q140,0))*100/$X140</f>
        <v>0</v>
      </c>
      <c r="AD140" s="3">
        <f>100/$X140*$H140*VLOOKUP($G140&amp;"Total",$D:$AK,27,FALSE)/100+100/$X140*$K140*VLOOKUP($J140&amp;"Total",$D:$AK,27,FALSE)/100+100/$X140*$N140*VLOOKUP($M140&amp;"Total",$D:$AK,27,FALSE)/100+100/$X140*$Q140*VLOOKUP($P140&amp;"Total",$D:$AK,27,FALSE)/100+
(IF($G140=AD$66,$H140,0)+IF($J140=AD$66,$K140,0)+IF($M140=AD$66,$N140,0)+IF($P140=AD$66,$Q140,0))*100/$X140</f>
        <v>66.666666666666671</v>
      </c>
      <c r="AE140" s="3">
        <f>100/$X140*$H140*VLOOKUP($G140&amp;"Total",$D:$AK,28,FALSE)/100+100/$X140*$K140*VLOOKUP($J140&amp;"Total",$D:$AK,28,FALSE)/100+100/$X140*$N140*VLOOKUP($M140&amp;"Total",$D:$AK,28,FALSE)/100+100/$X140*$Q140*VLOOKUP($P140&amp;"Total",$D:$AK,28,FALSE)/100+
(IF($G140=AE$66,$H140,0)+IF($J140=AE$66,$K140,0)+IF($M140=AE$66,$N140,0)+IF($P140=AE$66,$Q140,0))*100/$X140</f>
        <v>0</v>
      </c>
      <c r="AF140" s="3">
        <f>100/$X140*$H140*VLOOKUP($G140&amp;"Total",$D:$AK,29,FALSE)/100+100/$X140*$K140*VLOOKUP($J140&amp;"Total",$D:$AK,29,FALSE)/100+100/$X140*$N140*VLOOKUP($M140&amp;"Total",$D:$AK,29,FALSE)/100+100/$X140*$Q140*VLOOKUP($P140&amp;"Total",$D:$AK,29,FALSE)/100+
(IF($G140=AF$66,$H140,0)+IF($J140=AF$66,$K140,0)+IF($M140=AF$66,$N140,0)+IF($P140=AF$66,$Q140,0))*100/$X140</f>
        <v>0</v>
      </c>
      <c r="AG140" s="3">
        <f>100/$X140*$H140*VLOOKUP($G140&amp;"Total",$D:$AK,30,FALSE)/100+100/$X140*$K140*VLOOKUP($J140&amp;"Total",$D:$AK,30,FALSE)/100+100/$X140*$N140*VLOOKUP($M140&amp;"Total",$D:$AK,30,FALSE)/100+100/$X140*$Q140*VLOOKUP($P140&amp;"Total",$D:$AK,30,FALSE)/100+
(IF($G140=AG$66,$H140,0)+IF($J140=AG$66,$K140,0)+IF($M140=AG$66,$N140,0)+IF($P140=AG$66,$Q140,0))*100/$X140</f>
        <v>0</v>
      </c>
      <c r="AH140" s="3">
        <f>100/$X140*$H140*VLOOKUP($G140&amp;"Total",$D:$AK,31,FALSE)/100+100/$X140*$K140*VLOOKUP($J140&amp;"Total",$D:$AK,31,FALSE)/100+100/$X140*$N140*VLOOKUP($M140&amp;"Total",$D:$AK,31,FALSE)/100+100/$X140*$Q140*VLOOKUP($P140&amp;"Total",$D:$AK,31,FALSE)/100+
(IF($G140=AH$66,$H140,0)+IF($J140=AH$66,$K140,0)+IF($M140=AH$66,$N140,0)+IF($P140=AH$66,$Q140,0))*100/$X140</f>
        <v>0</v>
      </c>
      <c r="AI140" s="3">
        <f>100/$X140*$H140*VLOOKUP($G140&amp;"Total",$D:$AK,32,FALSE)/100+100/$X140*$K140*VLOOKUP($J140&amp;"Total",$D:$AK,32,FALSE)/100+100/$X140*$N140*VLOOKUP($M140&amp;"Total",$D:$AK,32,FALSE)/100+100/$X140*$Q140*VLOOKUP($P140&amp;"Total",$D:$AK,32,FALSE)/100+
(IF($G140=AI$66,$H140,0)+IF($J140=AI$66,$K140,0)+IF($M140=AI$66,$N140,0)+IF($P140=AI$66,$Q140,0))*100/$X140</f>
        <v>0</v>
      </c>
      <c r="AJ140" s="3">
        <f>100/$X140*$H140*VLOOKUP($G140&amp;"Total",$D:$AK,33,FALSE)/100+100/$X140*$K140*VLOOKUP($J140&amp;"Total",$D:$AK,33,FALSE)/100+100/$X140*$N140*VLOOKUP($M140&amp;"Total",$D:$AK,33,FALSE)/100+100/$X140*$Q140*VLOOKUP($P140&amp;"Total",$D:$AK,33,FALSE)/100+
(IF($G140=AJ$66,$H140,0)+IF($J140=AJ$66,$K140,0)+IF($M140=AJ$66,$N140,0)+IF($P140=AJ$66,$Q140,0))*100/$X140</f>
        <v>0</v>
      </c>
      <c r="AK140" s="3">
        <f>100/$X140*$H140*VLOOKUP($G140&amp;"Total",$D:$AK,34,FALSE)/100+100/$X140*$K140*VLOOKUP($J140&amp;"Total",$D:$AK,34,FALSE)/100+100/$X140*$N140*VLOOKUP($M140&amp;"Total",$D:$AK,34,FALSE)/100+100/$X140*$Q140*VLOOKUP($P140&amp;"Total",$D:$AK,34,FALSE)/100+
(IF($G140=AK$66,$H140,0)+IF($J140=AK$66,$K140,0)+IF($M140=AK$66,$N140,0)+IF($P140=AK$66,$Q140,0))*100/$X140</f>
        <v>0</v>
      </c>
    </row>
    <row r="141" spans="1:37" x14ac:dyDescent="0.25">
      <c r="E141" s="25"/>
      <c r="G141" s="22"/>
      <c r="H141" s="22"/>
      <c r="J141" s="22"/>
      <c r="K141" s="22"/>
      <c r="M141" s="22"/>
      <c r="N141" s="22"/>
      <c r="P141" s="22"/>
      <c r="Q141" s="22"/>
      <c r="V141" s="22"/>
      <c r="W141" s="22"/>
      <c r="X141" s="22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25">
      <c r="A142" t="s">
        <v>90</v>
      </c>
      <c r="B142" t="s">
        <v>90</v>
      </c>
      <c r="C142" t="s">
        <v>17</v>
      </c>
      <c r="D142" t="str">
        <f t="shared" ref="D142" si="62">A142&amp;C142</f>
        <v>Steel BeamTotal</v>
      </c>
      <c r="E142" s="26">
        <f t="shared" ref="E142" si="63">100/X142*(T142+W142)</f>
        <v>243.87341279049778</v>
      </c>
      <c r="G142" t="s">
        <v>84</v>
      </c>
      <c r="H142" s="22">
        <v>60</v>
      </c>
      <c r="I142" s="3">
        <f>VLOOKUP(G142&amp;"Total",$D:$AB,2,FALSE)/100*H142</f>
        <v>32.581011918574667</v>
      </c>
      <c r="J142" s="22" t="s">
        <v>27</v>
      </c>
      <c r="K142" s="22"/>
      <c r="L142" s="3">
        <f>VLOOKUP(J142&amp;"Total",$D:$AB,2,FALSE)/100*K142</f>
        <v>0</v>
      </c>
      <c r="M142" s="22" t="s">
        <v>27</v>
      </c>
      <c r="N142" s="22"/>
      <c r="O142" s="3">
        <f>VLOOKUP(M142&amp;"Total",$D:$AB,2,FALSE)/100*N142</f>
        <v>0</v>
      </c>
      <c r="P142" s="22" t="s">
        <v>27</v>
      </c>
      <c r="Q142" s="22"/>
      <c r="R142" s="3">
        <f>VLOOKUP(P142&amp;"Total",$D:$AB,2,FALSE)/100*Q142</f>
        <v>0</v>
      </c>
      <c r="T142" s="3">
        <f t="shared" ref="T142" si="64">I142+L142+O142+R142</f>
        <v>32.581011918574667</v>
      </c>
      <c r="V142" s="22" t="s">
        <v>67</v>
      </c>
      <c r="W142" s="22">
        <v>4</v>
      </c>
      <c r="X142" s="22">
        <v>15</v>
      </c>
      <c r="AA142" s="3">
        <f>100/$X142*$H142*VLOOKUP($G142&amp;"Total",$D:$AK,24,FALSE)/100+100/$X142*$K142*VLOOKUP($J142&amp;"Total",$D:$AK,24,FALSE)/100+100/$X142*$N142*VLOOKUP($M142&amp;"Total",$D:$AK,24,FALSE)/100+100/$X142*$Q142*VLOOKUP($P142&amp;"Total",$D:$AK,24,FALSE)/100+
(IF($G142=AA$66,$H142,0)+IF($J142=AA$66,$K142,0)+IF($M142=AA$66,$N142,0)+IF($P142=AA$66,$Q142,0))*100/$X142</f>
        <v>266.66666666666669</v>
      </c>
      <c r="AB142" s="3">
        <f>100/$X142*$H142*VLOOKUP($G142&amp;"Total",$D:$AK,25,FALSE)/100+100/$X142*$K142*VLOOKUP($J142&amp;"Total",$D:$AK,25,FALSE)/100+100/$X142*$N142*VLOOKUP($M142&amp;"Total",$D:$AK,25,FALSE)/100+100/$X142*$Q142*VLOOKUP($P142&amp;"Total",$D:$AK,25,FALSE)/100+
(IF($G142=AB$66,$H142,0)+IF($J142=AB$66,$K142,0)+IF($M142=AB$66,$N142,0)+IF($P142=AB$66,$Q142,0))*100/$X142</f>
        <v>0</v>
      </c>
      <c r="AC142" s="3">
        <f>100/$X142*$H142*VLOOKUP($G142&amp;"Total",$D:$AK,26,FALSE)/100+100/$X142*$K142*VLOOKUP($J142&amp;"Total",$D:$AK,26,FALSE)/100+100/$X142*$N142*VLOOKUP($M142&amp;"Total",$D:$AK,26,FALSE)/100+100/$X142*$Q142*VLOOKUP($P142&amp;"Total",$D:$AK,26,FALSE)/100+
(IF($G142=AC$66,$H142,0)+IF($J142=AC$66,$K142,0)+IF($M142=AC$66,$N142,0)+IF($P142=AC$66,$Q142,0))*100/$X142</f>
        <v>0</v>
      </c>
      <c r="AD142" s="3">
        <f>100/$X142*$H142*VLOOKUP($G142&amp;"Total",$D:$AK,27,FALSE)/100+100/$X142*$K142*VLOOKUP($J142&amp;"Total",$D:$AK,27,FALSE)/100+100/$X142*$N142*VLOOKUP($M142&amp;"Total",$D:$AK,27,FALSE)/100+100/$X142*$Q142*VLOOKUP($P142&amp;"Total",$D:$AK,27,FALSE)/100+
(IF($G142=AD$66,$H142,0)+IF($J142=AD$66,$K142,0)+IF($M142=AD$66,$N142,0)+IF($P142=AD$66,$Q142,0))*100/$X142</f>
        <v>266.66666666666669</v>
      </c>
      <c r="AE142" s="3">
        <f>100/$X142*$H142*VLOOKUP($G142&amp;"Total",$D:$AK,28,FALSE)/100+100/$X142*$K142*VLOOKUP($J142&amp;"Total",$D:$AK,28,FALSE)/100+100/$X142*$N142*VLOOKUP($M142&amp;"Total",$D:$AK,28,FALSE)/100+100/$X142*$Q142*VLOOKUP($P142&amp;"Total",$D:$AK,28,FALSE)/100+
(IF($G142=AE$66,$H142,0)+IF($J142=AE$66,$K142,0)+IF($M142=AE$66,$N142,0)+IF($P142=AE$66,$Q142,0))*100/$X142</f>
        <v>0</v>
      </c>
      <c r="AF142" s="3">
        <f>100/$X142*$H142*VLOOKUP($G142&amp;"Total",$D:$AK,29,FALSE)/100+100/$X142*$K142*VLOOKUP($J142&amp;"Total",$D:$AK,29,FALSE)/100+100/$X142*$N142*VLOOKUP($M142&amp;"Total",$D:$AK,29,FALSE)/100+100/$X142*$Q142*VLOOKUP($P142&amp;"Total",$D:$AK,29,FALSE)/100+
(IF($G142=AF$66,$H142,0)+IF($J142=AF$66,$K142,0)+IF($M142=AF$66,$N142,0)+IF($P142=AF$66,$Q142,0))*100/$X142</f>
        <v>0</v>
      </c>
      <c r="AG142" s="3">
        <f>100/$X142*$H142*VLOOKUP($G142&amp;"Total",$D:$AK,30,FALSE)/100+100/$X142*$K142*VLOOKUP($J142&amp;"Total",$D:$AK,30,FALSE)/100+100/$X142*$N142*VLOOKUP($M142&amp;"Total",$D:$AK,30,FALSE)/100+100/$X142*$Q142*VLOOKUP($P142&amp;"Total",$D:$AK,30,FALSE)/100+
(IF($G142=AG$66,$H142,0)+IF($J142=AG$66,$K142,0)+IF($M142=AG$66,$N142,0)+IF($P142=AG$66,$Q142,0))*100/$X142</f>
        <v>0</v>
      </c>
      <c r="AH142" s="3">
        <f>100/$X142*$H142*VLOOKUP($G142&amp;"Total",$D:$AK,31,FALSE)/100+100/$X142*$K142*VLOOKUP($J142&amp;"Total",$D:$AK,31,FALSE)/100+100/$X142*$N142*VLOOKUP($M142&amp;"Total",$D:$AK,31,FALSE)/100+100/$X142*$Q142*VLOOKUP($P142&amp;"Total",$D:$AK,31,FALSE)/100+
(IF($G142=AH$66,$H142,0)+IF($J142=AH$66,$K142,0)+IF($M142=AH$66,$N142,0)+IF($P142=AH$66,$Q142,0))*100/$X142</f>
        <v>0</v>
      </c>
      <c r="AI142" s="3">
        <f>100/$X142*$H142*VLOOKUP($G142&amp;"Total",$D:$AK,32,FALSE)/100+100/$X142*$K142*VLOOKUP($J142&amp;"Total",$D:$AK,32,FALSE)/100+100/$X142*$N142*VLOOKUP($M142&amp;"Total",$D:$AK,32,FALSE)/100+100/$X142*$Q142*VLOOKUP($P142&amp;"Total",$D:$AK,32,FALSE)/100+
(IF($G142=AI$66,$H142,0)+IF($J142=AI$66,$K142,0)+IF($M142=AI$66,$N142,0)+IF($P142=AI$66,$Q142,0))*100/$X142</f>
        <v>0</v>
      </c>
      <c r="AJ142" s="3">
        <f>100/$X142*$H142*VLOOKUP($G142&amp;"Total",$D:$AK,33,FALSE)/100+100/$X142*$K142*VLOOKUP($J142&amp;"Total",$D:$AK,33,FALSE)/100+100/$X142*$N142*VLOOKUP($M142&amp;"Total",$D:$AK,33,FALSE)/100+100/$X142*$Q142*VLOOKUP($P142&amp;"Total",$D:$AK,33,FALSE)/100+
(IF($G142=AJ$66,$H142,0)+IF($J142=AJ$66,$K142,0)+IF($M142=AJ$66,$N142,0)+IF($P142=AJ$66,$Q142,0))*100/$X142</f>
        <v>0</v>
      </c>
      <c r="AK142" s="3">
        <f>100/$X142*$H142*VLOOKUP($G142&amp;"Total",$D:$AK,34,FALSE)/100+100/$X142*$K142*VLOOKUP($J142&amp;"Total",$D:$AK,34,FALSE)/100+100/$X142*$N142*VLOOKUP($M142&amp;"Total",$D:$AK,34,FALSE)/100+100/$X142*$Q142*VLOOKUP($P142&amp;"Total",$D:$AK,34,FALSE)/100+
(IF($G142=AK$66,$H142,0)+IF($J142=AK$66,$K142,0)+IF($M142=AK$66,$N142,0)+IF($P142=AK$66,$Q142,0))*100/$X142</f>
        <v>0</v>
      </c>
    </row>
    <row r="143" spans="1:37" x14ac:dyDescent="0.25">
      <c r="E143" s="26"/>
      <c r="H143" s="22"/>
      <c r="I143" s="3"/>
      <c r="J143" s="22"/>
      <c r="K143" s="22"/>
      <c r="L143" s="3"/>
      <c r="M143" s="22"/>
      <c r="N143" s="22"/>
      <c r="O143" s="3"/>
      <c r="P143" s="22"/>
      <c r="Q143" s="22"/>
      <c r="R143" s="3"/>
      <c r="T143" s="3"/>
      <c r="V143" s="22"/>
      <c r="W143" s="22"/>
      <c r="X143" s="22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25">
      <c r="A144" t="s">
        <v>126</v>
      </c>
      <c r="B144" t="s">
        <v>126</v>
      </c>
      <c r="D144" t="str">
        <f t="shared" ref="D144:D145" si="65">A144&amp;C144</f>
        <v>Encased Industrial Beam</v>
      </c>
      <c r="E144" s="26">
        <f t="shared" ref="E144:E145" si="66">100/X144*(T144+W144)</f>
        <v>1569.3675250358654</v>
      </c>
      <c r="G144" t="s">
        <v>90</v>
      </c>
      <c r="H144" s="22">
        <v>24</v>
      </c>
      <c r="I144" s="3">
        <f>VLOOKUP(G144&amp;"Total",$D:$AB,2,FALSE)/100*H144</f>
        <v>58.529619069719473</v>
      </c>
      <c r="J144" t="s">
        <v>66</v>
      </c>
      <c r="K144" s="22">
        <v>30</v>
      </c>
      <c r="L144" s="3">
        <f>VLOOKUP(J144&amp;"Total",$D:$AB,2,FALSE)/100*K144</f>
        <v>20.632432432432431</v>
      </c>
      <c r="M144" s="22" t="s">
        <v>27</v>
      </c>
      <c r="N144" s="22"/>
      <c r="O144" s="3">
        <f>VLOOKUP(M144&amp;"Total",$D:$AB,2,FALSE)/100*N144</f>
        <v>0</v>
      </c>
      <c r="P144" s="22" t="s">
        <v>27</v>
      </c>
      <c r="Q144" s="22"/>
      <c r="R144" s="3">
        <f>VLOOKUP(P144&amp;"Total",$D:$AB,2,FALSE)/100*Q144</f>
        <v>0</v>
      </c>
      <c r="T144" s="3">
        <f t="shared" ref="T144:T145" si="67">I144+L144+O144+R144</f>
        <v>79.162051502151911</v>
      </c>
      <c r="V144" s="22" t="s">
        <v>70</v>
      </c>
      <c r="W144" s="22">
        <v>15</v>
      </c>
      <c r="X144" s="22">
        <v>6</v>
      </c>
      <c r="AA144" s="3">
        <f>100/$X144*$H144*VLOOKUP($G144&amp;"Total",$D:$AK,24,FALSE)/100+100/$X144*$K144*VLOOKUP($J144&amp;"Total",$D:$AK,24,FALSE)/100+100/$X144*$N144*VLOOKUP($M144&amp;"Total",$D:$AK,24,FALSE)/100+100/$X144*$Q144*VLOOKUP($P144&amp;"Total",$D:$AK,24,FALSE)/100+
(IF($G144=AA$66,$H144,0)+IF($J144=AA$66,$K144,0)+IF($M144=AA$66,$N144,0)+IF($P144=AA$66,$Q144,0))*100/$X144</f>
        <v>1066.6666666666667</v>
      </c>
      <c r="AB144" s="3">
        <f>100/$X144*$H144*VLOOKUP($G144&amp;"Total",$D:$AK,25,FALSE)/100+100/$X144*$K144*VLOOKUP($J144&amp;"Total",$D:$AK,25,FALSE)/100+100/$X144*$N144*VLOOKUP($M144&amp;"Total",$D:$AK,25,FALSE)/100+100/$X144*$Q144*VLOOKUP($P144&amp;"Total",$D:$AK,25,FALSE)/100+
(IF($G144=AB$66,$H144,0)+IF($J144=AB$66,$K144,0)+IF($M144=AB$66,$N144,0)+IF($P144=AB$66,$Q144,0))*100/$X144</f>
        <v>0</v>
      </c>
      <c r="AC144" s="3">
        <f>100/$X144*$H144*VLOOKUP($G144&amp;"Total",$D:$AK,26,FALSE)/100+100/$X144*$K144*VLOOKUP($J144&amp;"Total",$D:$AK,26,FALSE)/100+100/$X144*$N144*VLOOKUP($M144&amp;"Total",$D:$AK,26,FALSE)/100+100/$X144*$Q144*VLOOKUP($P144&amp;"Total",$D:$AK,26,FALSE)/100+
(IF($G144=AC$66,$H144,0)+IF($J144=AC$66,$K144,0)+IF($M144=AC$66,$N144,0)+IF($P144=AC$66,$Q144,0))*100/$X144</f>
        <v>1500.0000000000002</v>
      </c>
      <c r="AD144" s="3">
        <f>100/$X144*$H144*VLOOKUP($G144&amp;"Total",$D:$AK,27,FALSE)/100+100/$X144*$K144*VLOOKUP($J144&amp;"Total",$D:$AK,27,FALSE)/100+100/$X144*$N144*VLOOKUP($M144&amp;"Total",$D:$AK,27,FALSE)/100+100/$X144*$Q144*VLOOKUP($P144&amp;"Total",$D:$AK,27,FALSE)/100+
(IF($G144=AD$66,$H144,0)+IF($J144=AD$66,$K144,0)+IF($M144=AD$66,$N144,0)+IF($P144=AD$66,$Q144,0))*100/$X144</f>
        <v>1066.6666666666667</v>
      </c>
      <c r="AE144" s="3">
        <f>100/$X144*$H144*VLOOKUP($G144&amp;"Total",$D:$AK,28,FALSE)/100+100/$X144*$K144*VLOOKUP($J144&amp;"Total",$D:$AK,28,FALSE)/100+100/$X144*$N144*VLOOKUP($M144&amp;"Total",$D:$AK,28,FALSE)/100+100/$X144*$Q144*VLOOKUP($P144&amp;"Total",$D:$AK,28,FALSE)/100+
(IF($G144=AE$66,$H144,0)+IF($J144=AE$66,$K144,0)+IF($M144=AE$66,$N144,0)+IF($P144=AE$66,$Q144,0))*100/$X144</f>
        <v>0</v>
      </c>
      <c r="AF144" s="3">
        <f>100/$X144*$H144*VLOOKUP($G144&amp;"Total",$D:$AK,29,FALSE)/100+100/$X144*$K144*VLOOKUP($J144&amp;"Total",$D:$AK,29,FALSE)/100+100/$X144*$N144*VLOOKUP($M144&amp;"Total",$D:$AK,29,FALSE)/100+100/$X144*$Q144*VLOOKUP($P144&amp;"Total",$D:$AK,29,FALSE)/100+
(IF($G144=AF$66,$H144,0)+IF($J144=AF$66,$K144,0)+IF($M144=AF$66,$N144,0)+IF($P144=AF$66,$Q144,0))*100/$X144</f>
        <v>0</v>
      </c>
      <c r="AG144" s="3">
        <f>100/$X144*$H144*VLOOKUP($G144&amp;"Total",$D:$AK,30,FALSE)/100+100/$X144*$K144*VLOOKUP($J144&amp;"Total",$D:$AK,30,FALSE)/100+100/$X144*$N144*VLOOKUP($M144&amp;"Total",$D:$AK,30,FALSE)/100+100/$X144*$Q144*VLOOKUP($P144&amp;"Total",$D:$AK,30,FALSE)/100+
(IF($G144=AG$66,$H144,0)+IF($J144=AG$66,$K144,0)+IF($M144=AG$66,$N144,0)+IF($P144=AG$66,$Q144,0))*100/$X144</f>
        <v>0</v>
      </c>
      <c r="AH144" s="3">
        <f>100/$X144*$H144*VLOOKUP($G144&amp;"Total",$D:$AK,31,FALSE)/100+100/$X144*$K144*VLOOKUP($J144&amp;"Total",$D:$AK,31,FALSE)/100+100/$X144*$N144*VLOOKUP($M144&amp;"Total",$D:$AK,31,FALSE)/100+100/$X144*$Q144*VLOOKUP($P144&amp;"Total",$D:$AK,31,FALSE)/100+
(IF($G144=AH$66,$H144,0)+IF($J144=AH$66,$K144,0)+IF($M144=AH$66,$N144,0)+IF($P144=AH$66,$Q144,0))*100/$X144</f>
        <v>0</v>
      </c>
      <c r="AI144" s="3">
        <f>100/$X144*$H144*VLOOKUP($G144&amp;"Total",$D:$AK,32,FALSE)/100+100/$X144*$K144*VLOOKUP($J144&amp;"Total",$D:$AK,32,FALSE)/100+100/$X144*$N144*VLOOKUP($M144&amp;"Total",$D:$AK,32,FALSE)/100+100/$X144*$Q144*VLOOKUP($P144&amp;"Total",$D:$AK,32,FALSE)/100+
(IF($G144=AI$66,$H144,0)+IF($J144=AI$66,$K144,0)+IF($M144=AI$66,$N144,0)+IF($P144=AI$66,$Q144,0))*100/$X144</f>
        <v>0</v>
      </c>
      <c r="AJ144" s="3">
        <f>100/$X144*$H144*VLOOKUP($G144&amp;"Total",$D:$AK,33,FALSE)/100+100/$X144*$K144*VLOOKUP($J144&amp;"Total",$D:$AK,33,FALSE)/100+100/$X144*$N144*VLOOKUP($M144&amp;"Total",$D:$AK,33,FALSE)/100+100/$X144*$Q144*VLOOKUP($P144&amp;"Total",$D:$AK,33,FALSE)/100+
(IF($G144=AJ$66,$H144,0)+IF($J144=AJ$66,$K144,0)+IF($M144=AJ$66,$N144,0)+IF($P144=AJ$66,$Q144,0))*100/$X144</f>
        <v>0</v>
      </c>
      <c r="AK144" s="3">
        <f>100/$X144*$H144*VLOOKUP($G144&amp;"Total",$D:$AK,34,FALSE)/100+100/$X144*$K144*VLOOKUP($J144&amp;"Total",$D:$AK,34,FALSE)/100+100/$X144*$N144*VLOOKUP($M144&amp;"Total",$D:$AK,34,FALSE)/100+100/$X144*$Q144*VLOOKUP($P144&amp;"Total",$D:$AK,34,FALSE)/100+
(IF($G144=AK$66,$H144,0)+IF($J144=AK$66,$K144,0)+IF($M144=AK$66,$N144,0)+IF($P144=AK$66,$Q144,0))*100/$X144</f>
        <v>0</v>
      </c>
    </row>
    <row r="145" spans="1:37" x14ac:dyDescent="0.25">
      <c r="A145" t="s">
        <v>126</v>
      </c>
      <c r="B145" t="s">
        <v>127</v>
      </c>
      <c r="C145" t="s">
        <v>17</v>
      </c>
      <c r="D145" t="str">
        <f t="shared" si="65"/>
        <v>Encased Industrial BeamTotal</v>
      </c>
      <c r="E145" s="26">
        <f t="shared" si="66"/>
        <v>1429.0415824489305</v>
      </c>
      <c r="G145" t="s">
        <v>128</v>
      </c>
      <c r="H145" s="22">
        <v>28</v>
      </c>
      <c r="I145" s="3">
        <f>VLOOKUP(G145&amp;"Total",$D:$AB,2,FALSE)/100*H145</f>
        <v>28.406708343002265</v>
      </c>
      <c r="J145" t="s">
        <v>66</v>
      </c>
      <c r="K145" s="22">
        <v>20</v>
      </c>
      <c r="L145" s="3">
        <f>VLOOKUP(J145&amp;"Total",$D:$AB,2,FALSE)/100*K145</f>
        <v>13.754954954954954</v>
      </c>
      <c r="M145" s="22" t="s">
        <v>27</v>
      </c>
      <c r="N145" s="22"/>
      <c r="O145" s="3">
        <f>VLOOKUP(M145&amp;"Total",$D:$AB,2,FALSE)/100*N145</f>
        <v>0</v>
      </c>
      <c r="P145" s="22" t="s">
        <v>27</v>
      </c>
      <c r="Q145" s="22"/>
      <c r="R145" s="3">
        <f>VLOOKUP(P145&amp;"Total",$D:$AB,2,FALSE)/100*Q145</f>
        <v>0</v>
      </c>
      <c r="T145" s="3">
        <f t="shared" si="67"/>
        <v>42.161663297957219</v>
      </c>
      <c r="V145" s="22" t="s">
        <v>70</v>
      </c>
      <c r="W145" s="22">
        <v>15</v>
      </c>
      <c r="X145" s="22">
        <v>4</v>
      </c>
      <c r="AA145" s="3">
        <f>100/$X145*$H145*VLOOKUP($G145&amp;"Total",$D:$AK,24,FALSE)/100+100/$X145*$K145*VLOOKUP($J145&amp;"Total",$D:$AK,24,FALSE)/100+100/$X145*$N145*VLOOKUP($M145&amp;"Total",$D:$AK,24,FALSE)/100+100/$X145*$Q145*VLOOKUP($P145&amp;"Total",$D:$AK,24,FALSE)/100+
(IF($G145=AA$66,$H145,0)+IF($J145=AA$66,$K145,0)+IF($M145=AA$66,$N145,0)+IF($P145=AA$66,$Q145,0))*100/$X145</f>
        <v>700</v>
      </c>
      <c r="AB145" s="3">
        <f>100/$X145*$H145*VLOOKUP($G145&amp;"Total",$D:$AK,25,FALSE)/100+100/$X145*$K145*VLOOKUP($J145&amp;"Total",$D:$AK,25,FALSE)/100+100/$X145*$N145*VLOOKUP($M145&amp;"Total",$D:$AK,25,FALSE)/100+100/$X145*$Q145*VLOOKUP($P145&amp;"Total",$D:$AK,25,FALSE)/100+
(IF($G145=AB$66,$H145,0)+IF($J145=AB$66,$K145,0)+IF($M145=AB$66,$N145,0)+IF($P145=AB$66,$Q145,0))*100/$X145</f>
        <v>0</v>
      </c>
      <c r="AC145" s="3">
        <f>100/$X145*$H145*VLOOKUP($G145&amp;"Total",$D:$AK,26,FALSE)/100+100/$X145*$K145*VLOOKUP($J145&amp;"Total",$D:$AK,26,FALSE)/100+100/$X145*$N145*VLOOKUP($M145&amp;"Total",$D:$AK,26,FALSE)/100+100/$X145*$Q145*VLOOKUP($P145&amp;"Total",$D:$AK,26,FALSE)/100+
(IF($G145=AC$66,$H145,0)+IF($J145=AC$66,$K145,0)+IF($M145=AC$66,$N145,0)+IF($P145=AC$66,$Q145,0))*100/$X145</f>
        <v>1500</v>
      </c>
      <c r="AD145" s="3">
        <f>100/$X145*$H145*VLOOKUP($G145&amp;"Total",$D:$AK,27,FALSE)/100+100/$X145*$K145*VLOOKUP($J145&amp;"Total",$D:$AK,27,FALSE)/100+100/$X145*$N145*VLOOKUP($M145&amp;"Total",$D:$AK,27,FALSE)/100+100/$X145*$Q145*VLOOKUP($P145&amp;"Total",$D:$AK,27,FALSE)/100+
(IF($G145=AD$66,$H145,0)+IF($J145=AD$66,$K145,0)+IF($M145=AD$66,$N145,0)+IF($P145=AD$66,$Q145,0))*100/$X145</f>
        <v>700</v>
      </c>
      <c r="AE145" s="3">
        <f>100/$X145*$H145*VLOOKUP($G145&amp;"Total",$D:$AK,28,FALSE)/100+100/$X145*$K145*VLOOKUP($J145&amp;"Total",$D:$AK,28,FALSE)/100+100/$X145*$N145*VLOOKUP($M145&amp;"Total",$D:$AK,28,FALSE)/100+100/$X145*$Q145*VLOOKUP($P145&amp;"Total",$D:$AK,28,FALSE)/100+
(IF($G145=AE$66,$H145,0)+IF($J145=AE$66,$K145,0)+IF($M145=AE$66,$N145,0)+IF($P145=AE$66,$Q145,0))*100/$X145</f>
        <v>0</v>
      </c>
      <c r="AF145" s="3">
        <f>100/$X145*$H145*VLOOKUP($G145&amp;"Total",$D:$AK,29,FALSE)/100+100/$X145*$K145*VLOOKUP($J145&amp;"Total",$D:$AK,29,FALSE)/100+100/$X145*$N145*VLOOKUP($M145&amp;"Total",$D:$AK,29,FALSE)/100+100/$X145*$Q145*VLOOKUP($P145&amp;"Total",$D:$AK,29,FALSE)/100+
(IF($G145=AF$66,$H145,0)+IF($J145=AF$66,$K145,0)+IF($M145=AF$66,$N145,0)+IF($P145=AF$66,$Q145,0))*100/$X145</f>
        <v>0</v>
      </c>
      <c r="AG145" s="3">
        <f>100/$X145*$H145*VLOOKUP($G145&amp;"Total",$D:$AK,30,FALSE)/100+100/$X145*$K145*VLOOKUP($J145&amp;"Total",$D:$AK,30,FALSE)/100+100/$X145*$N145*VLOOKUP($M145&amp;"Total",$D:$AK,30,FALSE)/100+100/$X145*$Q145*VLOOKUP($P145&amp;"Total",$D:$AK,30,FALSE)/100+
(IF($G145=AG$66,$H145,0)+IF($J145=AG$66,$K145,0)+IF($M145=AG$66,$N145,0)+IF($P145=AG$66,$Q145,0))*100/$X145</f>
        <v>0</v>
      </c>
      <c r="AH145" s="3">
        <f>100/$X145*$H145*VLOOKUP($G145&amp;"Total",$D:$AK,31,FALSE)/100+100/$X145*$K145*VLOOKUP($J145&amp;"Total",$D:$AK,31,FALSE)/100+100/$X145*$N145*VLOOKUP($M145&amp;"Total",$D:$AK,31,FALSE)/100+100/$X145*$Q145*VLOOKUP($P145&amp;"Total",$D:$AK,31,FALSE)/100+
(IF($G145=AH$66,$H145,0)+IF($J145=AH$66,$K145,0)+IF($M145=AH$66,$N145,0)+IF($P145=AH$66,$Q145,0))*100/$X145</f>
        <v>0</v>
      </c>
      <c r="AI145" s="3">
        <f>100/$X145*$H145*VLOOKUP($G145&amp;"Total",$D:$AK,32,FALSE)/100+100/$X145*$K145*VLOOKUP($J145&amp;"Total",$D:$AK,32,FALSE)/100+100/$X145*$N145*VLOOKUP($M145&amp;"Total",$D:$AK,32,FALSE)/100+100/$X145*$Q145*VLOOKUP($P145&amp;"Total",$D:$AK,32,FALSE)/100+
(IF($G145=AI$66,$H145,0)+IF($J145=AI$66,$K145,0)+IF($M145=AI$66,$N145,0)+IF($P145=AI$66,$Q145,0))*100/$X145</f>
        <v>0</v>
      </c>
      <c r="AJ145" s="3">
        <f>100/$X145*$H145*VLOOKUP($G145&amp;"Total",$D:$AK,33,FALSE)/100+100/$X145*$K145*VLOOKUP($J145&amp;"Total",$D:$AK,33,FALSE)/100+100/$X145*$N145*VLOOKUP($M145&amp;"Total",$D:$AK,33,FALSE)/100+100/$X145*$Q145*VLOOKUP($P145&amp;"Total",$D:$AK,33,FALSE)/100+
(IF($G145=AJ$66,$H145,0)+IF($J145=AJ$66,$K145,0)+IF($M145=AJ$66,$N145,0)+IF($P145=AJ$66,$Q145,0))*100/$X145</f>
        <v>0</v>
      </c>
      <c r="AK145" s="3">
        <f>100/$X145*$H145*VLOOKUP($G145&amp;"Total",$D:$AK,34,FALSE)/100+100/$X145*$K145*VLOOKUP($J145&amp;"Total",$D:$AK,34,FALSE)/100+100/$X145*$N145*VLOOKUP($M145&amp;"Total",$D:$AK,34,FALSE)/100+100/$X145*$Q145*VLOOKUP($P145&amp;"Total",$D:$AK,34,FALSE)/100+
(IF($G145=AK$66,$H145,0)+IF($J145=AK$66,$K145,0)+IF($M145=AK$66,$N145,0)+IF($P145=AK$66,$Q145,0))*100/$X145</f>
        <v>0</v>
      </c>
    </row>
    <row r="146" spans="1:37" x14ac:dyDescent="0.25">
      <c r="E146" s="25"/>
      <c r="G146" s="22"/>
      <c r="H146" s="22"/>
      <c r="J146" s="22"/>
      <c r="K146" s="22"/>
      <c r="M146" s="22"/>
      <c r="N146" s="22"/>
      <c r="P146" s="22"/>
      <c r="Q146" s="22"/>
      <c r="V146" s="22"/>
      <c r="W146" s="22"/>
      <c r="X146" s="22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x14ac:dyDescent="0.25">
      <c r="A147" t="s">
        <v>128</v>
      </c>
      <c r="B147" t="s">
        <v>128</v>
      </c>
      <c r="C147" t="s">
        <v>17</v>
      </c>
      <c r="D147" t="str">
        <f t="shared" ref="D147" si="68">A147&amp;C147</f>
        <v>Steel PipeTotal</v>
      </c>
      <c r="E147" s="26">
        <f t="shared" ref="E147" si="69">100/X147*(T147+W147)</f>
        <v>101.45252979643666</v>
      </c>
      <c r="G147" t="s">
        <v>84</v>
      </c>
      <c r="H147" s="22">
        <v>30</v>
      </c>
      <c r="I147" s="3">
        <f>VLOOKUP(G147&amp;"Total",$D:$AB,2,FALSE)/100*H147</f>
        <v>16.290505959287334</v>
      </c>
      <c r="J147" s="22" t="s">
        <v>27</v>
      </c>
      <c r="K147" s="22"/>
      <c r="L147" s="3">
        <f>VLOOKUP(J147&amp;"Total",$D:$AB,2,FALSE)/100*K147</f>
        <v>0</v>
      </c>
      <c r="M147" s="22" t="s">
        <v>27</v>
      </c>
      <c r="N147" s="22"/>
      <c r="O147" s="3">
        <f>VLOOKUP(M147&amp;"Total",$D:$AB,2,FALSE)/100*N147</f>
        <v>0</v>
      </c>
      <c r="P147" s="22" t="s">
        <v>27</v>
      </c>
      <c r="Q147" s="22"/>
      <c r="R147" s="3">
        <f>VLOOKUP(P147&amp;"Total",$D:$AB,2,FALSE)/100*Q147</f>
        <v>0</v>
      </c>
      <c r="T147" s="3">
        <f t="shared" ref="T147" si="70">I147+L147+O147+R147</f>
        <v>16.290505959287334</v>
      </c>
      <c r="V147" s="22" t="s">
        <v>67</v>
      </c>
      <c r="W147" s="22">
        <v>4</v>
      </c>
      <c r="X147" s="22">
        <v>20</v>
      </c>
      <c r="AA147" s="3">
        <f>100/$X147*$H147*VLOOKUP($G147&amp;"Total",$D:$AK,24,FALSE)/100+100/$X147*$K147*VLOOKUP($J147&amp;"Total",$D:$AK,24,FALSE)/100+100/$X147*$N147*VLOOKUP($M147&amp;"Total",$D:$AK,24,FALSE)/100+100/$X147*$Q147*VLOOKUP($P147&amp;"Total",$D:$AK,24,FALSE)/100+
(IF($G147=AA$66,$H147,0)+IF($J147=AA$66,$K147,0)+IF($M147=AA$66,$N147,0)+IF($P147=AA$66,$Q147,0))*100/$X147</f>
        <v>100</v>
      </c>
      <c r="AB147" s="3">
        <f>100/$X147*$H147*VLOOKUP($G147&amp;"Total",$D:$AK,25,FALSE)/100+100/$X147*$K147*VLOOKUP($J147&amp;"Total",$D:$AK,25,FALSE)/100+100/$X147*$N147*VLOOKUP($M147&amp;"Total",$D:$AK,25,FALSE)/100+100/$X147*$Q147*VLOOKUP($P147&amp;"Total",$D:$AK,25,FALSE)/100+
(IF($G147=AB$66,$H147,0)+IF($J147=AB$66,$K147,0)+IF($M147=AB$66,$N147,0)+IF($P147=AB$66,$Q147,0))*100/$X147</f>
        <v>0</v>
      </c>
      <c r="AC147" s="3">
        <f>100/$X147*$H147*VLOOKUP($G147&amp;"Total",$D:$AK,26,FALSE)/100+100/$X147*$K147*VLOOKUP($J147&amp;"Total",$D:$AK,26,FALSE)/100+100/$X147*$N147*VLOOKUP($M147&amp;"Total",$D:$AK,26,FALSE)/100+100/$X147*$Q147*VLOOKUP($P147&amp;"Total",$D:$AK,26,FALSE)/100+
(IF($G147=AC$66,$H147,0)+IF($J147=AC$66,$K147,0)+IF($M147=AC$66,$N147,0)+IF($P147=AC$66,$Q147,0))*100/$X147</f>
        <v>0</v>
      </c>
      <c r="AD147" s="3">
        <f>100/$X147*$H147*VLOOKUP($G147&amp;"Total",$D:$AK,27,FALSE)/100+100/$X147*$K147*VLOOKUP($J147&amp;"Total",$D:$AK,27,FALSE)/100+100/$X147*$N147*VLOOKUP($M147&amp;"Total",$D:$AK,27,FALSE)/100+100/$X147*$Q147*VLOOKUP($P147&amp;"Total",$D:$AK,27,FALSE)/100+
(IF($G147=AD$66,$H147,0)+IF($J147=AD$66,$K147,0)+IF($M147=AD$66,$N147,0)+IF($P147=AD$66,$Q147,0))*100/$X147</f>
        <v>100</v>
      </c>
      <c r="AE147" s="3">
        <f>100/$X147*$H147*VLOOKUP($G147&amp;"Total",$D:$AK,28,FALSE)/100+100/$X147*$K147*VLOOKUP($J147&amp;"Total",$D:$AK,28,FALSE)/100+100/$X147*$N147*VLOOKUP($M147&amp;"Total",$D:$AK,28,FALSE)/100+100/$X147*$Q147*VLOOKUP($P147&amp;"Total",$D:$AK,28,FALSE)/100+
(IF($G147=AE$66,$H147,0)+IF($J147=AE$66,$K147,0)+IF($M147=AE$66,$N147,0)+IF($P147=AE$66,$Q147,0))*100/$X147</f>
        <v>0</v>
      </c>
      <c r="AF147" s="3">
        <f>100/$X147*$H147*VLOOKUP($G147&amp;"Total",$D:$AK,29,FALSE)/100+100/$X147*$K147*VLOOKUP($J147&amp;"Total",$D:$AK,29,FALSE)/100+100/$X147*$N147*VLOOKUP($M147&amp;"Total",$D:$AK,29,FALSE)/100+100/$X147*$Q147*VLOOKUP($P147&amp;"Total",$D:$AK,29,FALSE)/100+
(IF($G147=AF$66,$H147,0)+IF($J147=AF$66,$K147,0)+IF($M147=AF$66,$N147,0)+IF($P147=AF$66,$Q147,0))*100/$X147</f>
        <v>0</v>
      </c>
      <c r="AG147" s="3">
        <f>100/$X147*$H147*VLOOKUP($G147&amp;"Total",$D:$AK,30,FALSE)/100+100/$X147*$K147*VLOOKUP($J147&amp;"Total",$D:$AK,30,FALSE)/100+100/$X147*$N147*VLOOKUP($M147&amp;"Total",$D:$AK,30,FALSE)/100+100/$X147*$Q147*VLOOKUP($P147&amp;"Total",$D:$AK,30,FALSE)/100+
(IF($G147=AG$66,$H147,0)+IF($J147=AG$66,$K147,0)+IF($M147=AG$66,$N147,0)+IF($P147=AG$66,$Q147,0))*100/$X147</f>
        <v>0</v>
      </c>
      <c r="AH147" s="3">
        <f>100/$X147*$H147*VLOOKUP($G147&amp;"Total",$D:$AK,31,FALSE)/100+100/$X147*$K147*VLOOKUP($J147&amp;"Total",$D:$AK,31,FALSE)/100+100/$X147*$N147*VLOOKUP($M147&amp;"Total",$D:$AK,31,FALSE)/100+100/$X147*$Q147*VLOOKUP($P147&amp;"Total",$D:$AK,31,FALSE)/100+
(IF($G147=AH$66,$H147,0)+IF($J147=AH$66,$K147,0)+IF($M147=AH$66,$N147,0)+IF($P147=AH$66,$Q147,0))*100/$X147</f>
        <v>0</v>
      </c>
      <c r="AI147" s="3">
        <f>100/$X147*$H147*VLOOKUP($G147&amp;"Total",$D:$AK,32,FALSE)/100+100/$X147*$K147*VLOOKUP($J147&amp;"Total",$D:$AK,32,FALSE)/100+100/$X147*$N147*VLOOKUP($M147&amp;"Total",$D:$AK,32,FALSE)/100+100/$X147*$Q147*VLOOKUP($P147&amp;"Total",$D:$AK,32,FALSE)/100+
(IF($G147=AI$66,$H147,0)+IF($J147=AI$66,$K147,0)+IF($M147=AI$66,$N147,0)+IF($P147=AI$66,$Q147,0))*100/$X147</f>
        <v>0</v>
      </c>
      <c r="AJ147" s="3">
        <f>100/$X147*$H147*VLOOKUP($G147&amp;"Total",$D:$AK,33,FALSE)/100+100/$X147*$K147*VLOOKUP($J147&amp;"Total",$D:$AK,33,FALSE)/100+100/$X147*$N147*VLOOKUP($M147&amp;"Total",$D:$AK,33,FALSE)/100+100/$X147*$Q147*VLOOKUP($P147&amp;"Total",$D:$AK,33,FALSE)/100+
(IF($G147=AJ$66,$H147,0)+IF($J147=AJ$66,$K147,0)+IF($M147=AJ$66,$N147,0)+IF($P147=AJ$66,$Q147,0))*100/$X147</f>
        <v>0</v>
      </c>
      <c r="AK147" s="3">
        <f>100/$X147*$H147*VLOOKUP($G147&amp;"Total",$D:$AK,34,FALSE)/100+100/$X147*$K147*VLOOKUP($J147&amp;"Total",$D:$AK,34,FALSE)/100+100/$X147*$N147*VLOOKUP($M147&amp;"Total",$D:$AK,34,FALSE)/100+100/$X147*$Q147*VLOOKUP($P147&amp;"Total",$D:$AK,34,FALSE)/100+
(IF($G147=AK$66,$H147,0)+IF($J147=AK$66,$K147,0)+IF($M147=AK$66,$N147,0)+IF($P147=AK$66,$Q147,0))*100/$X147</f>
        <v>0</v>
      </c>
    </row>
    <row r="148" spans="1:37" x14ac:dyDescent="0.25">
      <c r="E148" s="26"/>
      <c r="H148" s="22"/>
      <c r="I148" s="3"/>
      <c r="J148" s="22"/>
      <c r="K148" s="22"/>
      <c r="L148" s="3"/>
      <c r="M148" s="22"/>
      <c r="N148" s="22"/>
      <c r="O148" s="3"/>
      <c r="P148" s="22"/>
      <c r="Q148" s="22"/>
      <c r="R148" s="3"/>
      <c r="T148" s="3"/>
      <c r="V148" s="22"/>
      <c r="W148" s="22"/>
      <c r="X148" s="22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x14ac:dyDescent="0.25">
      <c r="A149" t="s">
        <v>114</v>
      </c>
      <c r="B149" t="s">
        <v>114</v>
      </c>
      <c r="D149" t="str">
        <f>A149&amp;C149</f>
        <v>reinforced Plate</v>
      </c>
      <c r="E149" s="26">
        <f t="shared" ref="E149:E152" si="71">100/X149*(T149+W149)</f>
        <v>741.06278650419881</v>
      </c>
      <c r="G149" t="s">
        <v>80</v>
      </c>
      <c r="H149" s="22">
        <v>30</v>
      </c>
      <c r="I149" s="3">
        <f>VLOOKUP(G149&amp;"Total",$D:$AB,2,FALSE)/100*H149</f>
        <v>18.316138408396501</v>
      </c>
      <c r="J149" t="s">
        <v>87</v>
      </c>
      <c r="K149" s="22">
        <v>60</v>
      </c>
      <c r="L149" s="3">
        <f>VLOOKUP(J149&amp;"Total",$D:$AB,2,FALSE)/100*K149</f>
        <v>3.7370009168134359</v>
      </c>
      <c r="M149" s="22" t="s">
        <v>27</v>
      </c>
      <c r="N149" s="22"/>
      <c r="O149" s="3">
        <f>VLOOKUP(M149&amp;"Total",$D:$AB,2,FALSE)/100*N149</f>
        <v>0</v>
      </c>
      <c r="P149" s="22" t="s">
        <v>27</v>
      </c>
      <c r="Q149" s="22"/>
      <c r="R149" s="3">
        <f>VLOOKUP(P149&amp;"Total",$D:$AB,2,FALSE)/100*Q149</f>
        <v>0</v>
      </c>
      <c r="T149" s="3">
        <f t="shared" ref="T149:T152" si="72">I149+L149+O149+R149</f>
        <v>22.053139325209937</v>
      </c>
      <c r="V149" s="22" t="s">
        <v>70</v>
      </c>
      <c r="W149" s="22">
        <v>15</v>
      </c>
      <c r="X149" s="22">
        <v>5</v>
      </c>
      <c r="AA149" s="3">
        <f>100/$X149*$H149*VLOOKUP($G149&amp;"Total",$D:$AK,24,FALSE)/100+100/$X149*$K149*VLOOKUP($J149&amp;"Total",$D:$AK,24,FALSE)/100+100/$X149*$N149*VLOOKUP($M149&amp;"Total",$D:$AK,24,FALSE)/100+100/$X149*$Q149*VLOOKUP($P149&amp;"Total",$D:$AK,24,FALSE)/100+
(IF($G149=AA$66,$H149,0)+IF($J149=AA$66,$K149,0)+IF($M149=AA$66,$N149,0)+IF($P149=AA$66,$Q149,0))*100/$X149</f>
        <v>961.53846153846155</v>
      </c>
      <c r="AB149" s="3">
        <f>100/$X149*$H149*VLOOKUP($G149&amp;"Total",$D:$AK,25,FALSE)/100+100/$X149*$K149*VLOOKUP($J149&amp;"Total",$D:$AK,25,FALSE)/100+100/$X149*$N149*VLOOKUP($M149&amp;"Total",$D:$AK,25,FALSE)/100+100/$X149*$Q149*VLOOKUP($P149&amp;"Total",$D:$AK,25,FALSE)/100+
(IF($G149=AB$66,$H149,0)+IF($J149=AB$66,$K149,0)+IF($M149=AB$66,$N149,0)+IF($P149=AB$66,$Q149,0))*100/$X149</f>
        <v>0</v>
      </c>
      <c r="AC149" s="3">
        <f>100/$X149*$H149*VLOOKUP($G149&amp;"Total",$D:$AK,26,FALSE)/100+100/$X149*$K149*VLOOKUP($J149&amp;"Total",$D:$AK,26,FALSE)/100+100/$X149*$N149*VLOOKUP($M149&amp;"Total",$D:$AK,26,FALSE)/100+100/$X149*$Q149*VLOOKUP($P149&amp;"Total",$D:$AK,26,FALSE)/100+
(IF($G149=AC$66,$H149,0)+IF($J149=AC$66,$K149,0)+IF($M149=AC$66,$N149,0)+IF($P149=AC$66,$Q149,0))*100/$X149</f>
        <v>0</v>
      </c>
      <c r="AD149" s="3">
        <f>100/$X149*$H149*VLOOKUP($G149&amp;"Total",$D:$AK,27,FALSE)/100+100/$X149*$K149*VLOOKUP($J149&amp;"Total",$D:$AK,27,FALSE)/100+100/$X149*$N149*VLOOKUP($M149&amp;"Total",$D:$AK,27,FALSE)/100+100/$X149*$Q149*VLOOKUP($P149&amp;"Total",$D:$AK,27,FALSE)/100+
(IF($G149=AD$66,$H149,0)+IF($J149=AD$66,$K149,0)+IF($M149=AD$66,$N149,0)+IF($P149=AD$66,$Q149,0))*100/$X149</f>
        <v>61.538461538461533</v>
      </c>
      <c r="AE149" s="3">
        <f>100/$X149*$H149*VLOOKUP($G149&amp;"Total",$D:$AK,28,FALSE)/100+100/$X149*$K149*VLOOKUP($J149&amp;"Total",$D:$AK,28,FALSE)/100+100/$X149*$N149*VLOOKUP($M149&amp;"Total",$D:$AK,28,FALSE)/100+100/$X149*$Q149*VLOOKUP($P149&amp;"Total",$D:$AK,28,FALSE)/100+
(IF($G149=AE$66,$H149,0)+IF($J149=AE$66,$K149,0)+IF($M149=AE$66,$N149,0)+IF($P149=AE$66,$Q149,0))*100/$X149</f>
        <v>0</v>
      </c>
      <c r="AF149" s="3">
        <f>100/$X149*$H149*VLOOKUP($G149&amp;"Total",$D:$AK,29,FALSE)/100+100/$X149*$K149*VLOOKUP($J149&amp;"Total",$D:$AK,29,FALSE)/100+100/$X149*$N149*VLOOKUP($M149&amp;"Total",$D:$AK,29,FALSE)/100+100/$X149*$Q149*VLOOKUP($P149&amp;"Total",$D:$AK,29,FALSE)/100+
(IF($G149=AF$66,$H149,0)+IF($J149=AF$66,$K149,0)+IF($M149=AF$66,$N149,0)+IF($P149=AF$66,$Q149,0))*100/$X149</f>
        <v>0</v>
      </c>
      <c r="AG149" s="3">
        <f>100/$X149*$H149*VLOOKUP($G149&amp;"Total",$D:$AK,30,FALSE)/100+100/$X149*$K149*VLOOKUP($J149&amp;"Total",$D:$AK,30,FALSE)/100+100/$X149*$N149*VLOOKUP($M149&amp;"Total",$D:$AK,30,FALSE)/100+100/$X149*$Q149*VLOOKUP($P149&amp;"Total",$D:$AK,30,FALSE)/100+
(IF($G149=AG$66,$H149,0)+IF($J149=AG$66,$K149,0)+IF($M149=AG$66,$N149,0)+IF($P149=AG$66,$Q149,0))*100/$X149</f>
        <v>0</v>
      </c>
      <c r="AH149" s="3">
        <f>100/$X149*$H149*VLOOKUP($G149&amp;"Total",$D:$AK,31,FALSE)/100+100/$X149*$K149*VLOOKUP($J149&amp;"Total",$D:$AK,31,FALSE)/100+100/$X149*$N149*VLOOKUP($M149&amp;"Total",$D:$AK,31,FALSE)/100+100/$X149*$Q149*VLOOKUP($P149&amp;"Total",$D:$AK,31,FALSE)/100+
(IF($G149=AH$66,$H149,0)+IF($J149=AH$66,$K149,0)+IF($M149=AH$66,$N149,0)+IF($P149=AH$66,$Q149,0))*100/$X149</f>
        <v>0</v>
      </c>
      <c r="AI149" s="3">
        <f>100/$X149*$H149*VLOOKUP($G149&amp;"Total",$D:$AK,32,FALSE)/100+100/$X149*$K149*VLOOKUP($J149&amp;"Total",$D:$AK,32,FALSE)/100+100/$X149*$N149*VLOOKUP($M149&amp;"Total",$D:$AK,32,FALSE)/100+100/$X149*$Q149*VLOOKUP($P149&amp;"Total",$D:$AK,32,FALSE)/100+
(IF($G149=AI$66,$H149,0)+IF($J149=AI$66,$K149,0)+IF($M149=AI$66,$N149,0)+IF($P149=AI$66,$Q149,0))*100/$X149</f>
        <v>0</v>
      </c>
      <c r="AJ149" s="3">
        <f>100/$X149*$H149*VLOOKUP($G149&amp;"Total",$D:$AK,33,FALSE)/100+100/$X149*$K149*VLOOKUP($J149&amp;"Total",$D:$AK,33,FALSE)/100+100/$X149*$N149*VLOOKUP($M149&amp;"Total",$D:$AK,33,FALSE)/100+100/$X149*$Q149*VLOOKUP($P149&amp;"Total",$D:$AK,33,FALSE)/100+
(IF($G149=AJ$66,$H149,0)+IF($J149=AJ$66,$K149,0)+IF($M149=AJ$66,$N149,0)+IF($P149=AJ$66,$Q149,0))*100/$X149</f>
        <v>0</v>
      </c>
      <c r="AK149" s="3">
        <f>100/$X149*$H149*VLOOKUP($G149&amp;"Total",$D:$AK,34,FALSE)/100+100/$X149*$K149*VLOOKUP($J149&amp;"Total",$D:$AK,34,FALSE)/100+100/$X149*$N149*VLOOKUP($M149&amp;"Total",$D:$AK,34,FALSE)/100+100/$X149*$Q149*VLOOKUP($P149&amp;"Total",$D:$AK,34,FALSE)/100+
(IF($G149=AK$66,$H149,0)+IF($J149=AK$66,$K149,0)+IF($M149=AK$66,$N149,0)+IF($P149=AK$66,$Q149,0))*100/$X149</f>
        <v>0</v>
      </c>
    </row>
    <row r="150" spans="1:37" x14ac:dyDescent="0.25">
      <c r="A150" t="s">
        <v>114</v>
      </c>
      <c r="B150" t="s">
        <v>129</v>
      </c>
      <c r="D150" t="str">
        <f t="shared" ref="D150:D152" si="73">A150&amp;C150</f>
        <v>reinforced Plate</v>
      </c>
      <c r="E150" s="26">
        <f t="shared" si="71"/>
        <v>797.73343536601647</v>
      </c>
      <c r="G150" t="s">
        <v>80</v>
      </c>
      <c r="H150" s="22">
        <v>11.25</v>
      </c>
      <c r="I150" s="3">
        <f>VLOOKUP(G150&amp;"Total",$D:$AB,2,FALSE)/100*H150</f>
        <v>6.8685519031486884</v>
      </c>
      <c r="J150" t="s">
        <v>72</v>
      </c>
      <c r="K150" s="22">
        <v>3.75</v>
      </c>
      <c r="L150" s="3">
        <f>VLOOKUP(J150&amp;"Total",$D:$AB,2,FALSE)/100*K150</f>
        <v>8.0464519230769245</v>
      </c>
      <c r="M150" s="22" t="s">
        <v>27</v>
      </c>
      <c r="N150" s="22"/>
      <c r="O150" s="3">
        <f>VLOOKUP(M150&amp;"Total",$D:$AB,2,FALSE)/100*N150</f>
        <v>0</v>
      </c>
      <c r="P150" s="22" t="s">
        <v>27</v>
      </c>
      <c r="Q150" s="22"/>
      <c r="R150" s="3">
        <f>VLOOKUP(P150&amp;"Total",$D:$AB,2,FALSE)/100*Q150</f>
        <v>0</v>
      </c>
      <c r="T150" s="3">
        <f t="shared" si="72"/>
        <v>14.915003826225613</v>
      </c>
      <c r="V150" s="22" t="s">
        <v>70</v>
      </c>
      <c r="W150" s="22">
        <v>15</v>
      </c>
      <c r="X150" s="22">
        <v>3.75</v>
      </c>
      <c r="AA150" s="3">
        <f>100/$X150*$H150*VLOOKUP($G150&amp;"Total",$D:$AK,24,FALSE)/100+100/$X150*$K150*VLOOKUP($J150&amp;"Total",$D:$AK,24,FALSE)/100+100/$X150*$N150*VLOOKUP($M150&amp;"Total",$D:$AK,24,FALSE)/100+100/$X150*$Q150*VLOOKUP($P150&amp;"Total",$D:$AK,24,FALSE)/100+
(IF($G150=AA$66,$H150,0)+IF($J150=AA$66,$K150,0)+IF($M150=AA$66,$N150,0)+IF($P150=AA$66,$Q150,0))*100/$X150</f>
        <v>450</v>
      </c>
      <c r="AB150" s="3">
        <f>100/$X150*$H150*VLOOKUP($G150&amp;"Total",$D:$AK,25,FALSE)/100+100/$X150*$K150*VLOOKUP($J150&amp;"Total",$D:$AK,25,FALSE)/100+100/$X150*$N150*VLOOKUP($M150&amp;"Total",$D:$AK,25,FALSE)/100+100/$X150*$Q150*VLOOKUP($P150&amp;"Total",$D:$AK,25,FALSE)/100+
(IF($G150=AB$66,$H150,0)+IF($J150=AB$66,$K150,0)+IF($M150=AB$66,$N150,0)+IF($P150=AB$66,$Q150,0))*100/$X150</f>
        <v>0</v>
      </c>
      <c r="AC150" s="3">
        <f>100/$X150*$H150*VLOOKUP($G150&amp;"Total",$D:$AK,26,FALSE)/100+100/$X150*$K150*VLOOKUP($J150&amp;"Total",$D:$AK,26,FALSE)/100+100/$X150*$N150*VLOOKUP($M150&amp;"Total",$D:$AK,26,FALSE)/100+100/$X150*$Q150*VLOOKUP($P150&amp;"Total",$D:$AK,26,FALSE)/100+
(IF($G150=AC$66,$H150,0)+IF($J150=AC$66,$K150,0)+IF($M150=AC$66,$N150,0)+IF($P150=AC$66,$Q150,0))*100/$X150</f>
        <v>0</v>
      </c>
      <c r="AD150" s="3">
        <f>100/$X150*$H150*VLOOKUP($G150&amp;"Total",$D:$AK,27,FALSE)/100+100/$X150*$K150*VLOOKUP($J150&amp;"Total",$D:$AK,27,FALSE)/100+100/$X150*$N150*VLOOKUP($M150&amp;"Total",$D:$AK,27,FALSE)/100+100/$X150*$Q150*VLOOKUP($P150&amp;"Total",$D:$AK,27,FALSE)/100+
(IF($G150=AD$66,$H150,0)+IF($J150=AD$66,$K150,0)+IF($M150=AD$66,$N150,0)+IF($P150=AD$66,$Q150,0))*100/$X150</f>
        <v>0</v>
      </c>
      <c r="AE150" s="3">
        <f>100/$X150*$H150*VLOOKUP($G150&amp;"Total",$D:$AK,28,FALSE)/100+100/$X150*$K150*VLOOKUP($J150&amp;"Total",$D:$AK,28,FALSE)/100+100/$X150*$N150*VLOOKUP($M150&amp;"Total",$D:$AK,28,FALSE)/100+100/$X150*$Q150*VLOOKUP($P150&amp;"Total",$D:$AK,28,FALSE)/100+
(IF($G150=AE$66,$H150,0)+IF($J150=AE$66,$K150,0)+IF($M150=AE$66,$N150,0)+IF($P150=AE$66,$Q150,0))*100/$X150</f>
        <v>0</v>
      </c>
      <c r="AF150" s="3">
        <f>100/$X150*$H150*VLOOKUP($G150&amp;"Total",$D:$AK,29,FALSE)/100+100/$X150*$K150*VLOOKUP($J150&amp;"Total",$D:$AK,29,FALSE)/100+100/$X150*$N150*VLOOKUP($M150&amp;"Total",$D:$AK,29,FALSE)/100+100/$X150*$Q150*VLOOKUP($P150&amp;"Total",$D:$AK,29,FALSE)/100+
(IF($G150=AF$66,$H150,0)+IF($J150=AF$66,$K150,0)+IF($M150=AF$66,$N150,0)+IF($P150=AF$66,$Q150,0))*100/$X150</f>
        <v>0</v>
      </c>
      <c r="AG150" s="3">
        <f>100/$X150*$H150*VLOOKUP($G150&amp;"Total",$D:$AK,30,FALSE)/100+100/$X150*$K150*VLOOKUP($J150&amp;"Total",$D:$AK,30,FALSE)/100+100/$X150*$N150*VLOOKUP($M150&amp;"Total",$D:$AK,30,FALSE)/100+100/$X150*$Q150*VLOOKUP($P150&amp;"Total",$D:$AK,30,FALSE)/100+
(IF($G150=AG$66,$H150,0)+IF($J150=AG$66,$K150,0)+IF($M150=AG$66,$N150,0)+IF($P150=AG$66,$Q150,0))*100/$X150</f>
        <v>0</v>
      </c>
      <c r="AH150" s="3">
        <f>100/$X150*$H150*VLOOKUP($G150&amp;"Total",$D:$AK,31,FALSE)/100+100/$X150*$K150*VLOOKUP($J150&amp;"Total",$D:$AK,31,FALSE)/100+100/$X150*$N150*VLOOKUP($M150&amp;"Total",$D:$AK,31,FALSE)/100+100/$X150*$Q150*VLOOKUP($P150&amp;"Total",$D:$AK,31,FALSE)/100+
(IF($G150=AH$66,$H150,0)+IF($J150=AH$66,$K150,0)+IF($M150=AH$66,$N150,0)+IF($P150=AH$66,$Q150,0))*100/$X150</f>
        <v>0</v>
      </c>
      <c r="AI150" s="3">
        <f>100/$X150*$H150*VLOOKUP($G150&amp;"Total",$D:$AK,32,FALSE)/100+100/$X150*$K150*VLOOKUP($J150&amp;"Total",$D:$AK,32,FALSE)/100+100/$X150*$N150*VLOOKUP($M150&amp;"Total",$D:$AK,32,FALSE)/100+100/$X150*$Q150*VLOOKUP($P150&amp;"Total",$D:$AK,32,FALSE)/100+
(IF($G150=AI$66,$H150,0)+IF($J150=AI$66,$K150,0)+IF($M150=AI$66,$N150,0)+IF($P150=AI$66,$Q150,0))*100/$X150</f>
        <v>0</v>
      </c>
      <c r="AJ150" s="3">
        <f>100/$X150*$H150*VLOOKUP($G150&amp;"Total",$D:$AK,33,FALSE)/100+100/$X150*$K150*VLOOKUP($J150&amp;"Total",$D:$AK,33,FALSE)/100+100/$X150*$N150*VLOOKUP($M150&amp;"Total",$D:$AK,33,FALSE)/100+100/$X150*$Q150*VLOOKUP($P150&amp;"Total",$D:$AK,33,FALSE)/100+
(IF($G150=AJ$66,$H150,0)+IF($J150=AJ$66,$K150,0)+IF($M150=AJ$66,$N150,0)+IF($P150=AJ$66,$Q150,0))*100/$X150</f>
        <v>0</v>
      </c>
      <c r="AK150" s="3">
        <f>100/$X150*$H150*VLOOKUP($G150&amp;"Total",$D:$AK,34,FALSE)/100+100/$X150*$K150*VLOOKUP($J150&amp;"Total",$D:$AK,34,FALSE)/100+100/$X150*$N150*VLOOKUP($M150&amp;"Total",$D:$AK,34,FALSE)/100+100/$X150*$Q150*VLOOKUP($P150&amp;"Total",$D:$AK,34,FALSE)/100+
(IF($G150=AK$66,$H150,0)+IF($J150=AK$66,$K150,0)+IF($M150=AK$66,$N150,0)+IF($P150=AK$66,$Q150,0))*100/$X150</f>
        <v>150</v>
      </c>
    </row>
    <row r="151" spans="1:37" x14ac:dyDescent="0.25">
      <c r="A151" t="s">
        <v>114</v>
      </c>
      <c r="B151" t="s">
        <v>130</v>
      </c>
      <c r="D151" t="str">
        <f t="shared" si="73"/>
        <v>reinforced Plate</v>
      </c>
      <c r="E151" s="26">
        <f t="shared" si="71"/>
        <v>570.12834919052557</v>
      </c>
      <c r="G151" t="s">
        <v>80</v>
      </c>
      <c r="H151" s="22">
        <v>90</v>
      </c>
      <c r="I151" s="3">
        <f>VLOOKUP(G151&amp;"Total",$D:$AB,2,FALSE)/100*H151</f>
        <v>54.948415225189507</v>
      </c>
      <c r="J151" t="s">
        <v>87</v>
      </c>
      <c r="K151" s="22">
        <v>250</v>
      </c>
      <c r="L151" s="3">
        <f>VLOOKUP(J151&amp;"Total",$D:$AB,2,FALSE)/100*K151</f>
        <v>15.570837153389316</v>
      </c>
      <c r="M151" s="22" t="s">
        <v>27</v>
      </c>
      <c r="N151" s="22"/>
      <c r="O151" s="3">
        <f>VLOOKUP(M151&amp;"Total",$D:$AB,2,FALSE)/100*N151</f>
        <v>0</v>
      </c>
      <c r="P151" s="22" t="s">
        <v>27</v>
      </c>
      <c r="Q151" s="22"/>
      <c r="R151" s="3">
        <f>VLOOKUP(P151&amp;"Total",$D:$AB,2,FALSE)/100*Q151</f>
        <v>0</v>
      </c>
      <c r="T151" s="3">
        <f t="shared" si="72"/>
        <v>70.519252378578827</v>
      </c>
      <c r="V151" s="22" t="s">
        <v>70</v>
      </c>
      <c r="W151" s="22">
        <v>15</v>
      </c>
      <c r="X151" s="22">
        <v>15</v>
      </c>
      <c r="AA151" s="3">
        <f>100/$X151*$H151*VLOOKUP($G151&amp;"Total",$D:$AK,24,FALSE)/100+100/$X151*$K151*VLOOKUP($J151&amp;"Total",$D:$AK,24,FALSE)/100+100/$X151*$N151*VLOOKUP($M151&amp;"Total",$D:$AK,24,FALSE)/100+100/$X151*$Q151*VLOOKUP($P151&amp;"Total",$D:$AK,24,FALSE)/100+
(IF($G151=AA$66,$H151,0)+IF($J151=AA$66,$K151,0)+IF($M151=AA$66,$N151,0)+IF($P151=AA$66,$Q151,0))*100/$X151</f>
        <v>985.47008547008545</v>
      </c>
      <c r="AB151" s="3">
        <f>100/$X151*$H151*VLOOKUP($G151&amp;"Total",$D:$AK,25,FALSE)/100+100/$X151*$K151*VLOOKUP($J151&amp;"Total",$D:$AK,25,FALSE)/100+100/$X151*$N151*VLOOKUP($M151&amp;"Total",$D:$AK,25,FALSE)/100+100/$X151*$Q151*VLOOKUP($P151&amp;"Total",$D:$AK,25,FALSE)/100+
(IF($G151=AB$66,$H151,0)+IF($J151=AB$66,$K151,0)+IF($M151=AB$66,$N151,0)+IF($P151=AB$66,$Q151,0))*100/$X151</f>
        <v>0</v>
      </c>
      <c r="AC151" s="3">
        <f>100/$X151*$H151*VLOOKUP($G151&amp;"Total",$D:$AK,26,FALSE)/100+100/$X151*$K151*VLOOKUP($J151&amp;"Total",$D:$AK,26,FALSE)/100+100/$X151*$N151*VLOOKUP($M151&amp;"Total",$D:$AK,26,FALSE)/100+100/$X151*$Q151*VLOOKUP($P151&amp;"Total",$D:$AK,26,FALSE)/100+
(IF($G151=AC$66,$H151,0)+IF($J151=AC$66,$K151,0)+IF($M151=AC$66,$N151,0)+IF($P151=AC$66,$Q151,0))*100/$X151</f>
        <v>0</v>
      </c>
      <c r="AD151" s="3">
        <f>100/$X151*$H151*VLOOKUP($G151&amp;"Total",$D:$AK,27,FALSE)/100+100/$X151*$K151*VLOOKUP($J151&amp;"Total",$D:$AK,27,FALSE)/100+100/$X151*$N151*VLOOKUP($M151&amp;"Total",$D:$AK,27,FALSE)/100+100/$X151*$Q151*VLOOKUP($P151&amp;"Total",$D:$AK,27,FALSE)/100+
(IF($G151=AD$66,$H151,0)+IF($J151=AD$66,$K151,0)+IF($M151=AD$66,$N151,0)+IF($P151=AD$66,$Q151,0))*100/$X151</f>
        <v>85.470085470085465</v>
      </c>
      <c r="AE151" s="3">
        <f>100/$X151*$H151*VLOOKUP($G151&amp;"Total",$D:$AK,28,FALSE)/100+100/$X151*$K151*VLOOKUP($J151&amp;"Total",$D:$AK,28,FALSE)/100+100/$X151*$N151*VLOOKUP($M151&amp;"Total",$D:$AK,28,FALSE)/100+100/$X151*$Q151*VLOOKUP($P151&amp;"Total",$D:$AK,28,FALSE)/100+
(IF($G151=AE$66,$H151,0)+IF($J151=AE$66,$K151,0)+IF($M151=AE$66,$N151,0)+IF($P151=AE$66,$Q151,0))*100/$X151</f>
        <v>0</v>
      </c>
      <c r="AF151" s="3">
        <f>100/$X151*$H151*VLOOKUP($G151&amp;"Total",$D:$AK,29,FALSE)/100+100/$X151*$K151*VLOOKUP($J151&amp;"Total",$D:$AK,29,FALSE)/100+100/$X151*$N151*VLOOKUP($M151&amp;"Total",$D:$AK,29,FALSE)/100+100/$X151*$Q151*VLOOKUP($P151&amp;"Total",$D:$AK,29,FALSE)/100+
(IF($G151=AF$66,$H151,0)+IF($J151=AF$66,$K151,0)+IF($M151=AF$66,$N151,0)+IF($P151=AF$66,$Q151,0))*100/$X151</f>
        <v>0</v>
      </c>
      <c r="AG151" s="3">
        <f>100/$X151*$H151*VLOOKUP($G151&amp;"Total",$D:$AK,30,FALSE)/100+100/$X151*$K151*VLOOKUP($J151&amp;"Total",$D:$AK,30,FALSE)/100+100/$X151*$N151*VLOOKUP($M151&amp;"Total",$D:$AK,30,FALSE)/100+100/$X151*$Q151*VLOOKUP($P151&amp;"Total",$D:$AK,30,FALSE)/100+
(IF($G151=AG$66,$H151,0)+IF($J151=AG$66,$K151,0)+IF($M151=AG$66,$N151,0)+IF($P151=AG$66,$Q151,0))*100/$X151</f>
        <v>0</v>
      </c>
      <c r="AH151" s="3">
        <f>100/$X151*$H151*VLOOKUP($G151&amp;"Total",$D:$AK,31,FALSE)/100+100/$X151*$K151*VLOOKUP($J151&amp;"Total",$D:$AK,31,FALSE)/100+100/$X151*$N151*VLOOKUP($M151&amp;"Total",$D:$AK,31,FALSE)/100+100/$X151*$Q151*VLOOKUP($P151&amp;"Total",$D:$AK,31,FALSE)/100+
(IF($G151=AH$66,$H151,0)+IF($J151=AH$66,$K151,0)+IF($M151=AH$66,$N151,0)+IF($P151=AH$66,$Q151,0))*100/$X151</f>
        <v>0</v>
      </c>
      <c r="AI151" s="3">
        <f>100/$X151*$H151*VLOOKUP($G151&amp;"Total",$D:$AK,32,FALSE)/100+100/$X151*$K151*VLOOKUP($J151&amp;"Total",$D:$AK,32,FALSE)/100+100/$X151*$N151*VLOOKUP($M151&amp;"Total",$D:$AK,32,FALSE)/100+100/$X151*$Q151*VLOOKUP($P151&amp;"Total",$D:$AK,32,FALSE)/100+
(IF($G151=AI$66,$H151,0)+IF($J151=AI$66,$K151,0)+IF($M151=AI$66,$N151,0)+IF($P151=AI$66,$Q151,0))*100/$X151</f>
        <v>0</v>
      </c>
      <c r="AJ151" s="3">
        <f>100/$X151*$H151*VLOOKUP($G151&amp;"Total",$D:$AK,33,FALSE)/100+100/$X151*$K151*VLOOKUP($J151&amp;"Total",$D:$AK,33,FALSE)/100+100/$X151*$N151*VLOOKUP($M151&amp;"Total",$D:$AK,33,FALSE)/100+100/$X151*$Q151*VLOOKUP($P151&amp;"Total",$D:$AK,33,FALSE)/100+
(IF($G151=AJ$66,$H151,0)+IF($J151=AJ$66,$K151,0)+IF($M151=AJ$66,$N151,0)+IF($P151=AJ$66,$Q151,0))*100/$X151</f>
        <v>0</v>
      </c>
      <c r="AK151" s="3">
        <f>100/$X151*$H151*VLOOKUP($G151&amp;"Total",$D:$AK,34,FALSE)/100+100/$X151*$K151*VLOOKUP($J151&amp;"Total",$D:$AK,34,FALSE)/100+100/$X151*$N151*VLOOKUP($M151&amp;"Total",$D:$AK,34,FALSE)/100+100/$X151*$Q151*VLOOKUP($P151&amp;"Total",$D:$AK,34,FALSE)/100+
(IF($G151=AK$66,$H151,0)+IF($J151=AK$66,$K151,0)+IF($M151=AK$66,$N151,0)+IF($P151=AK$66,$Q151,0))*100/$X151</f>
        <v>0</v>
      </c>
    </row>
    <row r="152" spans="1:37" x14ac:dyDescent="0.25">
      <c r="A152" t="s">
        <v>114</v>
      </c>
      <c r="B152" t="s">
        <v>131</v>
      </c>
      <c r="C152" t="s">
        <v>17</v>
      </c>
      <c r="D152" t="str">
        <f t="shared" si="73"/>
        <v>reinforced PlateTotal</v>
      </c>
      <c r="E152" s="26">
        <f t="shared" si="71"/>
        <v>542.95709342662781</v>
      </c>
      <c r="G152" t="s">
        <v>80</v>
      </c>
      <c r="H152" s="22">
        <v>18.75</v>
      </c>
      <c r="I152" s="3">
        <f>VLOOKUP(G152&amp;"Total",$D:$AB,2,FALSE)/100*H152</f>
        <v>11.447586505247813</v>
      </c>
      <c r="J152" t="s">
        <v>91</v>
      </c>
      <c r="K152" s="22">
        <v>37.5</v>
      </c>
      <c r="L152" s="3">
        <f>VLOOKUP(J152&amp;"Total",$D:$AB,2,FALSE)/100*K152</f>
        <v>4.09375</v>
      </c>
      <c r="M152" s="22" t="s">
        <v>27</v>
      </c>
      <c r="N152" s="22"/>
      <c r="O152" s="3">
        <f>VLOOKUP(M152&amp;"Total",$D:$AB,2,FALSE)/100*N152</f>
        <v>0</v>
      </c>
      <c r="P152" s="22" t="s">
        <v>27</v>
      </c>
      <c r="Q152" s="22"/>
      <c r="R152" s="3">
        <f>VLOOKUP(P152&amp;"Total",$D:$AB,2,FALSE)/100*Q152</f>
        <v>0</v>
      </c>
      <c r="T152" s="3">
        <f t="shared" si="72"/>
        <v>15.541336505247813</v>
      </c>
      <c r="V152" s="22" t="s">
        <v>70</v>
      </c>
      <c r="W152" s="22">
        <v>15</v>
      </c>
      <c r="X152" s="22">
        <v>5.625</v>
      </c>
      <c r="AA152" s="3">
        <f>100/$X152*$H152*VLOOKUP($G152&amp;"Total",$D:$AK,24,FALSE)/100+100/$X152*$K152*VLOOKUP($J152&amp;"Total",$D:$AK,24,FALSE)/100+100/$X152*$N152*VLOOKUP($M152&amp;"Total",$D:$AK,24,FALSE)/100+100/$X152*$Q152*VLOOKUP($P152&amp;"Total",$D:$AK,24,FALSE)/100+
(IF($G152=AA$66,$H152,0)+IF($J152=AA$66,$K152,0)+IF($M152=AA$66,$N152,0)+IF($P152=AA$66,$Q152,0))*100/$X152</f>
        <v>500.00000000000006</v>
      </c>
      <c r="AB152" s="3">
        <f>100/$X152*$H152*VLOOKUP($G152&amp;"Total",$D:$AK,25,FALSE)/100+100/$X152*$K152*VLOOKUP($J152&amp;"Total",$D:$AK,25,FALSE)/100+100/$X152*$N152*VLOOKUP($M152&amp;"Total",$D:$AK,25,FALSE)/100+100/$X152*$Q152*VLOOKUP($P152&amp;"Total",$D:$AK,25,FALSE)/100+
(IF($G152=AB$66,$H152,0)+IF($J152=AB$66,$K152,0)+IF($M152=AB$66,$N152,0)+IF($P152=AB$66,$Q152,0))*100/$X152</f>
        <v>0</v>
      </c>
      <c r="AC152" s="3">
        <f>100/$X152*$H152*VLOOKUP($G152&amp;"Total",$D:$AK,26,FALSE)/100+100/$X152*$K152*VLOOKUP($J152&amp;"Total",$D:$AK,26,FALSE)/100+100/$X152*$N152*VLOOKUP($M152&amp;"Total",$D:$AK,26,FALSE)/100+100/$X152*$Q152*VLOOKUP($P152&amp;"Total",$D:$AK,26,FALSE)/100+
(IF($G152=AC$66,$H152,0)+IF($J152=AC$66,$K152,0)+IF($M152=AC$66,$N152,0)+IF($P152=AC$66,$Q152,0))*100/$X152</f>
        <v>0</v>
      </c>
      <c r="AD152" s="3">
        <f>100/$X152*$H152*VLOOKUP($G152&amp;"Total",$D:$AK,27,FALSE)/100+100/$X152*$K152*VLOOKUP($J152&amp;"Total",$D:$AK,27,FALSE)/100+100/$X152*$N152*VLOOKUP($M152&amp;"Total",$D:$AK,27,FALSE)/100+100/$X152*$Q152*VLOOKUP($P152&amp;"Total",$D:$AK,27,FALSE)/100+
(IF($G152=AD$66,$H152,0)+IF($J152=AD$66,$K152,0)+IF($M152=AD$66,$N152,0)+IF($P152=AD$66,$Q152,0))*100/$X152</f>
        <v>0</v>
      </c>
      <c r="AE152" s="3">
        <f>100/$X152*$H152*VLOOKUP($G152&amp;"Total",$D:$AK,28,FALSE)/100+100/$X152*$K152*VLOOKUP($J152&amp;"Total",$D:$AK,28,FALSE)/100+100/$X152*$N152*VLOOKUP($M152&amp;"Total",$D:$AK,28,FALSE)/100+100/$X152*$Q152*VLOOKUP($P152&amp;"Total",$D:$AK,28,FALSE)/100+
(IF($G152=AE$66,$H152,0)+IF($J152=AE$66,$K152,0)+IF($M152=AE$66,$N152,0)+IF($P152=AE$66,$Q152,0))*100/$X152</f>
        <v>250.00000000000003</v>
      </c>
      <c r="AF152" s="3">
        <f>100/$X152*$H152*VLOOKUP($G152&amp;"Total",$D:$AK,29,FALSE)/100+100/$X152*$K152*VLOOKUP($J152&amp;"Total",$D:$AK,29,FALSE)/100+100/$X152*$N152*VLOOKUP($M152&amp;"Total",$D:$AK,29,FALSE)/100+100/$X152*$Q152*VLOOKUP($P152&amp;"Total",$D:$AK,29,FALSE)/100+
(IF($G152=AF$66,$H152,0)+IF($J152=AF$66,$K152,0)+IF($M152=AF$66,$N152,0)+IF($P152=AF$66,$Q152,0))*100/$X152</f>
        <v>0</v>
      </c>
      <c r="AG152" s="3">
        <f>100/$X152*$H152*VLOOKUP($G152&amp;"Total",$D:$AK,30,FALSE)/100+100/$X152*$K152*VLOOKUP($J152&amp;"Total",$D:$AK,30,FALSE)/100+100/$X152*$N152*VLOOKUP($M152&amp;"Total",$D:$AK,30,FALSE)/100+100/$X152*$Q152*VLOOKUP($P152&amp;"Total",$D:$AK,30,FALSE)/100+
(IF($G152=AG$66,$H152,0)+IF($J152=AG$66,$K152,0)+IF($M152=AG$66,$N152,0)+IF($P152=AG$66,$Q152,0))*100/$X152</f>
        <v>0</v>
      </c>
      <c r="AH152" s="3">
        <f>100/$X152*$H152*VLOOKUP($G152&amp;"Total",$D:$AK,31,FALSE)/100+100/$X152*$K152*VLOOKUP($J152&amp;"Total",$D:$AK,31,FALSE)/100+100/$X152*$N152*VLOOKUP($M152&amp;"Total",$D:$AK,31,FALSE)/100+100/$X152*$Q152*VLOOKUP($P152&amp;"Total",$D:$AK,31,FALSE)/100+
(IF($G152=AH$66,$H152,0)+IF($J152=AH$66,$K152,0)+IF($M152=AH$66,$N152,0)+IF($P152=AH$66,$Q152,0))*100/$X152</f>
        <v>0</v>
      </c>
      <c r="AI152" s="3">
        <f>100/$X152*$H152*VLOOKUP($G152&amp;"Total",$D:$AK,32,FALSE)/100+100/$X152*$K152*VLOOKUP($J152&amp;"Total",$D:$AK,32,FALSE)/100+100/$X152*$N152*VLOOKUP($M152&amp;"Total",$D:$AK,32,FALSE)/100+100/$X152*$Q152*VLOOKUP($P152&amp;"Total",$D:$AK,32,FALSE)/100+
(IF($G152=AI$66,$H152,0)+IF($J152=AI$66,$K152,0)+IF($M152=AI$66,$N152,0)+IF($P152=AI$66,$Q152,0))*100/$X152</f>
        <v>0</v>
      </c>
      <c r="AJ152" s="3">
        <f>100/$X152*$H152*VLOOKUP($G152&amp;"Total",$D:$AK,33,FALSE)/100+100/$X152*$K152*VLOOKUP($J152&amp;"Total",$D:$AK,33,FALSE)/100+100/$X152*$N152*VLOOKUP($M152&amp;"Total",$D:$AK,33,FALSE)/100+100/$X152*$Q152*VLOOKUP($P152&amp;"Total",$D:$AK,33,FALSE)/100+
(IF($G152=AJ$66,$H152,0)+IF($J152=AJ$66,$K152,0)+IF($M152=AJ$66,$N152,0)+IF($P152=AJ$66,$Q152,0))*100/$X152</f>
        <v>0</v>
      </c>
      <c r="AK152" s="3">
        <f>100/$X152*$H152*VLOOKUP($G152&amp;"Total",$D:$AK,34,FALSE)/100+100/$X152*$K152*VLOOKUP($J152&amp;"Total",$D:$AK,34,FALSE)/100+100/$X152*$N152*VLOOKUP($M152&amp;"Total",$D:$AK,34,FALSE)/100+100/$X152*$Q152*VLOOKUP($P152&amp;"Total",$D:$AK,34,FALSE)/100+
(IF($G152=AK$66,$H152,0)+IF($J152=AK$66,$K152,0)+IF($M152=AK$66,$N152,0)+IF($P152=AK$66,$Q152,0))*100/$X152</f>
        <v>0</v>
      </c>
    </row>
    <row r="153" spans="1:37" x14ac:dyDescent="0.25">
      <c r="E153" s="25"/>
      <c r="G153" s="22"/>
      <c r="H153" s="22"/>
      <c r="J153" s="22"/>
      <c r="K153" s="22"/>
      <c r="M153" s="22"/>
      <c r="N153" s="22"/>
      <c r="P153" s="22"/>
      <c r="Q153" s="22"/>
      <c r="V153" s="22"/>
      <c r="W153" s="22"/>
      <c r="X153" s="22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x14ac:dyDescent="0.25">
      <c r="A154" t="s">
        <v>132</v>
      </c>
      <c r="B154" t="s">
        <v>132</v>
      </c>
      <c r="D154" t="str">
        <f>A154&amp;C154</f>
        <v>Modular Frame</v>
      </c>
      <c r="E154" s="26">
        <f t="shared" ref="E154:E156" si="74">100/X154*(T154+W154)</f>
        <v>1695.8881699363783</v>
      </c>
      <c r="G154" t="s">
        <v>114</v>
      </c>
      <c r="H154" s="22">
        <v>3</v>
      </c>
      <c r="I154" s="3">
        <f>VLOOKUP(G154&amp;"Total",$D:$AB,2,FALSE)/100*H154</f>
        <v>16.288712802798834</v>
      </c>
      <c r="J154" t="s">
        <v>85</v>
      </c>
      <c r="K154" s="22">
        <v>12</v>
      </c>
      <c r="L154" s="3">
        <f>VLOOKUP(J154&amp;"Total",$D:$AB,2,FALSE)/100*K154</f>
        <v>2.6290505959287334</v>
      </c>
      <c r="M154" s="22" t="s">
        <v>27</v>
      </c>
      <c r="N154" s="22"/>
      <c r="O154" s="3">
        <f>VLOOKUP(M154&amp;"Total",$D:$AB,2,FALSE)/100*N154</f>
        <v>0</v>
      </c>
      <c r="P154" s="22" t="s">
        <v>27</v>
      </c>
      <c r="Q154" s="22"/>
      <c r="R154" s="3">
        <f>VLOOKUP(P154&amp;"Total",$D:$AB,2,FALSE)/100*Q154</f>
        <v>0</v>
      </c>
      <c r="T154" s="3">
        <f t="shared" ref="T154:T156" si="75">I154+L154+O154+R154</f>
        <v>18.917763398727566</v>
      </c>
      <c r="V154" s="22" t="s">
        <v>70</v>
      </c>
      <c r="W154" s="22">
        <v>15</v>
      </c>
      <c r="X154" s="22">
        <v>2</v>
      </c>
      <c r="Z154" s="21" t="s">
        <v>133</v>
      </c>
      <c r="AA154" s="3">
        <f>100/$X154*$H154*VLOOKUP($G154&amp;"Total",$D:$AK,24,FALSE)/100+100/$X154*$K154*VLOOKUP($J154&amp;"Total",$D:$AK,24,FALSE)/100+100/$X154*$N154*VLOOKUP($M154&amp;"Total",$D:$AK,24,FALSE)/100+100/$X154*$Q154*VLOOKUP($P154&amp;"Total",$D:$AK,24,FALSE)/100+
(IF($G154=AA$66,$H154,0)+IF($J154=AA$66,$K154,0)+IF($M154=AA$66,$N154,0)+IF($P154=AA$66,$Q154,0))*100/$X154</f>
        <v>850.00000000000011</v>
      </c>
      <c r="AB154" s="3">
        <f>100/$X154*$H154*VLOOKUP($G154&amp;"Total",$D:$AK,25,FALSE)/100+100/$X154*$K154*VLOOKUP($J154&amp;"Total",$D:$AK,25,FALSE)/100+100/$X154*$N154*VLOOKUP($M154&amp;"Total",$D:$AK,25,FALSE)/100+100/$X154*$Q154*VLOOKUP($P154&amp;"Total",$D:$AK,25,FALSE)/100+
(IF($G154=AB$66,$H154,0)+IF($J154=AB$66,$K154,0)+IF($M154=AB$66,$N154,0)+IF($P154=AB$66,$Q154,0))*100/$X154</f>
        <v>0</v>
      </c>
      <c r="AC154" s="3">
        <f>100/$X154*$H154*VLOOKUP($G154&amp;"Total",$D:$AK,26,FALSE)/100+100/$X154*$K154*VLOOKUP($J154&amp;"Total",$D:$AK,26,FALSE)/100+100/$X154*$N154*VLOOKUP($M154&amp;"Total",$D:$AK,26,FALSE)/100+100/$X154*$Q154*VLOOKUP($P154&amp;"Total",$D:$AK,26,FALSE)/100+
(IF($G154=AC$66,$H154,0)+IF($J154=AC$66,$K154,0)+IF($M154=AC$66,$N154,0)+IF($P154=AC$66,$Q154,0))*100/$X154</f>
        <v>0</v>
      </c>
      <c r="AD154" s="3">
        <f>100/$X154*$H154*VLOOKUP($G154&amp;"Total",$D:$AK,27,FALSE)/100+100/$X154*$K154*VLOOKUP($J154&amp;"Total",$D:$AK,27,FALSE)/100+100/$X154*$N154*VLOOKUP($M154&amp;"Total",$D:$AK,27,FALSE)/100+100/$X154*$Q154*VLOOKUP($P154&amp;"Total",$D:$AK,27,FALSE)/100+
(IF($G154=AD$66,$H154,0)+IF($J154=AD$66,$K154,0)+IF($M154=AD$66,$N154,0)+IF($P154=AD$66,$Q154,0))*100/$X154</f>
        <v>100</v>
      </c>
      <c r="AE154" s="3">
        <f>100/$X154*$H154*VLOOKUP($G154&amp;"Total",$D:$AK,28,FALSE)/100+100/$X154*$K154*VLOOKUP($J154&amp;"Total",$D:$AK,28,FALSE)/100+100/$X154*$N154*VLOOKUP($M154&amp;"Total",$D:$AK,28,FALSE)/100+100/$X154*$Q154*VLOOKUP($P154&amp;"Total",$D:$AK,28,FALSE)/100+
(IF($G154=AE$66,$H154,0)+IF($J154=AE$66,$K154,0)+IF($M154=AE$66,$N154,0)+IF($P154=AE$66,$Q154,0))*100/$X154</f>
        <v>375.00000000000006</v>
      </c>
      <c r="AF154" s="3">
        <f>100/$X154*$H154*VLOOKUP($G154&amp;"Total",$D:$AK,29,FALSE)/100+100/$X154*$K154*VLOOKUP($J154&amp;"Total",$D:$AK,29,FALSE)/100+100/$X154*$N154*VLOOKUP($M154&amp;"Total",$D:$AK,29,FALSE)/100+100/$X154*$Q154*VLOOKUP($P154&amp;"Total",$D:$AK,29,FALSE)/100+
(IF($G154=AF$66,$H154,0)+IF($J154=AF$66,$K154,0)+IF($M154=AF$66,$N154,0)+IF($P154=AF$66,$Q154,0))*100/$X154</f>
        <v>0</v>
      </c>
      <c r="AG154" s="3">
        <f>100/$X154*$H154*VLOOKUP($G154&amp;"Total",$D:$AK,30,FALSE)/100+100/$X154*$K154*VLOOKUP($J154&amp;"Total",$D:$AK,30,FALSE)/100+100/$X154*$N154*VLOOKUP($M154&amp;"Total",$D:$AK,30,FALSE)/100+100/$X154*$Q154*VLOOKUP($P154&amp;"Total",$D:$AK,30,FALSE)/100+
(IF($G154=AG$66,$H154,0)+IF($J154=AG$66,$K154,0)+IF($M154=AG$66,$N154,0)+IF($P154=AG$66,$Q154,0))*100/$X154</f>
        <v>0</v>
      </c>
      <c r="AH154" s="3">
        <f>100/$X154*$H154*VLOOKUP($G154&amp;"Total",$D:$AK,31,FALSE)/100+100/$X154*$K154*VLOOKUP($J154&amp;"Total",$D:$AK,31,FALSE)/100+100/$X154*$N154*VLOOKUP($M154&amp;"Total",$D:$AK,31,FALSE)/100+100/$X154*$Q154*VLOOKUP($P154&amp;"Total",$D:$AK,31,FALSE)/100+
(IF($G154=AH$66,$H154,0)+IF($J154=AH$66,$K154,0)+IF($M154=AH$66,$N154,0)+IF($P154=AH$66,$Q154,0))*100/$X154</f>
        <v>0</v>
      </c>
      <c r="AI154" s="3">
        <f>100/$X154*$H154*VLOOKUP($G154&amp;"Total",$D:$AK,32,FALSE)/100+100/$X154*$K154*VLOOKUP($J154&amp;"Total",$D:$AK,32,FALSE)/100+100/$X154*$N154*VLOOKUP($M154&amp;"Total",$D:$AK,32,FALSE)/100+100/$X154*$Q154*VLOOKUP($P154&amp;"Total",$D:$AK,32,FALSE)/100+
(IF($G154=AI$66,$H154,0)+IF($J154=AI$66,$K154,0)+IF($M154=AI$66,$N154,0)+IF($P154=AI$66,$Q154,0))*100/$X154</f>
        <v>0</v>
      </c>
      <c r="AJ154" s="3">
        <f>100/$X154*$H154*VLOOKUP($G154&amp;"Total",$D:$AK,33,FALSE)/100+100/$X154*$K154*VLOOKUP($J154&amp;"Total",$D:$AK,33,FALSE)/100+100/$X154*$N154*VLOOKUP($M154&amp;"Total",$D:$AK,33,FALSE)/100+100/$X154*$Q154*VLOOKUP($P154&amp;"Total",$D:$AK,33,FALSE)/100+
(IF($G154=AJ$66,$H154,0)+IF($J154=AJ$66,$K154,0)+IF($M154=AJ$66,$N154,0)+IF($P154=AJ$66,$Q154,0))*100/$X154</f>
        <v>0</v>
      </c>
      <c r="AK154" s="3">
        <f>100/$X154*$H154*VLOOKUP($G154&amp;"Total",$D:$AK,34,FALSE)/100+100/$X154*$K154*VLOOKUP($J154&amp;"Total",$D:$AK,34,FALSE)/100+100/$X154*$N154*VLOOKUP($M154&amp;"Total",$D:$AK,34,FALSE)/100+100/$X154*$Q154*VLOOKUP($P154&amp;"Total",$D:$AK,34,FALSE)/100+
(IF($G154=AK$66,$H154,0)+IF($J154=AK$66,$K154,0)+IF($M154=AK$66,$N154,0)+IF($P154=AK$66,$Q154,0))*100/$X154</f>
        <v>0</v>
      </c>
    </row>
    <row r="155" spans="1:37" x14ac:dyDescent="0.25">
      <c r="A155" t="s">
        <v>132</v>
      </c>
      <c r="B155" t="s">
        <v>134</v>
      </c>
      <c r="D155" t="str">
        <f t="shared" ref="D155:D156" si="76">A155&amp;C155</f>
        <v>Modular Frame</v>
      </c>
      <c r="E155" s="26">
        <f t="shared" si="74"/>
        <v>1234.5333069152391</v>
      </c>
      <c r="G155" t="s">
        <v>114</v>
      </c>
      <c r="H155" s="22">
        <v>7</v>
      </c>
      <c r="I155" s="3">
        <f>VLOOKUP(G155&amp;"Total",$D:$AB,2,FALSE)/100*H155</f>
        <v>38.006996539863941</v>
      </c>
      <c r="J155" t="s">
        <v>87</v>
      </c>
      <c r="K155" s="22">
        <v>140</v>
      </c>
      <c r="L155" s="3">
        <f>VLOOKUP(J155&amp;"Total",$D:$AB,2,FALSE)/100*K155</f>
        <v>8.7196688058980172</v>
      </c>
      <c r="M155" s="22" t="s">
        <v>27</v>
      </c>
      <c r="N155" s="22"/>
      <c r="O155" s="3">
        <f>VLOOKUP(M155&amp;"Total",$D:$AB,2,FALSE)/100*N155</f>
        <v>0</v>
      </c>
      <c r="P155" s="22" t="s">
        <v>27</v>
      </c>
      <c r="Q155" s="22"/>
      <c r="R155" s="3">
        <f>VLOOKUP(P155&amp;"Total",$D:$AB,2,FALSE)/100*Q155</f>
        <v>0</v>
      </c>
      <c r="T155" s="3">
        <f t="shared" si="75"/>
        <v>46.726665345761958</v>
      </c>
      <c r="V155" s="22" t="s">
        <v>70</v>
      </c>
      <c r="W155" s="22">
        <v>15</v>
      </c>
      <c r="X155" s="22">
        <v>5</v>
      </c>
      <c r="AA155" s="3">
        <f>100/$X155*$H155*VLOOKUP($G155&amp;"Total",$D:$AK,24,FALSE)/100+100/$X155*$K155*VLOOKUP($J155&amp;"Total",$D:$AK,24,FALSE)/100+100/$X155*$N155*VLOOKUP($M155&amp;"Total",$D:$AK,24,FALSE)/100+100/$X155*$Q155*VLOOKUP($P155&amp;"Total",$D:$AK,24,FALSE)/100+
(IF($G155=AA$66,$H155,0)+IF($J155=AA$66,$K155,0)+IF($M155=AA$66,$N155,0)+IF($P155=AA$66,$Q155,0))*100/$X155</f>
        <v>843.58974358974365</v>
      </c>
      <c r="AB155" s="3">
        <f>100/$X155*$H155*VLOOKUP($G155&amp;"Total",$D:$AK,25,FALSE)/100+100/$X155*$K155*VLOOKUP($J155&amp;"Total",$D:$AK,25,FALSE)/100+100/$X155*$N155*VLOOKUP($M155&amp;"Total",$D:$AK,25,FALSE)/100+100/$X155*$Q155*VLOOKUP($P155&amp;"Total",$D:$AK,25,FALSE)/100+
(IF($G155=AB$66,$H155,0)+IF($J155=AB$66,$K155,0)+IF($M155=AB$66,$N155,0)+IF($P155=AB$66,$Q155,0))*100/$X155</f>
        <v>0</v>
      </c>
      <c r="AC155" s="3">
        <f>100/$X155*$H155*VLOOKUP($G155&amp;"Total",$D:$AK,26,FALSE)/100+100/$X155*$K155*VLOOKUP($J155&amp;"Total",$D:$AK,26,FALSE)/100+100/$X155*$N155*VLOOKUP($M155&amp;"Total",$D:$AK,26,FALSE)/100+100/$X155*$Q155*VLOOKUP($P155&amp;"Total",$D:$AK,26,FALSE)/100+
(IF($G155=AC$66,$H155,0)+IF($J155=AC$66,$K155,0)+IF($M155=AC$66,$N155,0)+IF($P155=AC$66,$Q155,0))*100/$X155</f>
        <v>0</v>
      </c>
      <c r="AD155" s="3">
        <f>100/$X155*$H155*VLOOKUP($G155&amp;"Total",$D:$AK,27,FALSE)/100+100/$X155*$K155*VLOOKUP($J155&amp;"Total",$D:$AK,27,FALSE)/100+100/$X155*$N155*VLOOKUP($M155&amp;"Total",$D:$AK,27,FALSE)/100+100/$X155*$Q155*VLOOKUP($P155&amp;"Total",$D:$AK,27,FALSE)/100+
(IF($G155=AD$66,$H155,0)+IF($J155=AD$66,$K155,0)+IF($M155=AD$66,$N155,0)+IF($P155=AD$66,$Q155,0))*100/$X155</f>
        <v>143.58974358974356</v>
      </c>
      <c r="AE155" s="3">
        <f>100/$X155*$H155*VLOOKUP($G155&amp;"Total",$D:$AK,28,FALSE)/100+100/$X155*$K155*VLOOKUP($J155&amp;"Total",$D:$AK,28,FALSE)/100+100/$X155*$N155*VLOOKUP($M155&amp;"Total",$D:$AK,28,FALSE)/100+100/$X155*$Q155*VLOOKUP($P155&amp;"Total",$D:$AK,28,FALSE)/100+
(IF($G155=AE$66,$H155,0)+IF($J155=AE$66,$K155,0)+IF($M155=AE$66,$N155,0)+IF($P155=AE$66,$Q155,0))*100/$X155</f>
        <v>350.00000000000006</v>
      </c>
      <c r="AF155" s="3">
        <f>100/$X155*$H155*VLOOKUP($G155&amp;"Total",$D:$AK,29,FALSE)/100+100/$X155*$K155*VLOOKUP($J155&amp;"Total",$D:$AK,29,FALSE)/100+100/$X155*$N155*VLOOKUP($M155&amp;"Total",$D:$AK,29,FALSE)/100+100/$X155*$Q155*VLOOKUP($P155&amp;"Total",$D:$AK,29,FALSE)/100+
(IF($G155=AF$66,$H155,0)+IF($J155=AF$66,$K155,0)+IF($M155=AF$66,$N155,0)+IF($P155=AF$66,$Q155,0))*100/$X155</f>
        <v>0</v>
      </c>
      <c r="AG155" s="3">
        <f>100/$X155*$H155*VLOOKUP($G155&amp;"Total",$D:$AK,30,FALSE)/100+100/$X155*$K155*VLOOKUP($J155&amp;"Total",$D:$AK,30,FALSE)/100+100/$X155*$N155*VLOOKUP($M155&amp;"Total",$D:$AK,30,FALSE)/100+100/$X155*$Q155*VLOOKUP($P155&amp;"Total",$D:$AK,30,FALSE)/100+
(IF($G155=AG$66,$H155,0)+IF($J155=AG$66,$K155,0)+IF($M155=AG$66,$N155,0)+IF($P155=AG$66,$Q155,0))*100/$X155</f>
        <v>0</v>
      </c>
      <c r="AH155" s="3">
        <f>100/$X155*$H155*VLOOKUP($G155&amp;"Total",$D:$AK,31,FALSE)/100+100/$X155*$K155*VLOOKUP($J155&amp;"Total",$D:$AK,31,FALSE)/100+100/$X155*$N155*VLOOKUP($M155&amp;"Total",$D:$AK,31,FALSE)/100+100/$X155*$Q155*VLOOKUP($P155&amp;"Total",$D:$AK,31,FALSE)/100+
(IF($G155=AH$66,$H155,0)+IF($J155=AH$66,$K155,0)+IF($M155=AH$66,$N155,0)+IF($P155=AH$66,$Q155,0))*100/$X155</f>
        <v>0</v>
      </c>
      <c r="AI155" s="3">
        <f>100/$X155*$H155*VLOOKUP($G155&amp;"Total",$D:$AK,32,FALSE)/100+100/$X155*$K155*VLOOKUP($J155&amp;"Total",$D:$AK,32,FALSE)/100+100/$X155*$N155*VLOOKUP($M155&amp;"Total",$D:$AK,32,FALSE)/100+100/$X155*$Q155*VLOOKUP($P155&amp;"Total",$D:$AK,32,FALSE)/100+
(IF($G155=AI$66,$H155,0)+IF($J155=AI$66,$K155,0)+IF($M155=AI$66,$N155,0)+IF($P155=AI$66,$Q155,0))*100/$X155</f>
        <v>0</v>
      </c>
      <c r="AJ155" s="3">
        <f>100/$X155*$H155*VLOOKUP($G155&amp;"Total",$D:$AK,33,FALSE)/100+100/$X155*$K155*VLOOKUP($J155&amp;"Total",$D:$AK,33,FALSE)/100+100/$X155*$N155*VLOOKUP($M155&amp;"Total",$D:$AK,33,FALSE)/100+100/$X155*$Q155*VLOOKUP($P155&amp;"Total",$D:$AK,33,FALSE)/100+
(IF($G155=AJ$66,$H155,0)+IF($J155=AJ$66,$K155,0)+IF($M155=AJ$66,$N155,0)+IF($P155=AJ$66,$Q155,0))*100/$X155</f>
        <v>0</v>
      </c>
      <c r="AK155" s="3">
        <f>100/$X155*$H155*VLOOKUP($G155&amp;"Total",$D:$AK,34,FALSE)/100+100/$X155*$K155*VLOOKUP($J155&amp;"Total",$D:$AK,34,FALSE)/100+100/$X155*$N155*VLOOKUP($M155&amp;"Total",$D:$AK,34,FALSE)/100+100/$X155*$Q155*VLOOKUP($P155&amp;"Total",$D:$AK,34,FALSE)/100+
(IF($G155=AK$66,$H155,0)+IF($J155=AK$66,$K155,0)+IF($M155=AK$66,$N155,0)+IF($P155=AK$66,$Q155,0))*100/$X155</f>
        <v>0</v>
      </c>
    </row>
    <row r="156" spans="1:37" x14ac:dyDescent="0.25">
      <c r="A156" t="s">
        <v>132</v>
      </c>
      <c r="B156" t="s">
        <v>135</v>
      </c>
      <c r="C156" t="s">
        <v>17</v>
      </c>
      <c r="D156" t="str">
        <f t="shared" si="76"/>
        <v>Modular FrameTotal</v>
      </c>
      <c r="E156" s="26">
        <f t="shared" si="74"/>
        <v>1200.1464949392073</v>
      </c>
      <c r="G156" t="s">
        <v>114</v>
      </c>
      <c r="H156" s="22">
        <v>2</v>
      </c>
      <c r="I156" s="3">
        <f>VLOOKUP(G156&amp;"Total",$D:$AB,2,FALSE)/100*H156</f>
        <v>10.859141868532555</v>
      </c>
      <c r="J156" t="s">
        <v>128</v>
      </c>
      <c r="K156" s="22">
        <v>10</v>
      </c>
      <c r="L156" s="3">
        <f>VLOOKUP(J156&amp;"Total",$D:$AB,2,FALSE)/100*K156</f>
        <v>10.145252979643667</v>
      </c>
      <c r="M156" s="22" t="s">
        <v>27</v>
      </c>
      <c r="N156" s="22"/>
      <c r="O156" s="3">
        <f>VLOOKUP(M156&amp;"Total",$D:$AB,2,FALSE)/100*N156</f>
        <v>0</v>
      </c>
      <c r="P156" s="22" t="s">
        <v>27</v>
      </c>
      <c r="Q156" s="22"/>
      <c r="R156" s="3">
        <f>VLOOKUP(P156&amp;"Total",$D:$AB,2,FALSE)/100*Q156</f>
        <v>0</v>
      </c>
      <c r="T156" s="3">
        <f t="shared" si="75"/>
        <v>21.004394848176222</v>
      </c>
      <c r="V156" s="22" t="s">
        <v>70</v>
      </c>
      <c r="W156" s="22">
        <v>15</v>
      </c>
      <c r="X156" s="22">
        <v>3</v>
      </c>
      <c r="AA156" s="3">
        <f>100/$X156*$H156*VLOOKUP($G156&amp;"Total",$D:$AK,24,FALSE)/100+100/$X156*$K156*VLOOKUP($J156&amp;"Total",$D:$AK,24,FALSE)/100+100/$X156*$N156*VLOOKUP($M156&amp;"Total",$D:$AK,24,FALSE)/100+100/$X156*$Q156*VLOOKUP($P156&amp;"Total",$D:$AK,24,FALSE)/100+
(IF($G156=AA$66,$H156,0)+IF($J156=AA$66,$K156,0)+IF($M156=AA$66,$N156,0)+IF($P156=AA$66,$Q156,0))*100/$X156</f>
        <v>666.66666666666674</v>
      </c>
      <c r="AB156" s="3">
        <f>100/$X156*$H156*VLOOKUP($G156&amp;"Total",$D:$AK,25,FALSE)/100+100/$X156*$K156*VLOOKUP($J156&amp;"Total",$D:$AK,25,FALSE)/100+100/$X156*$N156*VLOOKUP($M156&amp;"Total",$D:$AK,25,FALSE)/100+100/$X156*$Q156*VLOOKUP($P156&amp;"Total",$D:$AK,25,FALSE)/100+
(IF($G156=AB$66,$H156,0)+IF($J156=AB$66,$K156,0)+IF($M156=AB$66,$N156,0)+IF($P156=AB$66,$Q156,0))*100/$X156</f>
        <v>0</v>
      </c>
      <c r="AC156" s="3">
        <f>100/$X156*$H156*VLOOKUP($G156&amp;"Total",$D:$AK,26,FALSE)/100+100/$X156*$K156*VLOOKUP($J156&amp;"Total",$D:$AK,26,FALSE)/100+100/$X156*$N156*VLOOKUP($M156&amp;"Total",$D:$AK,26,FALSE)/100+100/$X156*$Q156*VLOOKUP($P156&amp;"Total",$D:$AK,26,FALSE)/100+
(IF($G156=AC$66,$H156,0)+IF($J156=AC$66,$K156,0)+IF($M156=AC$66,$N156,0)+IF($P156=AC$66,$Q156,0))*100/$X156</f>
        <v>0</v>
      </c>
      <c r="AD156" s="3">
        <f>100/$X156*$H156*VLOOKUP($G156&amp;"Total",$D:$AK,27,FALSE)/100+100/$X156*$K156*VLOOKUP($J156&amp;"Total",$D:$AK,27,FALSE)/100+100/$X156*$N156*VLOOKUP($M156&amp;"Total",$D:$AK,27,FALSE)/100+100/$X156*$Q156*VLOOKUP($P156&amp;"Total",$D:$AK,27,FALSE)/100+
(IF($G156=AD$66,$H156,0)+IF($J156=AD$66,$K156,0)+IF($M156=AD$66,$N156,0)+IF($P156=AD$66,$Q156,0))*100/$X156</f>
        <v>333.33333333333337</v>
      </c>
      <c r="AE156" s="3">
        <f>100/$X156*$H156*VLOOKUP($G156&amp;"Total",$D:$AK,28,FALSE)/100+100/$X156*$K156*VLOOKUP($J156&amp;"Total",$D:$AK,28,FALSE)/100+100/$X156*$N156*VLOOKUP($M156&amp;"Total",$D:$AK,28,FALSE)/100+100/$X156*$Q156*VLOOKUP($P156&amp;"Total",$D:$AK,28,FALSE)/100+
(IF($G156=AE$66,$H156,0)+IF($J156=AE$66,$K156,0)+IF($M156=AE$66,$N156,0)+IF($P156=AE$66,$Q156,0))*100/$X156</f>
        <v>166.66666666666671</v>
      </c>
      <c r="AF156" s="3">
        <f>100/$X156*$H156*VLOOKUP($G156&amp;"Total",$D:$AK,29,FALSE)/100+100/$X156*$K156*VLOOKUP($J156&amp;"Total",$D:$AK,29,FALSE)/100+100/$X156*$N156*VLOOKUP($M156&amp;"Total",$D:$AK,29,FALSE)/100+100/$X156*$Q156*VLOOKUP($P156&amp;"Total",$D:$AK,29,FALSE)/100+
(IF($G156=AF$66,$H156,0)+IF($J156=AF$66,$K156,0)+IF($M156=AF$66,$N156,0)+IF($P156=AF$66,$Q156,0))*100/$X156</f>
        <v>0</v>
      </c>
      <c r="AG156" s="3">
        <f>100/$X156*$H156*VLOOKUP($G156&amp;"Total",$D:$AK,30,FALSE)/100+100/$X156*$K156*VLOOKUP($J156&amp;"Total",$D:$AK,30,FALSE)/100+100/$X156*$N156*VLOOKUP($M156&amp;"Total",$D:$AK,30,FALSE)/100+100/$X156*$Q156*VLOOKUP($P156&amp;"Total",$D:$AK,30,FALSE)/100+
(IF($G156=AG$66,$H156,0)+IF($J156=AG$66,$K156,0)+IF($M156=AG$66,$N156,0)+IF($P156=AG$66,$Q156,0))*100/$X156</f>
        <v>0</v>
      </c>
      <c r="AH156" s="3">
        <f>100/$X156*$H156*VLOOKUP($G156&amp;"Total",$D:$AK,31,FALSE)/100+100/$X156*$K156*VLOOKUP($J156&amp;"Total",$D:$AK,31,FALSE)/100+100/$X156*$N156*VLOOKUP($M156&amp;"Total",$D:$AK,31,FALSE)/100+100/$X156*$Q156*VLOOKUP($P156&amp;"Total",$D:$AK,31,FALSE)/100+
(IF($G156=AH$66,$H156,0)+IF($J156=AH$66,$K156,0)+IF($M156=AH$66,$N156,0)+IF($P156=AH$66,$Q156,0))*100/$X156</f>
        <v>0</v>
      </c>
      <c r="AI156" s="3">
        <f>100/$X156*$H156*VLOOKUP($G156&amp;"Total",$D:$AK,32,FALSE)/100+100/$X156*$K156*VLOOKUP($J156&amp;"Total",$D:$AK,32,FALSE)/100+100/$X156*$N156*VLOOKUP($M156&amp;"Total",$D:$AK,32,FALSE)/100+100/$X156*$Q156*VLOOKUP($P156&amp;"Total",$D:$AK,32,FALSE)/100+
(IF($G156=AI$66,$H156,0)+IF($J156=AI$66,$K156,0)+IF($M156=AI$66,$N156,0)+IF($P156=AI$66,$Q156,0))*100/$X156</f>
        <v>0</v>
      </c>
      <c r="AJ156" s="3">
        <f>100/$X156*$H156*VLOOKUP($G156&amp;"Total",$D:$AK,33,FALSE)/100+100/$X156*$K156*VLOOKUP($J156&amp;"Total",$D:$AK,33,FALSE)/100+100/$X156*$N156*VLOOKUP($M156&amp;"Total",$D:$AK,33,FALSE)/100+100/$X156*$Q156*VLOOKUP($P156&amp;"Total",$D:$AK,33,FALSE)/100+
(IF($G156=AJ$66,$H156,0)+IF($J156=AJ$66,$K156,0)+IF($M156=AJ$66,$N156,0)+IF($P156=AJ$66,$Q156,0))*100/$X156</f>
        <v>0</v>
      </c>
      <c r="AK156" s="3">
        <f>100/$X156*$H156*VLOOKUP($G156&amp;"Total",$D:$AK,34,FALSE)/100+100/$X156*$K156*VLOOKUP($J156&amp;"Total",$D:$AK,34,FALSE)/100+100/$X156*$N156*VLOOKUP($M156&amp;"Total",$D:$AK,34,FALSE)/100+100/$X156*$Q156*VLOOKUP($P156&amp;"Total",$D:$AK,34,FALSE)/100+
(IF($G156=AK$66,$H156,0)+IF($J156=AK$66,$K156,0)+IF($M156=AK$66,$N156,0)+IF($P156=AK$66,$Q156,0))*100/$X156</f>
        <v>0</v>
      </c>
    </row>
    <row r="157" spans="1:37" x14ac:dyDescent="0.25">
      <c r="E157" s="26"/>
      <c r="H157" s="22"/>
      <c r="I157" s="3"/>
      <c r="J157" s="22"/>
      <c r="K157" s="22"/>
      <c r="L157" s="3"/>
      <c r="M157" s="22"/>
      <c r="N157" s="22"/>
      <c r="O157" s="3"/>
      <c r="P157" s="22"/>
      <c r="Q157" s="22"/>
      <c r="R157" s="3"/>
      <c r="T157" s="3"/>
      <c r="V157" s="22"/>
      <c r="W157" s="22"/>
      <c r="X157" s="22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x14ac:dyDescent="0.25">
      <c r="A158" t="s">
        <v>136</v>
      </c>
      <c r="B158" t="s">
        <v>136</v>
      </c>
      <c r="D158" t="str">
        <f t="shared" ref="D158:D160" si="77">A158&amp;C158</f>
        <v>heavy modular frame</v>
      </c>
      <c r="E158" s="26">
        <f t="shared" ref="E158:E160" si="78">100/X158*(T158+W158)</f>
        <v>18040.561820022809</v>
      </c>
      <c r="G158" t="s">
        <v>132</v>
      </c>
      <c r="H158" s="22">
        <v>10</v>
      </c>
      <c r="I158" s="3">
        <f>VLOOKUP(G158&amp;"Total",$D:$AB,2,FALSE)/100*H158</f>
        <v>120.01464949392073</v>
      </c>
      <c r="J158" t="s">
        <v>128</v>
      </c>
      <c r="K158" s="22">
        <v>30</v>
      </c>
      <c r="L158" s="3">
        <f>VLOOKUP(J158&amp;"Total",$D:$AB,2,FALSE)/100*K158</f>
        <v>30.435758938930999</v>
      </c>
      <c r="M158" t="s">
        <v>126</v>
      </c>
      <c r="N158" s="22">
        <v>10</v>
      </c>
      <c r="O158" s="3">
        <f>VLOOKUP(M158&amp;"Total",$D:$AB,2,FALSE)/100*N158</f>
        <v>142.90415824489304</v>
      </c>
      <c r="P158" t="s">
        <v>87</v>
      </c>
      <c r="Q158" s="22">
        <v>200</v>
      </c>
      <c r="R158" s="3">
        <f>VLOOKUP(P158&amp;"Total",$D:$AB,2,FALSE)/100*Q158</f>
        <v>12.456669722711453</v>
      </c>
      <c r="T158" s="3">
        <f t="shared" ref="T158:T160" si="79">I158+L158+O158+R158</f>
        <v>305.81123640045621</v>
      </c>
      <c r="V158" s="22" t="s">
        <v>111</v>
      </c>
      <c r="W158" s="22">
        <v>55</v>
      </c>
      <c r="X158" s="22">
        <v>2</v>
      </c>
      <c r="AA158" s="3">
        <f>100/$X158*$H158*VLOOKUP($G158&amp;"Total",$D:$AK,24,FALSE)/100+100/$X158*$K158*VLOOKUP($J158&amp;"Total",$D:$AK,24,FALSE)/100+100/$X158*$N158*VLOOKUP($M158&amp;"Total",$D:$AK,24,FALSE)/100+100/$X158*$Q158*VLOOKUP($P158&amp;"Total",$D:$AK,24,FALSE)/100+
(IF($G158=AA$66,$H158,0)+IF($J158=AA$66,$K158,0)+IF($M158=AA$66,$N158,0)+IF($P158=AA$66,$Q158,0))*100/$X158</f>
        <v>8846.1538461538476</v>
      </c>
      <c r="AB158" s="3">
        <f>100/$X158*$H158*VLOOKUP($G158&amp;"Total",$D:$AK,25,FALSE)/100+100/$X158*$K158*VLOOKUP($J158&amp;"Total",$D:$AK,25,FALSE)/100+100/$X158*$N158*VLOOKUP($M158&amp;"Total",$D:$AK,25,FALSE)/100+100/$X158*$Q158*VLOOKUP($P158&amp;"Total",$D:$AK,25,FALSE)/100+
(IF($G158=AB$66,$H158,0)+IF($J158=AB$66,$K158,0)+IF($M158=AB$66,$N158,0)+IF($P158=AB$66,$Q158,0))*100/$X158</f>
        <v>0</v>
      </c>
      <c r="AC158" s="3">
        <f>100/$X158*$H158*VLOOKUP($G158&amp;"Total",$D:$AK,26,FALSE)/100+100/$X158*$K158*VLOOKUP($J158&amp;"Total",$D:$AK,26,FALSE)/100+100/$X158*$N158*VLOOKUP($M158&amp;"Total",$D:$AK,26,FALSE)/100+100/$X158*$Q158*VLOOKUP($P158&amp;"Total",$D:$AK,26,FALSE)/100+
(IF($G158=AC$66,$H158,0)+IF($J158=AC$66,$K158,0)+IF($M158=AC$66,$N158,0)+IF($P158=AC$66,$Q158,0))*100/$X158</f>
        <v>7500</v>
      </c>
      <c r="AD158" s="3">
        <f>100/$X158*$H158*VLOOKUP($G158&amp;"Total",$D:$AK,27,FALSE)/100+100/$X158*$K158*VLOOKUP($J158&amp;"Total",$D:$AK,27,FALSE)/100+100/$X158*$N158*VLOOKUP($M158&amp;"Total",$D:$AK,27,FALSE)/100+100/$X158*$Q158*VLOOKUP($P158&amp;"Total",$D:$AK,27,FALSE)/100+
(IF($G158=AD$66,$H158,0)+IF($J158=AD$66,$K158,0)+IF($M158=AD$66,$N158,0)+IF($P158=AD$66,$Q158,0))*100/$X158</f>
        <v>7179.4871794871797</v>
      </c>
      <c r="AE158" s="3">
        <f>100/$X158*$H158*VLOOKUP($G158&amp;"Total",$D:$AK,28,FALSE)/100+100/$X158*$K158*VLOOKUP($J158&amp;"Total",$D:$AK,28,FALSE)/100+100/$X158*$N158*VLOOKUP($M158&amp;"Total",$D:$AK,28,FALSE)/100+100/$X158*$Q158*VLOOKUP($P158&amp;"Total",$D:$AK,28,FALSE)/100+
(IF($G158=AE$66,$H158,0)+IF($J158=AE$66,$K158,0)+IF($M158=AE$66,$N158,0)+IF($P158=AE$66,$Q158,0))*100/$X158</f>
        <v>833.3333333333336</v>
      </c>
      <c r="AF158" s="3">
        <f>100/$X158*$H158*VLOOKUP($G158&amp;"Total",$D:$AK,29,FALSE)/100+100/$X158*$K158*VLOOKUP($J158&amp;"Total",$D:$AK,29,FALSE)/100+100/$X158*$N158*VLOOKUP($M158&amp;"Total",$D:$AK,29,FALSE)/100+100/$X158*$Q158*VLOOKUP($P158&amp;"Total",$D:$AK,29,FALSE)/100+
(IF($G158=AF$66,$H158,0)+IF($J158=AF$66,$K158,0)+IF($M158=AF$66,$N158,0)+IF($P158=AF$66,$Q158,0))*100/$X158</f>
        <v>0</v>
      </c>
      <c r="AG158" s="3">
        <f>100/$X158*$H158*VLOOKUP($G158&amp;"Total",$D:$AK,30,FALSE)/100+100/$X158*$K158*VLOOKUP($J158&amp;"Total",$D:$AK,30,FALSE)/100+100/$X158*$N158*VLOOKUP($M158&amp;"Total",$D:$AK,30,FALSE)/100+100/$X158*$Q158*VLOOKUP($P158&amp;"Total",$D:$AK,30,FALSE)/100+
(IF($G158=AG$66,$H158,0)+IF($J158=AG$66,$K158,0)+IF($M158=AG$66,$N158,0)+IF($P158=AG$66,$Q158,0))*100/$X158</f>
        <v>0</v>
      </c>
      <c r="AH158" s="3">
        <f>100/$X158*$H158*VLOOKUP($G158&amp;"Total",$D:$AK,31,FALSE)/100+100/$X158*$K158*VLOOKUP($J158&amp;"Total",$D:$AK,31,FALSE)/100+100/$X158*$N158*VLOOKUP($M158&amp;"Total",$D:$AK,31,FALSE)/100+100/$X158*$Q158*VLOOKUP($P158&amp;"Total",$D:$AK,31,FALSE)/100+
(IF($G158=AH$66,$H158,0)+IF($J158=AH$66,$K158,0)+IF($M158=AH$66,$N158,0)+IF($P158=AH$66,$Q158,0))*100/$X158</f>
        <v>0</v>
      </c>
      <c r="AI158" s="3">
        <f>100/$X158*$H158*VLOOKUP($G158&amp;"Total",$D:$AK,32,FALSE)/100+100/$X158*$K158*VLOOKUP($J158&amp;"Total",$D:$AK,32,FALSE)/100+100/$X158*$N158*VLOOKUP($M158&amp;"Total",$D:$AK,32,FALSE)/100+100/$X158*$Q158*VLOOKUP($P158&amp;"Total",$D:$AK,32,FALSE)/100+
(IF($G158=AI$66,$H158,0)+IF($J158=AI$66,$K158,0)+IF($M158=AI$66,$N158,0)+IF($P158=AI$66,$Q158,0))*100/$X158</f>
        <v>0</v>
      </c>
      <c r="AJ158" s="3">
        <f>100/$X158*$H158*VLOOKUP($G158&amp;"Total",$D:$AK,33,FALSE)/100+100/$X158*$K158*VLOOKUP($J158&amp;"Total",$D:$AK,33,FALSE)/100+100/$X158*$N158*VLOOKUP($M158&amp;"Total",$D:$AK,33,FALSE)/100+100/$X158*$Q158*VLOOKUP($P158&amp;"Total",$D:$AK,33,FALSE)/100+
(IF($G158=AJ$66,$H158,0)+IF($J158=AJ$66,$K158,0)+IF($M158=AJ$66,$N158,0)+IF($P158=AJ$66,$Q158,0))*100/$X158</f>
        <v>0</v>
      </c>
      <c r="AK158" s="3">
        <f>100/$X158*$H158*VLOOKUP($G158&amp;"Total",$D:$AK,34,FALSE)/100+100/$X158*$K158*VLOOKUP($J158&amp;"Total",$D:$AK,34,FALSE)/100+100/$X158*$N158*VLOOKUP($M158&amp;"Total",$D:$AK,34,FALSE)/100+100/$X158*$Q158*VLOOKUP($P158&amp;"Total",$D:$AK,34,FALSE)/100+
(IF($G158=AK$66,$H158,0)+IF($J158=AK$66,$K158,0)+IF($M158=AK$66,$N158,0)+IF($P158=AK$66,$Q158,0))*100/$X158</f>
        <v>0</v>
      </c>
    </row>
    <row r="159" spans="1:37" x14ac:dyDescent="0.25">
      <c r="A159" t="s">
        <v>136</v>
      </c>
      <c r="B159" t="s">
        <v>137</v>
      </c>
      <c r="C159" t="s">
        <v>17</v>
      </c>
      <c r="D159" t="str">
        <f t="shared" si="77"/>
        <v>heavy modular frameTotal</v>
      </c>
      <c r="E159" s="26">
        <f t="shared" si="78"/>
        <v>11641.196856128798</v>
      </c>
      <c r="G159" t="s">
        <v>132</v>
      </c>
      <c r="H159" s="22">
        <v>7.5</v>
      </c>
      <c r="I159" s="3">
        <f>VLOOKUP(G159&amp;"Total",$D:$AB,2,FALSE)/100*H159</f>
        <v>90.010987120440547</v>
      </c>
      <c r="J159" t="s">
        <v>126</v>
      </c>
      <c r="K159" s="22">
        <v>9.375</v>
      </c>
      <c r="L159" s="3">
        <f>VLOOKUP(J159&amp;"Total",$D:$AB,2,FALSE)/100*K159</f>
        <v>133.97264835458722</v>
      </c>
      <c r="M159" t="s">
        <v>128</v>
      </c>
      <c r="N159" s="22">
        <v>33.75</v>
      </c>
      <c r="O159" s="3">
        <f>VLOOKUP(M159&amp;"Total",$D:$AB,2,FALSE)/100*N159</f>
        <v>34.240228806297374</v>
      </c>
      <c r="P159" t="s">
        <v>66</v>
      </c>
      <c r="Q159" s="22">
        <v>20.625</v>
      </c>
      <c r="R159" s="3">
        <f>VLOOKUP(P159&amp;"Total",$D:$AB,2,FALSE)/100*Q159</f>
        <v>14.184797297297298</v>
      </c>
      <c r="T159" s="3">
        <f t="shared" si="79"/>
        <v>272.4086615786224</v>
      </c>
      <c r="V159" s="22" t="s">
        <v>111</v>
      </c>
      <c r="W159" s="22">
        <v>55</v>
      </c>
      <c r="X159" s="22">
        <v>2.8125</v>
      </c>
      <c r="AA159" s="3">
        <f>100/$X159*$H159*VLOOKUP($G159&amp;"Total",$D:$AK,24,FALSE)/100+100/$X159*$K159*VLOOKUP($J159&amp;"Total",$D:$AK,24,FALSE)/100+100/$X159*$N159*VLOOKUP($M159&amp;"Total",$D:$AK,24,FALSE)/100+100/$X159*$Q159*VLOOKUP($P159&amp;"Total",$D:$AK,24,FALSE)/100+
(IF($G159=AA$66,$H159,0)+IF($J159=AA$66,$K159,0)+IF($M159=AA$66,$N159,0)+IF($P159=AA$66,$Q159,0))*100/$X159</f>
        <v>5311.1111111111122</v>
      </c>
      <c r="AB159" s="3">
        <f>100/$X159*$H159*VLOOKUP($G159&amp;"Total",$D:$AK,25,FALSE)/100+100/$X159*$K159*VLOOKUP($J159&amp;"Total",$D:$AK,25,FALSE)/100+100/$X159*$N159*VLOOKUP($M159&amp;"Total",$D:$AK,25,FALSE)/100+100/$X159*$Q159*VLOOKUP($P159&amp;"Total",$D:$AK,25,FALSE)/100+
(IF($G159=AB$66,$H159,0)+IF($J159=AB$66,$K159,0)+IF($M159=AB$66,$N159,0)+IF($P159=AB$66,$Q159,0))*100/$X159</f>
        <v>0</v>
      </c>
      <c r="AC159" s="3">
        <f>100/$X159*$H159*VLOOKUP($G159&amp;"Total",$D:$AK,26,FALSE)/100+100/$X159*$K159*VLOOKUP($J159&amp;"Total",$D:$AK,26,FALSE)/100+100/$X159*$N159*VLOOKUP($M159&amp;"Total",$D:$AK,26,FALSE)/100+100/$X159*$Q159*VLOOKUP($P159&amp;"Total",$D:$AK,26,FALSE)/100+
(IF($G159=AC$66,$H159,0)+IF($J159=AC$66,$K159,0)+IF($M159=AC$66,$N159,0)+IF($P159=AC$66,$Q159,0))*100/$X159</f>
        <v>7200.0000000000009</v>
      </c>
      <c r="AD159" s="3">
        <f>100/$X159*$H159*VLOOKUP($G159&amp;"Total",$D:$AK,27,FALSE)/100+100/$X159*$K159*VLOOKUP($J159&amp;"Total",$D:$AK,27,FALSE)/100+100/$X159*$N159*VLOOKUP($M159&amp;"Total",$D:$AK,27,FALSE)/100+100/$X159*$Q159*VLOOKUP($P159&amp;"Total",$D:$AK,27,FALSE)/100+
(IF($G159=AD$66,$H159,0)+IF($J159=AD$66,$K159,0)+IF($M159=AD$66,$N159,0)+IF($P159=AD$66,$Q159,0))*100/$X159</f>
        <v>4422.2222222222226</v>
      </c>
      <c r="AE159" s="3">
        <f>100/$X159*$H159*VLOOKUP($G159&amp;"Total",$D:$AK,28,FALSE)/100+100/$X159*$K159*VLOOKUP($J159&amp;"Total",$D:$AK,28,FALSE)/100+100/$X159*$N159*VLOOKUP($M159&amp;"Total",$D:$AK,28,FALSE)/100+100/$X159*$Q159*VLOOKUP($P159&amp;"Total",$D:$AK,28,FALSE)/100+
(IF($G159=AE$66,$H159,0)+IF($J159=AE$66,$K159,0)+IF($M159=AE$66,$N159,0)+IF($P159=AE$66,$Q159,0))*100/$X159</f>
        <v>444.44444444444457</v>
      </c>
      <c r="AF159" s="3">
        <f>100/$X159*$H159*VLOOKUP($G159&amp;"Total",$D:$AK,29,FALSE)/100+100/$X159*$K159*VLOOKUP($J159&amp;"Total",$D:$AK,29,FALSE)/100+100/$X159*$N159*VLOOKUP($M159&amp;"Total",$D:$AK,29,FALSE)/100+100/$X159*$Q159*VLOOKUP($P159&amp;"Total",$D:$AK,29,FALSE)/100+
(IF($G159=AF$66,$H159,0)+IF($J159=AF$66,$K159,0)+IF($M159=AF$66,$N159,0)+IF($P159=AF$66,$Q159,0))*100/$X159</f>
        <v>0</v>
      </c>
      <c r="AG159" s="3">
        <f>100/$X159*$H159*VLOOKUP($G159&amp;"Total",$D:$AK,30,FALSE)/100+100/$X159*$K159*VLOOKUP($J159&amp;"Total",$D:$AK,30,FALSE)/100+100/$X159*$N159*VLOOKUP($M159&amp;"Total",$D:$AK,30,FALSE)/100+100/$X159*$Q159*VLOOKUP($P159&amp;"Total",$D:$AK,30,FALSE)/100+
(IF($G159=AG$66,$H159,0)+IF($J159=AG$66,$K159,0)+IF($M159=AG$66,$N159,0)+IF($P159=AG$66,$Q159,0))*100/$X159</f>
        <v>0</v>
      </c>
      <c r="AH159" s="3">
        <f>100/$X159*$H159*VLOOKUP($G159&amp;"Total",$D:$AK,31,FALSE)/100+100/$X159*$K159*VLOOKUP($J159&amp;"Total",$D:$AK,31,FALSE)/100+100/$X159*$N159*VLOOKUP($M159&amp;"Total",$D:$AK,31,FALSE)/100+100/$X159*$Q159*VLOOKUP($P159&amp;"Total",$D:$AK,31,FALSE)/100+
(IF($G159=AH$66,$H159,0)+IF($J159=AH$66,$K159,0)+IF($M159=AH$66,$N159,0)+IF($P159=AH$66,$Q159,0))*100/$X159</f>
        <v>0</v>
      </c>
      <c r="AI159" s="3">
        <f>100/$X159*$H159*VLOOKUP($G159&amp;"Total",$D:$AK,32,FALSE)/100+100/$X159*$K159*VLOOKUP($J159&amp;"Total",$D:$AK,32,FALSE)/100+100/$X159*$N159*VLOOKUP($M159&amp;"Total",$D:$AK,32,FALSE)/100+100/$X159*$Q159*VLOOKUP($P159&amp;"Total",$D:$AK,32,FALSE)/100+
(IF($G159=AI$66,$H159,0)+IF($J159=AI$66,$K159,0)+IF($M159=AI$66,$N159,0)+IF($P159=AI$66,$Q159,0))*100/$X159</f>
        <v>0</v>
      </c>
      <c r="AJ159" s="3">
        <f>100/$X159*$H159*VLOOKUP($G159&amp;"Total",$D:$AK,33,FALSE)/100+100/$X159*$K159*VLOOKUP($J159&amp;"Total",$D:$AK,33,FALSE)/100+100/$X159*$N159*VLOOKUP($M159&amp;"Total",$D:$AK,33,FALSE)/100+100/$X159*$Q159*VLOOKUP($P159&amp;"Total",$D:$AK,33,FALSE)/100+
(IF($G159=AJ$66,$H159,0)+IF($J159=AJ$66,$K159,0)+IF($M159=AJ$66,$N159,0)+IF($P159=AJ$66,$Q159,0))*100/$X159</f>
        <v>0</v>
      </c>
      <c r="AK159" s="3">
        <f>100/$X159*$H159*VLOOKUP($G159&amp;"Total",$D:$AK,34,FALSE)/100+100/$X159*$K159*VLOOKUP($J159&amp;"Total",$D:$AK,34,FALSE)/100+100/$X159*$N159*VLOOKUP($M159&amp;"Total",$D:$AK,34,FALSE)/100+100/$X159*$Q159*VLOOKUP($P159&amp;"Total",$D:$AK,34,FALSE)/100+
(IF($G159=AK$66,$H159,0)+IF($J159=AK$66,$K159,0)+IF($M159=AK$66,$N159,0)+IF($P159=AK$66,$Q159,0))*100/$X159</f>
        <v>0</v>
      </c>
    </row>
    <row r="160" spans="1:37" x14ac:dyDescent="0.25">
      <c r="A160" t="s">
        <v>136</v>
      </c>
      <c r="B160" t="s">
        <v>138</v>
      </c>
      <c r="D160" t="str">
        <f t="shared" si="77"/>
        <v>heavy modular frame</v>
      </c>
      <c r="E160" s="26">
        <f t="shared" si="78"/>
        <v>16693.711739931518</v>
      </c>
      <c r="G160" t="s">
        <v>132</v>
      </c>
      <c r="H160" s="22">
        <v>18.75</v>
      </c>
      <c r="I160" s="3">
        <f>VLOOKUP(G160&amp;"Total",$D:$AB,2,FALSE)/100*H160</f>
        <v>225.02746780110135</v>
      </c>
      <c r="J160" t="s">
        <v>126</v>
      </c>
      <c r="K160" s="22">
        <v>11.25</v>
      </c>
      <c r="L160" s="3">
        <f>VLOOKUP(J160&amp;"Total",$D:$AB,2,FALSE)/100*K160</f>
        <v>160.76717802550468</v>
      </c>
      <c r="M160" t="s">
        <v>72</v>
      </c>
      <c r="N160" s="22">
        <v>75</v>
      </c>
      <c r="O160" s="3">
        <f>VLOOKUP(M160&amp;"Total",$D:$AB,2,FALSE)/100*N160</f>
        <v>160.92903846153848</v>
      </c>
      <c r="P160" t="s">
        <v>87</v>
      </c>
      <c r="Q160" s="22">
        <v>390</v>
      </c>
      <c r="R160" s="3">
        <f>VLOOKUP(P160&amp;"Total",$D:$AB,2,FALSE)/100*Q160</f>
        <v>24.290505959287334</v>
      </c>
      <c r="T160" s="3">
        <f t="shared" si="79"/>
        <v>571.01419024743188</v>
      </c>
      <c r="V160" s="22" t="s">
        <v>111</v>
      </c>
      <c r="W160" s="22">
        <v>55</v>
      </c>
      <c r="X160" s="22">
        <v>3.75</v>
      </c>
      <c r="AA160" s="3">
        <f>100/$X160*$H160*VLOOKUP($G160&amp;"Total",$D:$AK,24,FALSE)/100+100/$X160*$K160*VLOOKUP($J160&amp;"Total",$D:$AK,24,FALSE)/100+100/$X160*$N160*VLOOKUP($M160&amp;"Total",$D:$AK,24,FALSE)/100+100/$X160*$Q160*VLOOKUP($P160&amp;"Total",$D:$AK,24,FALSE)/100+
(IF($G160=AA$66,$H160,0)+IF($J160=AA$66,$K160,0)+IF($M160=AA$66,$N160,0)+IF($P160=AA$66,$Q160,0))*100/$X160</f>
        <v>5966.666666666667</v>
      </c>
      <c r="AB160" s="3">
        <f>100/$X160*$H160*VLOOKUP($G160&amp;"Total",$D:$AK,25,FALSE)/100+100/$X160*$K160*VLOOKUP($J160&amp;"Total",$D:$AK,25,FALSE)/100+100/$X160*$N160*VLOOKUP($M160&amp;"Total",$D:$AK,25,FALSE)/100+100/$X160*$Q160*VLOOKUP($P160&amp;"Total",$D:$AK,25,FALSE)/100+
(IF($G160=AB$66,$H160,0)+IF($J160=AB$66,$K160,0)+IF($M160=AB$66,$N160,0)+IF($P160=AB$66,$Q160,0))*100/$X160</f>
        <v>0</v>
      </c>
      <c r="AC160" s="3">
        <f>100/$X160*$H160*VLOOKUP($G160&amp;"Total",$D:$AK,26,FALSE)/100+100/$X160*$K160*VLOOKUP($J160&amp;"Total",$D:$AK,26,FALSE)/100+100/$X160*$N160*VLOOKUP($M160&amp;"Total",$D:$AK,26,FALSE)/100+100/$X160*$Q160*VLOOKUP($P160&amp;"Total",$D:$AK,26,FALSE)/100+
(IF($G160=AC$66,$H160,0)+IF($J160=AC$66,$K160,0)+IF($M160=AC$66,$N160,0)+IF($P160=AC$66,$Q160,0))*100/$X160</f>
        <v>4500</v>
      </c>
      <c r="AD160" s="3">
        <f>100/$X160*$H160*VLOOKUP($G160&amp;"Total",$D:$AK,27,FALSE)/100+100/$X160*$K160*VLOOKUP($J160&amp;"Total",$D:$AK,27,FALSE)/100+100/$X160*$N160*VLOOKUP($M160&amp;"Total",$D:$AK,27,FALSE)/100+100/$X160*$Q160*VLOOKUP($P160&amp;"Total",$D:$AK,27,FALSE)/100+
(IF($G160=AD$66,$H160,0)+IF($J160=AD$66,$K160,0)+IF($M160=AD$66,$N160,0)+IF($P160=AD$66,$Q160,0))*100/$X160</f>
        <v>4300</v>
      </c>
      <c r="AE160" s="3">
        <f>100/$X160*$H160*VLOOKUP($G160&amp;"Total",$D:$AK,28,FALSE)/100+100/$X160*$K160*VLOOKUP($J160&amp;"Total",$D:$AK,28,FALSE)/100+100/$X160*$N160*VLOOKUP($M160&amp;"Total",$D:$AK,28,FALSE)/100+100/$X160*$Q160*VLOOKUP($P160&amp;"Total",$D:$AK,28,FALSE)/100+
(IF($G160=AE$66,$H160,0)+IF($J160=AE$66,$K160,0)+IF($M160=AE$66,$N160,0)+IF($P160=AE$66,$Q160,0))*100/$X160</f>
        <v>833.3333333333336</v>
      </c>
      <c r="AF160" s="3">
        <f>100/$X160*$H160*VLOOKUP($G160&amp;"Total",$D:$AK,29,FALSE)/100+100/$X160*$K160*VLOOKUP($J160&amp;"Total",$D:$AK,29,FALSE)/100+100/$X160*$N160*VLOOKUP($M160&amp;"Total",$D:$AK,29,FALSE)/100+100/$X160*$Q160*VLOOKUP($P160&amp;"Total",$D:$AK,29,FALSE)/100+
(IF($G160=AF$66,$H160,0)+IF($J160=AF$66,$K160,0)+IF($M160=AF$66,$N160,0)+IF($P160=AF$66,$Q160,0))*100/$X160</f>
        <v>0</v>
      </c>
      <c r="AG160" s="3">
        <f>100/$X160*$H160*VLOOKUP($G160&amp;"Total",$D:$AK,30,FALSE)/100+100/$X160*$K160*VLOOKUP($J160&amp;"Total",$D:$AK,30,FALSE)/100+100/$X160*$N160*VLOOKUP($M160&amp;"Total",$D:$AK,30,FALSE)/100+100/$X160*$Q160*VLOOKUP($P160&amp;"Total",$D:$AK,30,FALSE)/100+
(IF($G160=AG$66,$H160,0)+IF($J160=AG$66,$K160,0)+IF($M160=AG$66,$N160,0)+IF($P160=AG$66,$Q160,0))*100/$X160</f>
        <v>0</v>
      </c>
      <c r="AH160" s="3">
        <f>100/$X160*$H160*VLOOKUP($G160&amp;"Total",$D:$AK,31,FALSE)/100+100/$X160*$K160*VLOOKUP($J160&amp;"Total",$D:$AK,31,FALSE)/100+100/$X160*$N160*VLOOKUP($M160&amp;"Total",$D:$AK,31,FALSE)/100+100/$X160*$Q160*VLOOKUP($P160&amp;"Total",$D:$AK,31,FALSE)/100+
(IF($G160=AH$66,$H160,0)+IF($J160=AH$66,$K160,0)+IF($M160=AH$66,$N160,0)+IF($P160=AH$66,$Q160,0))*100/$X160</f>
        <v>0</v>
      </c>
      <c r="AI160" s="3">
        <f>100/$X160*$H160*VLOOKUP($G160&amp;"Total",$D:$AK,32,FALSE)/100+100/$X160*$K160*VLOOKUP($J160&amp;"Total",$D:$AK,32,FALSE)/100+100/$X160*$N160*VLOOKUP($M160&amp;"Total",$D:$AK,32,FALSE)/100+100/$X160*$Q160*VLOOKUP($P160&amp;"Total",$D:$AK,32,FALSE)/100+
(IF($G160=AI$66,$H160,0)+IF($J160=AI$66,$K160,0)+IF($M160=AI$66,$N160,0)+IF($P160=AI$66,$Q160,0))*100/$X160</f>
        <v>0</v>
      </c>
      <c r="AJ160" s="3">
        <f>100/$X160*$H160*VLOOKUP($G160&amp;"Total",$D:$AK,33,FALSE)/100+100/$X160*$K160*VLOOKUP($J160&amp;"Total",$D:$AK,33,FALSE)/100+100/$X160*$N160*VLOOKUP($M160&amp;"Total",$D:$AK,33,FALSE)/100+100/$X160*$Q160*VLOOKUP($P160&amp;"Total",$D:$AK,33,FALSE)/100+
(IF($G160=AJ$66,$H160,0)+IF($J160=AJ$66,$K160,0)+IF($M160=AJ$66,$N160,0)+IF($P160=AJ$66,$Q160,0))*100/$X160</f>
        <v>0</v>
      </c>
      <c r="AK160" s="3">
        <f>100/$X160*$H160*VLOOKUP($G160&amp;"Total",$D:$AK,34,FALSE)/100+100/$X160*$K160*VLOOKUP($J160&amp;"Total",$D:$AK,34,FALSE)/100+100/$X160*$N160*VLOOKUP($M160&amp;"Total",$D:$AK,34,FALSE)/100+100/$X160*$Q160*VLOOKUP($P160&amp;"Total",$D:$AK,34,FALSE)/100+
(IF($G160=AK$66,$H160,0)+IF($J160=AK$66,$K160,0)+IF($M160=AK$66,$N160,0)+IF($P160=AK$66,$Q160,0))*100/$X160</f>
        <v>3000</v>
      </c>
    </row>
    <row r="161" spans="1:37" x14ac:dyDescent="0.25">
      <c r="E161" s="25"/>
      <c r="G161" s="22"/>
      <c r="H161" s="22"/>
      <c r="J161" s="22"/>
      <c r="K161" s="22"/>
      <c r="M161" s="22"/>
      <c r="N161" s="22"/>
      <c r="P161" s="22"/>
      <c r="Q161" s="22"/>
      <c r="V161" s="22"/>
      <c r="W161" s="22"/>
      <c r="X161" s="22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x14ac:dyDescent="0.25">
      <c r="A162" t="s">
        <v>139</v>
      </c>
      <c r="B162" t="s">
        <v>139</v>
      </c>
      <c r="D162" t="str">
        <f>A162&amp;C162</f>
        <v>Rotor</v>
      </c>
      <c r="E162" s="26">
        <f t="shared" ref="E162:E164" si="80">100/X162*(T162+W162)</f>
        <v>640.2521463642571</v>
      </c>
      <c r="G162" t="s">
        <v>85</v>
      </c>
      <c r="H162" s="22">
        <v>20</v>
      </c>
      <c r="I162" s="3">
        <f>VLOOKUP(G162&amp;"Total",$D:$AB,2,FALSE)/100*H162</f>
        <v>4.3817509932145562</v>
      </c>
      <c r="J162" t="s">
        <v>87</v>
      </c>
      <c r="K162" s="22">
        <v>100</v>
      </c>
      <c r="L162" s="3">
        <f>VLOOKUP(J162&amp;"Total",$D:$AB,2,FALSE)/100*K162</f>
        <v>6.2283348613557266</v>
      </c>
      <c r="M162" s="22" t="s">
        <v>27</v>
      </c>
      <c r="N162" s="22"/>
      <c r="O162" s="3">
        <f>VLOOKUP(M162&amp;"Total",$D:$AB,2,FALSE)/100*N162</f>
        <v>0</v>
      </c>
      <c r="P162" s="22" t="s">
        <v>27</v>
      </c>
      <c r="Q162" s="22"/>
      <c r="R162" s="3">
        <f>VLOOKUP(P162&amp;"Total",$D:$AB,2,FALSE)/100*Q162</f>
        <v>0</v>
      </c>
      <c r="T162" s="3">
        <f t="shared" ref="T162:T164" si="81">I162+L162+O162+R162</f>
        <v>10.610085854570283</v>
      </c>
      <c r="V162" s="22" t="s">
        <v>70</v>
      </c>
      <c r="W162" s="22">
        <v>15</v>
      </c>
      <c r="X162" s="22">
        <v>4</v>
      </c>
      <c r="Z162" s="21" t="s">
        <v>133</v>
      </c>
      <c r="AA162" s="3">
        <f>100/$X162*$H162*VLOOKUP($G162&amp;"Total",$D:$AK,24,FALSE)/100+100/$X162*$K162*VLOOKUP($J162&amp;"Total",$D:$AK,24,FALSE)/100+100/$X162*$N162*VLOOKUP($M162&amp;"Total",$D:$AK,24,FALSE)/100+100/$X162*$Q162*VLOOKUP($P162&amp;"Total",$D:$AK,24,FALSE)/100+
(IF($G162=AA$66,$H162,0)+IF($J162=AA$66,$K162,0)+IF($M162=AA$66,$N162,0)+IF($P162=AA$66,$Q162,0))*100/$X162</f>
        <v>211.53846153846152</v>
      </c>
      <c r="AB162" s="3">
        <f>100/$X162*$H162*VLOOKUP($G162&amp;"Total",$D:$AK,25,FALSE)/100+100/$X162*$K162*VLOOKUP($J162&amp;"Total",$D:$AK,25,FALSE)/100+100/$X162*$N162*VLOOKUP($M162&amp;"Total",$D:$AK,25,FALSE)/100+100/$X162*$Q162*VLOOKUP($P162&amp;"Total",$D:$AK,25,FALSE)/100+
(IF($G162=AB$66,$H162,0)+IF($J162=AB$66,$K162,0)+IF($M162=AB$66,$N162,0)+IF($P162=AB$66,$Q162,0))*100/$X162</f>
        <v>0</v>
      </c>
      <c r="AC162" s="3">
        <f>100/$X162*$H162*VLOOKUP($G162&amp;"Total",$D:$AK,26,FALSE)/100+100/$X162*$K162*VLOOKUP($J162&amp;"Total",$D:$AK,26,FALSE)/100+100/$X162*$N162*VLOOKUP($M162&amp;"Total",$D:$AK,26,FALSE)/100+100/$X162*$Q162*VLOOKUP($P162&amp;"Total",$D:$AK,26,FALSE)/100+
(IF($G162=AC$66,$H162,0)+IF($J162=AC$66,$K162,0)+IF($M162=AC$66,$N162,0)+IF($P162=AC$66,$Q162,0))*100/$X162</f>
        <v>0</v>
      </c>
      <c r="AD162" s="3">
        <f>100/$X162*$H162*VLOOKUP($G162&amp;"Total",$D:$AK,27,FALSE)/100+100/$X162*$K162*VLOOKUP($J162&amp;"Total",$D:$AK,27,FALSE)/100+100/$X162*$N162*VLOOKUP($M162&amp;"Total",$D:$AK,27,FALSE)/100+100/$X162*$Q162*VLOOKUP($P162&amp;"Total",$D:$AK,27,FALSE)/100+
(IF($G162=AD$66,$H162,0)+IF($J162=AD$66,$K162,0)+IF($M162=AD$66,$N162,0)+IF($P162=AD$66,$Q162,0))*100/$X162</f>
        <v>211.53846153846152</v>
      </c>
      <c r="AE162" s="3">
        <f>100/$X162*$H162*VLOOKUP($G162&amp;"Total",$D:$AK,28,FALSE)/100+100/$X162*$K162*VLOOKUP($J162&amp;"Total",$D:$AK,28,FALSE)/100+100/$X162*$N162*VLOOKUP($M162&amp;"Total",$D:$AK,28,FALSE)/100+100/$X162*$Q162*VLOOKUP($P162&amp;"Total",$D:$AK,28,FALSE)/100+
(IF($G162=AE$66,$H162,0)+IF($J162=AE$66,$K162,0)+IF($M162=AE$66,$N162,0)+IF($P162=AE$66,$Q162,0))*100/$X162</f>
        <v>0</v>
      </c>
      <c r="AF162" s="3">
        <f>100/$X162*$H162*VLOOKUP($G162&amp;"Total",$D:$AK,29,FALSE)/100+100/$X162*$K162*VLOOKUP($J162&amp;"Total",$D:$AK,29,FALSE)/100+100/$X162*$N162*VLOOKUP($M162&amp;"Total",$D:$AK,29,FALSE)/100+100/$X162*$Q162*VLOOKUP($P162&amp;"Total",$D:$AK,29,FALSE)/100+
(IF($G162=AF$66,$H162,0)+IF($J162=AF$66,$K162,0)+IF($M162=AF$66,$N162,0)+IF($P162=AF$66,$Q162,0))*100/$X162</f>
        <v>0</v>
      </c>
      <c r="AG162" s="3">
        <f>100/$X162*$H162*VLOOKUP($G162&amp;"Total",$D:$AK,30,FALSE)/100+100/$X162*$K162*VLOOKUP($J162&amp;"Total",$D:$AK,30,FALSE)/100+100/$X162*$N162*VLOOKUP($M162&amp;"Total",$D:$AK,30,FALSE)/100+100/$X162*$Q162*VLOOKUP($P162&amp;"Total",$D:$AK,30,FALSE)/100+
(IF($G162=AG$66,$H162,0)+IF($J162=AG$66,$K162,0)+IF($M162=AG$66,$N162,0)+IF($P162=AG$66,$Q162,0))*100/$X162</f>
        <v>0</v>
      </c>
      <c r="AH162" s="3">
        <f>100/$X162*$H162*VLOOKUP($G162&amp;"Total",$D:$AK,31,FALSE)/100+100/$X162*$K162*VLOOKUP($J162&amp;"Total",$D:$AK,31,FALSE)/100+100/$X162*$N162*VLOOKUP($M162&amp;"Total",$D:$AK,31,FALSE)/100+100/$X162*$Q162*VLOOKUP($P162&amp;"Total",$D:$AK,31,FALSE)/100+
(IF($G162=AH$66,$H162,0)+IF($J162=AH$66,$K162,0)+IF($M162=AH$66,$N162,0)+IF($P162=AH$66,$Q162,0))*100/$X162</f>
        <v>0</v>
      </c>
      <c r="AI162" s="3">
        <f>100/$X162*$H162*VLOOKUP($G162&amp;"Total",$D:$AK,32,FALSE)/100+100/$X162*$K162*VLOOKUP($J162&amp;"Total",$D:$AK,32,FALSE)/100+100/$X162*$N162*VLOOKUP($M162&amp;"Total",$D:$AK,32,FALSE)/100+100/$X162*$Q162*VLOOKUP($P162&amp;"Total",$D:$AK,32,FALSE)/100+
(IF($G162=AI$66,$H162,0)+IF($J162=AI$66,$K162,0)+IF($M162=AI$66,$N162,0)+IF($P162=AI$66,$Q162,0))*100/$X162</f>
        <v>0</v>
      </c>
      <c r="AJ162" s="3">
        <f>100/$X162*$H162*VLOOKUP($G162&amp;"Total",$D:$AK,33,FALSE)/100+100/$X162*$K162*VLOOKUP($J162&amp;"Total",$D:$AK,33,FALSE)/100+100/$X162*$N162*VLOOKUP($M162&amp;"Total",$D:$AK,33,FALSE)/100+100/$X162*$Q162*VLOOKUP($P162&amp;"Total",$D:$AK,33,FALSE)/100+
(IF($G162=AJ$66,$H162,0)+IF($J162=AJ$66,$K162,0)+IF($M162=AJ$66,$N162,0)+IF($P162=AJ$66,$Q162,0))*100/$X162</f>
        <v>0</v>
      </c>
      <c r="AK162" s="3">
        <f>100/$X162*$H162*VLOOKUP($G162&amp;"Total",$D:$AK,34,FALSE)/100+100/$X162*$K162*VLOOKUP($J162&amp;"Total",$D:$AK,34,FALSE)/100+100/$X162*$N162*VLOOKUP($M162&amp;"Total",$D:$AK,34,FALSE)/100+100/$X162*$Q162*VLOOKUP($P162&amp;"Total",$D:$AK,34,FALSE)/100+
(IF($G162=AK$66,$H162,0)+IF($J162=AK$66,$K162,0)+IF($M162=AK$66,$N162,0)+IF($P162=AK$66,$Q162,0))*100/$X162</f>
        <v>0</v>
      </c>
    </row>
    <row r="163" spans="1:37" x14ac:dyDescent="0.25">
      <c r="A163" t="s">
        <v>139</v>
      </c>
      <c r="B163" t="s">
        <v>140</v>
      </c>
      <c r="C163" t="s">
        <v>17</v>
      </c>
      <c r="D163" t="str">
        <f t="shared" ref="D163:D164" si="82">A163&amp;C163</f>
        <v>RotorTotal</v>
      </c>
      <c r="E163" s="26">
        <f t="shared" si="80"/>
        <v>435.50906151688417</v>
      </c>
      <c r="G163" t="s">
        <v>95</v>
      </c>
      <c r="H163" s="22">
        <v>22.5</v>
      </c>
      <c r="I163" s="3">
        <f>VLOOKUP(G163&amp;"Total",$D:$AB,2,FALSE)/100*H163</f>
        <v>21.849516441005804</v>
      </c>
      <c r="J163" t="s">
        <v>87</v>
      </c>
      <c r="K163" s="22">
        <v>195</v>
      </c>
      <c r="L163" s="3">
        <f>VLOOKUP(J163&amp;"Total",$D:$AB,2,FALSE)/100*K163</f>
        <v>12.145252979643667</v>
      </c>
      <c r="M163" s="22" t="s">
        <v>27</v>
      </c>
      <c r="N163" s="22"/>
      <c r="O163" s="3">
        <f>VLOOKUP(M163&amp;"Total",$D:$AB,2,FALSE)/100*N163</f>
        <v>0</v>
      </c>
      <c r="P163" s="22" t="s">
        <v>27</v>
      </c>
      <c r="Q163" s="22"/>
      <c r="R163" s="3">
        <f>VLOOKUP(P163&amp;"Total",$D:$AB,2,FALSE)/100*Q163</f>
        <v>0</v>
      </c>
      <c r="T163" s="3">
        <f t="shared" si="81"/>
        <v>33.994769420649469</v>
      </c>
      <c r="V163" s="22" t="s">
        <v>70</v>
      </c>
      <c r="W163" s="22">
        <v>15</v>
      </c>
      <c r="X163" s="22">
        <v>11.25</v>
      </c>
      <c r="AA163" s="3">
        <f>100/$X163*$H163*VLOOKUP($G163&amp;"Total",$D:$AK,24,FALSE)/100+100/$X163*$K163*VLOOKUP($J163&amp;"Total",$D:$AK,24,FALSE)/100+100/$X163*$N163*VLOOKUP($M163&amp;"Total",$D:$AK,24,FALSE)/100+100/$X163*$Q163*VLOOKUP($P163&amp;"Total",$D:$AK,24,FALSE)/100+
(IF($G163=AA$66,$H163,0)+IF($J163=AA$66,$K163,0)+IF($M163=AA$66,$N163,0)+IF($P163=AA$66,$Q163,0))*100/$X163</f>
        <v>88.888888888888886</v>
      </c>
      <c r="AB163" s="3">
        <f>100/$X163*$H163*VLOOKUP($G163&amp;"Total",$D:$AK,25,FALSE)/100+100/$X163*$K163*VLOOKUP($J163&amp;"Total",$D:$AK,25,FALSE)/100+100/$X163*$N163*VLOOKUP($M163&amp;"Total",$D:$AK,25,FALSE)/100+100/$X163*$Q163*VLOOKUP($P163&amp;"Total",$D:$AK,25,FALSE)/100+
(IF($G163=AB$66,$H163,0)+IF($J163=AB$66,$K163,0)+IF($M163=AB$66,$N163,0)+IF($P163=AB$66,$Q163,0))*100/$X163</f>
        <v>400</v>
      </c>
      <c r="AC163" s="3">
        <f>100/$X163*$H163*VLOOKUP($G163&amp;"Total",$D:$AK,26,FALSE)/100+100/$X163*$K163*VLOOKUP($J163&amp;"Total",$D:$AK,26,FALSE)/100+100/$X163*$N163*VLOOKUP($M163&amp;"Total",$D:$AK,26,FALSE)/100+100/$X163*$Q163*VLOOKUP($P163&amp;"Total",$D:$AK,26,FALSE)/100+
(IF($G163=AC$66,$H163,0)+IF($J163=AC$66,$K163,0)+IF($M163=AC$66,$N163,0)+IF($P163=AC$66,$Q163,0))*100/$X163</f>
        <v>0</v>
      </c>
      <c r="AD163" s="3">
        <f>100/$X163*$H163*VLOOKUP($G163&amp;"Total",$D:$AK,27,FALSE)/100+100/$X163*$K163*VLOOKUP($J163&amp;"Total",$D:$AK,27,FALSE)/100+100/$X163*$N163*VLOOKUP($M163&amp;"Total",$D:$AK,27,FALSE)/100+100/$X163*$Q163*VLOOKUP($P163&amp;"Total",$D:$AK,27,FALSE)/100+
(IF($G163=AD$66,$H163,0)+IF($J163=AD$66,$K163,0)+IF($M163=AD$66,$N163,0)+IF($P163=AD$66,$Q163,0))*100/$X163</f>
        <v>88.888888888888886</v>
      </c>
      <c r="AE163" s="3">
        <f>100/$X163*$H163*VLOOKUP($G163&amp;"Total",$D:$AK,28,FALSE)/100+100/$X163*$K163*VLOOKUP($J163&amp;"Total",$D:$AK,28,FALSE)/100+100/$X163*$N163*VLOOKUP($M163&amp;"Total",$D:$AK,28,FALSE)/100+100/$X163*$Q163*VLOOKUP($P163&amp;"Total",$D:$AK,28,FALSE)/100+
(IF($G163=AE$66,$H163,0)+IF($J163=AE$66,$K163,0)+IF($M163=AE$66,$N163,0)+IF($P163=AE$66,$Q163,0))*100/$X163</f>
        <v>0</v>
      </c>
      <c r="AF163" s="3">
        <f>100/$X163*$H163*VLOOKUP($G163&amp;"Total",$D:$AK,29,FALSE)/100+100/$X163*$K163*VLOOKUP($J163&amp;"Total",$D:$AK,29,FALSE)/100+100/$X163*$N163*VLOOKUP($M163&amp;"Total",$D:$AK,29,FALSE)/100+100/$X163*$Q163*VLOOKUP($P163&amp;"Total",$D:$AK,29,FALSE)/100+
(IF($G163=AF$66,$H163,0)+IF($J163=AF$66,$K163,0)+IF($M163=AF$66,$N163,0)+IF($P163=AF$66,$Q163,0))*100/$X163</f>
        <v>0</v>
      </c>
      <c r="AG163" s="3">
        <f>100/$X163*$H163*VLOOKUP($G163&amp;"Total",$D:$AK,30,FALSE)/100+100/$X163*$K163*VLOOKUP($J163&amp;"Total",$D:$AK,30,FALSE)/100+100/$X163*$N163*VLOOKUP($M163&amp;"Total",$D:$AK,30,FALSE)/100+100/$X163*$Q163*VLOOKUP($P163&amp;"Total",$D:$AK,30,FALSE)/100+
(IF($G163=AG$66,$H163,0)+IF($J163=AG$66,$K163,0)+IF($M163=AG$66,$N163,0)+IF($P163=AG$66,$Q163,0))*100/$X163</f>
        <v>0</v>
      </c>
      <c r="AH163" s="3">
        <f>100/$X163*$H163*VLOOKUP($G163&amp;"Total",$D:$AK,31,FALSE)/100+100/$X163*$K163*VLOOKUP($J163&amp;"Total",$D:$AK,31,FALSE)/100+100/$X163*$N163*VLOOKUP($M163&amp;"Total",$D:$AK,31,FALSE)/100+100/$X163*$Q163*VLOOKUP($P163&amp;"Total",$D:$AK,31,FALSE)/100+
(IF($G163=AH$66,$H163,0)+IF($J163=AH$66,$K163,0)+IF($M163=AH$66,$N163,0)+IF($P163=AH$66,$Q163,0))*100/$X163</f>
        <v>0</v>
      </c>
      <c r="AI163" s="3">
        <f>100/$X163*$H163*VLOOKUP($G163&amp;"Total",$D:$AK,32,FALSE)/100+100/$X163*$K163*VLOOKUP($J163&amp;"Total",$D:$AK,32,FALSE)/100+100/$X163*$N163*VLOOKUP($M163&amp;"Total",$D:$AK,32,FALSE)/100+100/$X163*$Q163*VLOOKUP($P163&amp;"Total",$D:$AK,32,FALSE)/100+
(IF($G163=AI$66,$H163,0)+IF($J163=AI$66,$K163,0)+IF($M163=AI$66,$N163,0)+IF($P163=AI$66,$Q163,0))*100/$X163</f>
        <v>0</v>
      </c>
      <c r="AJ163" s="3">
        <f>100/$X163*$H163*VLOOKUP($G163&amp;"Total",$D:$AK,33,FALSE)/100+100/$X163*$K163*VLOOKUP($J163&amp;"Total",$D:$AK,33,FALSE)/100+100/$X163*$N163*VLOOKUP($M163&amp;"Total",$D:$AK,33,FALSE)/100+100/$X163*$Q163*VLOOKUP($P163&amp;"Total",$D:$AK,33,FALSE)/100+
(IF($G163=AJ$66,$H163,0)+IF($J163=AJ$66,$K163,0)+IF($M163=AJ$66,$N163,0)+IF($P163=AJ$66,$Q163,0))*100/$X163</f>
        <v>0</v>
      </c>
      <c r="AK163" s="3">
        <f>100/$X163*$H163*VLOOKUP($G163&amp;"Total",$D:$AK,34,FALSE)/100+100/$X163*$K163*VLOOKUP($J163&amp;"Total",$D:$AK,34,FALSE)/100+100/$X163*$N163*VLOOKUP($M163&amp;"Total",$D:$AK,34,FALSE)/100+100/$X163*$Q163*VLOOKUP($P163&amp;"Total",$D:$AK,34,FALSE)/100+
(IF($G163=AK$66,$H163,0)+IF($J163=AK$66,$K163,0)+IF($M163=AK$66,$N163,0)+IF($P163=AK$66,$Q163,0))*100/$X163</f>
        <v>0</v>
      </c>
    </row>
    <row r="164" spans="1:37" x14ac:dyDescent="0.25">
      <c r="A164" t="s">
        <v>139</v>
      </c>
      <c r="B164" t="s">
        <v>141</v>
      </c>
      <c r="D164" t="str">
        <f t="shared" si="82"/>
        <v>Rotor</v>
      </c>
      <c r="E164" s="26">
        <f t="shared" si="80"/>
        <v>568.40505959287339</v>
      </c>
      <c r="G164" t="s">
        <v>128</v>
      </c>
      <c r="H164" s="22">
        <v>10</v>
      </c>
      <c r="I164" s="3">
        <f>VLOOKUP(G164&amp;"Total",$D:$AB,2,FALSE)/100*H164</f>
        <v>10.145252979643667</v>
      </c>
      <c r="J164" s="22" t="s">
        <v>91</v>
      </c>
      <c r="K164" s="22">
        <v>30</v>
      </c>
      <c r="L164" s="3">
        <f>VLOOKUP(J164&amp;"Total",$D:$AB,2,FALSE)/100*K164</f>
        <v>3.2750000000000004</v>
      </c>
      <c r="M164" s="22" t="s">
        <v>27</v>
      </c>
      <c r="N164" s="22"/>
      <c r="O164" s="3">
        <f>VLOOKUP(M164&amp;"Total",$D:$AB,2,FALSE)/100*N164</f>
        <v>0</v>
      </c>
      <c r="P164" s="22" t="s">
        <v>27</v>
      </c>
      <c r="Q164" s="22"/>
      <c r="R164" s="3">
        <f>VLOOKUP(P164&amp;"Total",$D:$AB,2,FALSE)/100*Q164</f>
        <v>0</v>
      </c>
      <c r="T164" s="3">
        <f t="shared" si="81"/>
        <v>13.420252979643667</v>
      </c>
      <c r="V164" s="22" t="s">
        <v>70</v>
      </c>
      <c r="W164" s="22">
        <v>15</v>
      </c>
      <c r="X164" s="22">
        <v>5</v>
      </c>
      <c r="AA164" s="3">
        <f>100/$X164*$H164*VLOOKUP($G164&amp;"Total",$D:$AK,24,FALSE)/100+100/$X164*$K164*VLOOKUP($J164&amp;"Total",$D:$AK,24,FALSE)/100+100/$X164*$N164*VLOOKUP($M164&amp;"Total",$D:$AK,24,FALSE)/100+100/$X164*$Q164*VLOOKUP($P164&amp;"Total",$D:$AK,24,FALSE)/100+
(IF($G164=AA$66,$H164,0)+IF($J164=AA$66,$K164,0)+IF($M164=AA$66,$N164,0)+IF($P164=AA$66,$Q164,0))*100/$X164</f>
        <v>200</v>
      </c>
      <c r="AB164" s="3">
        <f>100/$X164*$H164*VLOOKUP($G164&amp;"Total",$D:$AK,25,FALSE)/100+100/$X164*$K164*VLOOKUP($J164&amp;"Total",$D:$AK,25,FALSE)/100+100/$X164*$N164*VLOOKUP($M164&amp;"Total",$D:$AK,25,FALSE)/100+100/$X164*$Q164*VLOOKUP($P164&amp;"Total",$D:$AK,25,FALSE)/100+
(IF($G164=AB$66,$H164,0)+IF($J164=AB$66,$K164,0)+IF($M164=AB$66,$N164,0)+IF($P164=AB$66,$Q164,0))*100/$X164</f>
        <v>0</v>
      </c>
      <c r="AC164" s="3">
        <f>100/$X164*$H164*VLOOKUP($G164&amp;"Total",$D:$AK,26,FALSE)/100+100/$X164*$K164*VLOOKUP($J164&amp;"Total",$D:$AK,26,FALSE)/100+100/$X164*$N164*VLOOKUP($M164&amp;"Total",$D:$AK,26,FALSE)/100+100/$X164*$Q164*VLOOKUP($P164&amp;"Total",$D:$AK,26,FALSE)/100+
(IF($G164=AC$66,$H164,0)+IF($J164=AC$66,$K164,0)+IF($M164=AC$66,$N164,0)+IF($P164=AC$66,$Q164,0))*100/$X164</f>
        <v>0</v>
      </c>
      <c r="AD164" s="3">
        <f>100/$X164*$H164*VLOOKUP($G164&amp;"Total",$D:$AK,27,FALSE)/100+100/$X164*$K164*VLOOKUP($J164&amp;"Total",$D:$AK,27,FALSE)/100+100/$X164*$N164*VLOOKUP($M164&amp;"Total",$D:$AK,27,FALSE)/100+100/$X164*$Q164*VLOOKUP($P164&amp;"Total",$D:$AK,27,FALSE)/100+
(IF($G164=AD$66,$H164,0)+IF($J164=AD$66,$K164,0)+IF($M164=AD$66,$N164,0)+IF($P164=AD$66,$Q164,0))*100/$X164</f>
        <v>200</v>
      </c>
      <c r="AE164" s="3">
        <f>100/$X164*$H164*VLOOKUP($G164&amp;"Total",$D:$AK,28,FALSE)/100+100/$X164*$K164*VLOOKUP($J164&amp;"Total",$D:$AK,28,FALSE)/100+100/$X164*$N164*VLOOKUP($M164&amp;"Total",$D:$AK,28,FALSE)/100+100/$X164*$Q164*VLOOKUP($P164&amp;"Total",$D:$AK,28,FALSE)/100+
(IF($G164=AE$66,$H164,0)+IF($J164=AE$66,$K164,0)+IF($M164=AE$66,$N164,0)+IF($P164=AE$66,$Q164,0))*100/$X164</f>
        <v>225</v>
      </c>
      <c r="AF164" s="3">
        <f>100/$X164*$H164*VLOOKUP($G164&amp;"Total",$D:$AK,29,FALSE)/100+100/$X164*$K164*VLOOKUP($J164&amp;"Total",$D:$AK,29,FALSE)/100+100/$X164*$N164*VLOOKUP($M164&amp;"Total",$D:$AK,29,FALSE)/100+100/$X164*$Q164*VLOOKUP($P164&amp;"Total",$D:$AK,29,FALSE)/100+
(IF($G164=AF$66,$H164,0)+IF($J164=AF$66,$K164,0)+IF($M164=AF$66,$N164,0)+IF($P164=AF$66,$Q164,0))*100/$X164</f>
        <v>0</v>
      </c>
      <c r="AG164" s="3">
        <f>100/$X164*$H164*VLOOKUP($G164&amp;"Total",$D:$AK,30,FALSE)/100+100/$X164*$K164*VLOOKUP($J164&amp;"Total",$D:$AK,30,FALSE)/100+100/$X164*$N164*VLOOKUP($M164&amp;"Total",$D:$AK,30,FALSE)/100+100/$X164*$Q164*VLOOKUP($P164&amp;"Total",$D:$AK,30,FALSE)/100+
(IF($G164=AG$66,$H164,0)+IF($J164=AG$66,$K164,0)+IF($M164=AG$66,$N164,0)+IF($P164=AG$66,$Q164,0))*100/$X164</f>
        <v>0</v>
      </c>
      <c r="AH164" s="3">
        <f>100/$X164*$H164*VLOOKUP($G164&amp;"Total",$D:$AK,31,FALSE)/100+100/$X164*$K164*VLOOKUP($J164&amp;"Total",$D:$AK,31,FALSE)/100+100/$X164*$N164*VLOOKUP($M164&amp;"Total",$D:$AK,31,FALSE)/100+100/$X164*$Q164*VLOOKUP($P164&amp;"Total",$D:$AK,31,FALSE)/100+
(IF($G164=AH$66,$H164,0)+IF($J164=AH$66,$K164,0)+IF($M164=AH$66,$N164,0)+IF($P164=AH$66,$Q164,0))*100/$X164</f>
        <v>0</v>
      </c>
      <c r="AI164" s="3">
        <f>100/$X164*$H164*VLOOKUP($G164&amp;"Total",$D:$AK,32,FALSE)/100+100/$X164*$K164*VLOOKUP($J164&amp;"Total",$D:$AK,32,FALSE)/100+100/$X164*$N164*VLOOKUP($M164&amp;"Total",$D:$AK,32,FALSE)/100+100/$X164*$Q164*VLOOKUP($P164&amp;"Total",$D:$AK,32,FALSE)/100+
(IF($G164=AI$66,$H164,0)+IF($J164=AI$66,$K164,0)+IF($M164=AI$66,$N164,0)+IF($P164=AI$66,$Q164,0))*100/$X164</f>
        <v>0</v>
      </c>
      <c r="AJ164" s="3">
        <f>100/$X164*$H164*VLOOKUP($G164&amp;"Total",$D:$AK,33,FALSE)/100+100/$X164*$K164*VLOOKUP($J164&amp;"Total",$D:$AK,33,FALSE)/100+100/$X164*$N164*VLOOKUP($M164&amp;"Total",$D:$AK,33,FALSE)/100+100/$X164*$Q164*VLOOKUP($P164&amp;"Total",$D:$AK,33,FALSE)/100+
(IF($G164=AJ$66,$H164,0)+IF($J164=AJ$66,$K164,0)+IF($M164=AJ$66,$N164,0)+IF($P164=AJ$66,$Q164,0))*100/$X164</f>
        <v>0</v>
      </c>
      <c r="AK164" s="3">
        <f>100/$X164*$H164*VLOOKUP($G164&amp;"Total",$D:$AK,34,FALSE)/100+100/$X164*$K164*VLOOKUP($J164&amp;"Total",$D:$AK,34,FALSE)/100+100/$X164*$N164*VLOOKUP($M164&amp;"Total",$D:$AK,34,FALSE)/100+100/$X164*$Q164*VLOOKUP($P164&amp;"Total",$D:$AK,34,FALSE)/100+
(IF($G164=AK$66,$H164,0)+IF($J164=AK$66,$K164,0)+IF($M164=AK$66,$N164,0)+IF($P164=AK$66,$Q164,0))*100/$X164</f>
        <v>0</v>
      </c>
    </row>
    <row r="165" spans="1:37" x14ac:dyDescent="0.25">
      <c r="E165" s="26"/>
      <c r="H165" s="22"/>
      <c r="I165" s="3"/>
      <c r="J165" s="22"/>
      <c r="K165" s="22"/>
      <c r="L165" s="3"/>
      <c r="M165" s="22"/>
      <c r="N165" s="22"/>
      <c r="O165" s="3"/>
      <c r="P165" s="22"/>
      <c r="Q165" s="22"/>
      <c r="R165" s="3"/>
      <c r="T165" s="3"/>
      <c r="V165" s="22"/>
      <c r="W165" s="22"/>
      <c r="X165" s="22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x14ac:dyDescent="0.25">
      <c r="A166" t="s">
        <v>117</v>
      </c>
      <c r="B166" t="s">
        <v>117</v>
      </c>
      <c r="D166" t="str">
        <f t="shared" ref="D166:D167" si="83">A166&amp;C166</f>
        <v>Stator</v>
      </c>
      <c r="E166" s="26">
        <f t="shared" ref="E166:E167" si="84">100/X166*(T166+W166)</f>
        <v>691.69092272264334</v>
      </c>
      <c r="G166" t="s">
        <v>128</v>
      </c>
      <c r="H166" s="22">
        <v>15</v>
      </c>
      <c r="I166" s="3">
        <f>VLOOKUP(G166&amp;"Total",$D:$AB,2,FALSE)/100*H166</f>
        <v>15.217879469465499</v>
      </c>
      <c r="J166" s="22" t="s">
        <v>91</v>
      </c>
      <c r="K166" s="22">
        <v>40</v>
      </c>
      <c r="L166" s="3">
        <f>VLOOKUP(J166&amp;"Total",$D:$AB,2,FALSE)/100*K166</f>
        <v>4.3666666666666671</v>
      </c>
      <c r="M166" s="22" t="s">
        <v>27</v>
      </c>
      <c r="N166" s="22"/>
      <c r="O166" s="3">
        <f>VLOOKUP(M166&amp;"Total",$D:$AB,2,FALSE)/100*N166</f>
        <v>0</v>
      </c>
      <c r="P166" s="22" t="s">
        <v>27</v>
      </c>
      <c r="Q166" s="22"/>
      <c r="R166" s="3">
        <f>VLOOKUP(P166&amp;"Total",$D:$AB,2,FALSE)/100*Q166</f>
        <v>0</v>
      </c>
      <c r="T166" s="3">
        <f t="shared" ref="T166:T167" si="85">I166+L166+O166+R166</f>
        <v>19.584546136132168</v>
      </c>
      <c r="V166" s="22" t="s">
        <v>70</v>
      </c>
      <c r="W166" s="22">
        <v>15</v>
      </c>
      <c r="X166" s="22">
        <v>5</v>
      </c>
      <c r="AA166" s="3">
        <f>100/$X166*$H166*VLOOKUP($G166&amp;"Total",$D:$AK,24,FALSE)/100+100/$X166*$K166*VLOOKUP($J166&amp;"Total",$D:$AK,24,FALSE)/100+100/$X166*$N166*VLOOKUP($M166&amp;"Total",$D:$AK,24,FALSE)/100+100/$X166*$Q166*VLOOKUP($P166&amp;"Total",$D:$AK,24,FALSE)/100+
(IF($G166=AA$66,$H166,0)+IF($J166=AA$66,$K166,0)+IF($M166=AA$66,$N166,0)+IF($P166=AA$66,$Q166,0))*100/$X166</f>
        <v>300</v>
      </c>
      <c r="AB166" s="3">
        <f>100/$X166*$H166*VLOOKUP($G166&amp;"Total",$D:$AK,25,FALSE)/100+100/$X166*$K166*VLOOKUP($J166&amp;"Total",$D:$AK,25,FALSE)/100+100/$X166*$N166*VLOOKUP($M166&amp;"Total",$D:$AK,25,FALSE)/100+100/$X166*$Q166*VLOOKUP($P166&amp;"Total",$D:$AK,25,FALSE)/100+
(IF($G166=AB$66,$H166,0)+IF($J166=AB$66,$K166,0)+IF($M166=AB$66,$N166,0)+IF($P166=AB$66,$Q166,0))*100/$X166</f>
        <v>0</v>
      </c>
      <c r="AC166" s="3">
        <f>100/$X166*$H166*VLOOKUP($G166&amp;"Total",$D:$AK,26,FALSE)/100+100/$X166*$K166*VLOOKUP($J166&amp;"Total",$D:$AK,26,FALSE)/100+100/$X166*$N166*VLOOKUP($M166&amp;"Total",$D:$AK,26,FALSE)/100+100/$X166*$Q166*VLOOKUP($P166&amp;"Total",$D:$AK,26,FALSE)/100+
(IF($G166=AC$66,$H166,0)+IF($J166=AC$66,$K166,0)+IF($M166=AC$66,$N166,0)+IF($P166=AC$66,$Q166,0))*100/$X166</f>
        <v>0</v>
      </c>
      <c r="AD166" s="3">
        <f>100/$X166*$H166*VLOOKUP($G166&amp;"Total",$D:$AK,27,FALSE)/100+100/$X166*$K166*VLOOKUP($J166&amp;"Total",$D:$AK,27,FALSE)/100+100/$X166*$N166*VLOOKUP($M166&amp;"Total",$D:$AK,27,FALSE)/100+100/$X166*$Q166*VLOOKUP($P166&amp;"Total",$D:$AK,27,FALSE)/100+
(IF($G166=AD$66,$H166,0)+IF($J166=AD$66,$K166,0)+IF($M166=AD$66,$N166,0)+IF($P166=AD$66,$Q166,0))*100/$X166</f>
        <v>300</v>
      </c>
      <c r="AE166" s="3">
        <f>100/$X166*$H166*VLOOKUP($G166&amp;"Total",$D:$AK,28,FALSE)/100+100/$X166*$K166*VLOOKUP($J166&amp;"Total",$D:$AK,28,FALSE)/100+100/$X166*$N166*VLOOKUP($M166&amp;"Total",$D:$AK,28,FALSE)/100+100/$X166*$Q166*VLOOKUP($P166&amp;"Total",$D:$AK,28,FALSE)/100+
(IF($G166=AE$66,$H166,0)+IF($J166=AE$66,$K166,0)+IF($M166=AE$66,$N166,0)+IF($P166=AE$66,$Q166,0))*100/$X166</f>
        <v>300</v>
      </c>
      <c r="AF166" s="3">
        <f>100/$X166*$H166*VLOOKUP($G166&amp;"Total",$D:$AK,29,FALSE)/100+100/$X166*$K166*VLOOKUP($J166&amp;"Total",$D:$AK,29,FALSE)/100+100/$X166*$N166*VLOOKUP($M166&amp;"Total",$D:$AK,29,FALSE)/100+100/$X166*$Q166*VLOOKUP($P166&amp;"Total",$D:$AK,29,FALSE)/100+
(IF($G166=AF$66,$H166,0)+IF($J166=AF$66,$K166,0)+IF($M166=AF$66,$N166,0)+IF($P166=AF$66,$Q166,0))*100/$X166</f>
        <v>0</v>
      </c>
      <c r="AG166" s="3">
        <f>100/$X166*$H166*VLOOKUP($G166&amp;"Total",$D:$AK,30,FALSE)/100+100/$X166*$K166*VLOOKUP($J166&amp;"Total",$D:$AK,30,FALSE)/100+100/$X166*$N166*VLOOKUP($M166&amp;"Total",$D:$AK,30,FALSE)/100+100/$X166*$Q166*VLOOKUP($P166&amp;"Total",$D:$AK,30,FALSE)/100+
(IF($G166=AG$66,$H166,0)+IF($J166=AG$66,$K166,0)+IF($M166=AG$66,$N166,0)+IF($P166=AG$66,$Q166,0))*100/$X166</f>
        <v>0</v>
      </c>
      <c r="AH166" s="3">
        <f>100/$X166*$H166*VLOOKUP($G166&amp;"Total",$D:$AK,31,FALSE)/100+100/$X166*$K166*VLOOKUP($J166&amp;"Total",$D:$AK,31,FALSE)/100+100/$X166*$N166*VLOOKUP($M166&amp;"Total",$D:$AK,31,FALSE)/100+100/$X166*$Q166*VLOOKUP($P166&amp;"Total",$D:$AK,31,FALSE)/100+
(IF($G166=AH$66,$H166,0)+IF($J166=AH$66,$K166,0)+IF($M166=AH$66,$N166,0)+IF($P166=AH$66,$Q166,0))*100/$X166</f>
        <v>0</v>
      </c>
      <c r="AI166" s="3">
        <f>100/$X166*$H166*VLOOKUP($G166&amp;"Total",$D:$AK,32,FALSE)/100+100/$X166*$K166*VLOOKUP($J166&amp;"Total",$D:$AK,32,FALSE)/100+100/$X166*$N166*VLOOKUP($M166&amp;"Total",$D:$AK,32,FALSE)/100+100/$X166*$Q166*VLOOKUP($P166&amp;"Total",$D:$AK,32,FALSE)/100+
(IF($G166=AI$66,$H166,0)+IF($J166=AI$66,$K166,0)+IF($M166=AI$66,$N166,0)+IF($P166=AI$66,$Q166,0))*100/$X166</f>
        <v>0</v>
      </c>
      <c r="AJ166" s="3">
        <f>100/$X166*$H166*VLOOKUP($G166&amp;"Total",$D:$AK,33,FALSE)/100+100/$X166*$K166*VLOOKUP($J166&amp;"Total",$D:$AK,33,FALSE)/100+100/$X166*$N166*VLOOKUP($M166&amp;"Total",$D:$AK,33,FALSE)/100+100/$X166*$Q166*VLOOKUP($P166&amp;"Total",$D:$AK,33,FALSE)/100+
(IF($G166=AJ$66,$H166,0)+IF($J166=AJ$66,$K166,0)+IF($M166=AJ$66,$N166,0)+IF($P166=AJ$66,$Q166,0))*100/$X166</f>
        <v>0</v>
      </c>
      <c r="AK166" s="3">
        <f>100/$X166*$H166*VLOOKUP($G166&amp;"Total",$D:$AK,34,FALSE)/100+100/$X166*$K166*VLOOKUP($J166&amp;"Total",$D:$AK,34,FALSE)/100+100/$X166*$N166*VLOOKUP($M166&amp;"Total",$D:$AK,34,FALSE)/100+100/$X166*$Q166*VLOOKUP($P166&amp;"Total",$D:$AK,34,FALSE)/100+
(IF($G166=AK$66,$H166,0)+IF($J166=AK$66,$K166,0)+IF($M166=AK$66,$N166,0)+IF($P166=AK$66,$Q166,0))*100/$X166</f>
        <v>0</v>
      </c>
    </row>
    <row r="167" spans="1:37" x14ac:dyDescent="0.25">
      <c r="A167" t="s">
        <v>117</v>
      </c>
      <c r="B167" t="s">
        <v>142</v>
      </c>
      <c r="C167" t="s">
        <v>17</v>
      </c>
      <c r="D167" t="str">
        <f t="shared" si="83"/>
        <v>StatorTotal</v>
      </c>
      <c r="E167" s="26">
        <f t="shared" si="84"/>
        <v>531.40505959287339</v>
      </c>
      <c r="G167" t="s">
        <v>128</v>
      </c>
      <c r="H167" s="22">
        <v>16</v>
      </c>
      <c r="I167" s="3">
        <f>VLOOKUP(G167&amp;"Total",$D:$AB,2,FALSE)/100*H167</f>
        <v>16.232404767429866</v>
      </c>
      <c r="J167" t="s">
        <v>102</v>
      </c>
      <c r="K167" s="22">
        <v>60</v>
      </c>
      <c r="L167" s="3">
        <f>VLOOKUP(J167&amp;"Total",$D:$AB,2,FALSE)/100*K167</f>
        <v>11.280000000000003</v>
      </c>
      <c r="M167" s="22" t="s">
        <v>27</v>
      </c>
      <c r="N167" s="22"/>
      <c r="O167" s="3">
        <f>VLOOKUP(M167&amp;"Total",$D:$AB,2,FALSE)/100*N167</f>
        <v>0</v>
      </c>
      <c r="P167" s="22" t="s">
        <v>27</v>
      </c>
      <c r="Q167" s="22"/>
      <c r="R167" s="3">
        <f>VLOOKUP(P167&amp;"Total",$D:$AB,2,FALSE)/100*Q167</f>
        <v>0</v>
      </c>
      <c r="T167" s="3">
        <f t="shared" si="85"/>
        <v>27.512404767429871</v>
      </c>
      <c r="V167" s="22" t="s">
        <v>70</v>
      </c>
      <c r="W167" s="22">
        <v>15</v>
      </c>
      <c r="X167" s="22">
        <v>8</v>
      </c>
      <c r="AA167" s="3">
        <f>100/$X167*$H167*VLOOKUP($G167&amp;"Total",$D:$AK,24,FALSE)/100+100/$X167*$K167*VLOOKUP($J167&amp;"Total",$D:$AK,24,FALSE)/100+100/$X167*$N167*VLOOKUP($M167&amp;"Total",$D:$AK,24,FALSE)/100+100/$X167*$Q167*VLOOKUP($P167&amp;"Total",$D:$AK,24,FALSE)/100+
(IF($G167=AA$66,$H167,0)+IF($J167=AA$66,$K167,0)+IF($M167=AA$66,$N167,0)+IF($P167=AA$66,$Q167,0))*100/$X167</f>
        <v>200</v>
      </c>
      <c r="AB167" s="3">
        <f>100/$X167*$H167*VLOOKUP($G167&amp;"Total",$D:$AK,25,FALSE)/100+100/$X167*$K167*VLOOKUP($J167&amp;"Total",$D:$AK,25,FALSE)/100+100/$X167*$N167*VLOOKUP($M167&amp;"Total",$D:$AK,25,FALSE)/100+100/$X167*$Q167*VLOOKUP($P167&amp;"Total",$D:$AK,25,FALSE)/100+
(IF($G167=AB$66,$H167,0)+IF($J167=AB$66,$K167,0)+IF($M167=AB$66,$N167,0)+IF($P167=AB$66,$Q167,0))*100/$X167</f>
        <v>0</v>
      </c>
      <c r="AC167" s="3">
        <f>100/$X167*$H167*VLOOKUP($G167&amp;"Total",$D:$AK,26,FALSE)/100+100/$X167*$K167*VLOOKUP($J167&amp;"Total",$D:$AK,26,FALSE)/100+100/$X167*$N167*VLOOKUP($M167&amp;"Total",$D:$AK,26,FALSE)/100+100/$X167*$Q167*VLOOKUP($P167&amp;"Total",$D:$AK,26,FALSE)/100+
(IF($G167=AC$66,$H167,0)+IF($J167=AC$66,$K167,0)+IF($M167=AC$66,$N167,0)+IF($P167=AC$66,$Q167,0))*100/$X167</f>
        <v>0</v>
      </c>
      <c r="AD167" s="3">
        <f>100/$X167*$H167*VLOOKUP($G167&amp;"Total",$D:$AK,27,FALSE)/100+100/$X167*$K167*VLOOKUP($J167&amp;"Total",$D:$AK,27,FALSE)/100+100/$X167*$N167*VLOOKUP($M167&amp;"Total",$D:$AK,27,FALSE)/100+100/$X167*$Q167*VLOOKUP($P167&amp;"Total",$D:$AK,27,FALSE)/100+
(IF($G167=AD$66,$H167,0)+IF($J167=AD$66,$K167,0)+IF($M167=AD$66,$N167,0)+IF($P167=AD$66,$Q167,0))*100/$X167</f>
        <v>200</v>
      </c>
      <c r="AE167" s="3">
        <f>100/$X167*$H167*VLOOKUP($G167&amp;"Total",$D:$AK,28,FALSE)/100+100/$X167*$K167*VLOOKUP($J167&amp;"Total",$D:$AK,28,FALSE)/100+100/$X167*$N167*VLOOKUP($M167&amp;"Total",$D:$AK,28,FALSE)/100+100/$X167*$Q167*VLOOKUP($P167&amp;"Total",$D:$AK,28,FALSE)/100+
(IF($G167=AE$66,$H167,0)+IF($J167=AE$66,$K167,0)+IF($M167=AE$66,$N167,0)+IF($P167=AE$66,$Q167,0))*100/$X167</f>
        <v>450</v>
      </c>
      <c r="AF167" s="3">
        <f>100/$X167*$H167*VLOOKUP($G167&amp;"Total",$D:$AK,29,FALSE)/100+100/$X167*$K167*VLOOKUP($J167&amp;"Total",$D:$AK,29,FALSE)/100+100/$X167*$N167*VLOOKUP($M167&amp;"Total",$D:$AK,29,FALSE)/100+100/$X167*$Q167*VLOOKUP($P167&amp;"Total",$D:$AK,29,FALSE)/100+
(IF($G167=AF$66,$H167,0)+IF($J167=AF$66,$K167,0)+IF($M167=AF$66,$N167,0)+IF($P167=AF$66,$Q167,0))*100/$X167</f>
        <v>0</v>
      </c>
      <c r="AG167" s="3">
        <f>100/$X167*$H167*VLOOKUP($G167&amp;"Total",$D:$AK,30,FALSE)/100+100/$X167*$K167*VLOOKUP($J167&amp;"Total",$D:$AK,30,FALSE)/100+100/$X167*$N167*VLOOKUP($M167&amp;"Total",$D:$AK,30,FALSE)/100+100/$X167*$Q167*VLOOKUP($P167&amp;"Total",$D:$AK,30,FALSE)/100+
(IF($G167=AG$66,$H167,0)+IF($J167=AG$66,$K167,0)+IF($M167=AG$66,$N167,0)+IF($P167=AG$66,$Q167,0))*100/$X167</f>
        <v>0</v>
      </c>
      <c r="AH167" s="3">
        <f>100/$X167*$H167*VLOOKUP($G167&amp;"Total",$D:$AK,31,FALSE)/100+100/$X167*$K167*VLOOKUP($J167&amp;"Total",$D:$AK,31,FALSE)/100+100/$X167*$N167*VLOOKUP($M167&amp;"Total",$D:$AK,31,FALSE)/100+100/$X167*$Q167*VLOOKUP($P167&amp;"Total",$D:$AK,31,FALSE)/100+
(IF($G167=AH$66,$H167,0)+IF($J167=AH$66,$K167,0)+IF($M167=AH$66,$N167,0)+IF($P167=AH$66,$Q167,0))*100/$X167</f>
        <v>0</v>
      </c>
      <c r="AI167" s="3">
        <f>100/$X167*$H167*VLOOKUP($G167&amp;"Total",$D:$AK,32,FALSE)/100+100/$X167*$K167*VLOOKUP($J167&amp;"Total",$D:$AK,32,FALSE)/100+100/$X167*$N167*VLOOKUP($M167&amp;"Total",$D:$AK,32,FALSE)/100+100/$X167*$Q167*VLOOKUP($P167&amp;"Total",$D:$AK,32,FALSE)/100+
(IF($G167=AI$66,$H167,0)+IF($J167=AI$66,$K167,0)+IF($M167=AI$66,$N167,0)+IF($P167=AI$66,$Q167,0))*100/$X167</f>
        <v>0</v>
      </c>
      <c r="AJ167" s="3">
        <f>100/$X167*$H167*VLOOKUP($G167&amp;"Total",$D:$AK,33,FALSE)/100+100/$X167*$K167*VLOOKUP($J167&amp;"Total",$D:$AK,33,FALSE)/100+100/$X167*$N167*VLOOKUP($M167&amp;"Total",$D:$AK,33,FALSE)/100+100/$X167*$Q167*VLOOKUP($P167&amp;"Total",$D:$AK,33,FALSE)/100+
(IF($G167=AJ$66,$H167,0)+IF($J167=AJ$66,$K167,0)+IF($M167=AJ$66,$N167,0)+IF($P167=AJ$66,$Q167,0))*100/$X167</f>
        <v>0</v>
      </c>
      <c r="AK167" s="3">
        <f>100/$X167*$H167*VLOOKUP($G167&amp;"Total",$D:$AK,34,FALSE)/100+100/$X167*$K167*VLOOKUP($J167&amp;"Total",$D:$AK,34,FALSE)/100+100/$X167*$N167*VLOOKUP($M167&amp;"Total",$D:$AK,34,FALSE)/100+100/$X167*$Q167*VLOOKUP($P167&amp;"Total",$D:$AK,34,FALSE)/100+
(IF($G167=AK$66,$H167,0)+IF($J167=AK$66,$K167,0)+IF($M167=AK$66,$N167,0)+IF($P167=AK$66,$Q167,0))*100/$X167</f>
        <v>0</v>
      </c>
    </row>
    <row r="168" spans="1:37" x14ac:dyDescent="0.25">
      <c r="E168" s="25"/>
      <c r="G168" s="22"/>
      <c r="H168" s="22"/>
      <c r="J168" s="22"/>
      <c r="K168" s="22"/>
      <c r="M168" s="22"/>
      <c r="N168" s="22"/>
      <c r="P168" s="22"/>
      <c r="Q168" s="22"/>
      <c r="V168" s="22"/>
      <c r="W168" s="22"/>
      <c r="X168" s="22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x14ac:dyDescent="0.25">
      <c r="A169" t="s">
        <v>143</v>
      </c>
      <c r="B169" t="s">
        <v>143</v>
      </c>
      <c r="C169" t="s">
        <v>17</v>
      </c>
      <c r="D169" t="str">
        <f t="shared" ref="D169:D170" si="86">A169&amp;C169</f>
        <v>Smart PlatingTotal</v>
      </c>
      <c r="E169" s="26">
        <f t="shared" ref="E169:E170" si="87">100/X169*(T169+W169)</f>
        <v>1728.466154943512</v>
      </c>
      <c r="G169" t="s">
        <v>114</v>
      </c>
      <c r="H169" s="22">
        <v>2</v>
      </c>
      <c r="I169" s="3">
        <f>VLOOKUP(G169&amp;"Total",$D:$AB,2,FALSE)/100*H169</f>
        <v>10.859141868532555</v>
      </c>
      <c r="J169" s="22" t="s">
        <v>139</v>
      </c>
      <c r="K169" s="22">
        <v>2</v>
      </c>
      <c r="L169" s="3">
        <f>VLOOKUP(J169&amp;"Total",$D:$AB,2,FALSE)/100*K169</f>
        <v>8.7101812303376835</v>
      </c>
      <c r="M169" s="22" t="s">
        <v>27</v>
      </c>
      <c r="N169" s="22"/>
      <c r="O169" s="3">
        <f>VLOOKUP(M169&amp;"Total",$D:$AB,2,FALSE)/100*N169</f>
        <v>0</v>
      </c>
      <c r="P169" s="22" t="s">
        <v>27</v>
      </c>
      <c r="Q169" s="22"/>
      <c r="R169" s="3">
        <f>VLOOKUP(P169&amp;"Total",$D:$AB,2,FALSE)/100*Q169</f>
        <v>0</v>
      </c>
      <c r="T169" s="3">
        <f t="shared" ref="T169:T170" si="88">I169+L169+O169+R169</f>
        <v>19.569323098870239</v>
      </c>
      <c r="V169" s="22" t="s">
        <v>70</v>
      </c>
      <c r="W169" s="22">
        <v>15</v>
      </c>
      <c r="X169" s="22">
        <v>2</v>
      </c>
      <c r="AA169" s="3">
        <f>100/$X169*$H169*VLOOKUP($G169&amp;"Total",$D:$AK,24,FALSE)/100+100/$X169*$K169*VLOOKUP($J169&amp;"Total",$D:$AK,24,FALSE)/100+100/$X169*$N169*VLOOKUP($M169&amp;"Total",$D:$AK,24,FALSE)/100+100/$X169*$Q169*VLOOKUP($P169&amp;"Total",$D:$AK,24,FALSE)/100+
(IF($G169=AA$66,$H169,0)+IF($J169=AA$66,$K169,0)+IF($M169=AA$66,$N169,0)+IF($P169=AA$66,$Q169,0))*100/$X169</f>
        <v>588.88888888888891</v>
      </c>
      <c r="AB169" s="3">
        <f>100/$X169*$H169*VLOOKUP($G169&amp;"Total",$D:$AK,25,FALSE)/100+100/$X169*$K169*VLOOKUP($J169&amp;"Total",$D:$AK,25,FALSE)/100+100/$X169*$N169*VLOOKUP($M169&amp;"Total",$D:$AK,25,FALSE)/100+100/$X169*$Q169*VLOOKUP($P169&amp;"Total",$D:$AK,25,FALSE)/100+
(IF($G169=AB$66,$H169,0)+IF($J169=AB$66,$K169,0)+IF($M169=AB$66,$N169,0)+IF($P169=AB$66,$Q169,0))*100/$X169</f>
        <v>400</v>
      </c>
      <c r="AC169" s="3">
        <f>100/$X169*$H169*VLOOKUP($G169&amp;"Total",$D:$AK,26,FALSE)/100+100/$X169*$K169*VLOOKUP($J169&amp;"Total",$D:$AK,26,FALSE)/100+100/$X169*$N169*VLOOKUP($M169&amp;"Total",$D:$AK,26,FALSE)/100+100/$X169*$Q169*VLOOKUP($P169&amp;"Total",$D:$AK,26,FALSE)/100+
(IF($G169=AC$66,$H169,0)+IF($J169=AC$66,$K169,0)+IF($M169=AC$66,$N169,0)+IF($P169=AC$66,$Q169,0))*100/$X169</f>
        <v>0</v>
      </c>
      <c r="AD169" s="3">
        <f>100/$X169*$H169*VLOOKUP($G169&amp;"Total",$D:$AK,27,FALSE)/100+100/$X169*$K169*VLOOKUP($J169&amp;"Total",$D:$AK,27,FALSE)/100+100/$X169*$N169*VLOOKUP($M169&amp;"Total",$D:$AK,27,FALSE)/100+100/$X169*$Q169*VLOOKUP($P169&amp;"Total",$D:$AK,27,FALSE)/100+
(IF($G169=AD$66,$H169,0)+IF($J169=AD$66,$K169,0)+IF($M169=AD$66,$N169,0)+IF($P169=AD$66,$Q169,0))*100/$X169</f>
        <v>88.888888888888886</v>
      </c>
      <c r="AE169" s="3">
        <f>100/$X169*$H169*VLOOKUP($G169&amp;"Total",$D:$AK,28,FALSE)/100+100/$X169*$K169*VLOOKUP($J169&amp;"Total",$D:$AK,28,FALSE)/100+100/$X169*$N169*VLOOKUP($M169&amp;"Total",$D:$AK,28,FALSE)/100+100/$X169*$Q169*VLOOKUP($P169&amp;"Total",$D:$AK,28,FALSE)/100+
(IF($G169=AE$66,$H169,0)+IF($J169=AE$66,$K169,0)+IF($M169=AE$66,$N169,0)+IF($P169=AE$66,$Q169,0))*100/$X169</f>
        <v>250.00000000000003</v>
      </c>
      <c r="AF169" s="3">
        <f>100/$X169*$H169*VLOOKUP($G169&amp;"Total",$D:$AK,29,FALSE)/100+100/$X169*$K169*VLOOKUP($J169&amp;"Total",$D:$AK,29,FALSE)/100+100/$X169*$N169*VLOOKUP($M169&amp;"Total",$D:$AK,29,FALSE)/100+100/$X169*$Q169*VLOOKUP($P169&amp;"Total",$D:$AK,29,FALSE)/100+
(IF($G169=AF$66,$H169,0)+IF($J169=AF$66,$K169,0)+IF($M169=AF$66,$N169,0)+IF($P169=AF$66,$Q169,0))*100/$X169</f>
        <v>0</v>
      </c>
      <c r="AG169" s="3">
        <f>100/$X169*$H169*VLOOKUP($G169&amp;"Total",$D:$AK,30,FALSE)/100+100/$X169*$K169*VLOOKUP($J169&amp;"Total",$D:$AK,30,FALSE)/100+100/$X169*$N169*VLOOKUP($M169&amp;"Total",$D:$AK,30,FALSE)/100+100/$X169*$Q169*VLOOKUP($P169&amp;"Total",$D:$AK,30,FALSE)/100+
(IF($G169=AG$66,$H169,0)+IF($J169=AG$66,$K169,0)+IF($M169=AG$66,$N169,0)+IF($P169=AG$66,$Q169,0))*100/$X169</f>
        <v>0</v>
      </c>
      <c r="AH169" s="3">
        <f>100/$X169*$H169*VLOOKUP($G169&amp;"Total",$D:$AK,31,FALSE)/100+100/$X169*$K169*VLOOKUP($J169&amp;"Total",$D:$AK,31,FALSE)/100+100/$X169*$N169*VLOOKUP($M169&amp;"Total",$D:$AK,31,FALSE)/100+100/$X169*$Q169*VLOOKUP($P169&amp;"Total",$D:$AK,31,FALSE)/100+
(IF($G169=AH$66,$H169,0)+IF($J169=AH$66,$K169,0)+IF($M169=AH$66,$N169,0)+IF($P169=AH$66,$Q169,0))*100/$X169</f>
        <v>0</v>
      </c>
      <c r="AI169" s="3">
        <f>100/$X169*$H169*VLOOKUP($G169&amp;"Total",$D:$AK,32,FALSE)/100+100/$X169*$K169*VLOOKUP($J169&amp;"Total",$D:$AK,32,FALSE)/100+100/$X169*$N169*VLOOKUP($M169&amp;"Total",$D:$AK,32,FALSE)/100+100/$X169*$Q169*VLOOKUP($P169&amp;"Total",$D:$AK,32,FALSE)/100+
(IF($G169=AI$66,$H169,0)+IF($J169=AI$66,$K169,0)+IF($M169=AI$66,$N169,0)+IF($P169=AI$66,$Q169,0))*100/$X169</f>
        <v>0</v>
      </c>
      <c r="AJ169" s="3">
        <f>100/$X169*$H169*VLOOKUP($G169&amp;"Total",$D:$AK,33,FALSE)/100+100/$X169*$K169*VLOOKUP($J169&amp;"Total",$D:$AK,33,FALSE)/100+100/$X169*$N169*VLOOKUP($M169&amp;"Total",$D:$AK,33,FALSE)/100+100/$X169*$Q169*VLOOKUP($P169&amp;"Total",$D:$AK,33,FALSE)/100+
(IF($G169=AJ$66,$H169,0)+IF($J169=AJ$66,$K169,0)+IF($M169=AJ$66,$N169,0)+IF($P169=AJ$66,$Q169,0))*100/$X169</f>
        <v>0</v>
      </c>
      <c r="AK169" s="3">
        <f>100/$X169*$H169*VLOOKUP($G169&amp;"Total",$D:$AK,34,FALSE)/100+100/$X169*$K169*VLOOKUP($J169&amp;"Total",$D:$AK,34,FALSE)/100+100/$X169*$N169*VLOOKUP($M169&amp;"Total",$D:$AK,34,FALSE)/100+100/$X169*$Q169*VLOOKUP($P169&amp;"Total",$D:$AK,34,FALSE)/100+
(IF($G169=AK$66,$H169,0)+IF($J169=AK$66,$K169,0)+IF($M169=AK$66,$N169,0)+IF($P169=AK$66,$Q169,0))*100/$X169</f>
        <v>0</v>
      </c>
    </row>
    <row r="170" spans="1:37" x14ac:dyDescent="0.25">
      <c r="A170" t="s">
        <v>143</v>
      </c>
      <c r="B170" t="s">
        <v>144</v>
      </c>
      <c r="D170" t="str">
        <f t="shared" si="86"/>
        <v>Smart Plating</v>
      </c>
      <c r="E170" s="26">
        <f t="shared" si="87"/>
        <v>1911.091154394833</v>
      </c>
      <c r="G170" t="s">
        <v>114</v>
      </c>
      <c r="H170" s="22">
        <v>2.5</v>
      </c>
      <c r="I170" s="3">
        <f>VLOOKUP(G170&amp;"Total",$D:$AB,2,FALSE)/100*H170</f>
        <v>13.573927335665694</v>
      </c>
      <c r="J170" s="22" t="s">
        <v>139</v>
      </c>
      <c r="K170" s="22">
        <v>2.5</v>
      </c>
      <c r="L170" s="3">
        <f>VLOOKUP(J170&amp;"Total",$D:$AB,2,FALSE)/100*K170</f>
        <v>10.887726537922104</v>
      </c>
      <c r="M170" s="22" t="s">
        <v>82</v>
      </c>
      <c r="N170" s="22">
        <v>7.5</v>
      </c>
      <c r="O170" s="3">
        <f>VLOOKUP(M170&amp;"Total",$D:$AB,2,FALSE)/100*N170</f>
        <v>16.092903846153849</v>
      </c>
      <c r="P170" s="22" t="s">
        <v>27</v>
      </c>
      <c r="Q170" s="22"/>
      <c r="R170" s="3">
        <f>VLOOKUP(P170&amp;"Total",$D:$AB,2,FALSE)/100*Q170</f>
        <v>0</v>
      </c>
      <c r="T170" s="3">
        <f t="shared" si="88"/>
        <v>40.554557719741652</v>
      </c>
      <c r="V170" s="22" t="s">
        <v>111</v>
      </c>
      <c r="W170" s="22">
        <v>55</v>
      </c>
      <c r="X170" s="22">
        <v>5</v>
      </c>
      <c r="AA170" s="3">
        <f>100/$X170*$H170*VLOOKUP($G170&amp;"Total",$D:$AK,24,FALSE)/100+100/$X170*$K170*VLOOKUP($J170&amp;"Total",$D:$AK,24,FALSE)/100+100/$X170*$N170*VLOOKUP($M170&amp;"Total",$D:$AK,24,FALSE)/100+100/$X170*$Q170*VLOOKUP($P170&amp;"Total",$D:$AK,24,FALSE)/100+
(IF($G170=AA$66,$H170,0)+IF($J170=AA$66,$K170,0)+IF($M170=AA$66,$N170,0)+IF($P170=AA$66,$Q170,0))*100/$X170</f>
        <v>294.44444444444446</v>
      </c>
      <c r="AB170" s="3">
        <f>100/$X170*$H170*VLOOKUP($G170&amp;"Total",$D:$AK,25,FALSE)/100+100/$X170*$K170*VLOOKUP($J170&amp;"Total",$D:$AK,25,FALSE)/100+100/$X170*$N170*VLOOKUP($M170&amp;"Total",$D:$AK,25,FALSE)/100+100/$X170*$Q170*VLOOKUP($P170&amp;"Total",$D:$AK,25,FALSE)/100+
(IF($G170=AB$66,$H170,0)+IF($J170=AB$66,$K170,0)+IF($M170=AB$66,$N170,0)+IF($P170=AB$66,$Q170,0))*100/$X170</f>
        <v>200</v>
      </c>
      <c r="AC170" s="3">
        <f>100/$X170*$H170*VLOOKUP($G170&amp;"Total",$D:$AK,26,FALSE)/100+100/$X170*$K170*VLOOKUP($J170&amp;"Total",$D:$AK,26,FALSE)/100+100/$X170*$N170*VLOOKUP($M170&amp;"Total",$D:$AK,26,FALSE)/100+100/$X170*$Q170*VLOOKUP($P170&amp;"Total",$D:$AK,26,FALSE)/100+
(IF($G170=AC$66,$H170,0)+IF($J170=AC$66,$K170,0)+IF($M170=AC$66,$N170,0)+IF($P170=AC$66,$Q170,0))*100/$X170</f>
        <v>0</v>
      </c>
      <c r="AD170" s="3">
        <f>100/$X170*$H170*VLOOKUP($G170&amp;"Total",$D:$AK,27,FALSE)/100+100/$X170*$K170*VLOOKUP($J170&amp;"Total",$D:$AK,27,FALSE)/100+100/$X170*$N170*VLOOKUP($M170&amp;"Total",$D:$AK,27,FALSE)/100+100/$X170*$Q170*VLOOKUP($P170&amp;"Total",$D:$AK,27,FALSE)/100+
(IF($G170=AD$66,$H170,0)+IF($J170=AD$66,$K170,0)+IF($M170=AD$66,$N170,0)+IF($P170=AD$66,$Q170,0))*100/$X170</f>
        <v>44.444444444444443</v>
      </c>
      <c r="AE170" s="3">
        <f>100/$X170*$H170*VLOOKUP($G170&amp;"Total",$D:$AK,28,FALSE)/100+100/$X170*$K170*VLOOKUP($J170&amp;"Total",$D:$AK,28,FALSE)/100+100/$X170*$N170*VLOOKUP($M170&amp;"Total",$D:$AK,28,FALSE)/100+100/$X170*$Q170*VLOOKUP($P170&amp;"Total",$D:$AK,28,FALSE)/100+
(IF($G170=AE$66,$H170,0)+IF($J170=AE$66,$K170,0)+IF($M170=AE$66,$N170,0)+IF($P170=AE$66,$Q170,0))*100/$X170</f>
        <v>125.00000000000001</v>
      </c>
      <c r="AF170" s="3">
        <f>100/$X170*$H170*VLOOKUP($G170&amp;"Total",$D:$AK,29,FALSE)/100+100/$X170*$K170*VLOOKUP($J170&amp;"Total",$D:$AK,29,FALSE)/100+100/$X170*$N170*VLOOKUP($M170&amp;"Total",$D:$AK,29,FALSE)/100+100/$X170*$Q170*VLOOKUP($P170&amp;"Total",$D:$AK,29,FALSE)/100+
(IF($G170=AF$66,$H170,0)+IF($J170=AF$66,$K170,0)+IF($M170=AF$66,$N170,0)+IF($P170=AF$66,$Q170,0))*100/$X170</f>
        <v>0</v>
      </c>
      <c r="AG170" s="3">
        <f>100/$X170*$H170*VLOOKUP($G170&amp;"Total",$D:$AK,30,FALSE)/100+100/$X170*$K170*VLOOKUP($J170&amp;"Total",$D:$AK,30,FALSE)/100+100/$X170*$N170*VLOOKUP($M170&amp;"Total",$D:$AK,30,FALSE)/100+100/$X170*$Q170*VLOOKUP($P170&amp;"Total",$D:$AK,30,FALSE)/100+
(IF($G170=AG$66,$H170,0)+IF($J170=AG$66,$K170,0)+IF($M170=AG$66,$N170,0)+IF($P170=AG$66,$Q170,0))*100/$X170</f>
        <v>0</v>
      </c>
      <c r="AH170" s="3">
        <f>100/$X170*$H170*VLOOKUP($G170&amp;"Total",$D:$AK,31,FALSE)/100+100/$X170*$K170*VLOOKUP($J170&amp;"Total",$D:$AK,31,FALSE)/100+100/$X170*$N170*VLOOKUP($M170&amp;"Total",$D:$AK,31,FALSE)/100+100/$X170*$Q170*VLOOKUP($P170&amp;"Total",$D:$AK,31,FALSE)/100+
(IF($G170=AH$66,$H170,0)+IF($J170=AH$66,$K170,0)+IF($M170=AH$66,$N170,0)+IF($P170=AH$66,$Q170,0))*100/$X170</f>
        <v>0</v>
      </c>
      <c r="AI170" s="3">
        <f>100/$X170*$H170*VLOOKUP($G170&amp;"Total",$D:$AK,32,FALSE)/100+100/$X170*$K170*VLOOKUP($J170&amp;"Total",$D:$AK,32,FALSE)/100+100/$X170*$N170*VLOOKUP($M170&amp;"Total",$D:$AK,32,FALSE)/100+100/$X170*$Q170*VLOOKUP($P170&amp;"Total",$D:$AK,32,FALSE)/100+
(IF($G170=AI$66,$H170,0)+IF($J170=AI$66,$K170,0)+IF($M170=AI$66,$N170,0)+IF($P170=AI$66,$Q170,0))*100/$X170</f>
        <v>0</v>
      </c>
      <c r="AJ170" s="3">
        <f>100/$X170*$H170*VLOOKUP($G170&amp;"Total",$D:$AK,33,FALSE)/100+100/$X170*$K170*VLOOKUP($J170&amp;"Total",$D:$AK,33,FALSE)/100+100/$X170*$N170*VLOOKUP($M170&amp;"Total",$D:$AK,33,FALSE)/100+100/$X170*$Q170*VLOOKUP($P170&amp;"Total",$D:$AK,33,FALSE)/100+
(IF($G170=AJ$66,$H170,0)+IF($J170=AJ$66,$K170,0)+IF($M170=AJ$66,$N170,0)+IF($P170=AJ$66,$Q170,0))*100/$X170</f>
        <v>0</v>
      </c>
      <c r="AK170" s="3">
        <f>100/$X170*$H170*VLOOKUP($G170&amp;"Total",$D:$AK,34,FALSE)/100+100/$X170*$K170*VLOOKUP($J170&amp;"Total",$D:$AK,34,FALSE)/100+100/$X170*$N170*VLOOKUP($M170&amp;"Total",$D:$AK,34,FALSE)/100+100/$X170*$Q170*VLOOKUP($P170&amp;"Total",$D:$AK,34,FALSE)/100+
(IF($G170=AK$66,$H170,0)+IF($J170=AK$66,$K170,0)+IF($M170=AK$66,$N170,0)+IF($P170=AK$66,$Q170,0))*100/$X170</f>
        <v>225</v>
      </c>
    </row>
    <row r="171" spans="1:37" x14ac:dyDescent="0.25">
      <c r="E171" s="25"/>
      <c r="G171" s="22"/>
      <c r="H171" s="22"/>
      <c r="J171" s="22"/>
      <c r="K171" s="22"/>
      <c r="M171" s="22"/>
      <c r="N171" s="22"/>
      <c r="P171" s="22"/>
      <c r="Q171" s="22"/>
      <c r="V171" s="22"/>
      <c r="W171" s="22"/>
      <c r="X171" s="22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x14ac:dyDescent="0.25">
      <c r="A172" t="s">
        <v>145</v>
      </c>
      <c r="B172" t="s">
        <v>145</v>
      </c>
      <c r="C172" t="s">
        <v>17</v>
      </c>
      <c r="D172" t="str">
        <f t="shared" ref="D172:D173" si="89">A172&amp;C172</f>
        <v>Versatile FrameworkTotal</v>
      </c>
      <c r="E172" s="26">
        <f t="shared" ref="E172:E173" si="90">100/X172*(T172+W172)</f>
        <v>2363.3137242125904</v>
      </c>
      <c r="G172" t="s">
        <v>132</v>
      </c>
      <c r="H172" s="22">
        <v>2.5</v>
      </c>
      <c r="I172" s="3">
        <f>VLOOKUP(G172&amp;"Total",$D:$AB,2,FALSE)/100*H172</f>
        <v>30.003662373480182</v>
      </c>
      <c r="J172" t="s">
        <v>90</v>
      </c>
      <c r="K172" s="22">
        <v>30</v>
      </c>
      <c r="L172" s="3">
        <f>VLOOKUP(J172&amp;"Total",$D:$AB,2,FALSE)/100*K172</f>
        <v>73.162023837149334</v>
      </c>
      <c r="M172" s="22" t="s">
        <v>27</v>
      </c>
      <c r="N172" s="22"/>
      <c r="O172" s="3">
        <f>VLOOKUP(M172&amp;"Total",$D:$AB,2,FALSE)/100*N172</f>
        <v>0</v>
      </c>
      <c r="P172" s="22" t="s">
        <v>27</v>
      </c>
      <c r="Q172" s="22"/>
      <c r="R172" s="3">
        <f>VLOOKUP(P172&amp;"Total",$D:$AB,2,FALSE)/100*Q172</f>
        <v>0</v>
      </c>
      <c r="T172" s="3">
        <f t="shared" ref="T172:T173" si="91">I172+L172+O172+R172</f>
        <v>103.16568621062952</v>
      </c>
      <c r="V172" s="22" t="s">
        <v>70</v>
      </c>
      <c r="W172" s="22">
        <v>15</v>
      </c>
      <c r="X172" s="22">
        <v>5</v>
      </c>
      <c r="AA172" s="3">
        <f>100/$X172*$H172*VLOOKUP($G172&amp;"Total",$D:$AK,24,FALSE)/100+100/$X172*$K172*VLOOKUP($J172&amp;"Total",$D:$AK,24,FALSE)/100+100/$X172*$N172*VLOOKUP($M172&amp;"Total",$D:$AK,24,FALSE)/100+100/$X172*$Q172*VLOOKUP($P172&amp;"Total",$D:$AK,24,FALSE)/100+
(IF($G172=AA$66,$H172,0)+IF($J172=AA$66,$K172,0)+IF($M172=AA$66,$N172,0)+IF($P172=AA$66,$Q172,0))*100/$X172</f>
        <v>1933.3333333333335</v>
      </c>
      <c r="AB172" s="3">
        <f>100/$X172*$H172*VLOOKUP($G172&amp;"Total",$D:$AK,25,FALSE)/100+100/$X172*$K172*VLOOKUP($J172&amp;"Total",$D:$AK,25,FALSE)/100+100/$X172*$N172*VLOOKUP($M172&amp;"Total",$D:$AK,25,FALSE)/100+100/$X172*$Q172*VLOOKUP($P172&amp;"Total",$D:$AK,25,FALSE)/100+
(IF($G172=AB$66,$H172,0)+IF($J172=AB$66,$K172,0)+IF($M172=AB$66,$N172,0)+IF($P172=AB$66,$Q172,0))*100/$X172</f>
        <v>0</v>
      </c>
      <c r="AC172" s="3">
        <f>100/$X172*$H172*VLOOKUP($G172&amp;"Total",$D:$AK,26,FALSE)/100+100/$X172*$K172*VLOOKUP($J172&amp;"Total",$D:$AK,26,FALSE)/100+100/$X172*$N172*VLOOKUP($M172&amp;"Total",$D:$AK,26,FALSE)/100+100/$X172*$Q172*VLOOKUP($P172&amp;"Total",$D:$AK,26,FALSE)/100+
(IF($G172=AC$66,$H172,0)+IF($J172=AC$66,$K172,0)+IF($M172=AC$66,$N172,0)+IF($P172=AC$66,$Q172,0))*100/$X172</f>
        <v>0</v>
      </c>
      <c r="AD172" s="3">
        <f>100/$X172*$H172*VLOOKUP($G172&amp;"Total",$D:$AK,27,FALSE)/100+100/$X172*$K172*VLOOKUP($J172&amp;"Total",$D:$AK,27,FALSE)/100+100/$X172*$N172*VLOOKUP($M172&amp;"Total",$D:$AK,27,FALSE)/100+100/$X172*$Q172*VLOOKUP($P172&amp;"Total",$D:$AK,27,FALSE)/100+
(IF($G172=AD$66,$H172,0)+IF($J172=AD$66,$K172,0)+IF($M172=AD$66,$N172,0)+IF($P172=AD$66,$Q172,0))*100/$X172</f>
        <v>1766.6666666666667</v>
      </c>
      <c r="AE172" s="3">
        <f>100/$X172*$H172*VLOOKUP($G172&amp;"Total",$D:$AK,28,FALSE)/100+100/$X172*$K172*VLOOKUP($J172&amp;"Total",$D:$AK,28,FALSE)/100+100/$X172*$N172*VLOOKUP($M172&amp;"Total",$D:$AK,28,FALSE)/100+100/$X172*$Q172*VLOOKUP($P172&amp;"Total",$D:$AK,28,FALSE)/100+
(IF($G172=AE$66,$H172,0)+IF($J172=AE$66,$K172,0)+IF($M172=AE$66,$N172,0)+IF($P172=AE$66,$Q172,0))*100/$X172</f>
        <v>83.333333333333357</v>
      </c>
      <c r="AF172" s="3">
        <f>100/$X172*$H172*VLOOKUP($G172&amp;"Total",$D:$AK,29,FALSE)/100+100/$X172*$K172*VLOOKUP($J172&amp;"Total",$D:$AK,29,FALSE)/100+100/$X172*$N172*VLOOKUP($M172&amp;"Total",$D:$AK,29,FALSE)/100+100/$X172*$Q172*VLOOKUP($P172&amp;"Total",$D:$AK,29,FALSE)/100+
(IF($G172=AF$66,$H172,0)+IF($J172=AF$66,$K172,0)+IF($M172=AF$66,$N172,0)+IF($P172=AF$66,$Q172,0))*100/$X172</f>
        <v>0</v>
      </c>
      <c r="AG172" s="3">
        <f>100/$X172*$H172*VLOOKUP($G172&amp;"Total",$D:$AK,30,FALSE)/100+100/$X172*$K172*VLOOKUP($J172&amp;"Total",$D:$AK,30,FALSE)/100+100/$X172*$N172*VLOOKUP($M172&amp;"Total",$D:$AK,30,FALSE)/100+100/$X172*$Q172*VLOOKUP($P172&amp;"Total",$D:$AK,30,FALSE)/100+
(IF($G172=AG$66,$H172,0)+IF($J172=AG$66,$K172,0)+IF($M172=AG$66,$N172,0)+IF($P172=AG$66,$Q172,0))*100/$X172</f>
        <v>0</v>
      </c>
      <c r="AH172" s="3">
        <f>100/$X172*$H172*VLOOKUP($G172&amp;"Total",$D:$AK,31,FALSE)/100+100/$X172*$K172*VLOOKUP($J172&amp;"Total",$D:$AK,31,FALSE)/100+100/$X172*$N172*VLOOKUP($M172&amp;"Total",$D:$AK,31,FALSE)/100+100/$X172*$Q172*VLOOKUP($P172&amp;"Total",$D:$AK,31,FALSE)/100+
(IF($G172=AH$66,$H172,0)+IF($J172=AH$66,$K172,0)+IF($M172=AH$66,$N172,0)+IF($P172=AH$66,$Q172,0))*100/$X172</f>
        <v>0</v>
      </c>
      <c r="AI172" s="3">
        <f>100/$X172*$H172*VLOOKUP($G172&amp;"Total",$D:$AK,32,FALSE)/100+100/$X172*$K172*VLOOKUP($J172&amp;"Total",$D:$AK,32,FALSE)/100+100/$X172*$N172*VLOOKUP($M172&amp;"Total",$D:$AK,32,FALSE)/100+100/$X172*$Q172*VLOOKUP($P172&amp;"Total",$D:$AK,32,FALSE)/100+
(IF($G172=AI$66,$H172,0)+IF($J172=AI$66,$K172,0)+IF($M172=AI$66,$N172,0)+IF($P172=AI$66,$Q172,0))*100/$X172</f>
        <v>0</v>
      </c>
      <c r="AJ172" s="3">
        <f>100/$X172*$H172*VLOOKUP($G172&amp;"Total",$D:$AK,33,FALSE)/100+100/$X172*$K172*VLOOKUP($J172&amp;"Total",$D:$AK,33,FALSE)/100+100/$X172*$N172*VLOOKUP($M172&amp;"Total",$D:$AK,33,FALSE)/100+100/$X172*$Q172*VLOOKUP($P172&amp;"Total",$D:$AK,33,FALSE)/100+
(IF($G172=AJ$66,$H172,0)+IF($J172=AJ$66,$K172,0)+IF($M172=AJ$66,$N172,0)+IF($P172=AJ$66,$Q172,0))*100/$X172</f>
        <v>0</v>
      </c>
      <c r="AK172" s="3">
        <f>100/$X172*$H172*VLOOKUP($G172&amp;"Total",$D:$AK,34,FALSE)/100+100/$X172*$K172*VLOOKUP($J172&amp;"Total",$D:$AK,34,FALSE)/100+100/$X172*$N172*VLOOKUP($M172&amp;"Total",$D:$AK,34,FALSE)/100+100/$X172*$Q172*VLOOKUP($P172&amp;"Total",$D:$AK,34,FALSE)/100+
(IF($G172=AK$66,$H172,0)+IF($J172=AK$66,$K172,0)+IF($M172=AK$66,$N172,0)+IF($P172=AK$66,$Q172,0))*100/$X172</f>
        <v>0</v>
      </c>
    </row>
    <row r="173" spans="1:37" x14ac:dyDescent="0.25">
      <c r="A173" t="s">
        <v>145</v>
      </c>
      <c r="B173" t="s">
        <v>146</v>
      </c>
      <c r="D173" t="str">
        <f t="shared" si="89"/>
        <v>Versatile Framework</v>
      </c>
      <c r="E173" s="26">
        <f t="shared" si="90"/>
        <v>2923.3150243026357</v>
      </c>
      <c r="G173" t="s">
        <v>132</v>
      </c>
      <c r="H173" s="22">
        <v>3.75</v>
      </c>
      <c r="I173" s="3">
        <f>VLOOKUP(G173&amp;"Total",$D:$AB,2,FALSE)/100*H173</f>
        <v>45.005493560220273</v>
      </c>
      <c r="J173" t="s">
        <v>90</v>
      </c>
      <c r="K173" s="22">
        <v>22.5</v>
      </c>
      <c r="L173" s="3">
        <f>VLOOKUP(J173&amp;"Total",$D:$AB,2,FALSE)/100*K173</f>
        <v>54.871517877862004</v>
      </c>
      <c r="M173" t="s">
        <v>72</v>
      </c>
      <c r="N173" s="22">
        <v>30</v>
      </c>
      <c r="O173" s="3">
        <f>VLOOKUP(M173&amp;"Total",$D:$AB,2,FALSE)/100*N173</f>
        <v>64.371615384615396</v>
      </c>
      <c r="P173" s="22" t="s">
        <v>27</v>
      </c>
      <c r="Q173" s="22"/>
      <c r="R173" s="3">
        <f>VLOOKUP(P173&amp;"Total",$D:$AB,2,FALSE)/100*Q173</f>
        <v>0</v>
      </c>
      <c r="T173" s="3">
        <f t="shared" si="91"/>
        <v>164.24862682269767</v>
      </c>
      <c r="V173" s="22" t="s">
        <v>111</v>
      </c>
      <c r="W173" s="22">
        <v>55</v>
      </c>
      <c r="X173" s="22">
        <v>7.5</v>
      </c>
      <c r="AA173" s="3">
        <f>100/$X173*$H173*VLOOKUP($G173&amp;"Total",$D:$AK,24,FALSE)/100+100/$X173*$K173*VLOOKUP($J173&amp;"Total",$D:$AK,24,FALSE)/100+100/$X173*$N173*VLOOKUP($M173&amp;"Total",$D:$AK,24,FALSE)/100+100/$X173*$Q173*VLOOKUP($P173&amp;"Total",$D:$AK,24,FALSE)/100+
(IF($G173=AA$66,$H173,0)+IF($J173=AA$66,$K173,0)+IF($M173=AA$66,$N173,0)+IF($P173=AA$66,$Q173,0))*100/$X173</f>
        <v>1133.3333333333335</v>
      </c>
      <c r="AB173" s="3">
        <f>100/$X173*$H173*VLOOKUP($G173&amp;"Total",$D:$AK,25,FALSE)/100+100/$X173*$K173*VLOOKUP($J173&amp;"Total",$D:$AK,25,FALSE)/100+100/$X173*$N173*VLOOKUP($M173&amp;"Total",$D:$AK,25,FALSE)/100+100/$X173*$Q173*VLOOKUP($P173&amp;"Total",$D:$AK,25,FALSE)/100+
(IF($G173=AB$66,$H173,0)+IF($J173=AB$66,$K173,0)+IF($M173=AB$66,$N173,0)+IF($P173=AB$66,$Q173,0))*100/$X173</f>
        <v>0</v>
      </c>
      <c r="AC173" s="3">
        <f>100/$X173*$H173*VLOOKUP($G173&amp;"Total",$D:$AK,26,FALSE)/100+100/$X173*$K173*VLOOKUP($J173&amp;"Total",$D:$AK,26,FALSE)/100+100/$X173*$N173*VLOOKUP($M173&amp;"Total",$D:$AK,26,FALSE)/100+100/$X173*$Q173*VLOOKUP($P173&amp;"Total",$D:$AK,26,FALSE)/100+
(IF($G173=AC$66,$H173,0)+IF($J173=AC$66,$K173,0)+IF($M173=AC$66,$N173,0)+IF($P173=AC$66,$Q173,0))*100/$X173</f>
        <v>0</v>
      </c>
      <c r="AD173" s="3">
        <f>100/$X173*$H173*VLOOKUP($G173&amp;"Total",$D:$AK,27,FALSE)/100+100/$X173*$K173*VLOOKUP($J173&amp;"Total",$D:$AK,27,FALSE)/100+100/$X173*$N173*VLOOKUP($M173&amp;"Total",$D:$AK,27,FALSE)/100+100/$X173*$Q173*VLOOKUP($P173&amp;"Total",$D:$AK,27,FALSE)/100+
(IF($G173=AD$66,$H173,0)+IF($J173=AD$66,$K173,0)+IF($M173=AD$66,$N173,0)+IF($P173=AD$66,$Q173,0))*100/$X173</f>
        <v>966.66666666666674</v>
      </c>
      <c r="AE173" s="3">
        <f>100/$X173*$H173*VLOOKUP($G173&amp;"Total",$D:$AK,28,FALSE)/100+100/$X173*$K173*VLOOKUP($J173&amp;"Total",$D:$AK,28,FALSE)/100+100/$X173*$N173*VLOOKUP($M173&amp;"Total",$D:$AK,28,FALSE)/100+100/$X173*$Q173*VLOOKUP($P173&amp;"Total",$D:$AK,28,FALSE)/100+
(IF($G173=AE$66,$H173,0)+IF($J173=AE$66,$K173,0)+IF($M173=AE$66,$N173,0)+IF($P173=AE$66,$Q173,0))*100/$X173</f>
        <v>83.333333333333357</v>
      </c>
      <c r="AF173" s="3">
        <f>100/$X173*$H173*VLOOKUP($G173&amp;"Total",$D:$AK,29,FALSE)/100+100/$X173*$K173*VLOOKUP($J173&amp;"Total",$D:$AK,29,FALSE)/100+100/$X173*$N173*VLOOKUP($M173&amp;"Total",$D:$AK,29,FALSE)/100+100/$X173*$Q173*VLOOKUP($P173&amp;"Total",$D:$AK,29,FALSE)/100+
(IF($G173=AF$66,$H173,0)+IF($J173=AF$66,$K173,0)+IF($M173=AF$66,$N173,0)+IF($P173=AF$66,$Q173,0))*100/$X173</f>
        <v>0</v>
      </c>
      <c r="AG173" s="3">
        <f>100/$X173*$H173*VLOOKUP($G173&amp;"Total",$D:$AK,30,FALSE)/100+100/$X173*$K173*VLOOKUP($J173&amp;"Total",$D:$AK,30,FALSE)/100+100/$X173*$N173*VLOOKUP($M173&amp;"Total",$D:$AK,30,FALSE)/100+100/$X173*$Q173*VLOOKUP($P173&amp;"Total",$D:$AK,30,FALSE)/100+
(IF($G173=AG$66,$H173,0)+IF($J173=AG$66,$K173,0)+IF($M173=AG$66,$N173,0)+IF($P173=AG$66,$Q173,0))*100/$X173</f>
        <v>0</v>
      </c>
      <c r="AH173" s="3">
        <f>100/$X173*$H173*VLOOKUP($G173&amp;"Total",$D:$AK,31,FALSE)/100+100/$X173*$K173*VLOOKUP($J173&amp;"Total",$D:$AK,31,FALSE)/100+100/$X173*$N173*VLOOKUP($M173&amp;"Total",$D:$AK,31,FALSE)/100+100/$X173*$Q173*VLOOKUP($P173&amp;"Total",$D:$AK,31,FALSE)/100+
(IF($G173=AH$66,$H173,0)+IF($J173=AH$66,$K173,0)+IF($M173=AH$66,$N173,0)+IF($P173=AH$66,$Q173,0))*100/$X173</f>
        <v>0</v>
      </c>
      <c r="AI173" s="3">
        <f>100/$X173*$H173*VLOOKUP($G173&amp;"Total",$D:$AK,32,FALSE)/100+100/$X173*$K173*VLOOKUP($J173&amp;"Total",$D:$AK,32,FALSE)/100+100/$X173*$N173*VLOOKUP($M173&amp;"Total",$D:$AK,32,FALSE)/100+100/$X173*$Q173*VLOOKUP($P173&amp;"Total",$D:$AK,32,FALSE)/100+
(IF($G173=AI$66,$H173,0)+IF($J173=AI$66,$K173,0)+IF($M173=AI$66,$N173,0)+IF($P173=AI$66,$Q173,0))*100/$X173</f>
        <v>0</v>
      </c>
      <c r="AJ173" s="3">
        <f>100/$X173*$H173*VLOOKUP($G173&amp;"Total",$D:$AK,33,FALSE)/100+100/$X173*$K173*VLOOKUP($J173&amp;"Total",$D:$AK,33,FALSE)/100+100/$X173*$N173*VLOOKUP($M173&amp;"Total",$D:$AK,33,FALSE)/100+100/$X173*$Q173*VLOOKUP($P173&amp;"Total",$D:$AK,33,FALSE)/100+
(IF($G173=AJ$66,$H173,0)+IF($J173=AJ$66,$K173,0)+IF($M173=AJ$66,$N173,0)+IF($P173=AJ$66,$Q173,0))*100/$X173</f>
        <v>0</v>
      </c>
      <c r="AK173" s="3">
        <f>100/$X173*$H173*VLOOKUP($G173&amp;"Total",$D:$AK,34,FALSE)/100+100/$X173*$K173*VLOOKUP($J173&amp;"Total",$D:$AK,34,FALSE)/100+100/$X173*$N173*VLOOKUP($M173&amp;"Total",$D:$AK,34,FALSE)/100+100/$X173*$Q173*VLOOKUP($P173&amp;"Total",$D:$AK,34,FALSE)/100+
(IF($G173=AK$66,$H173,0)+IF($J173=AK$66,$K173,0)+IF($M173=AK$66,$N173,0)+IF($P173=AK$66,$Q173,0))*100/$X173</f>
        <v>600</v>
      </c>
    </row>
    <row r="174" spans="1:37" x14ac:dyDescent="0.25">
      <c r="E174" s="25"/>
      <c r="G174" s="22"/>
      <c r="H174" s="22"/>
      <c r="J174" s="22"/>
      <c r="K174" s="22"/>
      <c r="M174" s="22"/>
      <c r="N174" s="22"/>
      <c r="P174" s="22"/>
      <c r="Q174" s="22"/>
      <c r="V174" s="22"/>
      <c r="W174" s="22"/>
      <c r="X174" s="22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x14ac:dyDescent="0.25">
      <c r="A175" t="s">
        <v>147</v>
      </c>
      <c r="B175" t="s">
        <v>147</v>
      </c>
      <c r="C175" t="s">
        <v>17</v>
      </c>
      <c r="D175" t="str">
        <f t="shared" ref="D175:D176" si="92">A175&amp;C175</f>
        <v>Automated WiringTotal</v>
      </c>
      <c r="E175" s="26">
        <f t="shared" ref="E175:E176" si="93">100/X175*(T175+W175)</f>
        <v>1834.7383929262069</v>
      </c>
      <c r="G175" t="s">
        <v>117</v>
      </c>
      <c r="H175" s="22">
        <v>2.5</v>
      </c>
      <c r="I175" s="3">
        <f>VLOOKUP(G175&amp;"Total",$D:$AB,2,FALSE)/100*H175</f>
        <v>13.285126489821835</v>
      </c>
      <c r="J175" t="s">
        <v>97</v>
      </c>
      <c r="K175" s="22">
        <v>50</v>
      </c>
      <c r="L175" s="3">
        <f>VLOOKUP(J175&amp;"Total",$D:$AB,2,FALSE)/100*K175</f>
        <v>17.583333333333336</v>
      </c>
      <c r="M175" s="22" t="s">
        <v>27</v>
      </c>
      <c r="N175" s="22"/>
      <c r="O175" s="3">
        <f>VLOOKUP(M175&amp;"Total",$D:$AB,2,FALSE)/100*N175</f>
        <v>0</v>
      </c>
      <c r="P175" s="22" t="s">
        <v>27</v>
      </c>
      <c r="Q175" s="22"/>
      <c r="R175" s="3">
        <f>VLOOKUP(P175&amp;"Total",$D:$AB,2,FALSE)/100*Q175</f>
        <v>0</v>
      </c>
      <c r="T175" s="3">
        <f t="shared" ref="T175:T176" si="94">I175+L175+O175+R175</f>
        <v>30.86845982315517</v>
      </c>
      <c r="V175" s="22" t="s">
        <v>70</v>
      </c>
      <c r="W175" s="22">
        <v>15</v>
      </c>
      <c r="X175" s="22">
        <v>2.5</v>
      </c>
      <c r="AA175" s="3">
        <f>100/$X175*$H175*VLOOKUP($G175&amp;"Total",$D:$AK,24,FALSE)/100+100/$X175*$K175*VLOOKUP($J175&amp;"Total",$D:$AK,24,FALSE)/100+100/$X175*$N175*VLOOKUP($M175&amp;"Total",$D:$AK,24,FALSE)/100+100/$X175*$Q175*VLOOKUP($P175&amp;"Total",$D:$AK,24,FALSE)/100+
(IF($G175=AA$66,$H175,0)+IF($J175=AA$66,$K175,0)+IF($M175=AA$66,$N175,0)+IF($P175=AA$66,$Q175,0))*100/$X175</f>
        <v>200</v>
      </c>
      <c r="AB175" s="3">
        <f>100/$X175*$H175*VLOOKUP($G175&amp;"Total",$D:$AK,25,FALSE)/100+100/$X175*$K175*VLOOKUP($J175&amp;"Total",$D:$AK,25,FALSE)/100+100/$X175*$N175*VLOOKUP($M175&amp;"Total",$D:$AK,25,FALSE)/100+100/$X175*$Q175*VLOOKUP($P175&amp;"Total",$D:$AK,25,FALSE)/100+
(IF($G175=AB$66,$H175,0)+IF($J175=AB$66,$K175,0)+IF($M175=AB$66,$N175,0)+IF($P175=AB$66,$Q175,0))*100/$X175</f>
        <v>0</v>
      </c>
      <c r="AC175" s="3">
        <f>100/$X175*$H175*VLOOKUP($G175&amp;"Total",$D:$AK,26,FALSE)/100+100/$X175*$K175*VLOOKUP($J175&amp;"Total",$D:$AK,26,FALSE)/100+100/$X175*$N175*VLOOKUP($M175&amp;"Total",$D:$AK,26,FALSE)/100+100/$X175*$Q175*VLOOKUP($P175&amp;"Total",$D:$AK,26,FALSE)/100+
(IF($G175=AC$66,$H175,0)+IF($J175=AC$66,$K175,0)+IF($M175=AC$66,$N175,0)+IF($P175=AC$66,$Q175,0))*100/$X175</f>
        <v>0</v>
      </c>
      <c r="AD175" s="3">
        <f>100/$X175*$H175*VLOOKUP($G175&amp;"Total",$D:$AK,27,FALSE)/100+100/$X175*$K175*VLOOKUP($J175&amp;"Total",$D:$AK,27,FALSE)/100+100/$X175*$N175*VLOOKUP($M175&amp;"Total",$D:$AK,27,FALSE)/100+100/$X175*$Q175*VLOOKUP($P175&amp;"Total",$D:$AK,27,FALSE)/100+
(IF($G175=AD$66,$H175,0)+IF($J175=AD$66,$K175,0)+IF($M175=AD$66,$N175,0)+IF($P175=AD$66,$Q175,0))*100/$X175</f>
        <v>200</v>
      </c>
      <c r="AE175" s="3">
        <f>100/$X175*$H175*VLOOKUP($G175&amp;"Total",$D:$AK,28,FALSE)/100+100/$X175*$K175*VLOOKUP($J175&amp;"Total",$D:$AK,28,FALSE)/100+100/$X175*$N175*VLOOKUP($M175&amp;"Total",$D:$AK,28,FALSE)/100+100/$X175*$Q175*VLOOKUP($P175&amp;"Total",$D:$AK,28,FALSE)/100+
(IF($G175=AE$66,$H175,0)+IF($J175=AE$66,$K175,0)+IF($M175=AE$66,$N175,0)+IF($P175=AE$66,$Q175,0))*100/$X175</f>
        <v>1950</v>
      </c>
      <c r="AF175" s="3">
        <f>100/$X175*$H175*VLOOKUP($G175&amp;"Total",$D:$AK,29,FALSE)/100+100/$X175*$K175*VLOOKUP($J175&amp;"Total",$D:$AK,29,FALSE)/100+100/$X175*$N175*VLOOKUP($M175&amp;"Total",$D:$AK,29,FALSE)/100+100/$X175*$Q175*VLOOKUP($P175&amp;"Total",$D:$AK,29,FALSE)/100+
(IF($G175=AF$66,$H175,0)+IF($J175=AF$66,$K175,0)+IF($M175=AF$66,$N175,0)+IF($P175=AF$66,$Q175,0))*100/$X175</f>
        <v>0</v>
      </c>
      <c r="AG175" s="3">
        <f>100/$X175*$H175*VLOOKUP($G175&amp;"Total",$D:$AK,30,FALSE)/100+100/$X175*$K175*VLOOKUP($J175&amp;"Total",$D:$AK,30,FALSE)/100+100/$X175*$N175*VLOOKUP($M175&amp;"Total",$D:$AK,30,FALSE)/100+100/$X175*$Q175*VLOOKUP($P175&amp;"Total",$D:$AK,30,FALSE)/100+
(IF($G175=AG$66,$H175,0)+IF($J175=AG$66,$K175,0)+IF($M175=AG$66,$N175,0)+IF($P175=AG$66,$Q175,0))*100/$X175</f>
        <v>0</v>
      </c>
      <c r="AH175" s="3">
        <f>100/$X175*$H175*VLOOKUP($G175&amp;"Total",$D:$AK,31,FALSE)/100+100/$X175*$K175*VLOOKUP($J175&amp;"Total",$D:$AK,31,FALSE)/100+100/$X175*$N175*VLOOKUP($M175&amp;"Total",$D:$AK,31,FALSE)/100+100/$X175*$Q175*VLOOKUP($P175&amp;"Total",$D:$AK,31,FALSE)/100+
(IF($G175=AH$66,$H175,0)+IF($J175=AH$66,$K175,0)+IF($M175=AH$66,$N175,0)+IF($P175=AH$66,$Q175,0))*100/$X175</f>
        <v>0</v>
      </c>
      <c r="AI175" s="3">
        <f>100/$X175*$H175*VLOOKUP($G175&amp;"Total",$D:$AK,32,FALSE)/100+100/$X175*$K175*VLOOKUP($J175&amp;"Total",$D:$AK,32,FALSE)/100+100/$X175*$N175*VLOOKUP($M175&amp;"Total",$D:$AK,32,FALSE)/100+100/$X175*$Q175*VLOOKUP($P175&amp;"Total",$D:$AK,32,FALSE)/100+
(IF($G175=AI$66,$H175,0)+IF($J175=AI$66,$K175,0)+IF($M175=AI$66,$N175,0)+IF($P175=AI$66,$Q175,0))*100/$X175</f>
        <v>0</v>
      </c>
      <c r="AJ175" s="3">
        <f>100/$X175*$H175*VLOOKUP($G175&amp;"Total",$D:$AK,33,FALSE)/100+100/$X175*$K175*VLOOKUP($J175&amp;"Total",$D:$AK,33,FALSE)/100+100/$X175*$N175*VLOOKUP($M175&amp;"Total",$D:$AK,33,FALSE)/100+100/$X175*$Q175*VLOOKUP($P175&amp;"Total",$D:$AK,33,FALSE)/100+
(IF($G175=AJ$66,$H175,0)+IF($J175=AJ$66,$K175,0)+IF($M175=AJ$66,$N175,0)+IF($P175=AJ$66,$Q175,0))*100/$X175</f>
        <v>0</v>
      </c>
      <c r="AK175" s="3">
        <f>100/$X175*$H175*VLOOKUP($G175&amp;"Total",$D:$AK,34,FALSE)/100+100/$X175*$K175*VLOOKUP($J175&amp;"Total",$D:$AK,34,FALSE)/100+100/$X175*$N175*VLOOKUP($M175&amp;"Total",$D:$AK,34,FALSE)/100+100/$X175*$Q175*VLOOKUP($P175&amp;"Total",$D:$AK,34,FALSE)/100+
(IF($G175=AK$66,$H175,0)+IF($J175=AK$66,$K175,0)+IF($M175=AK$66,$N175,0)+IF($P175=AK$66,$Q175,0))*100/$X175</f>
        <v>0</v>
      </c>
    </row>
    <row r="176" spans="1:37" x14ac:dyDescent="0.25">
      <c r="A176" t="s">
        <v>147</v>
      </c>
      <c r="B176" t="s">
        <v>148</v>
      </c>
      <c r="D176" t="str">
        <f t="shared" si="92"/>
        <v>Automated Wiring</v>
      </c>
      <c r="E176" s="26">
        <f t="shared" si="93"/>
        <v>1859.3136869446266</v>
      </c>
      <c r="G176" t="s">
        <v>117</v>
      </c>
      <c r="H176" s="22">
        <v>3.75</v>
      </c>
      <c r="I176" s="3">
        <f>VLOOKUP(G176&amp;"Total",$D:$AB,2,FALSE)/100*H176</f>
        <v>19.927689734732752</v>
      </c>
      <c r="J176" t="s">
        <v>91</v>
      </c>
      <c r="K176" s="22">
        <v>75</v>
      </c>
      <c r="L176" s="3">
        <f>VLOOKUP(J176&amp;"Total",$D:$AB,2,FALSE)/100*K176</f>
        <v>8.1875</v>
      </c>
      <c r="M176" t="s">
        <v>110</v>
      </c>
      <c r="N176" s="22">
        <v>1.875</v>
      </c>
      <c r="O176" s="3">
        <f>VLOOKUP(M176&amp;"Total",$D:$AB,2,FALSE)/100*N176</f>
        <v>56.333336786114231</v>
      </c>
      <c r="P176" s="22" t="s">
        <v>27</v>
      </c>
      <c r="Q176" s="22"/>
      <c r="R176" s="3">
        <f>VLOOKUP(P176&amp;"Total",$D:$AB,2,FALSE)/100*Q176</f>
        <v>0</v>
      </c>
      <c r="T176" s="3">
        <f t="shared" si="94"/>
        <v>84.448526520846983</v>
      </c>
      <c r="V176" s="22" t="s">
        <v>111</v>
      </c>
      <c r="W176" s="22">
        <v>55</v>
      </c>
      <c r="X176" s="22">
        <v>7.5</v>
      </c>
      <c r="AA176" s="3">
        <f>100/$X176*$H176*VLOOKUP($G176&amp;"Total",$D:$AK,24,FALSE)/100+100/$X176*$K176*VLOOKUP($J176&amp;"Total",$D:$AK,24,FALSE)/100+100/$X176*$N176*VLOOKUP($M176&amp;"Total",$D:$AK,24,FALSE)/100+100/$X176*$Q176*VLOOKUP($P176&amp;"Total",$D:$AK,24,FALSE)/100+
(IF($G176=AA$66,$H176,0)+IF($J176=AA$66,$K176,0)+IF($M176=AA$66,$N176,0)+IF($P176=AA$66,$Q176,0))*100/$X176</f>
        <v>100</v>
      </c>
      <c r="AB176" s="3">
        <f>100/$X176*$H176*VLOOKUP($G176&amp;"Total",$D:$AK,25,FALSE)/100+100/$X176*$K176*VLOOKUP($J176&amp;"Total",$D:$AK,25,FALSE)/100+100/$X176*$N176*VLOOKUP($M176&amp;"Total",$D:$AK,25,FALSE)/100+100/$X176*$Q176*VLOOKUP($P176&amp;"Total",$D:$AK,25,FALSE)/100+
(IF($G176=AB$66,$H176,0)+IF($J176=AB$66,$K176,0)+IF($M176=AB$66,$N176,0)+IF($P176=AB$66,$Q176,0))*100/$X176</f>
        <v>110</v>
      </c>
      <c r="AC176" s="3">
        <f>100/$X176*$H176*VLOOKUP($G176&amp;"Total",$D:$AK,26,FALSE)/100+100/$X176*$K176*VLOOKUP($J176&amp;"Total",$D:$AK,26,FALSE)/100+100/$X176*$N176*VLOOKUP($M176&amp;"Total",$D:$AK,26,FALSE)/100+100/$X176*$Q176*VLOOKUP($P176&amp;"Total",$D:$AK,26,FALSE)/100+
(IF($G176=AC$66,$H176,0)+IF($J176=AC$66,$K176,0)+IF($M176=AC$66,$N176,0)+IF($P176=AC$66,$Q176,0))*100/$X176</f>
        <v>0</v>
      </c>
      <c r="AD176" s="3">
        <f>100/$X176*$H176*VLOOKUP($G176&amp;"Total",$D:$AK,27,FALSE)/100+100/$X176*$K176*VLOOKUP($J176&amp;"Total",$D:$AK,27,FALSE)/100+100/$X176*$N176*VLOOKUP($M176&amp;"Total",$D:$AK,27,FALSE)/100+100/$X176*$Q176*VLOOKUP($P176&amp;"Total",$D:$AK,27,FALSE)/100+
(IF($G176=AD$66,$H176,0)+IF($J176=AD$66,$K176,0)+IF($M176=AD$66,$N176,0)+IF($P176=AD$66,$Q176,0))*100/$X176</f>
        <v>100</v>
      </c>
      <c r="AE176" s="3">
        <f>100/$X176*$H176*VLOOKUP($G176&amp;"Total",$D:$AK,28,FALSE)/100+100/$X176*$K176*VLOOKUP($J176&amp;"Total",$D:$AK,28,FALSE)/100+100/$X176*$N176*VLOOKUP($M176&amp;"Total",$D:$AK,28,FALSE)/100+100/$X176*$Q176*VLOOKUP($P176&amp;"Total",$D:$AK,28,FALSE)/100+
(IF($G176=AE$66,$H176,0)+IF($J176=AE$66,$K176,0)+IF($M176=AE$66,$N176,0)+IF($P176=AE$66,$Q176,0))*100/$X176</f>
        <v>1050</v>
      </c>
      <c r="AF176" s="3">
        <f>100/$X176*$H176*VLOOKUP($G176&amp;"Total",$D:$AK,29,FALSE)/100+100/$X176*$K176*VLOOKUP($J176&amp;"Total",$D:$AK,29,FALSE)/100+100/$X176*$N176*VLOOKUP($M176&amp;"Total",$D:$AK,29,FALSE)/100+100/$X176*$Q176*VLOOKUP($P176&amp;"Total",$D:$AK,29,FALSE)/100+
(IF($G176=AF$66,$H176,0)+IF($J176=AF$66,$K176,0)+IF($M176=AF$66,$N176,0)+IF($P176=AF$66,$Q176,0))*100/$X176</f>
        <v>220.5</v>
      </c>
      <c r="AG176" s="3">
        <f>100/$X176*$H176*VLOOKUP($G176&amp;"Total",$D:$AK,30,FALSE)/100+100/$X176*$K176*VLOOKUP($J176&amp;"Total",$D:$AK,30,FALSE)/100+100/$X176*$N176*VLOOKUP($M176&amp;"Total",$D:$AK,30,FALSE)/100+100/$X176*$Q176*VLOOKUP($P176&amp;"Total",$D:$AK,30,FALSE)/100+
(IF($G176=AG$66,$H176,0)+IF($J176=AG$66,$K176,0)+IF($M176=AG$66,$N176,0)+IF($P176=AG$66,$Q176,0))*100/$X176</f>
        <v>0</v>
      </c>
      <c r="AH176" s="3">
        <f>100/$X176*$H176*VLOOKUP($G176&amp;"Total",$D:$AK,31,FALSE)/100+100/$X176*$K176*VLOOKUP($J176&amp;"Total",$D:$AK,31,FALSE)/100+100/$X176*$N176*VLOOKUP($M176&amp;"Total",$D:$AK,31,FALSE)/100+100/$X176*$Q176*VLOOKUP($P176&amp;"Total",$D:$AK,31,FALSE)/100+
(IF($G176=AH$66,$H176,0)+IF($J176=AH$66,$K176,0)+IF($M176=AH$66,$N176,0)+IF($P176=AH$66,$Q176,0))*100/$X176</f>
        <v>0</v>
      </c>
      <c r="AI176" s="3">
        <f>100/$X176*$H176*VLOOKUP($G176&amp;"Total",$D:$AK,32,FALSE)/100+100/$X176*$K176*VLOOKUP($J176&amp;"Total",$D:$AK,32,FALSE)/100+100/$X176*$N176*VLOOKUP($M176&amp;"Total",$D:$AK,32,FALSE)/100+100/$X176*$Q176*VLOOKUP($P176&amp;"Total",$D:$AK,32,FALSE)/100+
(IF($G176=AI$66,$H176,0)+IF($J176=AI$66,$K176,0)+IF($M176=AI$66,$N176,0)+IF($P176=AI$66,$Q176,0))*100/$X176</f>
        <v>0</v>
      </c>
      <c r="AJ176" s="3">
        <f>100/$X176*$H176*VLOOKUP($G176&amp;"Total",$D:$AK,33,FALSE)/100+100/$X176*$K176*VLOOKUP($J176&amp;"Total",$D:$AK,33,FALSE)/100+100/$X176*$N176*VLOOKUP($M176&amp;"Total",$D:$AK,33,FALSE)/100+100/$X176*$Q176*VLOOKUP($P176&amp;"Total",$D:$AK,33,FALSE)/100+
(IF($G176=AJ$66,$H176,0)+IF($J176=AJ$66,$K176,0)+IF($M176=AJ$66,$N176,0)+IF($P176=AJ$66,$Q176,0))*100/$X176</f>
        <v>0</v>
      </c>
      <c r="AK176" s="3">
        <f>100/$X176*$H176*VLOOKUP($G176&amp;"Total",$D:$AK,34,FALSE)/100+100/$X176*$K176*VLOOKUP($J176&amp;"Total",$D:$AK,34,FALSE)/100+100/$X176*$N176*VLOOKUP($M176&amp;"Total",$D:$AK,34,FALSE)/100+100/$X176*$Q176*VLOOKUP($P176&amp;"Total",$D:$AK,34,FALSE)/100+
(IF($G176=AK$66,$H176,0)+IF($J176=AK$66,$K176,0)+IF($M176=AK$66,$N176,0)+IF($P176=AK$66,$Q176,0))*100/$X176</f>
        <v>0</v>
      </c>
    </row>
    <row r="177" spans="1:37" x14ac:dyDescent="0.25">
      <c r="E177" s="25"/>
      <c r="G177" s="22"/>
      <c r="H177" s="22"/>
      <c r="J177" s="22"/>
      <c r="K177" s="22"/>
      <c r="M177" s="22"/>
      <c r="N177" s="22"/>
      <c r="P177" s="22"/>
      <c r="Q177" s="22"/>
      <c r="V177" s="22"/>
      <c r="W177" s="22"/>
      <c r="X177" s="22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x14ac:dyDescent="0.25">
      <c r="A178" t="s">
        <v>149</v>
      </c>
      <c r="B178" t="s">
        <v>149</v>
      </c>
      <c r="D178" t="str">
        <f>A178&amp;C178</f>
        <v>Motor</v>
      </c>
      <c r="E178" s="26">
        <f t="shared" ref="E178:E180" si="95">100/X178*(T178+W178)</f>
        <v>2233.8282422195152</v>
      </c>
      <c r="G178" t="s">
        <v>139</v>
      </c>
      <c r="H178" s="22">
        <v>10</v>
      </c>
      <c r="I178" s="3">
        <f>VLOOKUP(G178&amp;"Total",$D:$AB,2,FALSE)/100*H178</f>
        <v>43.550906151688416</v>
      </c>
      <c r="J178" t="s">
        <v>117</v>
      </c>
      <c r="K178" s="22">
        <v>10</v>
      </c>
      <c r="L178" s="3">
        <f>VLOOKUP(J178&amp;"Total",$D:$AB,2,FALSE)/100*K178</f>
        <v>53.140505959287339</v>
      </c>
      <c r="M178" s="22" t="s">
        <v>27</v>
      </c>
      <c r="N178" s="22"/>
      <c r="O178" s="3">
        <f>VLOOKUP(M178&amp;"Total",$D:$AB,2,FALSE)/100*N178</f>
        <v>0</v>
      </c>
      <c r="P178" s="22" t="s">
        <v>27</v>
      </c>
      <c r="Q178" s="22"/>
      <c r="R178" s="3">
        <f>VLOOKUP(P178&amp;"Total",$D:$AB,2,FALSE)/100*Q178</f>
        <v>0</v>
      </c>
      <c r="T178" s="3">
        <f t="shared" ref="T178:T180" si="96">I178+L178+O178+R178</f>
        <v>96.691412110975762</v>
      </c>
      <c r="V178" s="22" t="s">
        <v>70</v>
      </c>
      <c r="W178" s="22">
        <v>15</v>
      </c>
      <c r="X178" s="22">
        <v>5</v>
      </c>
      <c r="Z178" s="21" t="s">
        <v>133</v>
      </c>
      <c r="AA178" s="3">
        <f>100/$X178*$H178*VLOOKUP($G178&amp;"Total",$D:$AK,24,FALSE)/100+100/$X178*$K178*VLOOKUP($J178&amp;"Total",$D:$AK,24,FALSE)/100+100/$X178*$N178*VLOOKUP($M178&amp;"Total",$D:$AK,24,FALSE)/100+100/$X178*$Q178*VLOOKUP($P178&amp;"Total",$D:$AK,24,FALSE)/100+
(IF($G178=AA$66,$H178,0)+IF($J178=AA$66,$K178,0)+IF($M178=AA$66,$N178,0)+IF($P178=AA$66,$Q178,0))*100/$X178</f>
        <v>577.77777777777783</v>
      </c>
      <c r="AB178" s="3">
        <f>100/$X178*$H178*VLOOKUP($G178&amp;"Total",$D:$AK,25,FALSE)/100+100/$X178*$K178*VLOOKUP($J178&amp;"Total",$D:$AK,25,FALSE)/100+100/$X178*$N178*VLOOKUP($M178&amp;"Total",$D:$AK,25,FALSE)/100+100/$X178*$Q178*VLOOKUP($P178&amp;"Total",$D:$AK,25,FALSE)/100+
(IF($G178=AB$66,$H178,0)+IF($J178=AB$66,$K178,0)+IF($M178=AB$66,$N178,0)+IF($P178=AB$66,$Q178,0))*100/$X178</f>
        <v>800</v>
      </c>
      <c r="AC178" s="3">
        <f>100/$X178*$H178*VLOOKUP($G178&amp;"Total",$D:$AK,26,FALSE)/100+100/$X178*$K178*VLOOKUP($J178&amp;"Total",$D:$AK,26,FALSE)/100+100/$X178*$N178*VLOOKUP($M178&amp;"Total",$D:$AK,26,FALSE)/100+100/$X178*$Q178*VLOOKUP($P178&amp;"Total",$D:$AK,26,FALSE)/100+
(IF($G178=AC$66,$H178,0)+IF($J178=AC$66,$K178,0)+IF($M178=AC$66,$N178,0)+IF($P178=AC$66,$Q178,0))*100/$X178</f>
        <v>0</v>
      </c>
      <c r="AD178" s="3">
        <f>100/$X178*$H178*VLOOKUP($G178&amp;"Total",$D:$AK,27,FALSE)/100+100/$X178*$K178*VLOOKUP($J178&amp;"Total",$D:$AK,27,FALSE)/100+100/$X178*$N178*VLOOKUP($M178&amp;"Total",$D:$AK,27,FALSE)/100+100/$X178*$Q178*VLOOKUP($P178&amp;"Total",$D:$AK,27,FALSE)/100+
(IF($G178=AD$66,$H178,0)+IF($J178=AD$66,$K178,0)+IF($M178=AD$66,$N178,0)+IF($P178=AD$66,$Q178,0))*100/$X178</f>
        <v>577.77777777777783</v>
      </c>
      <c r="AE178" s="3">
        <f>100/$X178*$H178*VLOOKUP($G178&amp;"Total",$D:$AK,28,FALSE)/100+100/$X178*$K178*VLOOKUP($J178&amp;"Total",$D:$AK,28,FALSE)/100+100/$X178*$N178*VLOOKUP($M178&amp;"Total",$D:$AK,28,FALSE)/100+100/$X178*$Q178*VLOOKUP($P178&amp;"Total",$D:$AK,28,FALSE)/100+
(IF($G178=AE$66,$H178,0)+IF($J178=AE$66,$K178,0)+IF($M178=AE$66,$N178,0)+IF($P178=AE$66,$Q178,0))*100/$X178</f>
        <v>900</v>
      </c>
      <c r="AF178" s="3">
        <f>100/$X178*$H178*VLOOKUP($G178&amp;"Total",$D:$AK,29,FALSE)/100+100/$X178*$K178*VLOOKUP($J178&amp;"Total",$D:$AK,29,FALSE)/100+100/$X178*$N178*VLOOKUP($M178&amp;"Total",$D:$AK,29,FALSE)/100+100/$X178*$Q178*VLOOKUP($P178&amp;"Total",$D:$AK,29,FALSE)/100+
(IF($G178=AF$66,$H178,0)+IF($J178=AF$66,$K178,0)+IF($M178=AF$66,$N178,0)+IF($P178=AF$66,$Q178,0))*100/$X178</f>
        <v>0</v>
      </c>
      <c r="AG178" s="3">
        <f>100/$X178*$H178*VLOOKUP($G178&amp;"Total",$D:$AK,30,FALSE)/100+100/$X178*$K178*VLOOKUP($J178&amp;"Total",$D:$AK,30,FALSE)/100+100/$X178*$N178*VLOOKUP($M178&amp;"Total",$D:$AK,30,FALSE)/100+100/$X178*$Q178*VLOOKUP($P178&amp;"Total",$D:$AK,30,FALSE)/100+
(IF($G178=AG$66,$H178,0)+IF($J178=AG$66,$K178,0)+IF($M178=AG$66,$N178,0)+IF($P178=AG$66,$Q178,0))*100/$X178</f>
        <v>0</v>
      </c>
      <c r="AH178" s="3">
        <f>100/$X178*$H178*VLOOKUP($G178&amp;"Total",$D:$AK,31,FALSE)/100+100/$X178*$K178*VLOOKUP($J178&amp;"Total",$D:$AK,31,FALSE)/100+100/$X178*$N178*VLOOKUP($M178&amp;"Total",$D:$AK,31,FALSE)/100+100/$X178*$Q178*VLOOKUP($P178&amp;"Total",$D:$AK,31,FALSE)/100+
(IF($G178=AH$66,$H178,0)+IF($J178=AH$66,$K178,0)+IF($M178=AH$66,$N178,0)+IF($P178=AH$66,$Q178,0))*100/$X178</f>
        <v>0</v>
      </c>
      <c r="AI178" s="3">
        <f>100/$X178*$H178*VLOOKUP($G178&amp;"Total",$D:$AK,32,FALSE)/100+100/$X178*$K178*VLOOKUP($J178&amp;"Total",$D:$AK,32,FALSE)/100+100/$X178*$N178*VLOOKUP($M178&amp;"Total",$D:$AK,32,FALSE)/100+100/$X178*$Q178*VLOOKUP($P178&amp;"Total",$D:$AK,32,FALSE)/100+
(IF($G178=AI$66,$H178,0)+IF($J178=AI$66,$K178,0)+IF($M178=AI$66,$N178,0)+IF($P178=AI$66,$Q178,0))*100/$X178</f>
        <v>0</v>
      </c>
      <c r="AJ178" s="3">
        <f>100/$X178*$H178*VLOOKUP($G178&amp;"Total",$D:$AK,33,FALSE)/100+100/$X178*$K178*VLOOKUP($J178&amp;"Total",$D:$AK,33,FALSE)/100+100/$X178*$N178*VLOOKUP($M178&amp;"Total",$D:$AK,33,FALSE)/100+100/$X178*$Q178*VLOOKUP($P178&amp;"Total",$D:$AK,33,FALSE)/100+
(IF($G178=AJ$66,$H178,0)+IF($J178=AJ$66,$K178,0)+IF($M178=AJ$66,$N178,0)+IF($P178=AJ$66,$Q178,0))*100/$X178</f>
        <v>0</v>
      </c>
      <c r="AK178" s="3">
        <f>100/$X178*$H178*VLOOKUP($G178&amp;"Total",$D:$AK,34,FALSE)/100+100/$X178*$K178*VLOOKUP($J178&amp;"Total",$D:$AK,34,FALSE)/100+100/$X178*$N178*VLOOKUP($M178&amp;"Total",$D:$AK,34,FALSE)/100+100/$X178*$Q178*VLOOKUP($P178&amp;"Total",$D:$AK,34,FALSE)/100+
(IF($G178=AK$66,$H178,0)+IF($J178=AK$66,$K178,0)+IF($M178=AK$66,$N178,0)+IF($P178=AK$66,$Q178,0))*100/$X178</f>
        <v>0</v>
      </c>
    </row>
    <row r="179" spans="1:37" x14ac:dyDescent="0.25">
      <c r="A179" t="s">
        <v>149</v>
      </c>
      <c r="B179" t="s">
        <v>150</v>
      </c>
      <c r="D179" t="str">
        <f>A179&amp;C179</f>
        <v>Motor</v>
      </c>
      <c r="E179" s="26">
        <f t="shared" si="95"/>
        <v>1746.0727484615106</v>
      </c>
      <c r="G179" t="s">
        <v>116</v>
      </c>
      <c r="H179" s="22">
        <v>3.75</v>
      </c>
      <c r="I179" s="3">
        <f>VLOOKUP(G179&amp;"Total",$D:$AB,2,FALSE)/100*H179</f>
        <v>83.292276520846983</v>
      </c>
      <c r="J179" t="s">
        <v>139</v>
      </c>
      <c r="K179" s="22">
        <v>7.5</v>
      </c>
      <c r="L179" s="3">
        <f>VLOOKUP(J179&amp;"Total",$D:$AB,2,FALSE)/100*K179</f>
        <v>32.66317961376631</v>
      </c>
      <c r="M179" s="22" t="s">
        <v>27</v>
      </c>
      <c r="N179" s="22"/>
      <c r="O179" s="3">
        <f>VLOOKUP(M179&amp;"Total",$D:$AB,2,FALSE)/100*N179</f>
        <v>0</v>
      </c>
      <c r="P179" s="22" t="s">
        <v>27</v>
      </c>
      <c r="Q179" s="22"/>
      <c r="R179" s="3">
        <f>VLOOKUP(P179&amp;"Total",$D:$AB,2,FALSE)/100*Q179</f>
        <v>0</v>
      </c>
      <c r="T179" s="3">
        <f t="shared" si="96"/>
        <v>115.95545613461329</v>
      </c>
      <c r="V179" s="22" t="s">
        <v>70</v>
      </c>
      <c r="W179" s="22">
        <v>15</v>
      </c>
      <c r="X179" s="22">
        <v>7.5</v>
      </c>
      <c r="AA179" s="3">
        <f>100/$X179*$H179*VLOOKUP($G179&amp;"Total",$D:$AK,24,FALSE)/100+100/$X179*$K179*VLOOKUP($J179&amp;"Total",$D:$AK,24,FALSE)/100+100/$X179*$N179*VLOOKUP($M179&amp;"Total",$D:$AK,24,FALSE)/100+100/$X179*$Q179*VLOOKUP($P179&amp;"Total",$D:$AK,24,FALSE)/100+
(IF($G179=AA$66,$H179,0)+IF($J179=AA$66,$K179,0)+IF($M179=AA$66,$N179,0)+IF($P179=AA$66,$Q179,0))*100/$X179</f>
        <v>188.88888888888889</v>
      </c>
      <c r="AB179" s="3">
        <f>100/$X179*$H179*VLOOKUP($G179&amp;"Total",$D:$AK,25,FALSE)/100+100/$X179*$K179*VLOOKUP($J179&amp;"Total",$D:$AK,25,FALSE)/100+100/$X179*$N179*VLOOKUP($M179&amp;"Total",$D:$AK,25,FALSE)/100+100/$X179*$Q179*VLOOKUP($P179&amp;"Total",$D:$AK,25,FALSE)/100+
(IF($G179=AB$66,$H179,0)+IF($J179=AB$66,$K179,0)+IF($M179=AB$66,$N179,0)+IF($P179=AB$66,$Q179,0))*100/$X179</f>
        <v>510</v>
      </c>
      <c r="AC179" s="3">
        <f>100/$X179*$H179*VLOOKUP($G179&amp;"Total",$D:$AK,26,FALSE)/100+100/$X179*$K179*VLOOKUP($J179&amp;"Total",$D:$AK,26,FALSE)/100+100/$X179*$N179*VLOOKUP($M179&amp;"Total",$D:$AK,26,FALSE)/100+100/$X179*$Q179*VLOOKUP($P179&amp;"Total",$D:$AK,26,FALSE)/100+
(IF($G179=AC$66,$H179,0)+IF($J179=AC$66,$K179,0)+IF($M179=AC$66,$N179,0)+IF($P179=AC$66,$Q179,0))*100/$X179</f>
        <v>0</v>
      </c>
      <c r="AD179" s="3">
        <f>100/$X179*$H179*VLOOKUP($G179&amp;"Total",$D:$AK,27,FALSE)/100+100/$X179*$K179*VLOOKUP($J179&amp;"Total",$D:$AK,27,FALSE)/100+100/$X179*$N179*VLOOKUP($M179&amp;"Total",$D:$AK,27,FALSE)/100+100/$X179*$Q179*VLOOKUP($P179&amp;"Total",$D:$AK,27,FALSE)/100+
(IF($G179=AD$66,$H179,0)+IF($J179=AD$66,$K179,0)+IF($M179=AD$66,$N179,0)+IF($P179=AD$66,$Q179,0))*100/$X179</f>
        <v>188.88888888888889</v>
      </c>
      <c r="AE179" s="3">
        <f>100/$X179*$H179*VLOOKUP($G179&amp;"Total",$D:$AK,28,FALSE)/100+100/$X179*$K179*VLOOKUP($J179&amp;"Total",$D:$AK,28,FALSE)/100+100/$X179*$N179*VLOOKUP($M179&amp;"Total",$D:$AK,28,FALSE)/100+100/$X179*$Q179*VLOOKUP($P179&amp;"Total",$D:$AK,28,FALSE)/100+
(IF($G179=AE$66,$H179,0)+IF($J179=AE$66,$K179,0)+IF($M179=AE$66,$N179,0)+IF($P179=AE$66,$Q179,0))*100/$X179</f>
        <v>675</v>
      </c>
      <c r="AF179" s="3">
        <f>100/$X179*$H179*VLOOKUP($G179&amp;"Total",$D:$AK,29,FALSE)/100+100/$X179*$K179*VLOOKUP($J179&amp;"Total",$D:$AK,29,FALSE)/100+100/$X179*$N179*VLOOKUP($M179&amp;"Total",$D:$AK,29,FALSE)/100+100/$X179*$Q179*VLOOKUP($P179&amp;"Total",$D:$AK,29,FALSE)/100+
(IF($G179=AF$66,$H179,0)+IF($J179=AF$66,$K179,0)+IF($M179=AF$66,$N179,0)+IF($P179=AF$66,$Q179,0))*100/$X179</f>
        <v>220.5</v>
      </c>
      <c r="AG179" s="3">
        <f>100/$X179*$H179*VLOOKUP($G179&amp;"Total",$D:$AK,30,FALSE)/100+100/$X179*$K179*VLOOKUP($J179&amp;"Total",$D:$AK,30,FALSE)/100+100/$X179*$N179*VLOOKUP($M179&amp;"Total",$D:$AK,30,FALSE)/100+100/$X179*$Q179*VLOOKUP($P179&amp;"Total",$D:$AK,30,FALSE)/100+
(IF($G179=AG$66,$H179,0)+IF($J179=AG$66,$K179,0)+IF($M179=AG$66,$N179,0)+IF($P179=AG$66,$Q179,0))*100/$X179</f>
        <v>0</v>
      </c>
      <c r="AH179" s="3">
        <f>100/$X179*$H179*VLOOKUP($G179&amp;"Total",$D:$AK,31,FALSE)/100+100/$X179*$K179*VLOOKUP($J179&amp;"Total",$D:$AK,31,FALSE)/100+100/$X179*$N179*VLOOKUP($M179&amp;"Total",$D:$AK,31,FALSE)/100+100/$X179*$Q179*VLOOKUP($P179&amp;"Total",$D:$AK,31,FALSE)/100+
(IF($G179=AH$66,$H179,0)+IF($J179=AH$66,$K179,0)+IF($M179=AH$66,$N179,0)+IF($P179=AH$66,$Q179,0))*100/$X179</f>
        <v>0</v>
      </c>
      <c r="AI179" s="3">
        <f>100/$X179*$H179*VLOOKUP($G179&amp;"Total",$D:$AK,32,FALSE)/100+100/$X179*$K179*VLOOKUP($J179&amp;"Total",$D:$AK,32,FALSE)/100+100/$X179*$N179*VLOOKUP($M179&amp;"Total",$D:$AK,32,FALSE)/100+100/$X179*$Q179*VLOOKUP($P179&amp;"Total",$D:$AK,32,FALSE)/100+
(IF($G179=AI$66,$H179,0)+IF($J179=AI$66,$K179,0)+IF($M179=AI$66,$N179,0)+IF($P179=AI$66,$Q179,0))*100/$X179</f>
        <v>0</v>
      </c>
      <c r="AJ179" s="3">
        <f>100/$X179*$H179*VLOOKUP($G179&amp;"Total",$D:$AK,33,FALSE)/100+100/$X179*$K179*VLOOKUP($J179&amp;"Total",$D:$AK,33,FALSE)/100+100/$X179*$N179*VLOOKUP($M179&amp;"Total",$D:$AK,33,FALSE)/100+100/$X179*$Q179*VLOOKUP($P179&amp;"Total",$D:$AK,33,FALSE)/100+
(IF($G179=AJ$66,$H179,0)+IF($J179=AJ$66,$K179,0)+IF($M179=AJ$66,$N179,0)+IF($P179=AJ$66,$Q179,0))*100/$X179</f>
        <v>0</v>
      </c>
      <c r="AK179" s="3">
        <f>100/$X179*$H179*VLOOKUP($G179&amp;"Total",$D:$AK,34,FALSE)/100+100/$X179*$K179*VLOOKUP($J179&amp;"Total",$D:$AK,34,FALSE)/100+100/$X179*$N179*VLOOKUP($M179&amp;"Total",$D:$AK,34,FALSE)/100+100/$X179*$Q179*VLOOKUP($P179&amp;"Total",$D:$AK,34,FALSE)/100+
(IF($G179=AK$66,$H179,0)+IF($J179=AK$66,$K179,0)+IF($M179=AK$66,$N179,0)+IF($P179=AK$66,$Q179,0))*100/$X179</f>
        <v>0</v>
      </c>
    </row>
    <row r="180" spans="1:37" x14ac:dyDescent="0.25">
      <c r="A180" t="s">
        <v>149</v>
      </c>
      <c r="B180" t="s">
        <v>151</v>
      </c>
      <c r="C180" t="s">
        <v>17</v>
      </c>
      <c r="D180" t="str">
        <f>A180&amp;C180</f>
        <v>MotorTotal</v>
      </c>
      <c r="E180" s="26">
        <f t="shared" si="95"/>
        <v>2215.9784132453638</v>
      </c>
      <c r="G180" t="s">
        <v>139</v>
      </c>
      <c r="H180" s="22">
        <v>3.75</v>
      </c>
      <c r="I180" s="3">
        <f>VLOOKUP(G180&amp;"Total",$D:$AB,2,FALSE)/100*H180</f>
        <v>16.331589806883155</v>
      </c>
      <c r="J180" t="s">
        <v>117</v>
      </c>
      <c r="K180" s="22">
        <v>3.75</v>
      </c>
      <c r="L180" s="3">
        <f>VLOOKUP(J180&amp;"Total",$D:$AB,2,FALSE)/100*K180</f>
        <v>19.927689734732752</v>
      </c>
      <c r="M180" t="s">
        <v>113</v>
      </c>
      <c r="N180" s="22">
        <v>1.25</v>
      </c>
      <c r="O180" s="3">
        <f>VLOOKUP(M180&amp;"Total",$D:$AB,2,FALSE)/100*N180</f>
        <v>74.939101451786371</v>
      </c>
      <c r="P180" s="22" t="s">
        <v>27</v>
      </c>
      <c r="Q180" s="22"/>
      <c r="R180" s="3">
        <f>VLOOKUP(P180&amp;"Total",$D:$AB,2,FALSE)/100*Q180</f>
        <v>0</v>
      </c>
      <c r="T180" s="3">
        <f t="shared" si="96"/>
        <v>111.19838099340228</v>
      </c>
      <c r="V180" s="22" t="s">
        <v>111</v>
      </c>
      <c r="W180" s="22">
        <v>55</v>
      </c>
      <c r="X180" s="22">
        <v>7.5</v>
      </c>
      <c r="AA180" s="3">
        <f>100/$X180*$H180*VLOOKUP($G180&amp;"Total",$D:$AK,24,FALSE)/100+100/$X180*$K180*VLOOKUP($J180&amp;"Total",$D:$AK,24,FALSE)/100+100/$X180*$N180*VLOOKUP($M180&amp;"Total",$D:$AK,24,FALSE)/100+100/$X180*$Q180*VLOOKUP($P180&amp;"Total",$D:$AK,24,FALSE)/100+
(IF($G180=AA$66,$H180,0)+IF($J180=AA$66,$K180,0)+IF($M180=AA$66,$N180,0)+IF($P180=AA$66,$Q180,0))*100/$X180</f>
        <v>144.44444444444446</v>
      </c>
      <c r="AB180" s="3">
        <f>100/$X180*$H180*VLOOKUP($G180&amp;"Total",$D:$AK,25,FALSE)/100+100/$X180*$K180*VLOOKUP($J180&amp;"Total",$D:$AK,25,FALSE)/100+100/$X180*$N180*VLOOKUP($M180&amp;"Total",$D:$AK,25,FALSE)/100+100/$X180*$Q180*VLOOKUP($P180&amp;"Total",$D:$AK,25,FALSE)/100+
(IF($G180=AB$66,$H180,0)+IF($J180=AB$66,$K180,0)+IF($M180=AB$66,$N180,0)+IF($P180=AB$66,$Q180,0))*100/$X180</f>
        <v>366.66666666666669</v>
      </c>
      <c r="AC180" s="3">
        <f>100/$X180*$H180*VLOOKUP($G180&amp;"Total",$D:$AK,26,FALSE)/100+100/$X180*$K180*VLOOKUP($J180&amp;"Total",$D:$AK,26,FALSE)/100+100/$X180*$N180*VLOOKUP($M180&amp;"Total",$D:$AK,26,FALSE)/100+100/$X180*$Q180*VLOOKUP($P180&amp;"Total",$D:$AK,26,FALSE)/100+
(IF($G180=AC$66,$H180,0)+IF($J180=AC$66,$K180,0)+IF($M180=AC$66,$N180,0)+IF($P180=AC$66,$Q180,0))*100/$X180</f>
        <v>0</v>
      </c>
      <c r="AD180" s="3">
        <f>100/$X180*$H180*VLOOKUP($G180&amp;"Total",$D:$AK,27,FALSE)/100+100/$X180*$K180*VLOOKUP($J180&amp;"Total",$D:$AK,27,FALSE)/100+100/$X180*$N180*VLOOKUP($M180&amp;"Total",$D:$AK,27,FALSE)/100+100/$X180*$Q180*VLOOKUP($P180&amp;"Total",$D:$AK,27,FALSE)/100+
(IF($G180=AD$66,$H180,0)+IF($J180=AD$66,$K180,0)+IF($M180=AD$66,$N180,0)+IF($P180=AD$66,$Q180,0))*100/$X180</f>
        <v>144.44444444444446</v>
      </c>
      <c r="AE180" s="3">
        <f>100/$X180*$H180*VLOOKUP($G180&amp;"Total",$D:$AK,28,FALSE)/100+100/$X180*$K180*VLOOKUP($J180&amp;"Total",$D:$AK,28,FALSE)/100+100/$X180*$N180*VLOOKUP($M180&amp;"Total",$D:$AK,28,FALSE)/100+100/$X180*$Q180*VLOOKUP($P180&amp;"Total",$D:$AK,28,FALSE)/100+
(IF($G180=AE$66,$H180,0)+IF($J180=AE$66,$K180,0)+IF($M180=AE$66,$N180,0)+IF($P180=AE$66,$Q180,0))*100/$X180</f>
        <v>425</v>
      </c>
      <c r="AF180" s="3">
        <f>100/$X180*$H180*VLOOKUP($G180&amp;"Total",$D:$AK,29,FALSE)/100+100/$X180*$K180*VLOOKUP($J180&amp;"Total",$D:$AK,29,FALSE)/100+100/$X180*$N180*VLOOKUP($M180&amp;"Total",$D:$AK,29,FALSE)/100+100/$X180*$Q180*VLOOKUP($P180&amp;"Total",$D:$AK,29,FALSE)/100+
(IF($G180=AF$66,$H180,0)+IF($J180=AF$66,$K180,0)+IF($M180=AF$66,$N180,0)+IF($P180=AF$66,$Q180,0))*100/$X180</f>
        <v>277.77777777777777</v>
      </c>
      <c r="AG180" s="3">
        <f>100/$X180*$H180*VLOOKUP($G180&amp;"Total",$D:$AK,30,FALSE)/100+100/$X180*$K180*VLOOKUP($J180&amp;"Total",$D:$AK,30,FALSE)/100+100/$X180*$N180*VLOOKUP($M180&amp;"Total",$D:$AK,30,FALSE)/100+100/$X180*$Q180*VLOOKUP($P180&amp;"Total",$D:$AK,30,FALSE)/100+
(IF($G180=AG$66,$H180,0)+IF($J180=AG$66,$K180,0)+IF($M180=AG$66,$N180,0)+IF($P180=AG$66,$Q180,0))*100/$X180</f>
        <v>0</v>
      </c>
      <c r="AH180" s="3">
        <f>100/$X180*$H180*VLOOKUP($G180&amp;"Total",$D:$AK,31,FALSE)/100+100/$X180*$K180*VLOOKUP($J180&amp;"Total",$D:$AK,31,FALSE)/100+100/$X180*$N180*VLOOKUP($M180&amp;"Total",$D:$AK,31,FALSE)/100+100/$X180*$Q180*VLOOKUP($P180&amp;"Total",$D:$AK,31,FALSE)/100+
(IF($G180=AH$66,$H180,0)+IF($J180=AH$66,$K180,0)+IF($M180=AH$66,$N180,0)+IF($P180=AH$66,$Q180,0))*100/$X180</f>
        <v>0</v>
      </c>
      <c r="AI180" s="3">
        <f>100/$X180*$H180*VLOOKUP($G180&amp;"Total",$D:$AK,32,FALSE)/100+100/$X180*$K180*VLOOKUP($J180&amp;"Total",$D:$AK,32,FALSE)/100+100/$X180*$N180*VLOOKUP($M180&amp;"Total",$D:$AK,32,FALSE)/100+100/$X180*$Q180*VLOOKUP($P180&amp;"Total",$D:$AK,32,FALSE)/100+
(IF($G180=AI$66,$H180,0)+IF($J180=AI$66,$K180,0)+IF($M180=AI$66,$N180,0)+IF($P180=AI$66,$Q180,0))*100/$X180</f>
        <v>0</v>
      </c>
      <c r="AJ180" s="3">
        <f>100/$X180*$H180*VLOOKUP($G180&amp;"Total",$D:$AK,33,FALSE)/100+100/$X180*$K180*VLOOKUP($J180&amp;"Total",$D:$AK,33,FALSE)/100+100/$X180*$N180*VLOOKUP($M180&amp;"Total",$D:$AK,33,FALSE)/100+100/$X180*$Q180*VLOOKUP($P180&amp;"Total",$D:$AK,33,FALSE)/100+
(IF($G180=AJ$66,$H180,0)+IF($J180=AJ$66,$K180,0)+IF($M180=AJ$66,$N180,0)+IF($P180=AJ$66,$Q180,0))*100/$X180</f>
        <v>0</v>
      </c>
      <c r="AK180" s="3">
        <f>100/$X180*$H180*VLOOKUP($G180&amp;"Total",$D:$AK,34,FALSE)/100+100/$X180*$K180*VLOOKUP($J180&amp;"Total",$D:$AK,34,FALSE)/100+100/$X180*$N180*VLOOKUP($M180&amp;"Total",$D:$AK,34,FALSE)/100+100/$X180*$Q180*VLOOKUP($P180&amp;"Total",$D:$AK,34,FALSE)/100+
(IF($G180=AK$66,$H180,0)+IF($J180=AK$66,$K180,0)+IF($M180=AK$66,$N180,0)+IF($P180=AK$66,$Q180,0))*100/$X180</f>
        <v>175</v>
      </c>
    </row>
    <row r="181" spans="1:37" x14ac:dyDescent="0.25">
      <c r="E181" s="26"/>
      <c r="H181" s="22"/>
      <c r="I181" s="3"/>
      <c r="J181" s="22"/>
      <c r="K181" s="22"/>
      <c r="L181" s="3"/>
      <c r="M181" s="22"/>
      <c r="N181" s="22"/>
      <c r="O181" s="3"/>
      <c r="P181" s="22"/>
      <c r="Q181" s="22"/>
      <c r="R181" s="3"/>
      <c r="T181" s="3"/>
      <c r="V181" s="22"/>
      <c r="W181" s="22"/>
      <c r="X181" s="22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x14ac:dyDescent="0.25">
      <c r="A182" t="s">
        <v>152</v>
      </c>
      <c r="B182" t="s">
        <v>152</v>
      </c>
      <c r="C182" t="s">
        <v>17</v>
      </c>
      <c r="D182" t="str">
        <f t="shared" ref="D182" si="97">A182&amp;C182</f>
        <v>Modular EngineTotal</v>
      </c>
      <c r="E182" s="26">
        <f t="shared" ref="E182" si="98">100/X182*(T182+W182)</f>
        <v>16607.469905608519</v>
      </c>
      <c r="G182" t="s">
        <v>149</v>
      </c>
      <c r="H182" s="22">
        <v>2</v>
      </c>
      <c r="I182" s="3">
        <f>VLOOKUP(G182&amp;"Total",$D:$AB,2,FALSE)/100*H182</f>
        <v>44.319568264907275</v>
      </c>
      <c r="J182" t="s">
        <v>72</v>
      </c>
      <c r="K182" s="22">
        <v>15</v>
      </c>
      <c r="L182" s="3">
        <f>VLOOKUP(J182&amp;"Total",$D:$AB,2,FALSE)/100*K182</f>
        <v>32.185807692307698</v>
      </c>
      <c r="M182" t="s">
        <v>143</v>
      </c>
      <c r="N182" s="22">
        <v>2</v>
      </c>
      <c r="O182" s="3">
        <f>VLOOKUP(M182&amp;"Total",$D:$AB,2,FALSE)/100*N182</f>
        <v>34.569323098870242</v>
      </c>
      <c r="P182" s="22" t="s">
        <v>27</v>
      </c>
      <c r="Q182" s="22"/>
      <c r="R182" s="3">
        <f>VLOOKUP(P182&amp;"Total",$D:$AB,2,FALSE)/100*Q182</f>
        <v>0</v>
      </c>
      <c r="T182" s="3">
        <f t="shared" ref="T182" si="99">I182+L182+O182+R182</f>
        <v>111.07469905608521</v>
      </c>
      <c r="V182" s="22" t="s">
        <v>111</v>
      </c>
      <c r="W182" s="22">
        <v>55</v>
      </c>
      <c r="X182" s="22">
        <v>1</v>
      </c>
      <c r="AA182" s="3">
        <f>100/$X182*$H182*VLOOKUP($G182&amp;"Total",$D:$AK,24,FALSE)/100+100/$X182*$K182*VLOOKUP($J182&amp;"Total",$D:$AK,24,FALSE)/100+100/$X182*$N182*VLOOKUP($M182&amp;"Total",$D:$AK,24,FALSE)/100+100/$X182*$Q182*VLOOKUP($P182&amp;"Total",$D:$AK,24,FALSE)/100+
(IF($G182=AA$66,$H182,0)+IF($J182=AA$66,$K182,0)+IF($M182=AA$66,$N182,0)+IF($P182=AA$66,$Q182,0))*100/$X182</f>
        <v>1466.6666666666667</v>
      </c>
      <c r="AB182" s="3">
        <f>100/$X182*$H182*VLOOKUP($G182&amp;"Total",$D:$AK,25,FALSE)/100+100/$X182*$K182*VLOOKUP($J182&amp;"Total",$D:$AK,25,FALSE)/100+100/$X182*$N182*VLOOKUP($M182&amp;"Total",$D:$AK,25,FALSE)/100+100/$X182*$Q182*VLOOKUP($P182&amp;"Total",$D:$AK,25,FALSE)/100+
(IF($G182=AB$66,$H182,0)+IF($J182=AB$66,$K182,0)+IF($M182=AB$66,$N182,0)+IF($P182=AB$66,$Q182,0))*100/$X182</f>
        <v>1533.3333333333335</v>
      </c>
      <c r="AC182" s="3">
        <f>100/$X182*$H182*VLOOKUP($G182&amp;"Total",$D:$AK,26,FALSE)/100+100/$X182*$K182*VLOOKUP($J182&amp;"Total",$D:$AK,26,FALSE)/100+100/$X182*$N182*VLOOKUP($M182&amp;"Total",$D:$AK,26,FALSE)/100+100/$X182*$Q182*VLOOKUP($P182&amp;"Total",$D:$AK,26,FALSE)/100+
(IF($G182=AC$66,$H182,0)+IF($J182=AC$66,$K182,0)+IF($M182=AC$66,$N182,0)+IF($P182=AC$66,$Q182,0))*100/$X182</f>
        <v>0</v>
      </c>
      <c r="AD182" s="3">
        <f>100/$X182*$H182*VLOOKUP($G182&amp;"Total",$D:$AK,27,FALSE)/100+100/$X182*$K182*VLOOKUP($J182&amp;"Total",$D:$AK,27,FALSE)/100+100/$X182*$N182*VLOOKUP($M182&amp;"Total",$D:$AK,27,FALSE)/100+100/$X182*$Q182*VLOOKUP($P182&amp;"Total",$D:$AK,27,FALSE)/100+
(IF($G182=AD$66,$H182,0)+IF($J182=AD$66,$K182,0)+IF($M182=AD$66,$N182,0)+IF($P182=AD$66,$Q182,0))*100/$X182</f>
        <v>466.66666666666669</v>
      </c>
      <c r="AE182" s="3">
        <f>100/$X182*$H182*VLOOKUP($G182&amp;"Total",$D:$AK,28,FALSE)/100+100/$X182*$K182*VLOOKUP($J182&amp;"Total",$D:$AK,28,FALSE)/100+100/$X182*$N182*VLOOKUP($M182&amp;"Total",$D:$AK,28,FALSE)/100+100/$X182*$Q182*VLOOKUP($P182&amp;"Total",$D:$AK,28,FALSE)/100+
(IF($G182=AE$66,$H182,0)+IF($J182=AE$66,$K182,0)+IF($M182=AE$66,$N182,0)+IF($P182=AE$66,$Q182,0))*100/$X182</f>
        <v>1350</v>
      </c>
      <c r="AF182" s="3">
        <f>100/$X182*$H182*VLOOKUP($G182&amp;"Total",$D:$AK,29,FALSE)/100+100/$X182*$K182*VLOOKUP($J182&amp;"Total",$D:$AK,29,FALSE)/100+100/$X182*$N182*VLOOKUP($M182&amp;"Total",$D:$AK,29,FALSE)/100+100/$X182*$Q182*VLOOKUP($P182&amp;"Total",$D:$AK,29,FALSE)/100+
(IF($G182=AF$66,$H182,0)+IF($J182=AF$66,$K182,0)+IF($M182=AF$66,$N182,0)+IF($P182=AF$66,$Q182,0))*100/$X182</f>
        <v>555.55555555555554</v>
      </c>
      <c r="AG182" s="3">
        <f>100/$X182*$H182*VLOOKUP($G182&amp;"Total",$D:$AK,30,FALSE)/100+100/$X182*$K182*VLOOKUP($J182&amp;"Total",$D:$AK,30,FALSE)/100+100/$X182*$N182*VLOOKUP($M182&amp;"Total",$D:$AK,30,FALSE)/100+100/$X182*$Q182*VLOOKUP($P182&amp;"Total",$D:$AK,30,FALSE)/100+
(IF($G182=AG$66,$H182,0)+IF($J182=AG$66,$K182,0)+IF($M182=AG$66,$N182,0)+IF($P182=AG$66,$Q182,0))*100/$X182</f>
        <v>0</v>
      </c>
      <c r="AH182" s="3">
        <f>100/$X182*$H182*VLOOKUP($G182&amp;"Total",$D:$AK,31,FALSE)/100+100/$X182*$K182*VLOOKUP($J182&amp;"Total",$D:$AK,31,FALSE)/100+100/$X182*$N182*VLOOKUP($M182&amp;"Total",$D:$AK,31,FALSE)/100+100/$X182*$Q182*VLOOKUP($P182&amp;"Total",$D:$AK,31,FALSE)/100+
(IF($G182=AH$66,$H182,0)+IF($J182=AH$66,$K182,0)+IF($M182=AH$66,$N182,0)+IF($P182=AH$66,$Q182,0))*100/$X182</f>
        <v>0</v>
      </c>
      <c r="AI182" s="3">
        <f>100/$X182*$H182*VLOOKUP($G182&amp;"Total",$D:$AK,32,FALSE)/100+100/$X182*$K182*VLOOKUP($J182&amp;"Total",$D:$AK,32,FALSE)/100+100/$X182*$N182*VLOOKUP($M182&amp;"Total",$D:$AK,32,FALSE)/100+100/$X182*$Q182*VLOOKUP($P182&amp;"Total",$D:$AK,32,FALSE)/100+
(IF($G182=AI$66,$H182,0)+IF($J182=AI$66,$K182,0)+IF($M182=AI$66,$N182,0)+IF($P182=AI$66,$Q182,0))*100/$X182</f>
        <v>0</v>
      </c>
      <c r="AJ182" s="3">
        <f>100/$X182*$H182*VLOOKUP($G182&amp;"Total",$D:$AK,33,FALSE)/100+100/$X182*$K182*VLOOKUP($J182&amp;"Total",$D:$AK,33,FALSE)/100+100/$X182*$N182*VLOOKUP($M182&amp;"Total",$D:$AK,33,FALSE)/100+100/$X182*$Q182*VLOOKUP($P182&amp;"Total",$D:$AK,33,FALSE)/100+
(IF($G182=AJ$66,$H182,0)+IF($J182=AJ$66,$K182,0)+IF($M182=AJ$66,$N182,0)+IF($P182=AJ$66,$Q182,0))*100/$X182</f>
        <v>0</v>
      </c>
      <c r="AK182" s="3">
        <f>100/$X182*$H182*VLOOKUP($G182&amp;"Total",$D:$AK,34,FALSE)/100+100/$X182*$K182*VLOOKUP($J182&amp;"Total",$D:$AK,34,FALSE)/100+100/$X182*$N182*VLOOKUP($M182&amp;"Total",$D:$AK,34,FALSE)/100+100/$X182*$Q182*VLOOKUP($P182&amp;"Total",$D:$AK,34,FALSE)/100+
(IF($G182=AK$66,$H182,0)+IF($J182=AK$66,$K182,0)+IF($M182=AK$66,$N182,0)+IF($P182=AK$66,$Q182,0))*100/$X182</f>
        <v>2600</v>
      </c>
    </row>
    <row r="183" spans="1:37" x14ac:dyDescent="0.25">
      <c r="E183" s="26"/>
      <c r="H183" s="22"/>
      <c r="I183" s="3"/>
      <c r="J183" s="22"/>
      <c r="K183" s="22"/>
      <c r="L183" s="3"/>
      <c r="M183" s="22"/>
      <c r="N183" s="22"/>
      <c r="O183" s="3"/>
      <c r="P183" s="22"/>
      <c r="Q183" s="22"/>
      <c r="R183" s="3"/>
      <c r="T183" s="3"/>
      <c r="V183" s="22"/>
      <c r="W183" s="22"/>
      <c r="X183" s="22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 x14ac:dyDescent="0.25">
      <c r="A184" t="s">
        <v>153</v>
      </c>
      <c r="B184" t="s">
        <v>153</v>
      </c>
      <c r="C184" t="s">
        <v>17</v>
      </c>
      <c r="D184" t="str">
        <f t="shared" ref="D184" si="100">A184&amp;C184</f>
        <v>Adaptive Control UnitTotal</v>
      </c>
      <c r="E184" s="26">
        <f t="shared" ref="E184" si="101">100/X184*(T184+W184)</f>
        <v>39964.47531245026</v>
      </c>
      <c r="G184" t="s">
        <v>147</v>
      </c>
      <c r="H184" s="22">
        <v>7.5</v>
      </c>
      <c r="I184" s="3">
        <f>VLOOKUP(G184&amp;"Total",$D:$AB,2,FALSE)/100*H184</f>
        <v>137.6053794694655</v>
      </c>
      <c r="J184" t="s">
        <v>105</v>
      </c>
      <c r="K184" s="22">
        <v>5</v>
      </c>
      <c r="L184" s="3">
        <f>VLOOKUP(J184&amp;"Total",$D:$AB,2,FALSE)/100*K184</f>
        <v>18.728371780515118</v>
      </c>
      <c r="M184" t="s">
        <v>136</v>
      </c>
      <c r="N184" s="22">
        <v>1</v>
      </c>
      <c r="O184" s="3">
        <f>VLOOKUP(M184&amp;"Total",$D:$AB,2,FALSE)/100*N184</f>
        <v>116.41196856128798</v>
      </c>
      <c r="P184" t="s">
        <v>119</v>
      </c>
      <c r="Q184" s="22">
        <v>1</v>
      </c>
      <c r="R184" s="3">
        <f>VLOOKUP(P184&amp;"Total",$D:$AB,2,FALSE)/100*Q184</f>
        <v>71.899033313233986</v>
      </c>
      <c r="T184" s="3">
        <f t="shared" ref="T184" si="102">I184+L184+O184+R184</f>
        <v>344.64475312450259</v>
      </c>
      <c r="V184" s="22" t="s">
        <v>111</v>
      </c>
      <c r="W184" s="22">
        <v>55</v>
      </c>
      <c r="X184" s="22">
        <v>1</v>
      </c>
      <c r="AA184" s="3">
        <f>100/$X184*$H184*VLOOKUP($G184&amp;"Total",$D:$AK,24,FALSE)/100+100/$X184*$K184*VLOOKUP($J184&amp;"Total",$D:$AK,24,FALSE)/100+100/$X184*$N184*VLOOKUP($M184&amp;"Total",$D:$AK,24,FALSE)/100+100/$X184*$Q184*VLOOKUP($P184&amp;"Total",$D:$AK,24,FALSE)/100+
(IF($G184=AA$66,$H184,0)+IF($J184=AA$66,$K184,0)+IF($M184=AA$66,$N184,0)+IF($P184=AA$66,$Q184,0))*100/$X184</f>
        <v>6811.1111111111122</v>
      </c>
      <c r="AB184" s="3">
        <f>100/$X184*$H184*VLOOKUP($G184&amp;"Total",$D:$AK,25,FALSE)/100+100/$X184*$K184*VLOOKUP($J184&amp;"Total",$D:$AK,25,FALSE)/100+100/$X184*$N184*VLOOKUP($M184&amp;"Total",$D:$AK,25,FALSE)/100+100/$X184*$Q184*VLOOKUP($P184&amp;"Total",$D:$AK,25,FALSE)/100+
(IF($G184=AB$66,$H184,0)+IF($J184=AB$66,$K184,0)+IF($M184=AB$66,$N184,0)+IF($P184=AB$66,$Q184,0))*100/$X184</f>
        <v>5280</v>
      </c>
      <c r="AC184" s="3">
        <f>100/$X184*$H184*VLOOKUP($G184&amp;"Total",$D:$AK,26,FALSE)/100+100/$X184*$K184*VLOOKUP($J184&amp;"Total",$D:$AK,26,FALSE)/100+100/$X184*$N184*VLOOKUP($M184&amp;"Total",$D:$AK,26,FALSE)/100+100/$X184*$Q184*VLOOKUP($P184&amp;"Total",$D:$AK,26,FALSE)/100+
(IF($G184=AC$66,$H184,0)+IF($J184=AC$66,$K184,0)+IF($M184=AC$66,$N184,0)+IF($P184=AC$66,$Q184,0))*100/$X184</f>
        <v>7200.0000000000009</v>
      </c>
      <c r="AD184" s="3">
        <f>100/$X184*$H184*VLOOKUP($G184&amp;"Total",$D:$AK,27,FALSE)/100+100/$X184*$K184*VLOOKUP($J184&amp;"Total",$D:$AK,27,FALSE)/100+100/$X184*$N184*VLOOKUP($M184&amp;"Total",$D:$AK,27,FALSE)/100+100/$X184*$Q184*VLOOKUP($P184&amp;"Total",$D:$AK,27,FALSE)/100+
(IF($G184=AD$66,$H184,0)+IF($J184=AD$66,$K184,0)+IF($M184=AD$66,$N184,0)+IF($P184=AD$66,$Q184,0))*100/$X184</f>
        <v>5922.2222222222226</v>
      </c>
      <c r="AE184" s="3">
        <f>100/$X184*$H184*VLOOKUP($G184&amp;"Total",$D:$AK,28,FALSE)/100+100/$X184*$K184*VLOOKUP($J184&amp;"Total",$D:$AK,28,FALSE)/100+100/$X184*$N184*VLOOKUP($M184&amp;"Total",$D:$AK,28,FALSE)/100+100/$X184*$Q184*VLOOKUP($P184&amp;"Total",$D:$AK,28,FALSE)/100+
(IF($G184=AE$66,$H184,0)+IF($J184=AE$66,$K184,0)+IF($M184=AE$66,$N184,0)+IF($P184=AE$66,$Q184,0))*100/$X184</f>
        <v>16749.444444444445</v>
      </c>
      <c r="AF184" s="3">
        <f>100/$X184*$H184*VLOOKUP($G184&amp;"Total",$D:$AK,29,FALSE)/100+100/$X184*$K184*VLOOKUP($J184&amp;"Total",$D:$AK,29,FALSE)/100+100/$X184*$N184*VLOOKUP($M184&amp;"Total",$D:$AK,29,FALSE)/100+100/$X184*$Q184*VLOOKUP($P184&amp;"Total",$D:$AK,29,FALSE)/100+
(IF($G184=AF$66,$H184,0)+IF($J184=AF$66,$K184,0)+IF($M184=AF$66,$N184,0)+IF($P184=AF$66,$Q184,0))*100/$X184</f>
        <v>1584</v>
      </c>
      <c r="AG184" s="3">
        <f>100/$X184*$H184*VLOOKUP($G184&amp;"Total",$D:$AK,30,FALSE)/100+100/$X184*$K184*VLOOKUP($J184&amp;"Total",$D:$AK,30,FALSE)/100+100/$X184*$N184*VLOOKUP($M184&amp;"Total",$D:$AK,30,FALSE)/100+100/$X184*$Q184*VLOOKUP($P184&amp;"Total",$D:$AK,30,FALSE)/100+
(IF($G184=AG$66,$H184,0)+IF($J184=AG$66,$K184,0)+IF($M184=AG$66,$N184,0)+IF($P184=AG$66,$Q184,0))*100/$X184</f>
        <v>0</v>
      </c>
      <c r="AH184" s="3">
        <f>100/$X184*$H184*VLOOKUP($G184&amp;"Total",$D:$AK,31,FALSE)/100+100/$X184*$K184*VLOOKUP($J184&amp;"Total",$D:$AK,31,FALSE)/100+100/$X184*$N184*VLOOKUP($M184&amp;"Total",$D:$AK,31,FALSE)/100+100/$X184*$Q184*VLOOKUP($P184&amp;"Total",$D:$AK,31,FALSE)/100+
(IF($G184=AH$66,$H184,0)+IF($J184=AH$66,$K184,0)+IF($M184=AH$66,$N184,0)+IF($P184=AH$66,$Q184,0))*100/$X184</f>
        <v>0</v>
      </c>
      <c r="AI184" s="3">
        <f>100/$X184*$H184*VLOOKUP($G184&amp;"Total",$D:$AK,32,FALSE)/100+100/$X184*$K184*VLOOKUP($J184&amp;"Total",$D:$AK,32,FALSE)/100+100/$X184*$N184*VLOOKUP($M184&amp;"Total",$D:$AK,32,FALSE)/100+100/$X184*$Q184*VLOOKUP($P184&amp;"Total",$D:$AK,32,FALSE)/100+
(IF($G184=AI$66,$H184,0)+IF($J184=AI$66,$K184,0)+IF($M184=AI$66,$N184,0)+IF($P184=AI$66,$Q184,0))*100/$X184</f>
        <v>0</v>
      </c>
      <c r="AJ184" s="3">
        <f>100/$X184*$H184*VLOOKUP($G184&amp;"Total",$D:$AK,33,FALSE)/100+100/$X184*$K184*VLOOKUP($J184&amp;"Total",$D:$AK,33,FALSE)/100+100/$X184*$N184*VLOOKUP($M184&amp;"Total",$D:$AK,33,FALSE)/100+100/$X184*$Q184*VLOOKUP($P184&amp;"Total",$D:$AK,33,FALSE)/100+
(IF($G184=AJ$66,$H184,0)+IF($J184=AJ$66,$K184,0)+IF($M184=AJ$66,$N184,0)+IF($P184=AJ$66,$Q184,0))*100/$X184</f>
        <v>0</v>
      </c>
      <c r="AK184" s="3">
        <f>100/$X184*$H184*VLOOKUP($G184&amp;"Total",$D:$AK,34,FALSE)/100+100/$X184*$K184*VLOOKUP($J184&amp;"Total",$D:$AK,34,FALSE)/100+100/$X184*$N184*VLOOKUP($M184&amp;"Total",$D:$AK,34,FALSE)/100+100/$X184*$Q184*VLOOKUP($P184&amp;"Total",$D:$AK,34,FALSE)/100+
(IF($G184=AK$66,$H184,0)+IF($J184=AK$66,$K184,0)+IF($M184=AK$66,$N184,0)+IF($P184=AK$66,$Q184,0))*100/$X184</f>
        <v>1800</v>
      </c>
    </row>
    <row r="185" spans="1:37" x14ac:dyDescent="0.25">
      <c r="E185" s="26"/>
      <c r="H185" s="22"/>
      <c r="I185" s="3"/>
      <c r="J185" s="22"/>
      <c r="K185" s="22"/>
      <c r="L185" s="3"/>
      <c r="M185" s="22"/>
      <c r="N185" s="22"/>
      <c r="O185" s="3"/>
      <c r="P185" s="22"/>
      <c r="Q185" s="22"/>
      <c r="R185" s="3"/>
      <c r="T185" s="3"/>
      <c r="V185" s="22"/>
      <c r="W185" s="22"/>
      <c r="X185" s="22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 x14ac:dyDescent="0.25">
      <c r="A186" t="s">
        <v>82</v>
      </c>
      <c r="B186" t="s">
        <v>82</v>
      </c>
      <c r="C186" t="s">
        <v>17</v>
      </c>
      <c r="D186" t="str">
        <f>A186&amp;C186</f>
        <v>PlasticTotal</v>
      </c>
      <c r="E186" s="26">
        <f t="shared" ref="E186:E188" si="103">100/X186*(T186+W186)</f>
        <v>214.57205128205129</v>
      </c>
      <c r="G186" t="s">
        <v>29</v>
      </c>
      <c r="H186" s="22">
        <v>30</v>
      </c>
      <c r="I186" s="3">
        <f>VLOOKUP(G186&amp;"Total",$D:$AB,2,FALSE)/100*H186</f>
        <v>12.914410256410255</v>
      </c>
      <c r="J186" s="22" t="s">
        <v>27</v>
      </c>
      <c r="K186" s="22"/>
      <c r="L186" s="3">
        <f>VLOOKUP(J186&amp;"Total",$D:$AB,2,FALSE)/100*K186</f>
        <v>0</v>
      </c>
      <c r="M186" s="22" t="s">
        <v>27</v>
      </c>
      <c r="N186" s="22"/>
      <c r="O186" s="3">
        <f>VLOOKUP(M186&amp;"Total",$D:$AB,2,FALSE)/100*N186</f>
        <v>0</v>
      </c>
      <c r="P186" s="22" t="s">
        <v>27</v>
      </c>
      <c r="Q186" s="22"/>
      <c r="R186" s="3">
        <f>VLOOKUP(P186&amp;"Total",$D:$AB,2,FALSE)/100*Q186</f>
        <v>0</v>
      </c>
      <c r="T186" s="3">
        <f t="shared" ref="T186:T188" si="104">I186+L186+O186+R186</f>
        <v>12.914410256410255</v>
      </c>
      <c r="V186" s="22" t="s">
        <v>60</v>
      </c>
      <c r="W186" s="22">
        <v>30</v>
      </c>
      <c r="X186" s="22">
        <v>20</v>
      </c>
      <c r="Z186" s="21" t="s">
        <v>133</v>
      </c>
      <c r="AA186" s="3">
        <f>100/$X186*$H186*VLOOKUP($G186&amp;"Total",$D:$AK,24,FALSE)/100+100/$X186*$K186*VLOOKUP($J186&amp;"Total",$D:$AK,24,FALSE)/100+100/$X186*$N186*VLOOKUP($M186&amp;"Total",$D:$AK,24,FALSE)/100+100/$X186*$Q186*VLOOKUP($P186&amp;"Total",$D:$AK,24,FALSE)/100+
(IF($G186=AA$66,$H186,0)+IF($J186=AA$66,$K186,0)+IF($M186=AA$66,$N186,0)+IF($P186=AA$66,$Q186,0))*100/$X186</f>
        <v>0</v>
      </c>
      <c r="AB186" s="3">
        <f>100/$X186*$H186*VLOOKUP($G186&amp;"Total",$D:$AK,25,FALSE)/100+100/$X186*$K186*VLOOKUP($J186&amp;"Total",$D:$AK,25,FALSE)/100+100/$X186*$N186*VLOOKUP($M186&amp;"Total",$D:$AK,25,FALSE)/100+100/$X186*$Q186*VLOOKUP($P186&amp;"Total",$D:$AK,25,FALSE)/100+
(IF($G186=AB$66,$H186,0)+IF($J186=AB$66,$K186,0)+IF($M186=AB$66,$N186,0)+IF($P186=AB$66,$Q186,0))*100/$X186</f>
        <v>0</v>
      </c>
      <c r="AC186" s="3">
        <f>100/$X186*$H186*VLOOKUP($G186&amp;"Total",$D:$AK,26,FALSE)/100+100/$X186*$K186*VLOOKUP($J186&amp;"Total",$D:$AK,26,FALSE)/100+100/$X186*$N186*VLOOKUP($M186&amp;"Total",$D:$AK,26,FALSE)/100+100/$X186*$Q186*VLOOKUP($P186&amp;"Total",$D:$AK,26,FALSE)/100+
(IF($G186=AC$66,$H186,0)+IF($J186=AC$66,$K186,0)+IF($M186=AC$66,$N186,0)+IF($P186=AC$66,$Q186,0))*100/$X186</f>
        <v>0</v>
      </c>
      <c r="AD186" s="3">
        <f>100/$X186*$H186*VLOOKUP($G186&amp;"Total",$D:$AK,27,FALSE)/100+100/$X186*$K186*VLOOKUP($J186&amp;"Total",$D:$AK,27,FALSE)/100+100/$X186*$N186*VLOOKUP($M186&amp;"Total",$D:$AK,27,FALSE)/100+100/$X186*$Q186*VLOOKUP($P186&amp;"Total",$D:$AK,27,FALSE)/100+
(IF($G186=AD$66,$H186,0)+IF($J186=AD$66,$K186,0)+IF($M186=AD$66,$N186,0)+IF($P186=AD$66,$Q186,0))*100/$X186</f>
        <v>0</v>
      </c>
      <c r="AE186" s="3">
        <f>100/$X186*$H186*VLOOKUP($G186&amp;"Total",$D:$AK,28,FALSE)/100+100/$X186*$K186*VLOOKUP($J186&amp;"Total",$D:$AK,28,FALSE)/100+100/$X186*$N186*VLOOKUP($M186&amp;"Total",$D:$AK,28,FALSE)/100+100/$X186*$Q186*VLOOKUP($P186&amp;"Total",$D:$AK,28,FALSE)/100+
(IF($G186=AE$66,$H186,0)+IF($J186=AE$66,$K186,0)+IF($M186=AE$66,$N186,0)+IF($P186=AE$66,$Q186,0))*100/$X186</f>
        <v>0</v>
      </c>
      <c r="AF186" s="3">
        <f>100/$X186*$H186*VLOOKUP($G186&amp;"Total",$D:$AK,29,FALSE)/100+100/$X186*$K186*VLOOKUP($J186&amp;"Total",$D:$AK,29,FALSE)/100+100/$X186*$N186*VLOOKUP($M186&amp;"Total",$D:$AK,29,FALSE)/100+100/$X186*$Q186*VLOOKUP($P186&amp;"Total",$D:$AK,29,FALSE)/100+
(IF($G186=AF$66,$H186,0)+IF($J186=AF$66,$K186,0)+IF($M186=AF$66,$N186,0)+IF($P186=AF$66,$Q186,0))*100/$X186</f>
        <v>0</v>
      </c>
      <c r="AG186" s="3">
        <f>100/$X186*$H186*VLOOKUP($G186&amp;"Total",$D:$AK,30,FALSE)/100+100/$X186*$K186*VLOOKUP($J186&amp;"Total",$D:$AK,30,FALSE)/100+100/$X186*$N186*VLOOKUP($M186&amp;"Total",$D:$AK,30,FALSE)/100+100/$X186*$Q186*VLOOKUP($P186&amp;"Total",$D:$AK,30,FALSE)/100+
(IF($G186=AG$66,$H186,0)+IF($J186=AG$66,$K186,0)+IF($M186=AG$66,$N186,0)+IF($P186=AG$66,$Q186,0))*100/$X186</f>
        <v>0</v>
      </c>
      <c r="AH186" s="3">
        <f>100/$X186*$H186*VLOOKUP($G186&amp;"Total",$D:$AK,31,FALSE)/100+100/$X186*$K186*VLOOKUP($J186&amp;"Total",$D:$AK,31,FALSE)/100+100/$X186*$N186*VLOOKUP($M186&amp;"Total",$D:$AK,31,FALSE)/100+100/$X186*$Q186*VLOOKUP($P186&amp;"Total",$D:$AK,31,FALSE)/100+
(IF($G186=AH$66,$H186,0)+IF($J186=AH$66,$K186,0)+IF($M186=AH$66,$N186,0)+IF($P186=AH$66,$Q186,0))*100/$X186</f>
        <v>0</v>
      </c>
      <c r="AI186" s="3">
        <f>100/$X186*$H186*VLOOKUP($G186&amp;"Total",$D:$AK,32,FALSE)/100+100/$X186*$K186*VLOOKUP($J186&amp;"Total",$D:$AK,32,FALSE)/100+100/$X186*$N186*VLOOKUP($M186&amp;"Total",$D:$AK,32,FALSE)/100+100/$X186*$Q186*VLOOKUP($P186&amp;"Total",$D:$AK,32,FALSE)/100+
(IF($G186=AI$66,$H186,0)+IF($J186=AI$66,$K186,0)+IF($M186=AI$66,$N186,0)+IF($P186=AI$66,$Q186,0))*100/$X186</f>
        <v>0</v>
      </c>
      <c r="AJ186" s="3">
        <f>100/$X186*$H186*VLOOKUP($G186&amp;"Total",$D:$AK,33,FALSE)/100+100/$X186*$K186*VLOOKUP($J186&amp;"Total",$D:$AK,33,FALSE)/100+100/$X186*$N186*VLOOKUP($M186&amp;"Total",$D:$AK,33,FALSE)/100+100/$X186*$Q186*VLOOKUP($P186&amp;"Total",$D:$AK,33,FALSE)/100+
(IF($G186=AJ$66,$H186,0)+IF($J186=AJ$66,$K186,0)+IF($M186=AJ$66,$N186,0)+IF($P186=AJ$66,$Q186,0))*100/$X186</f>
        <v>0</v>
      </c>
      <c r="AK186" s="3">
        <f>100/$X186*$H186*VLOOKUP($G186&amp;"Total",$D:$AK,34,FALSE)/100+100/$X186*$K186*VLOOKUP($J186&amp;"Total",$D:$AK,34,FALSE)/100+100/$X186*$N186*VLOOKUP($M186&amp;"Total",$D:$AK,34,FALSE)/100+100/$X186*$Q186*VLOOKUP($P186&amp;"Total",$D:$AK,34,FALSE)/100+
(IF($G186=AK$66,$H186,0)+IF($J186=AK$66,$K186,0)+IF($M186=AK$66,$N186,0)+IF($P186=AK$66,$Q186,0))*100/$X186</f>
        <v>150</v>
      </c>
    </row>
    <row r="187" spans="1:37" x14ac:dyDescent="0.25">
      <c r="A187" t="s">
        <v>82</v>
      </c>
      <c r="B187" t="s">
        <v>154</v>
      </c>
      <c r="D187" t="str">
        <f t="shared" ref="D187:D188" si="105">A187&amp;C187</f>
        <v>Plastic</v>
      </c>
      <c r="E187" s="26">
        <f t="shared" si="103"/>
        <v>265.69992110453649</v>
      </c>
      <c r="G187" t="s">
        <v>155</v>
      </c>
      <c r="H187" s="22">
        <v>60</v>
      </c>
      <c r="I187" s="3">
        <f>VLOOKUP(G187&amp;"Total",$D:$AB,2,FALSE)/100*H187</f>
        <v>19.806650887573966</v>
      </c>
      <c r="J187" s="22" t="s">
        <v>26</v>
      </c>
      <c r="K187" s="22">
        <v>20</v>
      </c>
      <c r="L187" s="3">
        <f>VLOOKUP(J187&amp;"Total",$D:$AB,2,FALSE)/100*K187</f>
        <v>3.3333333333333339</v>
      </c>
      <c r="M187" s="22" t="s">
        <v>27</v>
      </c>
      <c r="N187" s="22"/>
      <c r="O187" s="3">
        <f>VLOOKUP(M187&amp;"Total",$D:$AB,2,FALSE)/100*N187</f>
        <v>0</v>
      </c>
      <c r="P187" s="22" t="s">
        <v>27</v>
      </c>
      <c r="Q187" s="22"/>
      <c r="R187" s="3">
        <f>VLOOKUP(P187&amp;"Total",$D:$AB,2,FALSE)/100*Q187</f>
        <v>0</v>
      </c>
      <c r="T187" s="3">
        <f t="shared" si="104"/>
        <v>23.139984220907301</v>
      </c>
      <c r="V187" s="22" t="s">
        <v>60</v>
      </c>
      <c r="W187" s="22">
        <v>30</v>
      </c>
      <c r="X187" s="22">
        <v>20</v>
      </c>
      <c r="AA187" s="3">
        <f>100/$X187*$H187*VLOOKUP($G187&amp;"Total",$D:$AK,24,FALSE)/100+100/$X187*$K187*VLOOKUP($J187&amp;"Total",$D:$AK,24,FALSE)/100+100/$X187*$N187*VLOOKUP($M187&amp;"Total",$D:$AK,24,FALSE)/100+100/$X187*$Q187*VLOOKUP($P187&amp;"Total",$D:$AK,24,FALSE)/100+
(IF($G187=AA$66,$H187,0)+IF($J187=AA$66,$K187,0)+IF($M187=AA$66,$N187,0)+IF($P187=AA$66,$Q187,0))*100/$X187</f>
        <v>0</v>
      </c>
      <c r="AB187" s="3">
        <f>100/$X187*$H187*VLOOKUP($G187&amp;"Total",$D:$AK,25,FALSE)/100+100/$X187*$K187*VLOOKUP($J187&amp;"Total",$D:$AK,25,FALSE)/100+100/$X187*$N187*VLOOKUP($M187&amp;"Total",$D:$AK,25,FALSE)/100+100/$X187*$Q187*VLOOKUP($P187&amp;"Total",$D:$AK,25,FALSE)/100+
(IF($G187=AB$66,$H187,0)+IF($J187=AB$66,$K187,0)+IF($M187=AB$66,$N187,0)+IF($P187=AB$66,$Q187,0))*100/$X187</f>
        <v>0</v>
      </c>
      <c r="AC187" s="3">
        <f>100/$X187*$H187*VLOOKUP($G187&amp;"Total",$D:$AK,26,FALSE)/100+100/$X187*$K187*VLOOKUP($J187&amp;"Total",$D:$AK,26,FALSE)/100+100/$X187*$N187*VLOOKUP($M187&amp;"Total",$D:$AK,26,FALSE)/100+100/$X187*$Q187*VLOOKUP($P187&amp;"Total",$D:$AK,26,FALSE)/100+
(IF($G187=AC$66,$H187,0)+IF($J187=AC$66,$K187,0)+IF($M187=AC$66,$N187,0)+IF($P187=AC$66,$Q187,0))*100/$X187</f>
        <v>0</v>
      </c>
      <c r="AD187" s="3">
        <f>100/$X187*$H187*VLOOKUP($G187&amp;"Total",$D:$AK,27,FALSE)/100+100/$X187*$K187*VLOOKUP($J187&amp;"Total",$D:$AK,27,FALSE)/100+100/$X187*$N187*VLOOKUP($M187&amp;"Total",$D:$AK,27,FALSE)/100+100/$X187*$Q187*VLOOKUP($P187&amp;"Total",$D:$AK,27,FALSE)/100+
(IF($G187=AD$66,$H187,0)+IF($J187=AD$66,$K187,0)+IF($M187=AD$66,$N187,0)+IF($P187=AD$66,$Q187,0))*100/$X187</f>
        <v>0</v>
      </c>
      <c r="AE187" s="3">
        <f>100/$X187*$H187*VLOOKUP($G187&amp;"Total",$D:$AK,28,FALSE)/100+100/$X187*$K187*VLOOKUP($J187&amp;"Total",$D:$AK,28,FALSE)/100+100/$X187*$N187*VLOOKUP($M187&amp;"Total",$D:$AK,28,FALSE)/100+100/$X187*$Q187*VLOOKUP($P187&amp;"Total",$D:$AK,28,FALSE)/100+
(IF($G187=AE$66,$H187,0)+IF($J187=AE$66,$K187,0)+IF($M187=AE$66,$N187,0)+IF($P187=AE$66,$Q187,0))*100/$X187</f>
        <v>0</v>
      </c>
      <c r="AF187" s="3">
        <f>100/$X187*$H187*VLOOKUP($G187&amp;"Total",$D:$AK,29,FALSE)/100+100/$X187*$K187*VLOOKUP($J187&amp;"Total",$D:$AK,29,FALSE)/100+100/$X187*$N187*VLOOKUP($M187&amp;"Total",$D:$AK,29,FALSE)/100+100/$X187*$Q187*VLOOKUP($P187&amp;"Total",$D:$AK,29,FALSE)/100+
(IF($G187=AF$66,$H187,0)+IF($J187=AF$66,$K187,0)+IF($M187=AF$66,$N187,0)+IF($P187=AF$66,$Q187,0))*100/$X187</f>
        <v>0</v>
      </c>
      <c r="AG187" s="3">
        <f>100/$X187*$H187*VLOOKUP($G187&amp;"Total",$D:$AK,30,FALSE)/100+100/$X187*$K187*VLOOKUP($J187&amp;"Total",$D:$AK,30,FALSE)/100+100/$X187*$N187*VLOOKUP($M187&amp;"Total",$D:$AK,30,FALSE)/100+100/$X187*$Q187*VLOOKUP($P187&amp;"Total",$D:$AK,30,FALSE)/100+
(IF($G187=AG$66,$H187,0)+IF($J187=AG$66,$K187,0)+IF($M187=AG$66,$N187,0)+IF($P187=AG$66,$Q187,0))*100/$X187</f>
        <v>0</v>
      </c>
      <c r="AH187" s="3">
        <f>100/$X187*$H187*VLOOKUP($G187&amp;"Total",$D:$AK,31,FALSE)/100+100/$X187*$K187*VLOOKUP($J187&amp;"Total",$D:$AK,31,FALSE)/100+100/$X187*$N187*VLOOKUP($M187&amp;"Total",$D:$AK,31,FALSE)/100+100/$X187*$Q187*VLOOKUP($P187&amp;"Total",$D:$AK,31,FALSE)/100+
(IF($G187=AH$66,$H187,0)+IF($J187=AH$66,$K187,0)+IF($M187=AH$66,$N187,0)+IF($P187=AH$66,$Q187,0))*100/$X187</f>
        <v>0</v>
      </c>
      <c r="AI187" s="3">
        <f>100/$X187*$H187*VLOOKUP($G187&amp;"Total",$D:$AK,32,FALSE)/100+100/$X187*$K187*VLOOKUP($J187&amp;"Total",$D:$AK,32,FALSE)/100+100/$X187*$N187*VLOOKUP($M187&amp;"Total",$D:$AK,32,FALSE)/100+100/$X187*$Q187*VLOOKUP($P187&amp;"Total",$D:$AK,32,FALSE)/100+
(IF($G187=AI$66,$H187,0)+IF($J187=AI$66,$K187,0)+IF($M187=AI$66,$N187,0)+IF($P187=AI$66,$Q187,0))*100/$X187</f>
        <v>0</v>
      </c>
      <c r="AJ187" s="3">
        <f>100/$X187*$H187*VLOOKUP($G187&amp;"Total",$D:$AK,33,FALSE)/100+100/$X187*$K187*VLOOKUP($J187&amp;"Total",$D:$AK,33,FALSE)/100+100/$X187*$N187*VLOOKUP($M187&amp;"Total",$D:$AK,33,FALSE)/100+100/$X187*$Q187*VLOOKUP($P187&amp;"Total",$D:$AK,33,FALSE)/100+
(IF($G187=AJ$66,$H187,0)+IF($J187=AJ$66,$K187,0)+IF($M187=AJ$66,$N187,0)+IF($P187=AJ$66,$Q187,0))*100/$X187</f>
        <v>100</v>
      </c>
      <c r="AK187" s="3">
        <f>100/$X187*$H187*VLOOKUP($G187&amp;"Total",$D:$AK,34,FALSE)/100+100/$X187*$K187*VLOOKUP($J187&amp;"Total",$D:$AK,34,FALSE)/100+100/$X187*$N187*VLOOKUP($M187&amp;"Total",$D:$AK,34,FALSE)/100+100/$X187*$Q187*VLOOKUP($P187&amp;"Total",$D:$AK,34,FALSE)/100+
(IF($G187=AK$66,$H187,0)+IF($J187=AK$66,$K187,0)+IF($M187=AK$66,$N187,0)+IF($P187=AK$66,$Q187,0))*100/$X187</f>
        <v>69.230769230769226</v>
      </c>
    </row>
    <row r="188" spans="1:37" x14ac:dyDescent="0.25">
      <c r="A188" t="s">
        <v>82</v>
      </c>
      <c r="B188" t="s">
        <v>156</v>
      </c>
      <c r="D188" t="str">
        <f t="shared" si="105"/>
        <v>Plastic</v>
      </c>
      <c r="E188" s="26">
        <f t="shared" si="103"/>
        <v>227.07205128205132</v>
      </c>
      <c r="G188" t="s">
        <v>72</v>
      </c>
      <c r="H188" s="22">
        <v>30</v>
      </c>
      <c r="I188" s="3">
        <f>VLOOKUP(G188&amp;"Total",$D:$AB,2,FALSE)/100*H188</f>
        <v>64.371615384615396</v>
      </c>
      <c r="J188" s="22" t="s">
        <v>157</v>
      </c>
      <c r="K188" s="22">
        <v>30</v>
      </c>
      <c r="L188" s="3">
        <f>VLOOKUP(J188&amp;"Total",$D:$AB,2,FALSE)/100*K188</f>
        <v>41.871615384615389</v>
      </c>
      <c r="M188" s="22" t="s">
        <v>27</v>
      </c>
      <c r="N188" s="22"/>
      <c r="O188" s="3">
        <f>VLOOKUP(M188&amp;"Total",$D:$AB,2,FALSE)/100*N188</f>
        <v>0</v>
      </c>
      <c r="P188" s="22" t="s">
        <v>27</v>
      </c>
      <c r="Q188" s="22"/>
      <c r="R188" s="3">
        <f>VLOOKUP(P188&amp;"Total",$D:$AB,2,FALSE)/100*Q188</f>
        <v>0</v>
      </c>
      <c r="T188" s="3">
        <f t="shared" si="104"/>
        <v>106.24323076923079</v>
      </c>
      <c r="V188" s="22" t="s">
        <v>60</v>
      </c>
      <c r="W188" s="22">
        <v>30</v>
      </c>
      <c r="X188" s="22">
        <v>60</v>
      </c>
      <c r="AA188" s="3">
        <f>100/$X188*$H188*VLOOKUP($G188&amp;"Total",$D:$AK,24,FALSE)/100+100/$X188*$K188*VLOOKUP($J188&amp;"Total",$D:$AK,24,FALSE)/100+100/$X188*$N188*VLOOKUP($M188&amp;"Total",$D:$AK,24,FALSE)/100+100/$X188*$Q188*VLOOKUP($P188&amp;"Total",$D:$AK,24,FALSE)/100+
(IF($G188=AA$66,$H188,0)+IF($J188=AA$66,$K188,0)+IF($M188=AA$66,$N188,0)+IF($P188=AA$66,$Q188,0))*100/$X188</f>
        <v>0</v>
      </c>
      <c r="AB188" s="3">
        <f>100/$X188*$H188*VLOOKUP($G188&amp;"Total",$D:$AK,25,FALSE)/100+100/$X188*$K188*VLOOKUP($J188&amp;"Total",$D:$AK,25,FALSE)/100+100/$X188*$N188*VLOOKUP($M188&amp;"Total",$D:$AK,25,FALSE)/100+100/$X188*$Q188*VLOOKUP($P188&amp;"Total",$D:$AK,25,FALSE)/100+
(IF($G188=AB$66,$H188,0)+IF($J188=AB$66,$K188,0)+IF($M188=AB$66,$N188,0)+IF($P188=AB$66,$Q188,0))*100/$X188</f>
        <v>0</v>
      </c>
      <c r="AC188" s="3">
        <f>100/$X188*$H188*VLOOKUP($G188&amp;"Total",$D:$AK,26,FALSE)/100+100/$X188*$K188*VLOOKUP($J188&amp;"Total",$D:$AK,26,FALSE)/100+100/$X188*$N188*VLOOKUP($M188&amp;"Total",$D:$AK,26,FALSE)/100+100/$X188*$Q188*VLOOKUP($P188&amp;"Total",$D:$AK,26,FALSE)/100+
(IF($G188=AC$66,$H188,0)+IF($J188=AC$66,$K188,0)+IF($M188=AC$66,$N188,0)+IF($P188=AC$66,$Q188,0))*100/$X188</f>
        <v>0</v>
      </c>
      <c r="AD188" s="3">
        <f>100/$X188*$H188*VLOOKUP($G188&amp;"Total",$D:$AK,27,FALSE)/100+100/$X188*$K188*VLOOKUP($J188&amp;"Total",$D:$AK,27,FALSE)/100+100/$X188*$N188*VLOOKUP($M188&amp;"Total",$D:$AK,27,FALSE)/100+100/$X188*$Q188*VLOOKUP($P188&amp;"Total",$D:$AK,27,FALSE)/100+
(IF($G188=AD$66,$H188,0)+IF($J188=AD$66,$K188,0)+IF($M188=AD$66,$N188,0)+IF($P188=AD$66,$Q188,0))*100/$X188</f>
        <v>0</v>
      </c>
      <c r="AE188" s="3">
        <f>100/$X188*$H188*VLOOKUP($G188&amp;"Total",$D:$AK,28,FALSE)/100+100/$X188*$K188*VLOOKUP($J188&amp;"Total",$D:$AK,28,FALSE)/100+100/$X188*$N188*VLOOKUP($M188&amp;"Total",$D:$AK,28,FALSE)/100+100/$X188*$Q188*VLOOKUP($P188&amp;"Total",$D:$AK,28,FALSE)/100+
(IF($G188=AE$66,$H188,0)+IF($J188=AE$66,$K188,0)+IF($M188=AE$66,$N188,0)+IF($P188=AE$66,$Q188,0))*100/$X188</f>
        <v>0</v>
      </c>
      <c r="AF188" s="3">
        <f>100/$X188*$H188*VLOOKUP($G188&amp;"Total",$D:$AK,29,FALSE)/100+100/$X188*$K188*VLOOKUP($J188&amp;"Total",$D:$AK,29,FALSE)/100+100/$X188*$N188*VLOOKUP($M188&amp;"Total",$D:$AK,29,FALSE)/100+100/$X188*$Q188*VLOOKUP($P188&amp;"Total",$D:$AK,29,FALSE)/100+
(IF($G188=AF$66,$H188,0)+IF($J188=AF$66,$K188,0)+IF($M188=AF$66,$N188,0)+IF($P188=AF$66,$Q188,0))*100/$X188</f>
        <v>0</v>
      </c>
      <c r="AG188" s="3">
        <f>100/$X188*$H188*VLOOKUP($G188&amp;"Total",$D:$AK,30,FALSE)/100+100/$X188*$K188*VLOOKUP($J188&amp;"Total",$D:$AK,30,FALSE)/100+100/$X188*$N188*VLOOKUP($M188&amp;"Total",$D:$AK,30,FALSE)/100+100/$X188*$Q188*VLOOKUP($P188&amp;"Total",$D:$AK,30,FALSE)/100+
(IF($G188=AG$66,$H188,0)+IF($J188=AG$66,$K188,0)+IF($M188=AG$66,$N188,0)+IF($P188=AG$66,$Q188,0))*100/$X188</f>
        <v>0</v>
      </c>
      <c r="AH188" s="3">
        <f>100/$X188*$H188*VLOOKUP($G188&amp;"Total",$D:$AK,31,FALSE)/100+100/$X188*$K188*VLOOKUP($J188&amp;"Total",$D:$AK,31,FALSE)/100+100/$X188*$N188*VLOOKUP($M188&amp;"Total",$D:$AK,31,FALSE)/100+100/$X188*$Q188*VLOOKUP($P188&amp;"Total",$D:$AK,31,FALSE)/100+
(IF($G188=AH$66,$H188,0)+IF($J188=AH$66,$K188,0)+IF($M188=AH$66,$N188,0)+IF($P188=AH$66,$Q188,0))*100/$X188</f>
        <v>0</v>
      </c>
      <c r="AI188" s="3">
        <f>100/$X188*$H188*VLOOKUP($G188&amp;"Total",$D:$AK,32,FALSE)/100+100/$X188*$K188*VLOOKUP($J188&amp;"Total",$D:$AK,32,FALSE)/100+100/$X188*$N188*VLOOKUP($M188&amp;"Total",$D:$AK,32,FALSE)/100+100/$X188*$Q188*VLOOKUP($P188&amp;"Total",$D:$AK,32,FALSE)/100+
(IF($G188=AI$66,$H188,0)+IF($J188=AI$66,$K188,0)+IF($M188=AI$66,$N188,0)+IF($P188=AI$66,$Q188,0))*100/$X188</f>
        <v>0</v>
      </c>
      <c r="AJ188" s="3">
        <f>100/$X188*$H188*VLOOKUP($G188&amp;"Total",$D:$AK,33,FALSE)/100+100/$X188*$K188*VLOOKUP($J188&amp;"Total",$D:$AK,33,FALSE)/100+100/$X188*$N188*VLOOKUP($M188&amp;"Total",$D:$AK,33,FALSE)/100+100/$X188*$Q188*VLOOKUP($P188&amp;"Total",$D:$AK,33,FALSE)/100+
(IF($G188=AJ$66,$H188,0)+IF($J188=AJ$66,$K188,0)+IF($M188=AJ$66,$N188,0)+IF($P188=AJ$66,$Q188,0))*100/$X188</f>
        <v>0</v>
      </c>
      <c r="AK188" s="3">
        <f>100/$X188*$H188*VLOOKUP($G188&amp;"Total",$D:$AK,34,FALSE)/100+100/$X188*$K188*VLOOKUP($J188&amp;"Total",$D:$AK,34,FALSE)/100+100/$X188*$N188*VLOOKUP($M188&amp;"Total",$D:$AK,34,FALSE)/100+100/$X188*$Q188*VLOOKUP($P188&amp;"Total",$D:$AK,34,FALSE)/100+
(IF($G188=AK$66,$H188,0)+IF($J188=AK$66,$K188,0)+IF($M188=AK$66,$N188,0)+IF($P188=AK$66,$Q188,0))*100/$X188</f>
        <v>150</v>
      </c>
    </row>
    <row r="189" spans="1:37" x14ac:dyDescent="0.25">
      <c r="E189" s="26"/>
      <c r="H189" s="22"/>
      <c r="I189" s="3"/>
      <c r="J189" s="22"/>
      <c r="K189" s="22"/>
      <c r="L189" s="3"/>
      <c r="M189" s="22"/>
      <c r="N189" s="22"/>
      <c r="O189" s="3"/>
      <c r="P189" s="22"/>
      <c r="Q189" s="22"/>
      <c r="R189" s="3"/>
      <c r="T189" s="3"/>
      <c r="V189" s="22"/>
      <c r="W189" s="22"/>
      <c r="X189" s="22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 x14ac:dyDescent="0.25">
      <c r="A190" t="s">
        <v>72</v>
      </c>
      <c r="B190" t="s">
        <v>158</v>
      </c>
      <c r="D190" t="str">
        <f>A190&amp;C190</f>
        <v>Rubber</v>
      </c>
      <c r="E190" s="26">
        <f t="shared" ref="E190:E192" si="106">100/X190*(T190+W190)</f>
        <v>249.3555029585799</v>
      </c>
      <c r="G190" t="s">
        <v>155</v>
      </c>
      <c r="H190" s="22">
        <v>40</v>
      </c>
      <c r="I190" s="3">
        <f>VLOOKUP(G190&amp;"Total",$D:$AB,2,FALSE)/100*H190</f>
        <v>13.20443392504931</v>
      </c>
      <c r="J190" s="22" t="s">
        <v>26</v>
      </c>
      <c r="K190" s="22">
        <v>40</v>
      </c>
      <c r="L190" s="3">
        <f>VLOOKUP(J190&amp;"Total",$D:$AB,2,FALSE)/100*K190</f>
        <v>6.6666666666666679</v>
      </c>
      <c r="M190" s="22" t="s">
        <v>27</v>
      </c>
      <c r="N190" s="22"/>
      <c r="O190" s="3">
        <f>VLOOKUP(M190&amp;"Total",$D:$AB,2,FALSE)/100*N190</f>
        <v>0</v>
      </c>
      <c r="P190" s="22" t="s">
        <v>27</v>
      </c>
      <c r="Q190" s="22"/>
      <c r="R190" s="3">
        <f>VLOOKUP(P190&amp;"Total",$D:$AB,2,FALSE)/100*Q190</f>
        <v>0</v>
      </c>
      <c r="T190" s="3">
        <f t="shared" ref="T190:T192" si="107">I190+L190+O190+R190</f>
        <v>19.87110059171598</v>
      </c>
      <c r="V190" s="22" t="s">
        <v>60</v>
      </c>
      <c r="W190" s="22">
        <v>30</v>
      </c>
      <c r="X190" s="22">
        <v>20</v>
      </c>
      <c r="AA190" s="3">
        <f>100/$X190*$H190*VLOOKUP($G190&amp;"Total",$D:$AK,24,FALSE)/100+100/$X190*$K190*VLOOKUP($J190&amp;"Total",$D:$AK,24,FALSE)/100+100/$X190*$N190*VLOOKUP($M190&amp;"Total",$D:$AK,24,FALSE)/100+100/$X190*$Q190*VLOOKUP($P190&amp;"Total",$D:$AK,24,FALSE)/100+
(IF($G190=AA$66,$H190,0)+IF($J190=AA$66,$K190,0)+IF($M190=AA$66,$N190,0)+IF($P190=AA$66,$Q190,0))*100/$X190</f>
        <v>0</v>
      </c>
      <c r="AB190" s="3">
        <f>100/$X190*$H190*VLOOKUP($G190&amp;"Total",$D:$AK,25,FALSE)/100+100/$X190*$K190*VLOOKUP($J190&amp;"Total",$D:$AK,25,FALSE)/100+100/$X190*$N190*VLOOKUP($M190&amp;"Total",$D:$AK,25,FALSE)/100+100/$X190*$Q190*VLOOKUP($P190&amp;"Total",$D:$AK,25,FALSE)/100+
(IF($G190=AB$66,$H190,0)+IF($J190=AB$66,$K190,0)+IF($M190=AB$66,$N190,0)+IF($P190=AB$66,$Q190,0))*100/$X190</f>
        <v>0</v>
      </c>
      <c r="AC190" s="3">
        <f>100/$X190*$H190*VLOOKUP($G190&amp;"Total",$D:$AK,26,FALSE)/100+100/$X190*$K190*VLOOKUP($J190&amp;"Total",$D:$AK,26,FALSE)/100+100/$X190*$N190*VLOOKUP($M190&amp;"Total",$D:$AK,26,FALSE)/100+100/$X190*$Q190*VLOOKUP($P190&amp;"Total",$D:$AK,26,FALSE)/100+
(IF($G190=AC$66,$H190,0)+IF($J190=AC$66,$K190,0)+IF($M190=AC$66,$N190,0)+IF($P190=AC$66,$Q190,0))*100/$X190</f>
        <v>0</v>
      </c>
      <c r="AD190" s="3">
        <f>100/$X190*$H190*VLOOKUP($G190&amp;"Total",$D:$AK,27,FALSE)/100+100/$X190*$K190*VLOOKUP($J190&amp;"Total",$D:$AK,27,FALSE)/100+100/$X190*$N190*VLOOKUP($M190&amp;"Total",$D:$AK,27,FALSE)/100+100/$X190*$Q190*VLOOKUP($P190&amp;"Total",$D:$AK,27,FALSE)/100+
(IF($G190=AD$66,$H190,0)+IF($J190=AD$66,$K190,0)+IF($M190=AD$66,$N190,0)+IF($P190=AD$66,$Q190,0))*100/$X190</f>
        <v>0</v>
      </c>
      <c r="AE190" s="3">
        <f>100/$X190*$H190*VLOOKUP($G190&amp;"Total",$D:$AK,28,FALSE)/100+100/$X190*$K190*VLOOKUP($J190&amp;"Total",$D:$AK,28,FALSE)/100+100/$X190*$N190*VLOOKUP($M190&amp;"Total",$D:$AK,28,FALSE)/100+100/$X190*$Q190*VLOOKUP($P190&amp;"Total",$D:$AK,28,FALSE)/100+
(IF($G190=AE$66,$H190,0)+IF($J190=AE$66,$K190,0)+IF($M190=AE$66,$N190,0)+IF($P190=AE$66,$Q190,0))*100/$X190</f>
        <v>0</v>
      </c>
      <c r="AF190" s="3">
        <f>100/$X190*$H190*VLOOKUP($G190&amp;"Total",$D:$AK,29,FALSE)/100+100/$X190*$K190*VLOOKUP($J190&amp;"Total",$D:$AK,29,FALSE)/100+100/$X190*$N190*VLOOKUP($M190&amp;"Total",$D:$AK,29,FALSE)/100+100/$X190*$Q190*VLOOKUP($P190&amp;"Total",$D:$AK,29,FALSE)/100+
(IF($G190=AF$66,$H190,0)+IF($J190=AF$66,$K190,0)+IF($M190=AF$66,$N190,0)+IF($P190=AF$66,$Q190,0))*100/$X190</f>
        <v>0</v>
      </c>
      <c r="AG190" s="3">
        <f>100/$X190*$H190*VLOOKUP($G190&amp;"Total",$D:$AK,30,FALSE)/100+100/$X190*$K190*VLOOKUP($J190&amp;"Total",$D:$AK,30,FALSE)/100+100/$X190*$N190*VLOOKUP($M190&amp;"Total",$D:$AK,30,FALSE)/100+100/$X190*$Q190*VLOOKUP($P190&amp;"Total",$D:$AK,30,FALSE)/100+
(IF($G190=AG$66,$H190,0)+IF($J190=AG$66,$K190,0)+IF($M190=AG$66,$N190,0)+IF($P190=AG$66,$Q190,0))*100/$X190</f>
        <v>0</v>
      </c>
      <c r="AH190" s="3">
        <f>100/$X190*$H190*VLOOKUP($G190&amp;"Total",$D:$AK,31,FALSE)/100+100/$X190*$K190*VLOOKUP($J190&amp;"Total",$D:$AK,31,FALSE)/100+100/$X190*$N190*VLOOKUP($M190&amp;"Total",$D:$AK,31,FALSE)/100+100/$X190*$Q190*VLOOKUP($P190&amp;"Total",$D:$AK,31,FALSE)/100+
(IF($G190=AH$66,$H190,0)+IF($J190=AH$66,$K190,0)+IF($M190=AH$66,$N190,0)+IF($P190=AH$66,$Q190,0))*100/$X190</f>
        <v>0</v>
      </c>
      <c r="AI190" s="3">
        <f>100/$X190*$H190*VLOOKUP($G190&amp;"Total",$D:$AK,32,FALSE)/100+100/$X190*$K190*VLOOKUP($J190&amp;"Total",$D:$AK,32,FALSE)/100+100/$X190*$N190*VLOOKUP($M190&amp;"Total",$D:$AK,32,FALSE)/100+100/$X190*$Q190*VLOOKUP($P190&amp;"Total",$D:$AK,32,FALSE)/100+
(IF($G190=AI$66,$H190,0)+IF($J190=AI$66,$K190,0)+IF($M190=AI$66,$N190,0)+IF($P190=AI$66,$Q190,0))*100/$X190</f>
        <v>0</v>
      </c>
      <c r="AJ190" s="3">
        <f>100/$X190*$H190*VLOOKUP($G190&amp;"Total",$D:$AK,33,FALSE)/100+100/$X190*$K190*VLOOKUP($J190&amp;"Total",$D:$AK,33,FALSE)/100+100/$X190*$N190*VLOOKUP($M190&amp;"Total",$D:$AK,33,FALSE)/100+100/$X190*$Q190*VLOOKUP($P190&amp;"Total",$D:$AK,33,FALSE)/100+
(IF($G190=AJ$66,$H190,0)+IF($J190=AJ$66,$K190,0)+IF($M190=AJ$66,$N190,0)+IF($P190=AJ$66,$Q190,0))*100/$X190</f>
        <v>200</v>
      </c>
      <c r="AK190" s="3">
        <f>100/$X190*$H190*VLOOKUP($G190&amp;"Total",$D:$AK,34,FALSE)/100+100/$X190*$K190*VLOOKUP($J190&amp;"Total",$D:$AK,34,FALSE)/100+100/$X190*$N190*VLOOKUP($M190&amp;"Total",$D:$AK,34,FALSE)/100+100/$X190*$Q190*VLOOKUP($P190&amp;"Total",$D:$AK,34,FALSE)/100+
(IF($G190=AK$66,$H190,0)+IF($J190=AK$66,$K190,0)+IF($M190=AK$66,$N190,0)+IF($P190=AK$66,$Q190,0))*100/$X190</f>
        <v>46.153846153846153</v>
      </c>
    </row>
    <row r="191" spans="1:37" x14ac:dyDescent="0.25">
      <c r="A191" t="s">
        <v>72</v>
      </c>
      <c r="B191" t="s">
        <v>72</v>
      </c>
      <c r="C191" t="s">
        <v>17</v>
      </c>
      <c r="D191" t="str">
        <f t="shared" ref="D191:D192" si="108">A191&amp;C191</f>
        <v>RubberTotal</v>
      </c>
      <c r="E191" s="26">
        <f t="shared" si="106"/>
        <v>214.57205128205129</v>
      </c>
      <c r="G191" t="s">
        <v>29</v>
      </c>
      <c r="H191" s="22">
        <v>30</v>
      </c>
      <c r="I191" s="3">
        <f>VLOOKUP(G191&amp;"Total",$D:$AB,2,FALSE)/100*H191</f>
        <v>12.914410256410255</v>
      </c>
      <c r="J191" s="22" t="s">
        <v>27</v>
      </c>
      <c r="K191" s="22"/>
      <c r="L191" s="3">
        <f>VLOOKUP(J191&amp;"Total",$D:$AB,2,FALSE)/100*K191</f>
        <v>0</v>
      </c>
      <c r="M191" s="22" t="s">
        <v>27</v>
      </c>
      <c r="N191" s="22"/>
      <c r="O191" s="3">
        <f>VLOOKUP(M191&amp;"Total",$D:$AB,2,FALSE)/100*N191</f>
        <v>0</v>
      </c>
      <c r="P191" s="22" t="s">
        <v>27</v>
      </c>
      <c r="Q191" s="22"/>
      <c r="R191" s="3">
        <f>VLOOKUP(P191&amp;"Total",$D:$AB,2,FALSE)/100*Q191</f>
        <v>0</v>
      </c>
      <c r="T191" s="3">
        <f t="shared" si="107"/>
        <v>12.914410256410255</v>
      </c>
      <c r="V191" s="22" t="s">
        <v>60</v>
      </c>
      <c r="W191" s="22">
        <v>30</v>
      </c>
      <c r="X191" s="22">
        <v>20</v>
      </c>
      <c r="Z191" s="21" t="s">
        <v>133</v>
      </c>
      <c r="AA191" s="3">
        <f>100/$X191*$H191*VLOOKUP($G191&amp;"Total",$D:$AK,24,FALSE)/100+100/$X191*$K191*VLOOKUP($J191&amp;"Total",$D:$AK,24,FALSE)/100+100/$X191*$N191*VLOOKUP($M191&amp;"Total",$D:$AK,24,FALSE)/100+100/$X191*$Q191*VLOOKUP($P191&amp;"Total",$D:$AK,24,FALSE)/100+
(IF($G191=AA$66,$H191,0)+IF($J191=AA$66,$K191,0)+IF($M191=AA$66,$N191,0)+IF($P191=AA$66,$Q191,0))*100/$X191</f>
        <v>0</v>
      </c>
      <c r="AB191" s="3">
        <f>100/$X191*$H191*VLOOKUP($G191&amp;"Total",$D:$AK,25,FALSE)/100+100/$X191*$K191*VLOOKUP($J191&amp;"Total",$D:$AK,25,FALSE)/100+100/$X191*$N191*VLOOKUP($M191&amp;"Total",$D:$AK,25,FALSE)/100+100/$X191*$Q191*VLOOKUP($P191&amp;"Total",$D:$AK,25,FALSE)/100+
(IF($G191=AB$66,$H191,0)+IF($J191=AB$66,$K191,0)+IF($M191=AB$66,$N191,0)+IF($P191=AB$66,$Q191,0))*100/$X191</f>
        <v>0</v>
      </c>
      <c r="AC191" s="3">
        <f>100/$X191*$H191*VLOOKUP($G191&amp;"Total",$D:$AK,26,FALSE)/100+100/$X191*$K191*VLOOKUP($J191&amp;"Total",$D:$AK,26,FALSE)/100+100/$X191*$N191*VLOOKUP($M191&amp;"Total",$D:$AK,26,FALSE)/100+100/$X191*$Q191*VLOOKUP($P191&amp;"Total",$D:$AK,26,FALSE)/100+
(IF($G191=AC$66,$H191,0)+IF($J191=AC$66,$K191,0)+IF($M191=AC$66,$N191,0)+IF($P191=AC$66,$Q191,0))*100/$X191</f>
        <v>0</v>
      </c>
      <c r="AD191" s="3">
        <f>100/$X191*$H191*VLOOKUP($G191&amp;"Total",$D:$AK,27,FALSE)/100+100/$X191*$K191*VLOOKUP($J191&amp;"Total",$D:$AK,27,FALSE)/100+100/$X191*$N191*VLOOKUP($M191&amp;"Total",$D:$AK,27,FALSE)/100+100/$X191*$Q191*VLOOKUP($P191&amp;"Total",$D:$AK,27,FALSE)/100+
(IF($G191=AD$66,$H191,0)+IF($J191=AD$66,$K191,0)+IF($M191=AD$66,$N191,0)+IF($P191=AD$66,$Q191,0))*100/$X191</f>
        <v>0</v>
      </c>
      <c r="AE191" s="3">
        <f>100/$X191*$H191*VLOOKUP($G191&amp;"Total",$D:$AK,28,FALSE)/100+100/$X191*$K191*VLOOKUP($J191&amp;"Total",$D:$AK,28,FALSE)/100+100/$X191*$N191*VLOOKUP($M191&amp;"Total",$D:$AK,28,FALSE)/100+100/$X191*$Q191*VLOOKUP($P191&amp;"Total",$D:$AK,28,FALSE)/100+
(IF($G191=AE$66,$H191,0)+IF($J191=AE$66,$K191,0)+IF($M191=AE$66,$N191,0)+IF($P191=AE$66,$Q191,0))*100/$X191</f>
        <v>0</v>
      </c>
      <c r="AF191" s="3">
        <f>100/$X191*$H191*VLOOKUP($G191&amp;"Total",$D:$AK,29,FALSE)/100+100/$X191*$K191*VLOOKUP($J191&amp;"Total",$D:$AK,29,FALSE)/100+100/$X191*$N191*VLOOKUP($M191&amp;"Total",$D:$AK,29,FALSE)/100+100/$X191*$Q191*VLOOKUP($P191&amp;"Total",$D:$AK,29,FALSE)/100+
(IF($G191=AF$66,$H191,0)+IF($J191=AF$66,$K191,0)+IF($M191=AF$66,$N191,0)+IF($P191=AF$66,$Q191,0))*100/$X191</f>
        <v>0</v>
      </c>
      <c r="AG191" s="3">
        <f>100/$X191*$H191*VLOOKUP($G191&amp;"Total",$D:$AK,30,FALSE)/100+100/$X191*$K191*VLOOKUP($J191&amp;"Total",$D:$AK,30,FALSE)/100+100/$X191*$N191*VLOOKUP($M191&amp;"Total",$D:$AK,30,FALSE)/100+100/$X191*$Q191*VLOOKUP($P191&amp;"Total",$D:$AK,30,FALSE)/100+
(IF($G191=AG$66,$H191,0)+IF($J191=AG$66,$K191,0)+IF($M191=AG$66,$N191,0)+IF($P191=AG$66,$Q191,0))*100/$X191</f>
        <v>0</v>
      </c>
      <c r="AH191" s="3">
        <f>100/$X191*$H191*VLOOKUP($G191&amp;"Total",$D:$AK,31,FALSE)/100+100/$X191*$K191*VLOOKUP($J191&amp;"Total",$D:$AK,31,FALSE)/100+100/$X191*$N191*VLOOKUP($M191&amp;"Total",$D:$AK,31,FALSE)/100+100/$X191*$Q191*VLOOKUP($P191&amp;"Total",$D:$AK,31,FALSE)/100+
(IF($G191=AH$66,$H191,0)+IF($J191=AH$66,$K191,0)+IF($M191=AH$66,$N191,0)+IF($P191=AH$66,$Q191,0))*100/$X191</f>
        <v>0</v>
      </c>
      <c r="AI191" s="3">
        <f>100/$X191*$H191*VLOOKUP($G191&amp;"Total",$D:$AK,32,FALSE)/100+100/$X191*$K191*VLOOKUP($J191&amp;"Total",$D:$AK,32,FALSE)/100+100/$X191*$N191*VLOOKUP($M191&amp;"Total",$D:$AK,32,FALSE)/100+100/$X191*$Q191*VLOOKUP($P191&amp;"Total",$D:$AK,32,FALSE)/100+
(IF($G191=AI$66,$H191,0)+IF($J191=AI$66,$K191,0)+IF($M191=AI$66,$N191,0)+IF($P191=AI$66,$Q191,0))*100/$X191</f>
        <v>0</v>
      </c>
      <c r="AJ191" s="3">
        <f>100/$X191*$H191*VLOOKUP($G191&amp;"Total",$D:$AK,33,FALSE)/100+100/$X191*$K191*VLOOKUP($J191&amp;"Total",$D:$AK,33,FALSE)/100+100/$X191*$N191*VLOOKUP($M191&amp;"Total",$D:$AK,33,FALSE)/100+100/$X191*$Q191*VLOOKUP($P191&amp;"Total",$D:$AK,33,FALSE)/100+
(IF($G191=AJ$66,$H191,0)+IF($J191=AJ$66,$K191,0)+IF($M191=AJ$66,$N191,0)+IF($P191=AJ$66,$Q191,0))*100/$X191</f>
        <v>0</v>
      </c>
      <c r="AK191" s="3">
        <f>100/$X191*$H191*VLOOKUP($G191&amp;"Total",$D:$AK,34,FALSE)/100+100/$X191*$K191*VLOOKUP($J191&amp;"Total",$D:$AK,34,FALSE)/100+100/$X191*$N191*VLOOKUP($M191&amp;"Total",$D:$AK,34,FALSE)/100+100/$X191*$Q191*VLOOKUP($P191&amp;"Total",$D:$AK,34,FALSE)/100+
(IF($G191=AK$66,$H191,0)+IF($J191=AK$66,$K191,0)+IF($M191=AK$66,$N191,0)+IF($P191=AK$66,$Q191,0))*100/$X191</f>
        <v>150</v>
      </c>
    </row>
    <row r="192" spans="1:37" x14ac:dyDescent="0.25">
      <c r="A192" t="s">
        <v>72</v>
      </c>
      <c r="B192" t="s">
        <v>159</v>
      </c>
      <c r="D192" t="str">
        <f t="shared" si="108"/>
        <v>Rubber</v>
      </c>
      <c r="E192" s="26">
        <f t="shared" si="106"/>
        <v>227.07205128205132</v>
      </c>
      <c r="G192" t="s">
        <v>82</v>
      </c>
      <c r="H192" s="22">
        <v>30</v>
      </c>
      <c r="I192" s="3">
        <f>VLOOKUP(G192&amp;"Total",$D:$AB,2,FALSE)/100*H192</f>
        <v>64.371615384615396</v>
      </c>
      <c r="J192" s="22" t="s">
        <v>157</v>
      </c>
      <c r="K192" s="22">
        <v>30</v>
      </c>
      <c r="L192" s="3">
        <f>VLOOKUP(J192&amp;"Total",$D:$AB,2,FALSE)/100*K192</f>
        <v>41.871615384615389</v>
      </c>
      <c r="M192" s="22" t="s">
        <v>27</v>
      </c>
      <c r="N192" s="22"/>
      <c r="O192" s="3">
        <f>VLOOKUP(M192&amp;"Total",$D:$AB,2,FALSE)/100*N192</f>
        <v>0</v>
      </c>
      <c r="P192" s="22" t="s">
        <v>27</v>
      </c>
      <c r="Q192" s="22"/>
      <c r="R192" s="3">
        <f>VLOOKUP(P192&amp;"Total",$D:$AB,2,FALSE)/100*Q192</f>
        <v>0</v>
      </c>
      <c r="T192" s="3">
        <f t="shared" si="107"/>
        <v>106.24323076923079</v>
      </c>
      <c r="V192" s="22" t="s">
        <v>60</v>
      </c>
      <c r="W192" s="22">
        <v>30</v>
      </c>
      <c r="X192" s="22">
        <v>60</v>
      </c>
      <c r="AA192" s="3">
        <f>100/$X192*$H192*VLOOKUP($G192&amp;"Total",$D:$AK,24,FALSE)/100+100/$X192*$K192*VLOOKUP($J192&amp;"Total",$D:$AK,24,FALSE)/100+100/$X192*$N192*VLOOKUP($M192&amp;"Total",$D:$AK,24,FALSE)/100+100/$X192*$Q192*VLOOKUP($P192&amp;"Total",$D:$AK,24,FALSE)/100+
(IF($G192=AA$66,$H192,0)+IF($J192=AA$66,$K192,0)+IF($M192=AA$66,$N192,0)+IF($P192=AA$66,$Q192,0))*100/$X192</f>
        <v>0</v>
      </c>
      <c r="AB192" s="3">
        <f>100/$X192*$H192*VLOOKUP($G192&amp;"Total",$D:$AK,25,FALSE)/100+100/$X192*$K192*VLOOKUP($J192&amp;"Total",$D:$AK,25,FALSE)/100+100/$X192*$N192*VLOOKUP($M192&amp;"Total",$D:$AK,25,FALSE)/100+100/$X192*$Q192*VLOOKUP($P192&amp;"Total",$D:$AK,25,FALSE)/100+
(IF($G192=AB$66,$H192,0)+IF($J192=AB$66,$K192,0)+IF($M192=AB$66,$N192,0)+IF($P192=AB$66,$Q192,0))*100/$X192</f>
        <v>0</v>
      </c>
      <c r="AC192" s="3">
        <f>100/$X192*$H192*VLOOKUP($G192&amp;"Total",$D:$AK,26,FALSE)/100+100/$X192*$K192*VLOOKUP($J192&amp;"Total",$D:$AK,26,FALSE)/100+100/$X192*$N192*VLOOKUP($M192&amp;"Total",$D:$AK,26,FALSE)/100+100/$X192*$Q192*VLOOKUP($P192&amp;"Total",$D:$AK,26,FALSE)/100+
(IF($G192=AC$66,$H192,0)+IF($J192=AC$66,$K192,0)+IF($M192=AC$66,$N192,0)+IF($P192=AC$66,$Q192,0))*100/$X192</f>
        <v>0</v>
      </c>
      <c r="AD192" s="3">
        <f>100/$X192*$H192*VLOOKUP($G192&amp;"Total",$D:$AK,27,FALSE)/100+100/$X192*$K192*VLOOKUP($J192&amp;"Total",$D:$AK,27,FALSE)/100+100/$X192*$N192*VLOOKUP($M192&amp;"Total",$D:$AK,27,FALSE)/100+100/$X192*$Q192*VLOOKUP($P192&amp;"Total",$D:$AK,27,FALSE)/100+
(IF($G192=AD$66,$H192,0)+IF($J192=AD$66,$K192,0)+IF($M192=AD$66,$N192,0)+IF($P192=AD$66,$Q192,0))*100/$X192</f>
        <v>0</v>
      </c>
      <c r="AE192" s="3">
        <f>100/$X192*$H192*VLOOKUP($G192&amp;"Total",$D:$AK,28,FALSE)/100+100/$X192*$K192*VLOOKUP($J192&amp;"Total",$D:$AK,28,FALSE)/100+100/$X192*$N192*VLOOKUP($M192&amp;"Total",$D:$AK,28,FALSE)/100+100/$X192*$Q192*VLOOKUP($P192&amp;"Total",$D:$AK,28,FALSE)/100+
(IF($G192=AE$66,$H192,0)+IF($J192=AE$66,$K192,0)+IF($M192=AE$66,$N192,0)+IF($P192=AE$66,$Q192,0))*100/$X192</f>
        <v>0</v>
      </c>
      <c r="AF192" s="3">
        <f>100/$X192*$H192*VLOOKUP($G192&amp;"Total",$D:$AK,29,FALSE)/100+100/$X192*$K192*VLOOKUP($J192&amp;"Total",$D:$AK,29,FALSE)/100+100/$X192*$N192*VLOOKUP($M192&amp;"Total",$D:$AK,29,FALSE)/100+100/$X192*$Q192*VLOOKUP($P192&amp;"Total",$D:$AK,29,FALSE)/100+
(IF($G192=AF$66,$H192,0)+IF($J192=AF$66,$K192,0)+IF($M192=AF$66,$N192,0)+IF($P192=AF$66,$Q192,0))*100/$X192</f>
        <v>0</v>
      </c>
      <c r="AG192" s="3">
        <f>100/$X192*$H192*VLOOKUP($G192&amp;"Total",$D:$AK,30,FALSE)/100+100/$X192*$K192*VLOOKUP($J192&amp;"Total",$D:$AK,30,FALSE)/100+100/$X192*$N192*VLOOKUP($M192&amp;"Total",$D:$AK,30,FALSE)/100+100/$X192*$Q192*VLOOKUP($P192&amp;"Total",$D:$AK,30,FALSE)/100+
(IF($G192=AG$66,$H192,0)+IF($J192=AG$66,$K192,0)+IF($M192=AG$66,$N192,0)+IF($P192=AG$66,$Q192,0))*100/$X192</f>
        <v>0</v>
      </c>
      <c r="AH192" s="3">
        <f>100/$X192*$H192*VLOOKUP($G192&amp;"Total",$D:$AK,31,FALSE)/100+100/$X192*$K192*VLOOKUP($J192&amp;"Total",$D:$AK,31,FALSE)/100+100/$X192*$N192*VLOOKUP($M192&amp;"Total",$D:$AK,31,FALSE)/100+100/$X192*$Q192*VLOOKUP($P192&amp;"Total",$D:$AK,31,FALSE)/100+
(IF($G192=AH$66,$H192,0)+IF($J192=AH$66,$K192,0)+IF($M192=AH$66,$N192,0)+IF($P192=AH$66,$Q192,0))*100/$X192</f>
        <v>0</v>
      </c>
      <c r="AI192" s="3">
        <f>100/$X192*$H192*VLOOKUP($G192&amp;"Total",$D:$AK,32,FALSE)/100+100/$X192*$K192*VLOOKUP($J192&amp;"Total",$D:$AK,32,FALSE)/100+100/$X192*$N192*VLOOKUP($M192&amp;"Total",$D:$AK,32,FALSE)/100+100/$X192*$Q192*VLOOKUP($P192&amp;"Total",$D:$AK,32,FALSE)/100+
(IF($G192=AI$66,$H192,0)+IF($J192=AI$66,$K192,0)+IF($M192=AI$66,$N192,0)+IF($P192=AI$66,$Q192,0))*100/$X192</f>
        <v>0</v>
      </c>
      <c r="AJ192" s="3">
        <f>100/$X192*$H192*VLOOKUP($G192&amp;"Total",$D:$AK,33,FALSE)/100+100/$X192*$K192*VLOOKUP($J192&amp;"Total",$D:$AK,33,FALSE)/100+100/$X192*$N192*VLOOKUP($M192&amp;"Total",$D:$AK,33,FALSE)/100+100/$X192*$Q192*VLOOKUP($P192&amp;"Total",$D:$AK,33,FALSE)/100+
(IF($G192=AJ$66,$H192,0)+IF($J192=AJ$66,$K192,0)+IF($M192=AJ$66,$N192,0)+IF($P192=AJ$66,$Q192,0))*100/$X192</f>
        <v>0</v>
      </c>
      <c r="AK192" s="3">
        <f>100/$X192*$H192*VLOOKUP($G192&amp;"Total",$D:$AK,34,FALSE)/100+100/$X192*$K192*VLOOKUP($J192&amp;"Total",$D:$AK,34,FALSE)/100+100/$X192*$N192*VLOOKUP($M192&amp;"Total",$D:$AK,34,FALSE)/100+100/$X192*$Q192*VLOOKUP($P192&amp;"Total",$D:$AK,34,FALSE)/100+
(IF($G192=AK$66,$H192,0)+IF($J192=AK$66,$K192,0)+IF($M192=AK$66,$N192,0)+IF($P192=AK$66,$Q192,0))*100/$X192</f>
        <v>150</v>
      </c>
    </row>
    <row r="193" spans="1:37" x14ac:dyDescent="0.25">
      <c r="E193" s="26"/>
      <c r="H193" s="22"/>
      <c r="I193" s="3"/>
      <c r="J193" s="22"/>
      <c r="K193" s="22"/>
      <c r="L193" s="3"/>
      <c r="M193" s="22"/>
      <c r="N193" s="22"/>
      <c r="O193" s="3"/>
      <c r="P193" s="22"/>
      <c r="Q193" s="22"/>
      <c r="R193" s="3"/>
      <c r="T193" s="3"/>
      <c r="V193" s="22"/>
      <c r="W193" s="22"/>
      <c r="X193" s="22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x14ac:dyDescent="0.25">
      <c r="A194" t="s">
        <v>155</v>
      </c>
      <c r="B194" s="12" t="s">
        <v>157</v>
      </c>
      <c r="D194" t="str">
        <f>A194&amp;C194</f>
        <v>Polymer Resin</v>
      </c>
      <c r="E194" s="26">
        <f t="shared" ref="E194:E196" si="109">100/X194*(T194+W194)</f>
        <v>157.39737891737892</v>
      </c>
      <c r="G194" t="s">
        <v>29</v>
      </c>
      <c r="H194" s="22">
        <v>40</v>
      </c>
      <c r="I194" s="3">
        <f>VLOOKUP(G194&amp;"Total",$D:$AB,2,FALSE)/100*H194</f>
        <v>17.219213675213673</v>
      </c>
      <c r="J194" s="22" t="s">
        <v>27</v>
      </c>
      <c r="K194" s="22">
        <v>40</v>
      </c>
      <c r="L194" s="3">
        <f>VLOOKUP(J194&amp;"Total",$D:$AB,2,FALSE)/100*K194</f>
        <v>0</v>
      </c>
      <c r="M194" s="22" t="s">
        <v>27</v>
      </c>
      <c r="N194" s="22"/>
      <c r="O194" s="3">
        <f>VLOOKUP(M194&amp;"Total",$D:$AB,2,FALSE)/100*N194</f>
        <v>0</v>
      </c>
      <c r="P194" s="22" t="s">
        <v>27</v>
      </c>
      <c r="Q194" s="22"/>
      <c r="R194" s="3">
        <f>VLOOKUP(P194&amp;"Total",$D:$AB,2,FALSE)/100*Q194</f>
        <v>0</v>
      </c>
      <c r="T194" s="3">
        <f t="shared" ref="T194:T196" si="110">I194+L194+O194+R194</f>
        <v>17.219213675213673</v>
      </c>
      <c r="V194" s="22" t="s">
        <v>60</v>
      </c>
      <c r="W194" s="22">
        <v>30</v>
      </c>
      <c r="X194" s="22">
        <v>30</v>
      </c>
      <c r="Z194" s="21" t="s">
        <v>160</v>
      </c>
      <c r="AA194" s="3">
        <f>100/$X194*$H194*VLOOKUP($G194&amp;"Total",$D:$AK,24,FALSE)/100+100/$X194*$K194*VLOOKUP($J194&amp;"Total",$D:$AK,24,FALSE)/100+100/$X194*$N194*VLOOKUP($M194&amp;"Total",$D:$AK,24,FALSE)/100+100/$X194*$Q194*VLOOKUP($P194&amp;"Total",$D:$AK,24,FALSE)/100+
(IF($G194=AA$66,$H194,0)+IF($J194=AA$66,$K194,0)+IF($M194=AA$66,$N194,0)+IF($P194=AA$66,$Q194,0))*100/$X194</f>
        <v>0</v>
      </c>
      <c r="AB194" s="3">
        <f>100/$X194*$H194*VLOOKUP($G194&amp;"Total",$D:$AK,25,FALSE)/100+100/$X194*$K194*VLOOKUP($J194&amp;"Total",$D:$AK,25,FALSE)/100+100/$X194*$N194*VLOOKUP($M194&amp;"Total",$D:$AK,25,FALSE)/100+100/$X194*$Q194*VLOOKUP($P194&amp;"Total",$D:$AK,25,FALSE)/100+
(IF($G194=AB$66,$H194,0)+IF($J194=AB$66,$K194,0)+IF($M194=AB$66,$N194,0)+IF($P194=AB$66,$Q194,0))*100/$X194</f>
        <v>0</v>
      </c>
      <c r="AC194" s="3">
        <f>100/$X194*$H194*VLOOKUP($G194&amp;"Total",$D:$AK,26,FALSE)/100+100/$X194*$K194*VLOOKUP($J194&amp;"Total",$D:$AK,26,FALSE)/100+100/$X194*$N194*VLOOKUP($M194&amp;"Total",$D:$AK,26,FALSE)/100+100/$X194*$Q194*VLOOKUP($P194&amp;"Total",$D:$AK,26,FALSE)/100+
(IF($G194=AC$66,$H194,0)+IF($J194=AC$66,$K194,0)+IF($M194=AC$66,$N194,0)+IF($P194=AC$66,$Q194,0))*100/$X194</f>
        <v>0</v>
      </c>
      <c r="AD194" s="3">
        <f>100/$X194*$H194*VLOOKUP($G194&amp;"Total",$D:$AK,27,FALSE)/100+100/$X194*$K194*VLOOKUP($J194&amp;"Total",$D:$AK,27,FALSE)/100+100/$X194*$N194*VLOOKUP($M194&amp;"Total",$D:$AK,27,FALSE)/100+100/$X194*$Q194*VLOOKUP($P194&amp;"Total",$D:$AK,27,FALSE)/100+
(IF($G194=AD$66,$H194,0)+IF($J194=AD$66,$K194,0)+IF($M194=AD$66,$N194,0)+IF($P194=AD$66,$Q194,0))*100/$X194</f>
        <v>0</v>
      </c>
      <c r="AE194" s="3">
        <f>100/$X194*$H194*VLOOKUP($G194&amp;"Total",$D:$AK,28,FALSE)/100+100/$X194*$K194*VLOOKUP($J194&amp;"Total",$D:$AK,28,FALSE)/100+100/$X194*$N194*VLOOKUP($M194&amp;"Total",$D:$AK,28,FALSE)/100+100/$X194*$Q194*VLOOKUP($P194&amp;"Total",$D:$AK,28,FALSE)/100+
(IF($G194=AE$66,$H194,0)+IF($J194=AE$66,$K194,0)+IF($M194=AE$66,$N194,0)+IF($P194=AE$66,$Q194,0))*100/$X194</f>
        <v>0</v>
      </c>
      <c r="AF194" s="3">
        <f>100/$X194*$H194*VLOOKUP($G194&amp;"Total",$D:$AK,29,FALSE)/100+100/$X194*$K194*VLOOKUP($J194&amp;"Total",$D:$AK,29,FALSE)/100+100/$X194*$N194*VLOOKUP($M194&amp;"Total",$D:$AK,29,FALSE)/100+100/$X194*$Q194*VLOOKUP($P194&amp;"Total",$D:$AK,29,FALSE)/100+
(IF($G194=AF$66,$H194,0)+IF($J194=AF$66,$K194,0)+IF($M194=AF$66,$N194,0)+IF($P194=AF$66,$Q194,0))*100/$X194</f>
        <v>0</v>
      </c>
      <c r="AG194" s="3">
        <f>100/$X194*$H194*VLOOKUP($G194&amp;"Total",$D:$AK,30,FALSE)/100+100/$X194*$K194*VLOOKUP($J194&amp;"Total",$D:$AK,30,FALSE)/100+100/$X194*$N194*VLOOKUP($M194&amp;"Total",$D:$AK,30,FALSE)/100+100/$X194*$Q194*VLOOKUP($P194&amp;"Total",$D:$AK,30,FALSE)/100+
(IF($G194=AG$66,$H194,0)+IF($J194=AG$66,$K194,0)+IF($M194=AG$66,$N194,0)+IF($P194=AG$66,$Q194,0))*100/$X194</f>
        <v>0</v>
      </c>
      <c r="AH194" s="3">
        <f>100/$X194*$H194*VLOOKUP($G194&amp;"Total",$D:$AK,31,FALSE)/100+100/$X194*$K194*VLOOKUP($J194&amp;"Total",$D:$AK,31,FALSE)/100+100/$X194*$N194*VLOOKUP($M194&amp;"Total",$D:$AK,31,FALSE)/100+100/$X194*$Q194*VLOOKUP($P194&amp;"Total",$D:$AK,31,FALSE)/100+
(IF($G194=AH$66,$H194,0)+IF($J194=AH$66,$K194,0)+IF($M194=AH$66,$N194,0)+IF($P194=AH$66,$Q194,0))*100/$X194</f>
        <v>0</v>
      </c>
      <c r="AI194" s="3">
        <f>100/$X194*$H194*VLOOKUP($G194&amp;"Total",$D:$AK,32,FALSE)/100+100/$X194*$K194*VLOOKUP($J194&amp;"Total",$D:$AK,32,FALSE)/100+100/$X194*$N194*VLOOKUP($M194&amp;"Total",$D:$AK,32,FALSE)/100+100/$X194*$Q194*VLOOKUP($P194&amp;"Total",$D:$AK,32,FALSE)/100+
(IF($G194=AI$66,$H194,0)+IF($J194=AI$66,$K194,0)+IF($M194=AI$66,$N194,0)+IF($P194=AI$66,$Q194,0))*100/$X194</f>
        <v>0</v>
      </c>
      <c r="AJ194" s="3">
        <f>100/$X194*$H194*VLOOKUP($G194&amp;"Total",$D:$AK,33,FALSE)/100+100/$X194*$K194*VLOOKUP($J194&amp;"Total",$D:$AK,33,FALSE)/100+100/$X194*$N194*VLOOKUP($M194&amp;"Total",$D:$AK,33,FALSE)/100+100/$X194*$Q194*VLOOKUP($P194&amp;"Total",$D:$AK,33,FALSE)/100+
(IF($G194=AJ$66,$H194,0)+IF($J194=AJ$66,$K194,0)+IF($M194=AJ$66,$N194,0)+IF($P194=AJ$66,$Q194,0))*100/$X194</f>
        <v>0</v>
      </c>
      <c r="AK194" s="3">
        <f>100/$X194*$H194*VLOOKUP($G194&amp;"Total",$D:$AK,34,FALSE)/100+100/$X194*$K194*VLOOKUP($J194&amp;"Total",$D:$AK,34,FALSE)/100+100/$X194*$N194*VLOOKUP($M194&amp;"Total",$D:$AK,34,FALSE)/100+100/$X194*$Q194*VLOOKUP($P194&amp;"Total",$D:$AK,34,FALSE)/100+
(IF($G194=AK$66,$H194,0)+IF($J194=AK$66,$K194,0)+IF($M194=AK$66,$N194,0)+IF($P194=AK$66,$Q194,0))*100/$X194</f>
        <v>133.33333333333334</v>
      </c>
    </row>
    <row r="195" spans="1:37" x14ac:dyDescent="0.25">
      <c r="A195" t="s">
        <v>155</v>
      </c>
      <c r="B195" s="12" t="s">
        <v>99</v>
      </c>
      <c r="D195" t="str">
        <f t="shared" ref="D195:D196" si="111">A195&amp;C195</f>
        <v>Polymer Resin</v>
      </c>
      <c r="E195" s="26">
        <f t="shared" si="109"/>
        <v>214.57205128205129</v>
      </c>
      <c r="G195" t="s">
        <v>29</v>
      </c>
      <c r="H195" s="22">
        <v>30</v>
      </c>
      <c r="I195" s="3">
        <f>VLOOKUP(G195&amp;"Total",$D:$AB,2,FALSE)/100*H195</f>
        <v>12.914410256410255</v>
      </c>
      <c r="J195" s="22" t="s">
        <v>27</v>
      </c>
      <c r="K195" s="22"/>
      <c r="L195" s="3">
        <f>VLOOKUP(J195&amp;"Total",$D:$AB,2,FALSE)/100*K195</f>
        <v>0</v>
      </c>
      <c r="M195" s="22" t="s">
        <v>27</v>
      </c>
      <c r="N195" s="22"/>
      <c r="O195" s="3">
        <f>VLOOKUP(M195&amp;"Total",$D:$AB,2,FALSE)/100*N195</f>
        <v>0</v>
      </c>
      <c r="P195" s="22" t="s">
        <v>27</v>
      </c>
      <c r="Q195" s="22"/>
      <c r="R195" s="3">
        <f>VLOOKUP(P195&amp;"Total",$D:$AB,2,FALSE)/100*Q195</f>
        <v>0</v>
      </c>
      <c r="T195" s="3">
        <f t="shared" si="110"/>
        <v>12.914410256410255</v>
      </c>
      <c r="V195" s="22" t="s">
        <v>60</v>
      </c>
      <c r="W195" s="22">
        <v>30</v>
      </c>
      <c r="X195" s="22">
        <v>20</v>
      </c>
      <c r="Z195" s="21" t="s">
        <v>133</v>
      </c>
      <c r="AA195" s="3">
        <f>100/$X195*$H195*VLOOKUP($G195&amp;"Total",$D:$AK,24,FALSE)/100+100/$X195*$K195*VLOOKUP($J195&amp;"Total",$D:$AK,24,FALSE)/100+100/$X195*$N195*VLOOKUP($M195&amp;"Total",$D:$AK,24,FALSE)/100+100/$X195*$Q195*VLOOKUP($P195&amp;"Total",$D:$AK,24,FALSE)/100+
(IF($G195=AA$66,$H195,0)+IF($J195=AA$66,$K195,0)+IF($M195=AA$66,$N195,0)+IF($P195=AA$66,$Q195,0))*100/$X195</f>
        <v>0</v>
      </c>
      <c r="AB195" s="3">
        <f>100/$X195*$H195*VLOOKUP($G195&amp;"Total",$D:$AK,25,FALSE)/100+100/$X195*$K195*VLOOKUP($J195&amp;"Total",$D:$AK,25,FALSE)/100+100/$X195*$N195*VLOOKUP($M195&amp;"Total",$D:$AK,25,FALSE)/100+100/$X195*$Q195*VLOOKUP($P195&amp;"Total",$D:$AK,25,FALSE)/100+
(IF($G195=AB$66,$H195,0)+IF($J195=AB$66,$K195,0)+IF($M195=AB$66,$N195,0)+IF($P195=AB$66,$Q195,0))*100/$X195</f>
        <v>0</v>
      </c>
      <c r="AC195" s="3">
        <f>100/$X195*$H195*VLOOKUP($G195&amp;"Total",$D:$AK,26,FALSE)/100+100/$X195*$K195*VLOOKUP($J195&amp;"Total",$D:$AK,26,FALSE)/100+100/$X195*$N195*VLOOKUP($M195&amp;"Total",$D:$AK,26,FALSE)/100+100/$X195*$Q195*VLOOKUP($P195&amp;"Total",$D:$AK,26,FALSE)/100+
(IF($G195=AC$66,$H195,0)+IF($J195=AC$66,$K195,0)+IF($M195=AC$66,$N195,0)+IF($P195=AC$66,$Q195,0))*100/$X195</f>
        <v>0</v>
      </c>
      <c r="AD195" s="3">
        <f>100/$X195*$H195*VLOOKUP($G195&amp;"Total",$D:$AK,27,FALSE)/100+100/$X195*$K195*VLOOKUP($J195&amp;"Total",$D:$AK,27,FALSE)/100+100/$X195*$N195*VLOOKUP($M195&amp;"Total",$D:$AK,27,FALSE)/100+100/$X195*$Q195*VLOOKUP($P195&amp;"Total",$D:$AK,27,FALSE)/100+
(IF($G195=AD$66,$H195,0)+IF($J195=AD$66,$K195,0)+IF($M195=AD$66,$N195,0)+IF($P195=AD$66,$Q195,0))*100/$X195</f>
        <v>0</v>
      </c>
      <c r="AE195" s="3">
        <f>100/$X195*$H195*VLOOKUP($G195&amp;"Total",$D:$AK,28,FALSE)/100+100/$X195*$K195*VLOOKUP($J195&amp;"Total",$D:$AK,28,FALSE)/100+100/$X195*$N195*VLOOKUP($M195&amp;"Total",$D:$AK,28,FALSE)/100+100/$X195*$Q195*VLOOKUP($P195&amp;"Total",$D:$AK,28,FALSE)/100+
(IF($G195=AE$66,$H195,0)+IF($J195=AE$66,$K195,0)+IF($M195=AE$66,$N195,0)+IF($P195=AE$66,$Q195,0))*100/$X195</f>
        <v>0</v>
      </c>
      <c r="AF195" s="3">
        <f>100/$X195*$H195*VLOOKUP($G195&amp;"Total",$D:$AK,29,FALSE)/100+100/$X195*$K195*VLOOKUP($J195&amp;"Total",$D:$AK,29,FALSE)/100+100/$X195*$N195*VLOOKUP($M195&amp;"Total",$D:$AK,29,FALSE)/100+100/$X195*$Q195*VLOOKUP($P195&amp;"Total",$D:$AK,29,FALSE)/100+
(IF($G195=AF$66,$H195,0)+IF($J195=AF$66,$K195,0)+IF($M195=AF$66,$N195,0)+IF($P195=AF$66,$Q195,0))*100/$X195</f>
        <v>0</v>
      </c>
      <c r="AG195" s="3">
        <f>100/$X195*$H195*VLOOKUP($G195&amp;"Total",$D:$AK,30,FALSE)/100+100/$X195*$K195*VLOOKUP($J195&amp;"Total",$D:$AK,30,FALSE)/100+100/$X195*$N195*VLOOKUP($M195&amp;"Total",$D:$AK,30,FALSE)/100+100/$X195*$Q195*VLOOKUP($P195&amp;"Total",$D:$AK,30,FALSE)/100+
(IF($G195=AG$66,$H195,0)+IF($J195=AG$66,$K195,0)+IF($M195=AG$66,$N195,0)+IF($P195=AG$66,$Q195,0))*100/$X195</f>
        <v>0</v>
      </c>
      <c r="AH195" s="3">
        <f>100/$X195*$H195*VLOOKUP($G195&amp;"Total",$D:$AK,31,FALSE)/100+100/$X195*$K195*VLOOKUP($J195&amp;"Total",$D:$AK,31,FALSE)/100+100/$X195*$N195*VLOOKUP($M195&amp;"Total",$D:$AK,31,FALSE)/100+100/$X195*$Q195*VLOOKUP($P195&amp;"Total",$D:$AK,31,FALSE)/100+
(IF($G195=AH$66,$H195,0)+IF($J195=AH$66,$K195,0)+IF($M195=AH$66,$N195,0)+IF($P195=AH$66,$Q195,0))*100/$X195</f>
        <v>0</v>
      </c>
      <c r="AI195" s="3">
        <f>100/$X195*$H195*VLOOKUP($G195&amp;"Total",$D:$AK,32,FALSE)/100+100/$X195*$K195*VLOOKUP($J195&amp;"Total",$D:$AK,32,FALSE)/100+100/$X195*$N195*VLOOKUP($M195&amp;"Total",$D:$AK,32,FALSE)/100+100/$X195*$Q195*VLOOKUP($P195&amp;"Total",$D:$AK,32,FALSE)/100+
(IF($G195=AI$66,$H195,0)+IF($J195=AI$66,$K195,0)+IF($M195=AI$66,$N195,0)+IF($P195=AI$66,$Q195,0))*100/$X195</f>
        <v>0</v>
      </c>
      <c r="AJ195" s="3">
        <f>100/$X195*$H195*VLOOKUP($G195&amp;"Total",$D:$AK,33,FALSE)/100+100/$X195*$K195*VLOOKUP($J195&amp;"Total",$D:$AK,33,FALSE)/100+100/$X195*$N195*VLOOKUP($M195&amp;"Total",$D:$AK,33,FALSE)/100+100/$X195*$Q195*VLOOKUP($P195&amp;"Total",$D:$AK,33,FALSE)/100+
(IF($G195=AJ$66,$H195,0)+IF($J195=AJ$66,$K195,0)+IF($M195=AJ$66,$N195,0)+IF($P195=AJ$66,$Q195,0))*100/$X195</f>
        <v>0</v>
      </c>
      <c r="AK195" s="3">
        <f>100/$X195*$H195*VLOOKUP($G195&amp;"Total",$D:$AK,34,FALSE)/100+100/$X195*$K195*VLOOKUP($J195&amp;"Total",$D:$AK,34,FALSE)/100+100/$X195*$N195*VLOOKUP($M195&amp;"Total",$D:$AK,34,FALSE)/100+100/$X195*$Q195*VLOOKUP($P195&amp;"Total",$D:$AK,34,FALSE)/100+
(IF($G195=AK$66,$H195,0)+IF($J195=AK$66,$K195,0)+IF($M195=AK$66,$N195,0)+IF($P195=AK$66,$Q195,0))*100/$X195</f>
        <v>150</v>
      </c>
    </row>
    <row r="196" spans="1:37" x14ac:dyDescent="0.25">
      <c r="A196" t="s">
        <v>155</v>
      </c>
      <c r="B196" t="s">
        <v>155</v>
      </c>
      <c r="C196" t="s">
        <v>17</v>
      </c>
      <c r="D196" t="str">
        <f t="shared" si="111"/>
        <v>Polymer ResinTotal</v>
      </c>
      <c r="E196" s="26">
        <f t="shared" si="109"/>
        <v>33.011084812623274</v>
      </c>
      <c r="G196" t="s">
        <v>29</v>
      </c>
      <c r="H196" s="22">
        <v>30</v>
      </c>
      <c r="I196" s="3">
        <f>VLOOKUP(G196&amp;"Total",$D:$AB,2,FALSE)/100*H196</f>
        <v>12.914410256410255</v>
      </c>
      <c r="J196" s="22" t="s">
        <v>27</v>
      </c>
      <c r="K196" s="22">
        <v>30</v>
      </c>
      <c r="L196" s="3">
        <f>VLOOKUP(J196&amp;"Total",$D:$AB,2,FALSE)/100*K196</f>
        <v>0</v>
      </c>
      <c r="M196" s="22" t="s">
        <v>27</v>
      </c>
      <c r="N196" s="22"/>
      <c r="O196" s="3">
        <f>VLOOKUP(M196&amp;"Total",$D:$AB,2,FALSE)/100*N196</f>
        <v>0</v>
      </c>
      <c r="P196" s="22" t="s">
        <v>27</v>
      </c>
      <c r="Q196" s="22"/>
      <c r="R196" s="3">
        <f>VLOOKUP(P196&amp;"Total",$D:$AB,2,FALSE)/100*Q196</f>
        <v>0</v>
      </c>
      <c r="T196" s="3">
        <f t="shared" si="110"/>
        <v>12.914410256410255</v>
      </c>
      <c r="V196" s="22" t="s">
        <v>60</v>
      </c>
      <c r="W196" s="22">
        <v>30</v>
      </c>
      <c r="X196" s="22">
        <v>130</v>
      </c>
      <c r="Z196" s="21" t="s">
        <v>133</v>
      </c>
      <c r="AA196" s="3">
        <f>100/$X196*$H196*VLOOKUP($G196&amp;"Total",$D:$AK,24,FALSE)/100+100/$X196*$K196*VLOOKUP($J196&amp;"Total",$D:$AK,24,FALSE)/100+100/$X196*$N196*VLOOKUP($M196&amp;"Total",$D:$AK,24,FALSE)/100+100/$X196*$Q196*VLOOKUP($P196&amp;"Total",$D:$AK,24,FALSE)/100+
(IF($G196=AA$66,$H196,0)+IF($J196=AA$66,$K196,0)+IF($M196=AA$66,$N196,0)+IF($P196=AA$66,$Q196,0))*100/$X196</f>
        <v>0</v>
      </c>
      <c r="AB196" s="3">
        <f>100/$X196*$H196*VLOOKUP($G196&amp;"Total",$D:$AK,25,FALSE)/100+100/$X196*$K196*VLOOKUP($J196&amp;"Total",$D:$AK,25,FALSE)/100+100/$X196*$N196*VLOOKUP($M196&amp;"Total",$D:$AK,25,FALSE)/100+100/$X196*$Q196*VLOOKUP($P196&amp;"Total",$D:$AK,25,FALSE)/100+
(IF($G196=AB$66,$H196,0)+IF($J196=AB$66,$K196,0)+IF($M196=AB$66,$N196,0)+IF($P196=AB$66,$Q196,0))*100/$X196</f>
        <v>0</v>
      </c>
      <c r="AC196" s="3">
        <f>100/$X196*$H196*VLOOKUP($G196&amp;"Total",$D:$AK,26,FALSE)/100+100/$X196*$K196*VLOOKUP($J196&amp;"Total",$D:$AK,26,FALSE)/100+100/$X196*$N196*VLOOKUP($M196&amp;"Total",$D:$AK,26,FALSE)/100+100/$X196*$Q196*VLOOKUP($P196&amp;"Total",$D:$AK,26,FALSE)/100+
(IF($G196=AC$66,$H196,0)+IF($J196=AC$66,$K196,0)+IF($M196=AC$66,$N196,0)+IF($P196=AC$66,$Q196,0))*100/$X196</f>
        <v>0</v>
      </c>
      <c r="AD196" s="3">
        <f>100/$X196*$H196*VLOOKUP($G196&amp;"Total",$D:$AK,27,FALSE)/100+100/$X196*$K196*VLOOKUP($J196&amp;"Total",$D:$AK,27,FALSE)/100+100/$X196*$N196*VLOOKUP($M196&amp;"Total",$D:$AK,27,FALSE)/100+100/$X196*$Q196*VLOOKUP($P196&amp;"Total",$D:$AK,27,FALSE)/100+
(IF($G196=AD$66,$H196,0)+IF($J196=AD$66,$K196,0)+IF($M196=AD$66,$N196,0)+IF($P196=AD$66,$Q196,0))*100/$X196</f>
        <v>0</v>
      </c>
      <c r="AE196" s="3">
        <f>100/$X196*$H196*VLOOKUP($G196&amp;"Total",$D:$AK,28,FALSE)/100+100/$X196*$K196*VLOOKUP($J196&amp;"Total",$D:$AK,28,FALSE)/100+100/$X196*$N196*VLOOKUP($M196&amp;"Total",$D:$AK,28,FALSE)/100+100/$X196*$Q196*VLOOKUP($P196&amp;"Total",$D:$AK,28,FALSE)/100+
(IF($G196=AE$66,$H196,0)+IF($J196=AE$66,$K196,0)+IF($M196=AE$66,$N196,0)+IF($P196=AE$66,$Q196,0))*100/$X196</f>
        <v>0</v>
      </c>
      <c r="AF196" s="3">
        <f>100/$X196*$H196*VLOOKUP($G196&amp;"Total",$D:$AK,29,FALSE)/100+100/$X196*$K196*VLOOKUP($J196&amp;"Total",$D:$AK,29,FALSE)/100+100/$X196*$N196*VLOOKUP($M196&amp;"Total",$D:$AK,29,FALSE)/100+100/$X196*$Q196*VLOOKUP($P196&amp;"Total",$D:$AK,29,FALSE)/100+
(IF($G196=AF$66,$H196,0)+IF($J196=AF$66,$K196,0)+IF($M196=AF$66,$N196,0)+IF($P196=AF$66,$Q196,0))*100/$X196</f>
        <v>0</v>
      </c>
      <c r="AG196" s="3">
        <f>100/$X196*$H196*VLOOKUP($G196&amp;"Total",$D:$AK,30,FALSE)/100+100/$X196*$K196*VLOOKUP($J196&amp;"Total",$D:$AK,30,FALSE)/100+100/$X196*$N196*VLOOKUP($M196&amp;"Total",$D:$AK,30,FALSE)/100+100/$X196*$Q196*VLOOKUP($P196&amp;"Total",$D:$AK,30,FALSE)/100+
(IF($G196=AG$66,$H196,0)+IF($J196=AG$66,$K196,0)+IF($M196=AG$66,$N196,0)+IF($P196=AG$66,$Q196,0))*100/$X196</f>
        <v>0</v>
      </c>
      <c r="AH196" s="3">
        <f>100/$X196*$H196*VLOOKUP($G196&amp;"Total",$D:$AK,31,FALSE)/100+100/$X196*$K196*VLOOKUP($J196&amp;"Total",$D:$AK,31,FALSE)/100+100/$X196*$N196*VLOOKUP($M196&amp;"Total",$D:$AK,31,FALSE)/100+100/$X196*$Q196*VLOOKUP($P196&amp;"Total",$D:$AK,31,FALSE)/100+
(IF($G196=AH$66,$H196,0)+IF($J196=AH$66,$K196,0)+IF($M196=AH$66,$N196,0)+IF($P196=AH$66,$Q196,0))*100/$X196</f>
        <v>0</v>
      </c>
      <c r="AI196" s="3">
        <f>100/$X196*$H196*VLOOKUP($G196&amp;"Total",$D:$AK,32,FALSE)/100+100/$X196*$K196*VLOOKUP($J196&amp;"Total",$D:$AK,32,FALSE)/100+100/$X196*$N196*VLOOKUP($M196&amp;"Total",$D:$AK,32,FALSE)/100+100/$X196*$Q196*VLOOKUP($P196&amp;"Total",$D:$AK,32,FALSE)/100+
(IF($G196=AI$66,$H196,0)+IF($J196=AI$66,$K196,0)+IF($M196=AI$66,$N196,0)+IF($P196=AI$66,$Q196,0))*100/$X196</f>
        <v>0</v>
      </c>
      <c r="AJ196" s="3">
        <f>100/$X196*$H196*VLOOKUP($G196&amp;"Total",$D:$AK,33,FALSE)/100+100/$X196*$K196*VLOOKUP($J196&amp;"Total",$D:$AK,33,FALSE)/100+100/$X196*$N196*VLOOKUP($M196&amp;"Total",$D:$AK,33,FALSE)/100+100/$X196*$Q196*VLOOKUP($P196&amp;"Total",$D:$AK,33,FALSE)/100+
(IF($G196=AJ$66,$H196,0)+IF($J196=AJ$66,$K196,0)+IF($M196=AJ$66,$N196,0)+IF($P196=AJ$66,$Q196,0))*100/$X196</f>
        <v>0</v>
      </c>
      <c r="AK196" s="3">
        <f>100/$X196*$H196*VLOOKUP($G196&amp;"Total",$D:$AK,34,FALSE)/100+100/$X196*$K196*VLOOKUP($J196&amp;"Total",$D:$AK,34,FALSE)/100+100/$X196*$N196*VLOOKUP($M196&amp;"Total",$D:$AK,34,FALSE)/100+100/$X196*$Q196*VLOOKUP($P196&amp;"Total",$D:$AK,34,FALSE)/100+
(IF($G196=AK$66,$H196,0)+IF($J196=AK$66,$K196,0)+IF($M196=AK$66,$N196,0)+IF($P196=AK$66,$Q196,0))*100/$X196</f>
        <v>23.076923076923077</v>
      </c>
    </row>
    <row r="197" spans="1:37" x14ac:dyDescent="0.25">
      <c r="E197" s="25"/>
      <c r="G197" s="22"/>
      <c r="H197" s="22"/>
      <c r="J197" s="22"/>
      <c r="K197" s="22"/>
      <c r="M197" s="22"/>
      <c r="N197" s="22"/>
      <c r="P197" s="22"/>
      <c r="Q197" s="22"/>
      <c r="V197" s="22"/>
      <c r="W197" s="22"/>
      <c r="X197" s="22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x14ac:dyDescent="0.25">
      <c r="A198" t="s">
        <v>124</v>
      </c>
      <c r="C198" t="s">
        <v>17</v>
      </c>
      <c r="D198" t="str">
        <f>A198&amp;C198</f>
        <v>Compacted CoalTotal</v>
      </c>
      <c r="E198" s="26">
        <f>100/X198*(T198+W198)</f>
        <v>441.58197831978322</v>
      </c>
      <c r="G198" s="22" t="s">
        <v>20</v>
      </c>
      <c r="H198" s="23">
        <v>25</v>
      </c>
      <c r="I198" s="3">
        <f>VLOOKUP(G198&amp;"Total",$D:$AB,2,FALSE)/100*H198</f>
        <v>3.5208333333333335</v>
      </c>
      <c r="J198" s="22" t="s">
        <v>283</v>
      </c>
      <c r="K198" s="23">
        <v>25</v>
      </c>
      <c r="L198" s="3">
        <f>VLOOKUP(J198&amp;"Total",$D:$AB,2,FALSE)/100*K198</f>
        <v>3.5582655826558272</v>
      </c>
      <c r="M198" s="22" t="s">
        <v>27</v>
      </c>
      <c r="N198" s="23">
        <v>0</v>
      </c>
      <c r="O198" s="3">
        <f>VLOOKUP(M198&amp;"Total",$D:$AB,2,FALSE)/100*N198</f>
        <v>0</v>
      </c>
      <c r="P198" s="22" t="s">
        <v>27</v>
      </c>
      <c r="Q198" s="23">
        <v>0</v>
      </c>
      <c r="R198" s="3">
        <f>VLOOKUP(P198&amp;"Total",$D:$AB,2,FALSE)/100*Q198</f>
        <v>0</v>
      </c>
      <c r="T198" s="3">
        <f>I198+L198+O198+R198</f>
        <v>7.0790989159891602</v>
      </c>
      <c r="V198" s="22" t="s">
        <v>70</v>
      </c>
      <c r="W198" s="22">
        <v>15</v>
      </c>
      <c r="X198" s="23">
        <v>5</v>
      </c>
      <c r="Z198" s="21" t="s">
        <v>161</v>
      </c>
      <c r="AA198" s="3">
        <f>100/$X198*$H198*VLOOKUP($G198&amp;"Total",$D:$AK,24,FALSE)/100+100/$X198*$K198*VLOOKUP($J198&amp;"Total",$D:$AK,24,FALSE)/100+100/$X198*$N198*VLOOKUP($M198&amp;"Total",$D:$AK,24,FALSE)/100+100/$X198*$Q198*VLOOKUP($P198&amp;"Total",$D:$AK,24,FALSE)/100+
(IF($G198=AA$66,$H198,0)+IF($J198=AA$66,$K198,0)+IF($M198=AA$66,$N198,0)+IF($P198=AA$66,$Q198,0))*100/$X198</f>
        <v>0</v>
      </c>
      <c r="AB198" s="3">
        <f>100/$X198*$H198*VLOOKUP($G198&amp;"Total",$D:$AK,25,FALSE)/100+100/$X198*$K198*VLOOKUP($J198&amp;"Total",$D:$AK,25,FALSE)/100+100/$X198*$N198*VLOOKUP($M198&amp;"Total",$D:$AK,25,FALSE)/100+100/$X198*$Q198*VLOOKUP($P198&amp;"Total",$D:$AK,25,FALSE)/100+
(IF($G198=AB$66,$H198,0)+IF($J198=AB$66,$K198,0)+IF($M198=AB$66,$N198,0)+IF($P198=AB$66,$Q198,0))*100/$X198</f>
        <v>0</v>
      </c>
      <c r="AC198" s="3">
        <f>100/$X198*$H198*VLOOKUP($G198&amp;"Total",$D:$AK,26,FALSE)/100+100/$X198*$K198*VLOOKUP($J198&amp;"Total",$D:$AK,26,FALSE)/100+100/$X198*$N198*VLOOKUP($M198&amp;"Total",$D:$AK,26,FALSE)/100+100/$X198*$Q198*VLOOKUP($P198&amp;"Total",$D:$AK,26,FALSE)/100+
(IF($G198=AC$66,$H198,0)+IF($J198=AC$66,$K198,0)+IF($M198=AC$66,$N198,0)+IF($P198=AC$66,$Q198,0))*100/$X198</f>
        <v>0</v>
      </c>
      <c r="AD198" s="3">
        <f>100/$X198*$H198*VLOOKUP($G198&amp;"Total",$D:$AK,27,FALSE)/100+100/$X198*$K198*VLOOKUP($J198&amp;"Total",$D:$AK,27,FALSE)/100+100/$X198*$N198*VLOOKUP($M198&amp;"Total",$D:$AK,27,FALSE)/100+100/$X198*$Q198*VLOOKUP($P198&amp;"Total",$D:$AK,27,FALSE)/100+
(IF($G198=AD$66,$H198,0)+IF($J198=AD$66,$K198,0)+IF($M198=AD$66,$N198,0)+IF($P198=AD$66,$Q198,0))*100/$X198</f>
        <v>500</v>
      </c>
      <c r="AE198" s="3">
        <f>100/$X198*$H198*VLOOKUP($G198&amp;"Total",$D:$AK,28,FALSE)/100+100/$X198*$K198*VLOOKUP($J198&amp;"Total",$D:$AK,28,FALSE)/100+100/$X198*$N198*VLOOKUP($M198&amp;"Total",$D:$AK,28,FALSE)/100+100/$X198*$Q198*VLOOKUP($P198&amp;"Total",$D:$AK,28,FALSE)/100+
(IF($G198=AE$66,$H198,0)+IF($J198=AE$66,$K198,0)+IF($M198=AE$66,$N198,0)+IF($P198=AE$66,$Q198,0))*100/$X198</f>
        <v>0</v>
      </c>
      <c r="AF198" s="3">
        <f>100/$X198*$H198*VLOOKUP($G198&amp;"Total",$D:$AK,29,FALSE)/100+100/$X198*$K198*VLOOKUP($J198&amp;"Total",$D:$AK,29,FALSE)/100+100/$X198*$N198*VLOOKUP($M198&amp;"Total",$D:$AK,29,FALSE)/100+100/$X198*$Q198*VLOOKUP($P198&amp;"Total",$D:$AK,29,FALSE)/100+
(IF($G198=AF$66,$H198,0)+IF($J198=AF$66,$K198,0)+IF($M198=AF$66,$N198,0)+IF($P198=AF$66,$Q198,0))*100/$X198</f>
        <v>0</v>
      </c>
      <c r="AG198" s="3">
        <f>100/$X198*$H198*VLOOKUP($G198&amp;"Total",$D:$AK,30,FALSE)/100+100/$X198*$K198*VLOOKUP($J198&amp;"Total",$D:$AK,30,FALSE)/100+100/$X198*$N198*VLOOKUP($M198&amp;"Total",$D:$AK,30,FALSE)/100+100/$X198*$Q198*VLOOKUP($P198&amp;"Total",$D:$AK,30,FALSE)/100+
(IF($G198=AG$66,$H198,0)+IF($J198=AG$66,$K198,0)+IF($M198=AG$66,$N198,0)+IF($P198=AG$66,$Q198,0))*100/$X198</f>
        <v>0</v>
      </c>
      <c r="AH198" s="3">
        <f>100/$X198*$H198*VLOOKUP($G198&amp;"Total",$D:$AK,31,FALSE)/100+100/$X198*$K198*VLOOKUP($J198&amp;"Total",$D:$AK,31,FALSE)/100+100/$X198*$N198*VLOOKUP($M198&amp;"Total",$D:$AK,31,FALSE)/100+100/$X198*$Q198*VLOOKUP($P198&amp;"Total",$D:$AK,31,FALSE)/100+
(IF($G198=AH$66,$H198,0)+IF($J198=AH$66,$K198,0)+IF($M198=AH$66,$N198,0)+IF($P198=AH$66,$Q198,0))*100/$X198</f>
        <v>0</v>
      </c>
      <c r="AI198" s="3">
        <f>100/$X198*$H198*VLOOKUP($G198&amp;"Total",$D:$AK,32,FALSE)/100+100/$X198*$K198*VLOOKUP($J198&amp;"Total",$D:$AK,32,FALSE)/100+100/$X198*$N198*VLOOKUP($M198&amp;"Total",$D:$AK,32,FALSE)/100+100/$X198*$Q198*VLOOKUP($P198&amp;"Total",$D:$AK,32,FALSE)/100+
(IF($G198=AI$66,$H198,0)+IF($J198=AI$66,$K198,0)+IF($M198=AI$66,$N198,0)+IF($P198=AI$66,$Q198,0))*100/$X198</f>
        <v>0</v>
      </c>
      <c r="AJ198" s="3">
        <f>100/$X198*$H198*VLOOKUP($G198&amp;"Total",$D:$AK,33,FALSE)/100+100/$X198*$K198*VLOOKUP($J198&amp;"Total",$D:$AK,33,FALSE)/100+100/$X198*$N198*VLOOKUP($M198&amp;"Total",$D:$AK,33,FALSE)/100+100/$X198*$Q198*VLOOKUP($P198&amp;"Total",$D:$AK,33,FALSE)/100+
(IF($G198=AJ$66,$H198,0)+IF($J198=AJ$66,$K198,0)+IF($M198=AJ$66,$N198,0)+IF($P198=AJ$66,$Q198,0))*100/$X198</f>
        <v>0</v>
      </c>
      <c r="AK198" s="3">
        <f>100/$X198*$H198*VLOOKUP($G198&amp;"Total",$D:$AK,34,FALSE)/100+100/$X198*$K198*VLOOKUP($J198&amp;"Total",$D:$AK,34,FALSE)/100+100/$X198*$N198*VLOOKUP($M198&amp;"Total",$D:$AK,34,FALSE)/100+100/$X198*$Q198*VLOOKUP($P198&amp;"Total",$D:$AK,34,FALSE)/100+
(IF($G198=AK$66,$H198,0)+IF($J198=AK$66,$K198,0)+IF($M198=AK$66,$N198,0)+IF($P198=AK$66,$Q198,0))*100/$X198</f>
        <v>0</v>
      </c>
    </row>
    <row r="199" spans="1:37" x14ac:dyDescent="0.25">
      <c r="E199" s="26"/>
      <c r="G199" s="22"/>
      <c r="H199" s="23"/>
      <c r="I199" s="3"/>
      <c r="J199" s="22"/>
      <c r="K199" s="23"/>
      <c r="L199" s="3"/>
      <c r="M199" s="22"/>
      <c r="N199" s="23"/>
      <c r="O199" s="3"/>
      <c r="P199" s="22"/>
      <c r="Q199" s="23"/>
      <c r="R199" s="3"/>
      <c r="T199" s="3"/>
      <c r="V199" s="22"/>
      <c r="W199" s="22"/>
      <c r="X199" s="23"/>
      <c r="Z199" s="21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 x14ac:dyDescent="0.25">
      <c r="A200" t="s">
        <v>108</v>
      </c>
      <c r="C200" t="s">
        <v>17</v>
      </c>
      <c r="D200" t="str">
        <f>A200&amp;C200</f>
        <v>Petroleum CokeTotal</v>
      </c>
      <c r="E200" s="26">
        <f>100/X200*(T200+W200)</f>
        <v>60.762008547008556</v>
      </c>
      <c r="F200" s="3"/>
      <c r="G200" s="22" t="s">
        <v>99</v>
      </c>
      <c r="H200" s="22">
        <v>40</v>
      </c>
      <c r="I200" s="3">
        <f>VLOOKUP(G200&amp;"Total",$D:$AB,2,FALSE)/100*H200</f>
        <v>42.914410256410264</v>
      </c>
      <c r="J200" s="22" t="s">
        <v>27</v>
      </c>
      <c r="K200" s="23">
        <v>0</v>
      </c>
      <c r="L200" s="3">
        <f>VLOOKUP(J200&amp;"Total",$D:$AB,2,FALSE)/100*K200</f>
        <v>0</v>
      </c>
      <c r="M200" s="22" t="s">
        <v>27</v>
      </c>
      <c r="N200" s="23">
        <v>0</v>
      </c>
      <c r="O200" s="3">
        <f>VLOOKUP(M200&amp;"Total",$D:$AB,2,FALSE)/100*N200</f>
        <v>0</v>
      </c>
      <c r="P200" s="22" t="s">
        <v>27</v>
      </c>
      <c r="Q200" s="23">
        <v>0</v>
      </c>
      <c r="R200" s="3">
        <f>VLOOKUP(P200&amp;"Total",$D:$AB,2,FALSE)/100*Q200</f>
        <v>0</v>
      </c>
      <c r="T200" s="3">
        <f>I200+L200+O200+R200</f>
        <v>42.914410256410264</v>
      </c>
      <c r="V200" s="22" t="s">
        <v>60</v>
      </c>
      <c r="W200" s="22">
        <v>30</v>
      </c>
      <c r="X200" s="23">
        <v>120</v>
      </c>
      <c r="Z200" s="21" t="s">
        <v>162</v>
      </c>
      <c r="AA200" s="3">
        <f>100/$X200*$H200*VLOOKUP($G200&amp;"Total",$D:$AK,24,FALSE)/100+100/$X200*$K200*VLOOKUP($J200&amp;"Total",$D:$AK,24,FALSE)/100+100/$X200*$N200*VLOOKUP($M200&amp;"Total",$D:$AK,24,FALSE)/100+100/$X200*$Q200*VLOOKUP($P200&amp;"Total",$D:$AK,24,FALSE)/100+
(IF($G200=AA$66,$H200,0)+IF($J200=AA$66,$K200,0)+IF($M200=AA$66,$N200,0)+IF($P200=AA$66,$Q200,0))*100/$X200</f>
        <v>0</v>
      </c>
      <c r="AB200" s="3">
        <f>100/$X200*$H200*VLOOKUP($G200&amp;"Total",$D:$AK,25,FALSE)/100+100/$X200*$K200*VLOOKUP($J200&amp;"Total",$D:$AK,25,FALSE)/100+100/$X200*$N200*VLOOKUP($M200&amp;"Total",$D:$AK,25,FALSE)/100+100/$X200*$Q200*VLOOKUP($P200&amp;"Total",$D:$AK,25,FALSE)/100+
(IF($G200=AB$66,$H200,0)+IF($J200=AB$66,$K200,0)+IF($M200=AB$66,$N200,0)+IF($P200=AB$66,$Q200,0))*100/$X200</f>
        <v>0</v>
      </c>
      <c r="AC200" s="3">
        <f>100/$X200*$H200*VLOOKUP($G200&amp;"Total",$D:$AK,26,FALSE)/100+100/$X200*$K200*VLOOKUP($J200&amp;"Total",$D:$AK,26,FALSE)/100+100/$X200*$N200*VLOOKUP($M200&amp;"Total",$D:$AK,26,FALSE)/100+100/$X200*$Q200*VLOOKUP($P200&amp;"Total",$D:$AK,26,FALSE)/100+
(IF($G200=AC$66,$H200,0)+IF($J200=AC$66,$K200,0)+IF($M200=AC$66,$N200,0)+IF($P200=AC$66,$Q200,0))*100/$X200</f>
        <v>0</v>
      </c>
      <c r="AD200" s="3">
        <f>100/$X200*$H200*VLOOKUP($G200&amp;"Total",$D:$AK,27,FALSE)/100+100/$X200*$K200*VLOOKUP($J200&amp;"Total",$D:$AK,27,FALSE)/100+100/$X200*$N200*VLOOKUP($M200&amp;"Total",$D:$AK,27,FALSE)/100+100/$X200*$Q200*VLOOKUP($P200&amp;"Total",$D:$AK,27,FALSE)/100+
(IF($G200=AD$66,$H200,0)+IF($J200=AD$66,$K200,0)+IF($M200=AD$66,$N200,0)+IF($P200=AD$66,$Q200,0))*100/$X200</f>
        <v>0</v>
      </c>
      <c r="AE200" s="3">
        <f>100/$X200*$H200*VLOOKUP($G200&amp;"Total",$D:$AK,28,FALSE)/100+100/$X200*$K200*VLOOKUP($J200&amp;"Total",$D:$AK,28,FALSE)/100+100/$X200*$N200*VLOOKUP($M200&amp;"Total",$D:$AK,28,FALSE)/100+100/$X200*$Q200*VLOOKUP($P200&amp;"Total",$D:$AK,28,FALSE)/100+
(IF($G200=AE$66,$H200,0)+IF($J200=AE$66,$K200,0)+IF($M200=AE$66,$N200,0)+IF($P200=AE$66,$Q200,0))*100/$X200</f>
        <v>0</v>
      </c>
      <c r="AF200" s="3">
        <f>100/$X200*$H200*VLOOKUP($G200&amp;"Total",$D:$AK,29,FALSE)/100+100/$X200*$K200*VLOOKUP($J200&amp;"Total",$D:$AK,29,FALSE)/100+100/$X200*$N200*VLOOKUP($M200&amp;"Total",$D:$AK,29,FALSE)/100+100/$X200*$Q200*VLOOKUP($P200&amp;"Total",$D:$AK,29,FALSE)/100+
(IF($G200=AF$66,$H200,0)+IF($J200=AF$66,$K200,0)+IF($M200=AF$66,$N200,0)+IF($P200=AF$66,$Q200,0))*100/$X200</f>
        <v>0</v>
      </c>
      <c r="AG200" s="3">
        <f>100/$X200*$H200*VLOOKUP($G200&amp;"Total",$D:$AK,30,FALSE)/100+100/$X200*$K200*VLOOKUP($J200&amp;"Total",$D:$AK,30,FALSE)/100+100/$X200*$N200*VLOOKUP($M200&amp;"Total",$D:$AK,30,FALSE)/100+100/$X200*$Q200*VLOOKUP($P200&amp;"Total",$D:$AK,30,FALSE)/100+
(IF($G200=AG$66,$H200,0)+IF($J200=AG$66,$K200,0)+IF($M200=AG$66,$N200,0)+IF($P200=AG$66,$Q200,0))*100/$X200</f>
        <v>0</v>
      </c>
      <c r="AH200" s="3">
        <f>100/$X200*$H200*VLOOKUP($G200&amp;"Total",$D:$AK,31,FALSE)/100+100/$X200*$K200*VLOOKUP($J200&amp;"Total",$D:$AK,31,FALSE)/100+100/$X200*$N200*VLOOKUP($M200&amp;"Total",$D:$AK,31,FALSE)/100+100/$X200*$Q200*VLOOKUP($P200&amp;"Total",$D:$AK,31,FALSE)/100+
(IF($G200=AH$66,$H200,0)+IF($J200=AH$66,$K200,0)+IF($M200=AH$66,$N200,0)+IF($P200=AH$66,$Q200,0))*100/$X200</f>
        <v>0</v>
      </c>
      <c r="AI200" s="3">
        <f>100/$X200*$H200*VLOOKUP($G200&amp;"Total",$D:$AK,32,FALSE)/100+100/$X200*$K200*VLOOKUP($J200&amp;"Total",$D:$AK,32,FALSE)/100+100/$X200*$N200*VLOOKUP($M200&amp;"Total",$D:$AK,32,FALSE)/100+100/$X200*$Q200*VLOOKUP($P200&amp;"Total",$D:$AK,32,FALSE)/100+
(IF($G200=AI$66,$H200,0)+IF($J200=AI$66,$K200,0)+IF($M200=AI$66,$N200,0)+IF($P200=AI$66,$Q200,0))*100/$X200</f>
        <v>0</v>
      </c>
      <c r="AJ200" s="3">
        <f>100/$X200*$H200*VLOOKUP($G200&amp;"Total",$D:$AK,33,FALSE)/100+100/$X200*$K200*VLOOKUP($J200&amp;"Total",$D:$AK,33,FALSE)/100+100/$X200*$N200*VLOOKUP($M200&amp;"Total",$D:$AK,33,FALSE)/100+100/$X200*$Q200*VLOOKUP($P200&amp;"Total",$D:$AK,33,FALSE)/100+
(IF($G200=AJ$66,$H200,0)+IF($J200=AJ$66,$K200,0)+IF($M200=AJ$66,$N200,0)+IF($P200=AJ$66,$Q200,0))*100/$X200</f>
        <v>0</v>
      </c>
      <c r="AK200" s="3">
        <f>100/$X200*$H200*VLOOKUP($G200&amp;"Total",$D:$AK,34,FALSE)/100+100/$X200*$K200*VLOOKUP($J200&amp;"Total",$D:$AK,34,FALSE)/100+100/$X200*$N200*VLOOKUP($M200&amp;"Total",$D:$AK,34,FALSE)/100+100/$X200*$Q200*VLOOKUP($P200&amp;"Total",$D:$AK,34,FALSE)/100+
(IF($G200=AK$66,$H200,0)+IF($J200=AK$66,$K200,0)+IF($M200=AK$66,$N200,0)+IF($P200=AK$66,$Q200,0))*100/$X200</f>
        <v>25</v>
      </c>
    </row>
    <row r="201" spans="1:37" x14ac:dyDescent="0.25">
      <c r="E201" s="25"/>
      <c r="G201" s="22"/>
      <c r="H201" s="22"/>
      <c r="I201" s="4"/>
      <c r="J201" s="24"/>
      <c r="K201" s="24"/>
      <c r="L201" s="3"/>
      <c r="O201" s="3"/>
      <c r="R201" s="3"/>
      <c r="V201" s="22"/>
      <c r="W201" s="22"/>
      <c r="X201" s="22"/>
      <c r="Z201" s="21" t="s">
        <v>163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 x14ac:dyDescent="0.25">
      <c r="A202" t="s">
        <v>99</v>
      </c>
      <c r="B202" t="s">
        <v>82</v>
      </c>
      <c r="D202" t="str">
        <f t="shared" ref="D202:D209" si="112">A202&amp;C202</f>
        <v>Heavy Oil Residue</v>
      </c>
      <c r="E202" s="26">
        <f>100/X202*(T202+W202)</f>
        <v>429.14410256410258</v>
      </c>
      <c r="G202" s="22" t="s">
        <v>29</v>
      </c>
      <c r="H202" s="23">
        <v>30</v>
      </c>
      <c r="I202" s="3">
        <f>VLOOKUP(G202&amp;"Total",$D:$AB,2,FALSE)/100*H202</f>
        <v>12.914410256410255</v>
      </c>
      <c r="J202" s="22" t="s">
        <v>27</v>
      </c>
      <c r="K202" s="23">
        <v>0</v>
      </c>
      <c r="L202" s="3">
        <f>VLOOKUP(J202&amp;"Total",$D:$AB,2,FALSE)/100*K202</f>
        <v>0</v>
      </c>
      <c r="M202" s="22" t="s">
        <v>27</v>
      </c>
      <c r="N202" s="23">
        <v>0</v>
      </c>
      <c r="O202" s="3">
        <f>VLOOKUP(M202&amp;"Total",$D:$AB,2,FALSE)/100*N202</f>
        <v>0</v>
      </c>
      <c r="P202" s="22" t="s">
        <v>27</v>
      </c>
      <c r="Q202" s="23">
        <v>0</v>
      </c>
      <c r="R202" s="3">
        <f>VLOOKUP(P202&amp;"Total",$D:$AB,2,FALSE)/100*Q202</f>
        <v>0</v>
      </c>
      <c r="T202" s="3">
        <f t="shared" ref="T202:T205" si="113">I202+L202+O202+R202</f>
        <v>12.914410256410255</v>
      </c>
      <c r="V202" s="22" t="s">
        <v>60</v>
      </c>
      <c r="W202" s="22">
        <v>30</v>
      </c>
      <c r="X202" s="23">
        <v>10</v>
      </c>
      <c r="Z202" s="21" t="s">
        <v>163</v>
      </c>
      <c r="AA202" s="3">
        <f>100/$X202*$H202*VLOOKUP($G202&amp;"Total",$D:$AK,24,FALSE)/100+100/$X202*$K202*VLOOKUP($J202&amp;"Total",$D:$AK,24,FALSE)/100+100/$X202*$N202*VLOOKUP($M202&amp;"Total",$D:$AK,24,FALSE)/100+100/$X202*$Q202*VLOOKUP($P202&amp;"Total",$D:$AK,24,FALSE)/100+
(IF($G202=AA$66,$H202,0)+IF($J202=AA$66,$K202,0)+IF($M202=AA$66,$N202,0)+IF($P202=AA$66,$Q202,0))*100/$X202</f>
        <v>0</v>
      </c>
      <c r="AB202" s="3">
        <f>100/$X202*$H202*VLOOKUP($G202&amp;"Total",$D:$AK,25,FALSE)/100+100/$X202*$K202*VLOOKUP($J202&amp;"Total",$D:$AK,25,FALSE)/100+100/$X202*$N202*VLOOKUP($M202&amp;"Total",$D:$AK,25,FALSE)/100+100/$X202*$Q202*VLOOKUP($P202&amp;"Total",$D:$AK,25,FALSE)/100+
(IF($G202=AB$66,$H202,0)+IF($J202=AB$66,$K202,0)+IF($M202=AB$66,$N202,0)+IF($P202=AB$66,$Q202,0))*100/$X202</f>
        <v>0</v>
      </c>
      <c r="AC202" s="3">
        <f>100/$X202*$H202*VLOOKUP($G202&amp;"Total",$D:$AK,26,FALSE)/100+100/$X202*$K202*VLOOKUP($J202&amp;"Total",$D:$AK,26,FALSE)/100+100/$X202*$N202*VLOOKUP($M202&amp;"Total",$D:$AK,26,FALSE)/100+100/$X202*$Q202*VLOOKUP($P202&amp;"Total",$D:$AK,26,FALSE)/100+
(IF($G202=AC$66,$H202,0)+IF($J202=AC$66,$K202,0)+IF($M202=AC$66,$N202,0)+IF($P202=AC$66,$Q202,0))*100/$X202</f>
        <v>0</v>
      </c>
      <c r="AD202" s="3">
        <f>100/$X202*$H202*VLOOKUP($G202&amp;"Total",$D:$AK,27,FALSE)/100+100/$X202*$K202*VLOOKUP($J202&amp;"Total",$D:$AK,27,FALSE)/100+100/$X202*$N202*VLOOKUP($M202&amp;"Total",$D:$AK,27,FALSE)/100+100/$X202*$Q202*VLOOKUP($P202&amp;"Total",$D:$AK,27,FALSE)/100+
(IF($G202=AD$66,$H202,0)+IF($J202=AD$66,$K202,0)+IF($M202=AD$66,$N202,0)+IF($P202=AD$66,$Q202,0))*100/$X202</f>
        <v>0</v>
      </c>
      <c r="AE202" s="3">
        <f>100/$X202*$H202*VLOOKUP($G202&amp;"Total",$D:$AK,28,FALSE)/100+100/$X202*$K202*VLOOKUP($J202&amp;"Total",$D:$AK,28,FALSE)/100+100/$X202*$N202*VLOOKUP($M202&amp;"Total",$D:$AK,28,FALSE)/100+100/$X202*$Q202*VLOOKUP($P202&amp;"Total",$D:$AK,28,FALSE)/100+
(IF($G202=AE$66,$H202,0)+IF($J202=AE$66,$K202,0)+IF($M202=AE$66,$N202,0)+IF($P202=AE$66,$Q202,0))*100/$X202</f>
        <v>0</v>
      </c>
      <c r="AF202" s="3">
        <f>100/$X202*$H202*VLOOKUP($G202&amp;"Total",$D:$AK,29,FALSE)/100+100/$X202*$K202*VLOOKUP($J202&amp;"Total",$D:$AK,29,FALSE)/100+100/$X202*$N202*VLOOKUP($M202&amp;"Total",$D:$AK,29,FALSE)/100+100/$X202*$Q202*VLOOKUP($P202&amp;"Total",$D:$AK,29,FALSE)/100+
(IF($G202=AF$66,$H202,0)+IF($J202=AF$66,$K202,0)+IF($M202=AF$66,$N202,0)+IF($P202=AF$66,$Q202,0))*100/$X202</f>
        <v>0</v>
      </c>
      <c r="AG202" s="3">
        <f>100/$X202*$H202*VLOOKUP($G202&amp;"Total",$D:$AK,30,FALSE)/100+100/$X202*$K202*VLOOKUP($J202&amp;"Total",$D:$AK,30,FALSE)/100+100/$X202*$N202*VLOOKUP($M202&amp;"Total",$D:$AK,30,FALSE)/100+100/$X202*$Q202*VLOOKUP($P202&amp;"Total",$D:$AK,30,FALSE)/100+
(IF($G202=AG$66,$H202,0)+IF($J202=AG$66,$K202,0)+IF($M202=AG$66,$N202,0)+IF($P202=AG$66,$Q202,0))*100/$X202</f>
        <v>0</v>
      </c>
      <c r="AH202" s="3">
        <f>100/$X202*$H202*VLOOKUP($G202&amp;"Total",$D:$AK,31,FALSE)/100+100/$X202*$K202*VLOOKUP($J202&amp;"Total",$D:$AK,31,FALSE)/100+100/$X202*$N202*VLOOKUP($M202&amp;"Total",$D:$AK,31,FALSE)/100+100/$X202*$Q202*VLOOKUP($P202&amp;"Total",$D:$AK,31,FALSE)/100+
(IF($G202=AH$66,$H202,0)+IF($J202=AH$66,$K202,0)+IF($M202=AH$66,$N202,0)+IF($P202=AH$66,$Q202,0))*100/$X202</f>
        <v>0</v>
      </c>
      <c r="AI202" s="3">
        <f>100/$X202*$H202*VLOOKUP($G202&amp;"Total",$D:$AK,32,FALSE)/100+100/$X202*$K202*VLOOKUP($J202&amp;"Total",$D:$AK,32,FALSE)/100+100/$X202*$N202*VLOOKUP($M202&amp;"Total",$D:$AK,32,FALSE)/100+100/$X202*$Q202*VLOOKUP($P202&amp;"Total",$D:$AK,32,FALSE)/100+
(IF($G202=AI$66,$H202,0)+IF($J202=AI$66,$K202,0)+IF($M202=AI$66,$N202,0)+IF($P202=AI$66,$Q202,0))*100/$X202</f>
        <v>0</v>
      </c>
      <c r="AJ202" s="3">
        <f>100/$X202*$H202*VLOOKUP($G202&amp;"Total",$D:$AK,33,FALSE)/100+100/$X202*$K202*VLOOKUP($J202&amp;"Total",$D:$AK,33,FALSE)/100+100/$X202*$N202*VLOOKUP($M202&amp;"Total",$D:$AK,33,FALSE)/100+100/$X202*$Q202*VLOOKUP($P202&amp;"Total",$D:$AK,33,FALSE)/100+
(IF($G202=AJ$66,$H202,0)+IF($J202=AJ$66,$K202,0)+IF($M202=AJ$66,$N202,0)+IF($P202=AJ$66,$Q202,0))*100/$X202</f>
        <v>0</v>
      </c>
      <c r="AK202" s="3">
        <f>100/$X202*$H202*VLOOKUP($G202&amp;"Total",$D:$AK,34,FALSE)/100+100/$X202*$K202*VLOOKUP($J202&amp;"Total",$D:$AK,34,FALSE)/100+100/$X202*$N202*VLOOKUP($M202&amp;"Total",$D:$AK,34,FALSE)/100+100/$X202*$Q202*VLOOKUP($P202&amp;"Total",$D:$AK,34,FALSE)/100+
(IF($G202=AK$66,$H202,0)+IF($J202=AK$66,$K202,0)+IF($M202=AK$66,$N202,0)+IF($P202=AK$66,$Q202,0))*100/$X202</f>
        <v>300</v>
      </c>
    </row>
    <row r="203" spans="1:37" x14ac:dyDescent="0.25">
      <c r="A203" t="s">
        <v>99</v>
      </c>
      <c r="B203" t="s">
        <v>72</v>
      </c>
      <c r="D203" t="str">
        <f t="shared" si="112"/>
        <v>Heavy Oil Residue</v>
      </c>
      <c r="E203" s="26">
        <f>100/X203*(T203+W203)</f>
        <v>214.57205128205129</v>
      </c>
      <c r="G203" s="22" t="s">
        <v>29</v>
      </c>
      <c r="H203" s="23">
        <v>30</v>
      </c>
      <c r="I203" s="3">
        <f>VLOOKUP(G203&amp;"Total",$D:$AB,2,FALSE)/100*H203</f>
        <v>12.914410256410255</v>
      </c>
      <c r="J203" s="22" t="s">
        <v>27</v>
      </c>
      <c r="K203" s="23">
        <v>0</v>
      </c>
      <c r="L203" s="3">
        <f>VLOOKUP(J203&amp;"Total",$D:$AB,2,FALSE)/100*K203</f>
        <v>0</v>
      </c>
      <c r="M203" s="22" t="s">
        <v>27</v>
      </c>
      <c r="N203" s="23">
        <v>0</v>
      </c>
      <c r="O203" s="3">
        <f>VLOOKUP(M203&amp;"Total",$D:$AB,2,FALSE)/100*N203</f>
        <v>0</v>
      </c>
      <c r="P203" s="22" t="s">
        <v>27</v>
      </c>
      <c r="Q203" s="23">
        <v>0</v>
      </c>
      <c r="R203" s="3">
        <f>VLOOKUP(P203&amp;"Total",$D:$AB,2,FALSE)/100*Q203</f>
        <v>0</v>
      </c>
      <c r="T203" s="3">
        <f t="shared" si="113"/>
        <v>12.914410256410255</v>
      </c>
      <c r="V203" s="22" t="s">
        <v>60</v>
      </c>
      <c r="W203" s="22">
        <v>30</v>
      </c>
      <c r="X203" s="23">
        <v>20</v>
      </c>
      <c r="AA203" s="3">
        <f>100/$X203*$H203*VLOOKUP($G203&amp;"Total",$D:$AK,24,FALSE)/100+100/$X203*$K203*VLOOKUP($J203&amp;"Total",$D:$AK,24,FALSE)/100+100/$X203*$N203*VLOOKUP($M203&amp;"Total",$D:$AK,24,FALSE)/100+100/$X203*$Q203*VLOOKUP($P203&amp;"Total",$D:$AK,24,FALSE)/100+
(IF($G203=AA$66,$H203,0)+IF($J203=AA$66,$K203,0)+IF($M203=AA$66,$N203,0)+IF($P203=AA$66,$Q203,0))*100/$X203</f>
        <v>0</v>
      </c>
      <c r="AB203" s="3">
        <f>100/$X203*$H203*VLOOKUP($G203&amp;"Total",$D:$AK,25,FALSE)/100+100/$X203*$K203*VLOOKUP($J203&amp;"Total",$D:$AK,25,FALSE)/100+100/$X203*$N203*VLOOKUP($M203&amp;"Total",$D:$AK,25,FALSE)/100+100/$X203*$Q203*VLOOKUP($P203&amp;"Total",$D:$AK,25,FALSE)/100+
(IF($G203=AB$66,$H203,0)+IF($J203=AB$66,$K203,0)+IF($M203=AB$66,$N203,0)+IF($P203=AB$66,$Q203,0))*100/$X203</f>
        <v>0</v>
      </c>
      <c r="AC203" s="3">
        <f>100/$X203*$H203*VLOOKUP($G203&amp;"Total",$D:$AK,26,FALSE)/100+100/$X203*$K203*VLOOKUP($J203&amp;"Total",$D:$AK,26,FALSE)/100+100/$X203*$N203*VLOOKUP($M203&amp;"Total",$D:$AK,26,FALSE)/100+100/$X203*$Q203*VLOOKUP($P203&amp;"Total",$D:$AK,26,FALSE)/100+
(IF($G203=AC$66,$H203,0)+IF($J203=AC$66,$K203,0)+IF($M203=AC$66,$N203,0)+IF($P203=AC$66,$Q203,0))*100/$X203</f>
        <v>0</v>
      </c>
      <c r="AD203" s="3">
        <f>100/$X203*$H203*VLOOKUP($G203&amp;"Total",$D:$AK,27,FALSE)/100+100/$X203*$K203*VLOOKUP($J203&amp;"Total",$D:$AK,27,FALSE)/100+100/$X203*$N203*VLOOKUP($M203&amp;"Total",$D:$AK,27,FALSE)/100+100/$X203*$Q203*VLOOKUP($P203&amp;"Total",$D:$AK,27,FALSE)/100+
(IF($G203=AD$66,$H203,0)+IF($J203=AD$66,$K203,0)+IF($M203=AD$66,$N203,0)+IF($P203=AD$66,$Q203,0))*100/$X203</f>
        <v>0</v>
      </c>
      <c r="AE203" s="3">
        <f>100/$X203*$H203*VLOOKUP($G203&amp;"Total",$D:$AK,28,FALSE)/100+100/$X203*$K203*VLOOKUP($J203&amp;"Total",$D:$AK,28,FALSE)/100+100/$X203*$N203*VLOOKUP($M203&amp;"Total",$D:$AK,28,FALSE)/100+100/$X203*$Q203*VLOOKUP($P203&amp;"Total",$D:$AK,28,FALSE)/100+
(IF($G203=AE$66,$H203,0)+IF($J203=AE$66,$K203,0)+IF($M203=AE$66,$N203,0)+IF($P203=AE$66,$Q203,0))*100/$X203</f>
        <v>0</v>
      </c>
      <c r="AF203" s="3">
        <f>100/$X203*$H203*VLOOKUP($G203&amp;"Total",$D:$AK,29,FALSE)/100+100/$X203*$K203*VLOOKUP($J203&amp;"Total",$D:$AK,29,FALSE)/100+100/$X203*$N203*VLOOKUP($M203&amp;"Total",$D:$AK,29,FALSE)/100+100/$X203*$Q203*VLOOKUP($P203&amp;"Total",$D:$AK,29,FALSE)/100+
(IF($G203=AF$66,$H203,0)+IF($J203=AF$66,$K203,0)+IF($M203=AF$66,$N203,0)+IF($P203=AF$66,$Q203,0))*100/$X203</f>
        <v>0</v>
      </c>
      <c r="AG203" s="3">
        <f>100/$X203*$H203*VLOOKUP($G203&amp;"Total",$D:$AK,30,FALSE)/100+100/$X203*$K203*VLOOKUP($J203&amp;"Total",$D:$AK,30,FALSE)/100+100/$X203*$N203*VLOOKUP($M203&amp;"Total",$D:$AK,30,FALSE)/100+100/$X203*$Q203*VLOOKUP($P203&amp;"Total",$D:$AK,30,FALSE)/100+
(IF($G203=AG$66,$H203,0)+IF($J203=AG$66,$K203,0)+IF($M203=AG$66,$N203,0)+IF($P203=AG$66,$Q203,0))*100/$X203</f>
        <v>0</v>
      </c>
      <c r="AH203" s="3">
        <f>100/$X203*$H203*VLOOKUP($G203&amp;"Total",$D:$AK,31,FALSE)/100+100/$X203*$K203*VLOOKUP($J203&amp;"Total",$D:$AK,31,FALSE)/100+100/$X203*$N203*VLOOKUP($M203&amp;"Total",$D:$AK,31,FALSE)/100+100/$X203*$Q203*VLOOKUP($P203&amp;"Total",$D:$AK,31,FALSE)/100+
(IF($G203=AH$66,$H203,0)+IF($J203=AH$66,$K203,0)+IF($M203=AH$66,$N203,0)+IF($P203=AH$66,$Q203,0))*100/$X203</f>
        <v>0</v>
      </c>
      <c r="AI203" s="3">
        <f>100/$X203*$H203*VLOOKUP($G203&amp;"Total",$D:$AK,32,FALSE)/100+100/$X203*$K203*VLOOKUP($J203&amp;"Total",$D:$AK,32,FALSE)/100+100/$X203*$N203*VLOOKUP($M203&amp;"Total",$D:$AK,32,FALSE)/100+100/$X203*$Q203*VLOOKUP($P203&amp;"Total",$D:$AK,32,FALSE)/100+
(IF($G203=AI$66,$H203,0)+IF($J203=AI$66,$K203,0)+IF($M203=AI$66,$N203,0)+IF($P203=AI$66,$Q203,0))*100/$X203</f>
        <v>0</v>
      </c>
      <c r="AJ203" s="3">
        <f>100/$X203*$H203*VLOOKUP($G203&amp;"Total",$D:$AK,33,FALSE)/100+100/$X203*$K203*VLOOKUP($J203&amp;"Total",$D:$AK,33,FALSE)/100+100/$X203*$N203*VLOOKUP($M203&amp;"Total",$D:$AK,33,FALSE)/100+100/$X203*$Q203*VLOOKUP($P203&amp;"Total",$D:$AK,33,FALSE)/100+
(IF($G203=AJ$66,$H203,0)+IF($J203=AJ$66,$K203,0)+IF($M203=AJ$66,$N203,0)+IF($P203=AJ$66,$Q203,0))*100/$X203</f>
        <v>0</v>
      </c>
      <c r="AK203" s="3">
        <f>100/$X203*$H203*VLOOKUP($G203&amp;"Total",$D:$AK,34,FALSE)/100+100/$X203*$K203*VLOOKUP($J203&amp;"Total",$D:$AK,34,FALSE)/100+100/$X203*$N203*VLOOKUP($M203&amp;"Total",$D:$AK,34,FALSE)/100+100/$X203*$Q203*VLOOKUP($P203&amp;"Total",$D:$AK,34,FALSE)/100+
(IF($G203=AK$66,$H203,0)+IF($J203=AK$66,$K203,0)+IF($M203=AK$66,$N203,0)+IF($P203=AK$66,$Q203,0))*100/$X203</f>
        <v>150</v>
      </c>
    </row>
    <row r="204" spans="1:37" x14ac:dyDescent="0.25">
      <c r="A204" t="s">
        <v>99</v>
      </c>
      <c r="B204" t="s">
        <v>164</v>
      </c>
      <c r="C204" t="s">
        <v>17</v>
      </c>
      <c r="D204" t="str">
        <f t="shared" si="112"/>
        <v>Heavy Oil ResidueTotal</v>
      </c>
      <c r="E204" s="26">
        <f>100/X204*(T204+W204)</f>
        <v>107.28602564102565</v>
      </c>
      <c r="G204" s="22" t="s">
        <v>29</v>
      </c>
      <c r="H204" s="23">
        <v>30</v>
      </c>
      <c r="I204" s="3">
        <f>VLOOKUP(G204&amp;"Total",$D:$AB,2,FALSE)/100*H204</f>
        <v>12.914410256410255</v>
      </c>
      <c r="J204" s="22" t="s">
        <v>27</v>
      </c>
      <c r="K204" s="23">
        <v>0</v>
      </c>
      <c r="L204" s="3">
        <f>VLOOKUP(J204&amp;"Total",$D:$AB,2,FALSE)/100*K204</f>
        <v>0</v>
      </c>
      <c r="M204" s="22" t="s">
        <v>27</v>
      </c>
      <c r="N204" s="23">
        <v>0</v>
      </c>
      <c r="O204" s="3">
        <f>VLOOKUP(M204&amp;"Total",$D:$AB,2,FALSE)/100*N204</f>
        <v>0</v>
      </c>
      <c r="P204" s="22" t="s">
        <v>27</v>
      </c>
      <c r="Q204" s="23">
        <v>0</v>
      </c>
      <c r="R204" s="3">
        <f>VLOOKUP(P204&amp;"Total",$D:$AB,2,FALSE)/100*Q204</f>
        <v>0</v>
      </c>
      <c r="T204" s="3">
        <f t="shared" si="113"/>
        <v>12.914410256410255</v>
      </c>
      <c r="V204" s="22" t="s">
        <v>60</v>
      </c>
      <c r="W204" s="22">
        <v>30</v>
      </c>
      <c r="X204" s="23">
        <v>40</v>
      </c>
      <c r="Y204" s="10"/>
      <c r="Z204" s="21" t="s">
        <v>163</v>
      </c>
      <c r="AA204" s="3">
        <f>100/$X204*$H204*VLOOKUP($G204&amp;"Total",$D:$AK,24,FALSE)/100+100/$X204*$K204*VLOOKUP($J204&amp;"Total",$D:$AK,24,FALSE)/100+100/$X204*$N204*VLOOKUP($M204&amp;"Total",$D:$AK,24,FALSE)/100+100/$X204*$Q204*VLOOKUP($P204&amp;"Total",$D:$AK,24,FALSE)/100+
(IF($G204=AA$66,$H204,0)+IF($J204=AA$66,$K204,0)+IF($M204=AA$66,$N204,0)+IF($P204=AA$66,$Q204,0))*100/$X204</f>
        <v>0</v>
      </c>
      <c r="AB204" s="3">
        <f>100/$X204*$H204*VLOOKUP($G204&amp;"Total",$D:$AK,25,FALSE)/100+100/$X204*$K204*VLOOKUP($J204&amp;"Total",$D:$AK,25,FALSE)/100+100/$X204*$N204*VLOOKUP($M204&amp;"Total",$D:$AK,25,FALSE)/100+100/$X204*$Q204*VLOOKUP($P204&amp;"Total",$D:$AK,25,FALSE)/100+
(IF($G204=AB$66,$H204,0)+IF($J204=AB$66,$K204,0)+IF($M204=AB$66,$N204,0)+IF($P204=AB$66,$Q204,0))*100/$X204</f>
        <v>0</v>
      </c>
      <c r="AC204" s="3">
        <f>100/$X204*$H204*VLOOKUP($G204&amp;"Total",$D:$AK,26,FALSE)/100+100/$X204*$K204*VLOOKUP($J204&amp;"Total",$D:$AK,26,FALSE)/100+100/$X204*$N204*VLOOKUP($M204&amp;"Total",$D:$AK,26,FALSE)/100+100/$X204*$Q204*VLOOKUP($P204&amp;"Total",$D:$AK,26,FALSE)/100+
(IF($G204=AC$66,$H204,0)+IF($J204=AC$66,$K204,0)+IF($M204=AC$66,$N204,0)+IF($P204=AC$66,$Q204,0))*100/$X204</f>
        <v>0</v>
      </c>
      <c r="AD204" s="3">
        <f>100/$X204*$H204*VLOOKUP($G204&amp;"Total",$D:$AK,27,FALSE)/100+100/$X204*$K204*VLOOKUP($J204&amp;"Total",$D:$AK,27,FALSE)/100+100/$X204*$N204*VLOOKUP($M204&amp;"Total",$D:$AK,27,FALSE)/100+100/$X204*$Q204*VLOOKUP($P204&amp;"Total",$D:$AK,27,FALSE)/100+
(IF($G204=AD$66,$H204,0)+IF($J204=AD$66,$K204,0)+IF($M204=AD$66,$N204,0)+IF($P204=AD$66,$Q204,0))*100/$X204</f>
        <v>0</v>
      </c>
      <c r="AE204" s="3">
        <f>100/$X204*$H204*VLOOKUP($G204&amp;"Total",$D:$AK,28,FALSE)/100+100/$X204*$K204*VLOOKUP($J204&amp;"Total",$D:$AK,28,FALSE)/100+100/$X204*$N204*VLOOKUP($M204&amp;"Total",$D:$AK,28,FALSE)/100+100/$X204*$Q204*VLOOKUP($P204&amp;"Total",$D:$AK,28,FALSE)/100+
(IF($G204=AE$66,$H204,0)+IF($J204=AE$66,$K204,0)+IF($M204=AE$66,$N204,0)+IF($P204=AE$66,$Q204,0))*100/$X204</f>
        <v>0</v>
      </c>
      <c r="AF204" s="3">
        <f>100/$X204*$H204*VLOOKUP($G204&amp;"Total",$D:$AK,29,FALSE)/100+100/$X204*$K204*VLOOKUP($J204&amp;"Total",$D:$AK,29,FALSE)/100+100/$X204*$N204*VLOOKUP($M204&amp;"Total",$D:$AK,29,FALSE)/100+100/$X204*$Q204*VLOOKUP($P204&amp;"Total",$D:$AK,29,FALSE)/100+
(IF($G204=AF$66,$H204,0)+IF($J204=AF$66,$K204,0)+IF($M204=AF$66,$N204,0)+IF($P204=AF$66,$Q204,0))*100/$X204</f>
        <v>0</v>
      </c>
      <c r="AG204" s="3">
        <f>100/$X204*$H204*VLOOKUP($G204&amp;"Total",$D:$AK,30,FALSE)/100+100/$X204*$K204*VLOOKUP($J204&amp;"Total",$D:$AK,30,FALSE)/100+100/$X204*$N204*VLOOKUP($M204&amp;"Total",$D:$AK,30,FALSE)/100+100/$X204*$Q204*VLOOKUP($P204&amp;"Total",$D:$AK,30,FALSE)/100+
(IF($G204=AG$66,$H204,0)+IF($J204=AG$66,$K204,0)+IF($M204=AG$66,$N204,0)+IF($P204=AG$66,$Q204,0))*100/$X204</f>
        <v>0</v>
      </c>
      <c r="AH204" s="3">
        <f>100/$X204*$H204*VLOOKUP($G204&amp;"Total",$D:$AK,31,FALSE)/100+100/$X204*$K204*VLOOKUP($J204&amp;"Total",$D:$AK,31,FALSE)/100+100/$X204*$N204*VLOOKUP($M204&amp;"Total",$D:$AK,31,FALSE)/100+100/$X204*$Q204*VLOOKUP($P204&amp;"Total",$D:$AK,31,FALSE)/100+
(IF($G204=AH$66,$H204,0)+IF($J204=AH$66,$K204,0)+IF($M204=AH$66,$N204,0)+IF($P204=AH$66,$Q204,0))*100/$X204</f>
        <v>0</v>
      </c>
      <c r="AI204" s="3">
        <f>100/$X204*$H204*VLOOKUP($G204&amp;"Total",$D:$AK,32,FALSE)/100+100/$X204*$K204*VLOOKUP($J204&amp;"Total",$D:$AK,32,FALSE)/100+100/$X204*$N204*VLOOKUP($M204&amp;"Total",$D:$AK,32,FALSE)/100+100/$X204*$Q204*VLOOKUP($P204&amp;"Total",$D:$AK,32,FALSE)/100+
(IF($G204=AI$66,$H204,0)+IF($J204=AI$66,$K204,0)+IF($M204=AI$66,$N204,0)+IF($P204=AI$66,$Q204,0))*100/$X204</f>
        <v>0</v>
      </c>
      <c r="AJ204" s="3">
        <f>100/$X204*$H204*VLOOKUP($G204&amp;"Total",$D:$AK,33,FALSE)/100+100/$X204*$K204*VLOOKUP($J204&amp;"Total",$D:$AK,33,FALSE)/100+100/$X204*$N204*VLOOKUP($M204&amp;"Total",$D:$AK,33,FALSE)/100+100/$X204*$Q204*VLOOKUP($P204&amp;"Total",$D:$AK,33,FALSE)/100+
(IF($G204=AJ$66,$H204,0)+IF($J204=AJ$66,$K204,0)+IF($M204=AJ$66,$N204,0)+IF($P204=AJ$66,$Q204,0))*100/$X204</f>
        <v>0</v>
      </c>
      <c r="AK204" s="3">
        <f>100/$X204*$H204*VLOOKUP($G204&amp;"Total",$D:$AK,34,FALSE)/100+100/$X204*$K204*VLOOKUP($J204&amp;"Total",$D:$AK,34,FALSE)/100+100/$X204*$N204*VLOOKUP($M204&amp;"Total",$D:$AK,34,FALSE)/100+100/$X204*$Q204*VLOOKUP($P204&amp;"Total",$D:$AK,34,FALSE)/100+
(IF($G204=AK$66,$H204,0)+IF($J204=AK$66,$K204,0)+IF($M204=AK$66,$N204,0)+IF($P204=AK$66,$Q204,0))*100/$X204</f>
        <v>75</v>
      </c>
    </row>
    <row r="205" spans="1:37" x14ac:dyDescent="0.25">
      <c r="A205" t="s">
        <v>99</v>
      </c>
      <c r="B205" t="s">
        <v>155</v>
      </c>
      <c r="D205" t="str">
        <f t="shared" si="112"/>
        <v>Heavy Oil Residue</v>
      </c>
      <c r="E205" s="26">
        <f>100/X205*(T205+W205)</f>
        <v>279.14410256410258</v>
      </c>
      <c r="G205" s="22" t="s">
        <v>29</v>
      </c>
      <c r="H205" s="23">
        <v>60</v>
      </c>
      <c r="I205" s="3">
        <f>VLOOKUP(G205&amp;"Total",$D:$AB,2,FALSE)/100*H205</f>
        <v>25.82882051282051</v>
      </c>
      <c r="J205" s="22" t="s">
        <v>27</v>
      </c>
      <c r="K205" s="23">
        <v>0</v>
      </c>
      <c r="L205" s="3">
        <f>VLOOKUP(J205&amp;"Total",$D:$AB,2,FALSE)/100*K205</f>
        <v>0</v>
      </c>
      <c r="M205" s="22" t="s">
        <v>27</v>
      </c>
      <c r="N205" s="23">
        <v>0</v>
      </c>
      <c r="O205" s="3">
        <f>VLOOKUP(M205&amp;"Total",$D:$AB,2,FALSE)/100*N205</f>
        <v>0</v>
      </c>
      <c r="P205" s="22" t="s">
        <v>27</v>
      </c>
      <c r="Q205" s="23">
        <v>0</v>
      </c>
      <c r="R205" s="3">
        <f>VLOOKUP(P205&amp;"Total",$D:$AB,2,FALSE)/100*Q205</f>
        <v>0</v>
      </c>
      <c r="T205" s="3">
        <f t="shared" si="113"/>
        <v>25.82882051282051</v>
      </c>
      <c r="V205" s="22" t="s">
        <v>60</v>
      </c>
      <c r="W205" s="22">
        <v>30</v>
      </c>
      <c r="X205" s="23">
        <v>20</v>
      </c>
      <c r="Y205" s="10"/>
      <c r="AA205" s="3">
        <f>100/$X205*$H205*VLOOKUP($G205&amp;"Total",$D:$AK,24,FALSE)/100+100/$X205*$K205*VLOOKUP($J205&amp;"Total",$D:$AK,24,FALSE)/100+100/$X205*$N205*VLOOKUP($M205&amp;"Total",$D:$AK,24,FALSE)/100+100/$X205*$Q205*VLOOKUP($P205&amp;"Total",$D:$AK,24,FALSE)/100+
(IF($G205=AA$66,$H205,0)+IF($J205=AA$66,$K205,0)+IF($M205=AA$66,$N205,0)+IF($P205=AA$66,$Q205,0))*100/$X205</f>
        <v>0</v>
      </c>
      <c r="AB205" s="3">
        <f>100/$X205*$H205*VLOOKUP($G205&amp;"Total",$D:$AK,25,FALSE)/100+100/$X205*$K205*VLOOKUP($J205&amp;"Total",$D:$AK,25,FALSE)/100+100/$X205*$N205*VLOOKUP($M205&amp;"Total",$D:$AK,25,FALSE)/100+100/$X205*$Q205*VLOOKUP($P205&amp;"Total",$D:$AK,25,FALSE)/100+
(IF($G205=AB$66,$H205,0)+IF($J205=AB$66,$K205,0)+IF($M205=AB$66,$N205,0)+IF($P205=AB$66,$Q205,0))*100/$X205</f>
        <v>0</v>
      </c>
      <c r="AC205" s="3">
        <f>100/$X205*$H205*VLOOKUP($G205&amp;"Total",$D:$AK,26,FALSE)/100+100/$X205*$K205*VLOOKUP($J205&amp;"Total",$D:$AK,26,FALSE)/100+100/$X205*$N205*VLOOKUP($M205&amp;"Total",$D:$AK,26,FALSE)/100+100/$X205*$Q205*VLOOKUP($P205&amp;"Total",$D:$AK,26,FALSE)/100+
(IF($G205=AC$66,$H205,0)+IF($J205=AC$66,$K205,0)+IF($M205=AC$66,$N205,0)+IF($P205=AC$66,$Q205,0))*100/$X205</f>
        <v>0</v>
      </c>
      <c r="AD205" s="3">
        <f>100/$X205*$H205*VLOOKUP($G205&amp;"Total",$D:$AK,27,FALSE)/100+100/$X205*$K205*VLOOKUP($J205&amp;"Total",$D:$AK,27,FALSE)/100+100/$X205*$N205*VLOOKUP($M205&amp;"Total",$D:$AK,27,FALSE)/100+100/$X205*$Q205*VLOOKUP($P205&amp;"Total",$D:$AK,27,FALSE)/100+
(IF($G205=AD$66,$H205,0)+IF($J205=AD$66,$K205,0)+IF($M205=AD$66,$N205,0)+IF($P205=AD$66,$Q205,0))*100/$X205</f>
        <v>0</v>
      </c>
      <c r="AE205" s="3">
        <f>100/$X205*$H205*VLOOKUP($G205&amp;"Total",$D:$AK,28,FALSE)/100+100/$X205*$K205*VLOOKUP($J205&amp;"Total",$D:$AK,28,FALSE)/100+100/$X205*$N205*VLOOKUP($M205&amp;"Total",$D:$AK,28,FALSE)/100+100/$X205*$Q205*VLOOKUP($P205&amp;"Total",$D:$AK,28,FALSE)/100+
(IF($G205=AE$66,$H205,0)+IF($J205=AE$66,$K205,0)+IF($M205=AE$66,$N205,0)+IF($P205=AE$66,$Q205,0))*100/$X205</f>
        <v>0</v>
      </c>
      <c r="AF205" s="3">
        <f>100/$X205*$H205*VLOOKUP($G205&amp;"Total",$D:$AK,29,FALSE)/100+100/$X205*$K205*VLOOKUP($J205&amp;"Total",$D:$AK,29,FALSE)/100+100/$X205*$N205*VLOOKUP($M205&amp;"Total",$D:$AK,29,FALSE)/100+100/$X205*$Q205*VLOOKUP($P205&amp;"Total",$D:$AK,29,FALSE)/100+
(IF($G205=AF$66,$H205,0)+IF($J205=AF$66,$K205,0)+IF($M205=AF$66,$N205,0)+IF($P205=AF$66,$Q205,0))*100/$X205</f>
        <v>0</v>
      </c>
      <c r="AG205" s="3">
        <f>100/$X205*$H205*VLOOKUP($G205&amp;"Total",$D:$AK,30,FALSE)/100+100/$X205*$K205*VLOOKUP($J205&amp;"Total",$D:$AK,30,FALSE)/100+100/$X205*$N205*VLOOKUP($M205&amp;"Total",$D:$AK,30,FALSE)/100+100/$X205*$Q205*VLOOKUP($P205&amp;"Total",$D:$AK,30,FALSE)/100+
(IF($G205=AG$66,$H205,0)+IF($J205=AG$66,$K205,0)+IF($M205=AG$66,$N205,0)+IF($P205=AG$66,$Q205,0))*100/$X205</f>
        <v>0</v>
      </c>
      <c r="AH205" s="3">
        <f>100/$X205*$H205*VLOOKUP($G205&amp;"Total",$D:$AK,31,FALSE)/100+100/$X205*$K205*VLOOKUP($J205&amp;"Total",$D:$AK,31,FALSE)/100+100/$X205*$N205*VLOOKUP($M205&amp;"Total",$D:$AK,31,FALSE)/100+100/$X205*$Q205*VLOOKUP($P205&amp;"Total",$D:$AK,31,FALSE)/100+
(IF($G205=AH$66,$H205,0)+IF($J205=AH$66,$K205,0)+IF($M205=AH$66,$N205,0)+IF($P205=AH$66,$Q205,0))*100/$X205</f>
        <v>0</v>
      </c>
      <c r="AI205" s="3">
        <f>100/$X205*$H205*VLOOKUP($G205&amp;"Total",$D:$AK,32,FALSE)/100+100/$X205*$K205*VLOOKUP($J205&amp;"Total",$D:$AK,32,FALSE)/100+100/$X205*$N205*VLOOKUP($M205&amp;"Total",$D:$AK,32,FALSE)/100+100/$X205*$Q205*VLOOKUP($P205&amp;"Total",$D:$AK,32,FALSE)/100+
(IF($G205=AI$66,$H205,0)+IF($J205=AI$66,$K205,0)+IF($M205=AI$66,$N205,0)+IF($P205=AI$66,$Q205,0))*100/$X205</f>
        <v>0</v>
      </c>
      <c r="AJ205" s="3">
        <f>100/$X205*$H205*VLOOKUP($G205&amp;"Total",$D:$AK,33,FALSE)/100+100/$X205*$K205*VLOOKUP($J205&amp;"Total",$D:$AK,33,FALSE)/100+100/$X205*$N205*VLOOKUP($M205&amp;"Total",$D:$AK,33,FALSE)/100+100/$X205*$Q205*VLOOKUP($P205&amp;"Total",$D:$AK,33,FALSE)/100+
(IF($G205=AJ$66,$H205,0)+IF($J205=AJ$66,$K205,0)+IF($M205=AJ$66,$N205,0)+IF($P205=AJ$66,$Q205,0))*100/$X205</f>
        <v>0</v>
      </c>
      <c r="AK205" s="3">
        <f>100/$X205*$H205*VLOOKUP($G205&amp;"Total",$D:$AK,34,FALSE)/100+100/$X205*$K205*VLOOKUP($J205&amp;"Total",$D:$AK,34,FALSE)/100+100/$X205*$N205*VLOOKUP($M205&amp;"Total",$D:$AK,34,FALSE)/100+100/$X205*$Q205*VLOOKUP($P205&amp;"Total",$D:$AK,34,FALSE)/100+
(IF($G205=AK$66,$H205,0)+IF($J205=AK$66,$K205,0)+IF($M205=AK$66,$N205,0)+IF($P205=AK$66,$Q205,0))*100/$X205</f>
        <v>300</v>
      </c>
    </row>
    <row r="206" spans="1:37" x14ac:dyDescent="0.25">
      <c r="E206" s="25"/>
      <c r="G206" s="22"/>
      <c r="H206" s="23"/>
      <c r="I206" s="3"/>
      <c r="J206" s="22"/>
      <c r="K206" s="23"/>
      <c r="L206" s="3"/>
      <c r="O206" s="3"/>
      <c r="R206" s="3"/>
      <c r="T206" s="3"/>
      <c r="V206" s="22"/>
      <c r="W206" s="22"/>
      <c r="X206" s="23"/>
      <c r="Y206" s="10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 x14ac:dyDescent="0.25">
      <c r="A207" t="s">
        <v>157</v>
      </c>
      <c r="B207" t="s">
        <v>157</v>
      </c>
      <c r="C207" t="s">
        <v>17</v>
      </c>
      <c r="D207" t="str">
        <f t="shared" si="112"/>
        <v>FuelTotal</v>
      </c>
      <c r="E207" s="26">
        <f>100/X207*(T207+W207)</f>
        <v>139.57205128205129</v>
      </c>
      <c r="G207" s="22" t="s">
        <v>29</v>
      </c>
      <c r="H207" s="23">
        <v>60</v>
      </c>
      <c r="I207" s="3">
        <f>VLOOKUP(G207&amp;"Total",$D:$AB,2,FALSE)/100*H207</f>
        <v>25.82882051282051</v>
      </c>
      <c r="J207" s="22" t="s">
        <v>27</v>
      </c>
      <c r="K207" s="23">
        <v>0</v>
      </c>
      <c r="L207" s="3">
        <f>VLOOKUP(J207&amp;"Total",$D:$AB,2,FALSE)/100*K207</f>
        <v>0</v>
      </c>
      <c r="M207" s="22" t="s">
        <v>27</v>
      </c>
      <c r="N207" s="23">
        <v>0</v>
      </c>
      <c r="O207" s="3">
        <f>VLOOKUP(M207&amp;"Total",$D:$AB,2,FALSE)/100*N207</f>
        <v>0</v>
      </c>
      <c r="P207" s="22" t="s">
        <v>27</v>
      </c>
      <c r="Q207" s="23">
        <v>0</v>
      </c>
      <c r="R207" s="3">
        <f>VLOOKUP(P207&amp;"Total",$D:$AB,2,FALSE)/100*Q207</f>
        <v>0</v>
      </c>
      <c r="T207" s="3">
        <f t="shared" ref="T207:T209" si="114">I207+L207+O207+R207</f>
        <v>25.82882051282051</v>
      </c>
      <c r="V207" s="22" t="s">
        <v>60</v>
      </c>
      <c r="W207" s="22">
        <v>30</v>
      </c>
      <c r="X207" s="23">
        <v>40</v>
      </c>
      <c r="Y207" s="10"/>
      <c r="Z207" s="21" t="s">
        <v>163</v>
      </c>
      <c r="AA207" s="3">
        <f>100/$X207*$H207*VLOOKUP($G207&amp;"Total",$D:$AK,24,FALSE)/100+100/$X207*$K207*VLOOKUP($J207&amp;"Total",$D:$AK,24,FALSE)/100+100/$X207*$N207*VLOOKUP($M207&amp;"Total",$D:$AK,24,FALSE)/100+100/$X207*$Q207*VLOOKUP($P207&amp;"Total",$D:$AK,24,FALSE)/100+
(IF($G207=AA$66,$H207,0)+IF($J207=AA$66,$K207,0)+IF($M207=AA$66,$N207,0)+IF($P207=AA$66,$Q207,0))*100/$X207</f>
        <v>0</v>
      </c>
      <c r="AB207" s="3">
        <f>100/$X207*$H207*VLOOKUP($G207&amp;"Total",$D:$AK,25,FALSE)/100+100/$X207*$K207*VLOOKUP($J207&amp;"Total",$D:$AK,25,FALSE)/100+100/$X207*$N207*VLOOKUP($M207&amp;"Total",$D:$AK,25,FALSE)/100+100/$X207*$Q207*VLOOKUP($P207&amp;"Total",$D:$AK,25,FALSE)/100+
(IF($G207=AB$66,$H207,0)+IF($J207=AB$66,$K207,0)+IF($M207=AB$66,$N207,0)+IF($P207=AB$66,$Q207,0))*100/$X207</f>
        <v>0</v>
      </c>
      <c r="AC207" s="3">
        <f>100/$X207*$H207*VLOOKUP($G207&amp;"Total",$D:$AK,26,FALSE)/100+100/$X207*$K207*VLOOKUP($J207&amp;"Total",$D:$AK,26,FALSE)/100+100/$X207*$N207*VLOOKUP($M207&amp;"Total",$D:$AK,26,FALSE)/100+100/$X207*$Q207*VLOOKUP($P207&amp;"Total",$D:$AK,26,FALSE)/100+
(IF($G207=AC$66,$H207,0)+IF($J207=AC$66,$K207,0)+IF($M207=AC$66,$N207,0)+IF($P207=AC$66,$Q207,0))*100/$X207</f>
        <v>0</v>
      </c>
      <c r="AD207" s="3">
        <f>100/$X207*$H207*VLOOKUP($G207&amp;"Total",$D:$AK,27,FALSE)/100+100/$X207*$K207*VLOOKUP($J207&amp;"Total",$D:$AK,27,FALSE)/100+100/$X207*$N207*VLOOKUP($M207&amp;"Total",$D:$AK,27,FALSE)/100+100/$X207*$Q207*VLOOKUP($P207&amp;"Total",$D:$AK,27,FALSE)/100+
(IF($G207=AD$66,$H207,0)+IF($J207=AD$66,$K207,0)+IF($M207=AD$66,$N207,0)+IF($P207=AD$66,$Q207,0))*100/$X207</f>
        <v>0</v>
      </c>
      <c r="AE207" s="3">
        <f>100/$X207*$H207*VLOOKUP($G207&amp;"Total",$D:$AK,28,FALSE)/100+100/$X207*$K207*VLOOKUP($J207&amp;"Total",$D:$AK,28,FALSE)/100+100/$X207*$N207*VLOOKUP($M207&amp;"Total",$D:$AK,28,FALSE)/100+100/$X207*$Q207*VLOOKUP($P207&amp;"Total",$D:$AK,28,FALSE)/100+
(IF($G207=AE$66,$H207,0)+IF($J207=AE$66,$K207,0)+IF($M207=AE$66,$N207,0)+IF($P207=AE$66,$Q207,0))*100/$X207</f>
        <v>0</v>
      </c>
      <c r="AF207" s="3">
        <f>100/$X207*$H207*VLOOKUP($G207&amp;"Total",$D:$AK,29,FALSE)/100+100/$X207*$K207*VLOOKUP($J207&amp;"Total",$D:$AK,29,FALSE)/100+100/$X207*$N207*VLOOKUP($M207&amp;"Total",$D:$AK,29,FALSE)/100+100/$X207*$Q207*VLOOKUP($P207&amp;"Total",$D:$AK,29,FALSE)/100+
(IF($G207=AF$66,$H207,0)+IF($J207=AF$66,$K207,0)+IF($M207=AF$66,$N207,0)+IF($P207=AF$66,$Q207,0))*100/$X207</f>
        <v>0</v>
      </c>
      <c r="AG207" s="3">
        <f>100/$X207*$H207*VLOOKUP($G207&amp;"Total",$D:$AK,30,FALSE)/100+100/$X207*$K207*VLOOKUP($J207&amp;"Total",$D:$AK,30,FALSE)/100+100/$X207*$N207*VLOOKUP($M207&amp;"Total",$D:$AK,30,FALSE)/100+100/$X207*$Q207*VLOOKUP($P207&amp;"Total",$D:$AK,30,FALSE)/100+
(IF($G207=AG$66,$H207,0)+IF($J207=AG$66,$K207,0)+IF($M207=AG$66,$N207,0)+IF($P207=AG$66,$Q207,0))*100/$X207</f>
        <v>0</v>
      </c>
      <c r="AH207" s="3">
        <f>100/$X207*$H207*VLOOKUP($G207&amp;"Total",$D:$AK,31,FALSE)/100+100/$X207*$K207*VLOOKUP($J207&amp;"Total",$D:$AK,31,FALSE)/100+100/$X207*$N207*VLOOKUP($M207&amp;"Total",$D:$AK,31,FALSE)/100+100/$X207*$Q207*VLOOKUP($P207&amp;"Total",$D:$AK,31,FALSE)/100+
(IF($G207=AH$66,$H207,0)+IF($J207=AH$66,$K207,0)+IF($M207=AH$66,$N207,0)+IF($P207=AH$66,$Q207,0))*100/$X207</f>
        <v>0</v>
      </c>
      <c r="AI207" s="3">
        <f>100/$X207*$H207*VLOOKUP($G207&amp;"Total",$D:$AK,32,FALSE)/100+100/$X207*$K207*VLOOKUP($J207&amp;"Total",$D:$AK,32,FALSE)/100+100/$X207*$N207*VLOOKUP($M207&amp;"Total",$D:$AK,32,FALSE)/100+100/$X207*$Q207*VLOOKUP($P207&amp;"Total",$D:$AK,32,FALSE)/100+
(IF($G207=AI$66,$H207,0)+IF($J207=AI$66,$K207,0)+IF($M207=AI$66,$N207,0)+IF($P207=AI$66,$Q207,0))*100/$X207</f>
        <v>0</v>
      </c>
      <c r="AJ207" s="3">
        <f>100/$X207*$H207*VLOOKUP($G207&amp;"Total",$D:$AK,33,FALSE)/100+100/$X207*$K207*VLOOKUP($J207&amp;"Total",$D:$AK,33,FALSE)/100+100/$X207*$N207*VLOOKUP($M207&amp;"Total",$D:$AK,33,FALSE)/100+100/$X207*$Q207*VLOOKUP($P207&amp;"Total",$D:$AK,33,FALSE)/100+
(IF($G207=AJ$66,$H207,0)+IF($J207=AJ$66,$K207,0)+IF($M207=AJ$66,$N207,0)+IF($P207=AJ$66,$Q207,0))*100/$X207</f>
        <v>0</v>
      </c>
      <c r="AK207" s="3">
        <f>100/$X207*$H207*VLOOKUP($G207&amp;"Total",$D:$AK,34,FALSE)/100+100/$X207*$K207*VLOOKUP($J207&amp;"Total",$D:$AK,34,FALSE)/100+100/$X207*$N207*VLOOKUP($M207&amp;"Total",$D:$AK,34,FALSE)/100+100/$X207*$Q207*VLOOKUP($P207&amp;"Total",$D:$AK,34,FALSE)/100+
(IF($G207=AK$66,$H207,0)+IF($J207=AK$66,$K207,0)+IF($M207=AK$66,$N207,0)+IF($P207=AK$66,$Q207,0))*100/$X207</f>
        <v>150</v>
      </c>
    </row>
    <row r="208" spans="1:37" x14ac:dyDescent="0.25">
      <c r="A208" t="s">
        <v>157</v>
      </c>
      <c r="B208" t="s">
        <v>165</v>
      </c>
      <c r="C208" s="1"/>
      <c r="D208" t="str">
        <f t="shared" si="112"/>
        <v>Fuel</v>
      </c>
      <c r="E208" s="26">
        <f>100/X208*(T208+W208)</f>
        <v>235.92903846153848</v>
      </c>
      <c r="G208" t="s">
        <v>99</v>
      </c>
      <c r="H208" s="23">
        <v>60</v>
      </c>
      <c r="I208" s="3">
        <f>VLOOKUP(G208&amp;"Total",$D:$AB,2,FALSE)/100*H208</f>
        <v>64.371615384615396</v>
      </c>
      <c r="J208" s="22" t="s">
        <v>27</v>
      </c>
      <c r="K208" s="23">
        <v>0</v>
      </c>
      <c r="L208" s="3">
        <f>VLOOKUP(J208&amp;"Total",$D:$AB,2,FALSE)/100*K208</f>
        <v>0</v>
      </c>
      <c r="M208" s="22" t="s">
        <v>27</v>
      </c>
      <c r="N208" s="23">
        <v>0</v>
      </c>
      <c r="O208" s="3">
        <f>VLOOKUP(M208&amp;"Total",$D:$AB,2,FALSE)/100*N208</f>
        <v>0</v>
      </c>
      <c r="P208" s="22" t="s">
        <v>27</v>
      </c>
      <c r="Q208" s="23">
        <v>0</v>
      </c>
      <c r="R208" s="3">
        <f>VLOOKUP(P208&amp;"Total",$D:$AB,2,FALSE)/100*Q208</f>
        <v>0</v>
      </c>
      <c r="T208" s="3">
        <f t="shared" si="114"/>
        <v>64.371615384615396</v>
      </c>
      <c r="V208" s="22" t="s">
        <v>60</v>
      </c>
      <c r="W208" s="22">
        <v>30</v>
      </c>
      <c r="X208" s="23">
        <v>40</v>
      </c>
      <c r="Y208" s="10"/>
      <c r="AA208" s="3">
        <f>100/$X208*$H208*VLOOKUP($G208&amp;"Total",$D:$AK,24,FALSE)/100+100/$X208*$K208*VLOOKUP($J208&amp;"Total",$D:$AK,24,FALSE)/100+100/$X208*$N208*VLOOKUP($M208&amp;"Total",$D:$AK,24,FALSE)/100+100/$X208*$Q208*VLOOKUP($P208&amp;"Total",$D:$AK,24,FALSE)/100+
(IF($G208=AA$66,$H208,0)+IF($J208=AA$66,$K208,0)+IF($M208=AA$66,$N208,0)+IF($P208=AA$66,$Q208,0))*100/$X208</f>
        <v>0</v>
      </c>
      <c r="AB208" s="3">
        <f>100/$X208*$H208*VLOOKUP($G208&amp;"Total",$D:$AK,25,FALSE)/100+100/$X208*$K208*VLOOKUP($J208&amp;"Total",$D:$AK,25,FALSE)/100+100/$X208*$N208*VLOOKUP($M208&amp;"Total",$D:$AK,25,FALSE)/100+100/$X208*$Q208*VLOOKUP($P208&amp;"Total",$D:$AK,25,FALSE)/100+
(IF($G208=AB$66,$H208,0)+IF($J208=AB$66,$K208,0)+IF($M208=AB$66,$N208,0)+IF($P208=AB$66,$Q208,0))*100/$X208</f>
        <v>0</v>
      </c>
      <c r="AC208" s="3">
        <f>100/$X208*$H208*VLOOKUP($G208&amp;"Total",$D:$AK,26,FALSE)/100+100/$X208*$K208*VLOOKUP($J208&amp;"Total",$D:$AK,26,FALSE)/100+100/$X208*$N208*VLOOKUP($M208&amp;"Total",$D:$AK,26,FALSE)/100+100/$X208*$Q208*VLOOKUP($P208&amp;"Total",$D:$AK,26,FALSE)/100+
(IF($G208=AC$66,$H208,0)+IF($J208=AC$66,$K208,0)+IF($M208=AC$66,$N208,0)+IF($P208=AC$66,$Q208,0))*100/$X208</f>
        <v>0</v>
      </c>
      <c r="AD208" s="3">
        <f>100/$X208*$H208*VLOOKUP($G208&amp;"Total",$D:$AK,27,FALSE)/100+100/$X208*$K208*VLOOKUP($J208&amp;"Total",$D:$AK,27,FALSE)/100+100/$X208*$N208*VLOOKUP($M208&amp;"Total",$D:$AK,27,FALSE)/100+100/$X208*$Q208*VLOOKUP($P208&amp;"Total",$D:$AK,27,FALSE)/100+
(IF($G208=AD$66,$H208,0)+IF($J208=AD$66,$K208,0)+IF($M208=AD$66,$N208,0)+IF($P208=AD$66,$Q208,0))*100/$X208</f>
        <v>0</v>
      </c>
      <c r="AE208" s="3">
        <f>100/$X208*$H208*VLOOKUP($G208&amp;"Total",$D:$AK,28,FALSE)/100+100/$X208*$K208*VLOOKUP($J208&amp;"Total",$D:$AK,28,FALSE)/100+100/$X208*$N208*VLOOKUP($M208&amp;"Total",$D:$AK,28,FALSE)/100+100/$X208*$Q208*VLOOKUP($P208&amp;"Total",$D:$AK,28,FALSE)/100+
(IF($G208=AE$66,$H208,0)+IF($J208=AE$66,$K208,0)+IF($M208=AE$66,$N208,0)+IF($P208=AE$66,$Q208,0))*100/$X208</f>
        <v>0</v>
      </c>
      <c r="AF208" s="3">
        <f>100/$X208*$H208*VLOOKUP($G208&amp;"Total",$D:$AK,29,FALSE)/100+100/$X208*$K208*VLOOKUP($J208&amp;"Total",$D:$AK,29,FALSE)/100+100/$X208*$N208*VLOOKUP($M208&amp;"Total",$D:$AK,29,FALSE)/100+100/$X208*$Q208*VLOOKUP($P208&amp;"Total",$D:$AK,29,FALSE)/100+
(IF($G208=AF$66,$H208,0)+IF($J208=AF$66,$K208,0)+IF($M208=AF$66,$N208,0)+IF($P208=AF$66,$Q208,0))*100/$X208</f>
        <v>0</v>
      </c>
      <c r="AG208" s="3">
        <f>100/$X208*$H208*VLOOKUP($G208&amp;"Total",$D:$AK,30,FALSE)/100+100/$X208*$K208*VLOOKUP($J208&amp;"Total",$D:$AK,30,FALSE)/100+100/$X208*$N208*VLOOKUP($M208&amp;"Total",$D:$AK,30,FALSE)/100+100/$X208*$Q208*VLOOKUP($P208&amp;"Total",$D:$AK,30,FALSE)/100+
(IF($G208=AG$66,$H208,0)+IF($J208=AG$66,$K208,0)+IF($M208=AG$66,$N208,0)+IF($P208=AG$66,$Q208,0))*100/$X208</f>
        <v>0</v>
      </c>
      <c r="AH208" s="3">
        <f>100/$X208*$H208*VLOOKUP($G208&amp;"Total",$D:$AK,31,FALSE)/100+100/$X208*$K208*VLOOKUP($J208&amp;"Total",$D:$AK,31,FALSE)/100+100/$X208*$N208*VLOOKUP($M208&amp;"Total",$D:$AK,31,FALSE)/100+100/$X208*$Q208*VLOOKUP($P208&amp;"Total",$D:$AK,31,FALSE)/100+
(IF($G208=AH$66,$H208,0)+IF($J208=AH$66,$K208,0)+IF($M208=AH$66,$N208,0)+IF($P208=AH$66,$Q208,0))*100/$X208</f>
        <v>0</v>
      </c>
      <c r="AI208" s="3">
        <f>100/$X208*$H208*VLOOKUP($G208&amp;"Total",$D:$AK,32,FALSE)/100+100/$X208*$K208*VLOOKUP($J208&amp;"Total",$D:$AK,32,FALSE)/100+100/$X208*$N208*VLOOKUP($M208&amp;"Total",$D:$AK,32,FALSE)/100+100/$X208*$Q208*VLOOKUP($P208&amp;"Total",$D:$AK,32,FALSE)/100+
(IF($G208=AI$66,$H208,0)+IF($J208=AI$66,$K208,0)+IF($M208=AI$66,$N208,0)+IF($P208=AI$66,$Q208,0))*100/$X208</f>
        <v>0</v>
      </c>
      <c r="AJ208" s="3">
        <f>100/$X208*$H208*VLOOKUP($G208&amp;"Total",$D:$AK,33,FALSE)/100+100/$X208*$K208*VLOOKUP($J208&amp;"Total",$D:$AK,33,FALSE)/100+100/$X208*$N208*VLOOKUP($M208&amp;"Total",$D:$AK,33,FALSE)/100+100/$X208*$Q208*VLOOKUP($P208&amp;"Total",$D:$AK,33,FALSE)/100+
(IF($G208=AJ$66,$H208,0)+IF($J208=AJ$66,$K208,0)+IF($M208=AJ$66,$N208,0)+IF($P208=AJ$66,$Q208,0))*100/$X208</f>
        <v>0</v>
      </c>
      <c r="AK208" s="3">
        <f>100/$X208*$H208*VLOOKUP($G208&amp;"Total",$D:$AK,34,FALSE)/100+100/$X208*$K208*VLOOKUP($J208&amp;"Total",$D:$AK,34,FALSE)/100+100/$X208*$N208*VLOOKUP($M208&amp;"Total",$D:$AK,34,FALSE)/100+100/$X208*$Q208*VLOOKUP($P208&amp;"Total",$D:$AK,34,FALSE)/100+
(IF($G208=AK$66,$H208,0)+IF($J208=AK$66,$K208,0)+IF($M208=AK$66,$N208,0)+IF($P208=AK$66,$Q208,0))*100/$X208</f>
        <v>112.5</v>
      </c>
    </row>
    <row r="209" spans="1:37" x14ac:dyDescent="0.25">
      <c r="A209" t="s">
        <v>157</v>
      </c>
      <c r="B209" t="s">
        <v>166</v>
      </c>
      <c r="C209" s="1"/>
      <c r="D209" t="str">
        <f t="shared" si="112"/>
        <v>Fuel</v>
      </c>
      <c r="E209" s="26">
        <f>100/X209*(T209+W209)</f>
        <v>145.30967948717949</v>
      </c>
      <c r="G209" t="s">
        <v>99</v>
      </c>
      <c r="H209" s="23">
        <v>50</v>
      </c>
      <c r="I209" s="3">
        <f>VLOOKUP(G209&amp;"Total",$D:$AB,2,FALSE)/100*H209</f>
        <v>53.643012820512823</v>
      </c>
      <c r="J209" t="s">
        <v>59</v>
      </c>
      <c r="K209" s="23">
        <v>100</v>
      </c>
      <c r="L209" s="3">
        <f>VLOOKUP(J209&amp;"Total",$D:$AB,2,FALSE)/100*K209</f>
        <v>16.666666666666668</v>
      </c>
      <c r="M209" s="22" t="s">
        <v>27</v>
      </c>
      <c r="N209" s="23">
        <v>0</v>
      </c>
      <c r="O209" s="3">
        <f>VLOOKUP(M209&amp;"Total",$D:$AB,2,FALSE)/100*N209</f>
        <v>0</v>
      </c>
      <c r="P209" s="22" t="s">
        <v>27</v>
      </c>
      <c r="Q209" s="23">
        <v>0</v>
      </c>
      <c r="R209" s="3">
        <f>VLOOKUP(P209&amp;"Total",$D:$AB,2,FALSE)/100*Q209</f>
        <v>0</v>
      </c>
      <c r="T209" s="3">
        <f t="shared" si="114"/>
        <v>70.309679487179494</v>
      </c>
      <c r="V209" s="22" t="s">
        <v>167</v>
      </c>
      <c r="W209" s="22">
        <v>75</v>
      </c>
      <c r="X209" s="23">
        <v>100</v>
      </c>
      <c r="Y209" s="10"/>
      <c r="AA209" s="3">
        <f>100/$X209*$H209*VLOOKUP($G209&amp;"Total",$D:$AK,24,FALSE)/100+100/$X209*$K209*VLOOKUP($J209&amp;"Total",$D:$AK,24,FALSE)/100+100/$X209*$N209*VLOOKUP($M209&amp;"Total",$D:$AK,24,FALSE)/100+100/$X209*$Q209*VLOOKUP($P209&amp;"Total",$D:$AK,24,FALSE)/100+
(IF($G209=AA$66,$H209,0)+IF($J209=AA$66,$K209,0)+IF($M209=AA$66,$N209,0)+IF($P209=AA$66,$Q209,0))*100/$X209</f>
        <v>0</v>
      </c>
      <c r="AB209" s="3">
        <f>100/$X209*$H209*VLOOKUP($G209&amp;"Total",$D:$AK,25,FALSE)/100+100/$X209*$K209*VLOOKUP($J209&amp;"Total",$D:$AK,25,FALSE)/100+100/$X209*$N209*VLOOKUP($M209&amp;"Total",$D:$AK,25,FALSE)/100+100/$X209*$Q209*VLOOKUP($P209&amp;"Total",$D:$AK,25,FALSE)/100+
(IF($G209=AB$66,$H209,0)+IF($J209=AB$66,$K209,0)+IF($M209=AB$66,$N209,0)+IF($P209=AB$66,$Q209,0))*100/$X209</f>
        <v>0</v>
      </c>
      <c r="AC209" s="3">
        <f>100/$X209*$H209*VLOOKUP($G209&amp;"Total",$D:$AK,26,FALSE)/100+100/$X209*$K209*VLOOKUP($J209&amp;"Total",$D:$AK,26,FALSE)/100+100/$X209*$N209*VLOOKUP($M209&amp;"Total",$D:$AK,26,FALSE)/100+100/$X209*$Q209*VLOOKUP($P209&amp;"Total",$D:$AK,26,FALSE)/100+
(IF($G209=AC$66,$H209,0)+IF($J209=AC$66,$K209,0)+IF($M209=AC$66,$N209,0)+IF($P209=AC$66,$Q209,0))*100/$X209</f>
        <v>0</v>
      </c>
      <c r="AD209" s="3">
        <f>100/$X209*$H209*VLOOKUP($G209&amp;"Total",$D:$AK,27,FALSE)/100+100/$X209*$K209*VLOOKUP($J209&amp;"Total",$D:$AK,27,FALSE)/100+100/$X209*$N209*VLOOKUP($M209&amp;"Total",$D:$AK,27,FALSE)/100+100/$X209*$Q209*VLOOKUP($P209&amp;"Total",$D:$AK,27,FALSE)/100+
(IF($G209=AD$66,$H209,0)+IF($J209=AD$66,$K209,0)+IF($M209=AD$66,$N209,0)+IF($P209=AD$66,$Q209,0))*100/$X209</f>
        <v>0</v>
      </c>
      <c r="AE209" s="3">
        <f>100/$X209*$H209*VLOOKUP($G209&amp;"Total",$D:$AK,28,FALSE)/100+100/$X209*$K209*VLOOKUP($J209&amp;"Total",$D:$AK,28,FALSE)/100+100/$X209*$N209*VLOOKUP($M209&amp;"Total",$D:$AK,28,FALSE)/100+100/$X209*$Q209*VLOOKUP($P209&amp;"Total",$D:$AK,28,FALSE)/100+
(IF($G209=AE$66,$H209,0)+IF($J209=AE$66,$K209,0)+IF($M209=AE$66,$N209,0)+IF($P209=AE$66,$Q209,0))*100/$X209</f>
        <v>0</v>
      </c>
      <c r="AF209" s="3">
        <f>100/$X209*$H209*VLOOKUP($G209&amp;"Total",$D:$AK,29,FALSE)/100+100/$X209*$K209*VLOOKUP($J209&amp;"Total",$D:$AK,29,FALSE)/100+100/$X209*$N209*VLOOKUP($M209&amp;"Total",$D:$AK,29,FALSE)/100+100/$X209*$Q209*VLOOKUP($P209&amp;"Total",$D:$AK,29,FALSE)/100+
(IF($G209=AF$66,$H209,0)+IF($J209=AF$66,$K209,0)+IF($M209=AF$66,$N209,0)+IF($P209=AF$66,$Q209,0))*100/$X209</f>
        <v>0</v>
      </c>
      <c r="AG209" s="3">
        <f>100/$X209*$H209*VLOOKUP($G209&amp;"Total",$D:$AK,30,FALSE)/100+100/$X209*$K209*VLOOKUP($J209&amp;"Total",$D:$AK,30,FALSE)/100+100/$X209*$N209*VLOOKUP($M209&amp;"Total",$D:$AK,30,FALSE)/100+100/$X209*$Q209*VLOOKUP($P209&amp;"Total",$D:$AK,30,FALSE)/100+
(IF($G209=AG$66,$H209,0)+IF($J209=AG$66,$K209,0)+IF($M209=AG$66,$N209,0)+IF($P209=AG$66,$Q209,0))*100/$X209</f>
        <v>0</v>
      </c>
      <c r="AH209" s="3">
        <f>100/$X209*$H209*VLOOKUP($G209&amp;"Total",$D:$AK,31,FALSE)/100+100/$X209*$K209*VLOOKUP($J209&amp;"Total",$D:$AK,31,FALSE)/100+100/$X209*$N209*VLOOKUP($M209&amp;"Total",$D:$AK,31,FALSE)/100+100/$X209*$Q209*VLOOKUP($P209&amp;"Total",$D:$AK,31,FALSE)/100+
(IF($G209=AH$66,$H209,0)+IF($J209=AH$66,$K209,0)+IF($M209=AH$66,$N209,0)+IF($P209=AH$66,$Q209,0))*100/$X209</f>
        <v>0</v>
      </c>
      <c r="AI209" s="3">
        <f>100/$X209*$H209*VLOOKUP($G209&amp;"Total",$D:$AK,32,FALSE)/100+100/$X209*$K209*VLOOKUP($J209&amp;"Total",$D:$AK,32,FALSE)/100+100/$X209*$N209*VLOOKUP($M209&amp;"Total",$D:$AK,32,FALSE)/100+100/$X209*$Q209*VLOOKUP($P209&amp;"Total",$D:$AK,32,FALSE)/100+
(IF($G209=AI$66,$H209,0)+IF($J209=AI$66,$K209,0)+IF($M209=AI$66,$N209,0)+IF($P209=AI$66,$Q209,0))*100/$X209</f>
        <v>0</v>
      </c>
      <c r="AJ209" s="3">
        <f>100/$X209*$H209*VLOOKUP($G209&amp;"Total",$D:$AK,33,FALSE)/100+100/$X209*$K209*VLOOKUP($J209&amp;"Total",$D:$AK,33,FALSE)/100+100/$X209*$N209*VLOOKUP($M209&amp;"Total",$D:$AK,33,FALSE)/100+100/$X209*$Q209*VLOOKUP($P209&amp;"Total",$D:$AK,33,FALSE)/100+
(IF($G209=AJ$66,$H209,0)+IF($J209=AJ$66,$K209,0)+IF($M209=AJ$66,$N209,0)+IF($P209=AJ$66,$Q209,0))*100/$X209</f>
        <v>100</v>
      </c>
      <c r="AK209" s="3">
        <f>100/$X209*$H209*VLOOKUP($G209&amp;"Total",$D:$AK,34,FALSE)/100+100/$X209*$K209*VLOOKUP($J209&amp;"Total",$D:$AK,34,FALSE)/100+100/$X209*$N209*VLOOKUP($M209&amp;"Total",$D:$AK,34,FALSE)/100+100/$X209*$Q209*VLOOKUP($P209&amp;"Total",$D:$AK,34,FALSE)/100+
(IF($G209=AK$66,$H209,0)+IF($J209=AK$66,$K209,0)+IF($M209=AK$66,$N209,0)+IF($P209=AK$66,$Q209,0))*100/$X209</f>
        <v>37.5</v>
      </c>
    </row>
    <row r="210" spans="1:37" x14ac:dyDescent="0.25">
      <c r="C210" s="1"/>
      <c r="H210" s="3"/>
      <c r="I210" s="3"/>
      <c r="K210" s="3"/>
      <c r="L210" s="3"/>
      <c r="O210" s="3"/>
      <c r="R210" s="3"/>
      <c r="T210" s="3"/>
      <c r="X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 x14ac:dyDescent="0.25">
      <c r="A211" t="s">
        <v>168</v>
      </c>
      <c r="B211" t="s">
        <v>169</v>
      </c>
      <c r="C211" t="s">
        <v>17</v>
      </c>
      <c r="D211" s="28" t="str">
        <f t="shared" ref="D211:D239" si="115">A211&amp;C211</f>
        <v>TurbofuelTotal</v>
      </c>
      <c r="E211" s="26">
        <f>100/X211*(T211+W211)</f>
        <v>322.21223629351687</v>
      </c>
      <c r="G211" t="s">
        <v>157</v>
      </c>
      <c r="H211" s="23">
        <v>15</v>
      </c>
      <c r="I211" s="3">
        <f>VLOOKUP(G211&amp;"Total",$D:$AB,2,FALSE)/100*H211</f>
        <v>20.935807692307694</v>
      </c>
      <c r="J211" t="s">
        <v>99</v>
      </c>
      <c r="K211" s="23">
        <v>30</v>
      </c>
      <c r="L211" s="3">
        <f>VLOOKUP(J211&amp;"Total",$D:$AB,2,FALSE)/100*K211</f>
        <v>32.185807692307698</v>
      </c>
      <c r="M211" s="22" t="s">
        <v>283</v>
      </c>
      <c r="N211" s="23">
        <v>22.5</v>
      </c>
      <c r="O211" s="3">
        <f>VLOOKUP(M211&amp;"Total",$D:$AB,2,FALSE)/100*N211</f>
        <v>3.2024390243902445</v>
      </c>
      <c r="P211" t="s">
        <v>108</v>
      </c>
      <c r="Q211" s="23">
        <v>22.5</v>
      </c>
      <c r="R211" s="3">
        <f>VLOOKUP(P211&amp;"Total",$D:$AB,2,FALSE)/100*Q211</f>
        <v>13.671451923076924</v>
      </c>
      <c r="T211" s="3">
        <f t="shared" ref="T211" si="116">I211+L211+O211+R211</f>
        <v>69.99550633208257</v>
      </c>
      <c r="V211" s="22" t="s">
        <v>167</v>
      </c>
      <c r="W211" s="22">
        <v>75</v>
      </c>
      <c r="X211" s="23">
        <v>45</v>
      </c>
      <c r="AA211" s="3">
        <f>100/$X211*$H211*VLOOKUP($G211&amp;"Total",$D:$AK,24,FALSE)/100+100/$X211*$K211*VLOOKUP($J211&amp;"Total",$D:$AK,24,FALSE)/100+100/$X211*$N211*VLOOKUP($M211&amp;"Total",$D:$AK,24,FALSE)/100+100/$X211*$Q211*VLOOKUP($P211&amp;"Total",$D:$AK,24,FALSE)/100+
(IF($G211=AA$66,$H211,0)+IF($J211=AA$66,$K211,0)+IF($M211=AA$66,$N211,0)+IF($P211=AA$66,$Q211,0))*100/$X211</f>
        <v>0</v>
      </c>
      <c r="AB211" s="3">
        <f>100/$X211*$H211*VLOOKUP($G211&amp;"Total",$D:$AK,25,FALSE)/100+100/$X211*$K211*VLOOKUP($J211&amp;"Total",$D:$AK,25,FALSE)/100+100/$X211*$N211*VLOOKUP($M211&amp;"Total",$D:$AK,25,FALSE)/100+100/$X211*$Q211*VLOOKUP($P211&amp;"Total",$D:$AK,25,FALSE)/100+
(IF($G211=AB$66,$H211,0)+IF($J211=AB$66,$K211,0)+IF($M211=AB$66,$N211,0)+IF($P211=AB$66,$Q211,0))*100/$X211</f>
        <v>0</v>
      </c>
      <c r="AC211" s="3">
        <f>100/$X211*$H211*VLOOKUP($G211&amp;"Total",$D:$AK,26,FALSE)/100+100/$X211*$K211*VLOOKUP($J211&amp;"Total",$D:$AK,26,FALSE)/100+100/$X211*$N211*VLOOKUP($M211&amp;"Total",$D:$AK,26,FALSE)/100+100/$X211*$Q211*VLOOKUP($P211&amp;"Total",$D:$AK,26,FALSE)/100+
(IF($G211=AC$66,$H211,0)+IF($J211=AC$66,$K211,0)+IF($M211=AC$66,$N211,0)+IF($P211=AC$66,$Q211,0))*100/$X211</f>
        <v>0</v>
      </c>
      <c r="AD211" s="3">
        <f>100/$X211*$H211*VLOOKUP($G211&amp;"Total",$D:$AK,27,FALSE)/100+100/$X211*$K211*VLOOKUP($J211&amp;"Total",$D:$AK,27,FALSE)/100+100/$X211*$N211*VLOOKUP($M211&amp;"Total",$D:$AK,27,FALSE)/100+100/$X211*$Q211*VLOOKUP($P211&amp;"Total",$D:$AK,27,FALSE)/100+
(IF($G211=AD$66,$H211,0)+IF($J211=AD$66,$K211,0)+IF($M211=AD$66,$N211,0)+IF($P211=AD$66,$Q211,0))*100/$X211</f>
        <v>0</v>
      </c>
      <c r="AE211" s="3">
        <f>100/$X211*$H211*VLOOKUP($G211&amp;"Total",$D:$AK,28,FALSE)/100+100/$X211*$K211*VLOOKUP($J211&amp;"Total",$D:$AK,28,FALSE)/100+100/$X211*$N211*VLOOKUP($M211&amp;"Total",$D:$AK,28,FALSE)/100+100/$X211*$Q211*VLOOKUP($P211&amp;"Total",$D:$AK,28,FALSE)/100+
(IF($G211=AE$66,$H211,0)+IF($J211=AE$66,$K211,0)+IF($M211=AE$66,$N211,0)+IF($P211=AE$66,$Q211,0))*100/$X211</f>
        <v>0</v>
      </c>
      <c r="AF211" s="3">
        <f>100/$X211*$H211*VLOOKUP($G211&amp;"Total",$D:$AK,29,FALSE)/100+100/$X211*$K211*VLOOKUP($J211&amp;"Total",$D:$AK,29,FALSE)/100+100/$X211*$N211*VLOOKUP($M211&amp;"Total",$D:$AK,29,FALSE)/100+100/$X211*$Q211*VLOOKUP($P211&amp;"Total",$D:$AK,29,FALSE)/100+
(IF($G211=AF$66,$H211,0)+IF($J211=AF$66,$K211,0)+IF($M211=AF$66,$N211,0)+IF($P211=AF$66,$Q211,0))*100/$X211</f>
        <v>0</v>
      </c>
      <c r="AG211" s="3">
        <f>100/$X211*$H211*VLOOKUP($G211&amp;"Total",$D:$AK,30,FALSE)/100+100/$X211*$K211*VLOOKUP($J211&amp;"Total",$D:$AK,30,FALSE)/100+100/$X211*$N211*VLOOKUP($M211&amp;"Total",$D:$AK,30,FALSE)/100+100/$X211*$Q211*VLOOKUP($P211&amp;"Total",$D:$AK,30,FALSE)/100+
(IF($G211=AG$66,$H211,0)+IF($J211=AG$66,$K211,0)+IF($M211=AG$66,$N211,0)+IF($P211=AG$66,$Q211,0))*100/$X211</f>
        <v>0</v>
      </c>
      <c r="AH211" s="3">
        <f>100/$X211*$H211*VLOOKUP($G211&amp;"Total",$D:$AK,31,FALSE)/100+100/$X211*$K211*VLOOKUP($J211&amp;"Total",$D:$AK,31,FALSE)/100+100/$X211*$N211*VLOOKUP($M211&amp;"Total",$D:$AK,31,FALSE)/100+100/$X211*$Q211*VLOOKUP($P211&amp;"Total",$D:$AK,31,FALSE)/100+
(IF($G211=AH$66,$H211,0)+IF($J211=AH$66,$K211,0)+IF($M211=AH$66,$N211,0)+IF($P211=AH$66,$Q211,0))*100/$X211</f>
        <v>0</v>
      </c>
      <c r="AI211" s="3">
        <f>100/$X211*$H211*VLOOKUP($G211&amp;"Total",$D:$AK,32,FALSE)/100+100/$X211*$K211*VLOOKUP($J211&amp;"Total",$D:$AK,32,FALSE)/100+100/$X211*$N211*VLOOKUP($M211&amp;"Total",$D:$AK,32,FALSE)/100+100/$X211*$Q211*VLOOKUP($P211&amp;"Total",$D:$AK,32,FALSE)/100+
(IF($G211=AI$66,$H211,0)+IF($J211=AI$66,$K211,0)+IF($M211=AI$66,$N211,0)+IF($P211=AI$66,$Q211,0))*100/$X211</f>
        <v>0</v>
      </c>
      <c r="AJ211" s="3">
        <f>100/$X211*$H211*VLOOKUP($G211&amp;"Total",$D:$AK,33,FALSE)/100+100/$X211*$K211*VLOOKUP($J211&amp;"Total",$D:$AK,33,FALSE)/100+100/$X211*$N211*VLOOKUP($M211&amp;"Total",$D:$AK,33,FALSE)/100+100/$X211*$Q211*VLOOKUP($P211&amp;"Total",$D:$AK,33,FALSE)/100+
(IF($G211=AJ$66,$H211,0)+IF($J211=AJ$66,$K211,0)+IF($M211=AJ$66,$N211,0)+IF($P211=AJ$66,$Q211,0))*100/$X211</f>
        <v>0</v>
      </c>
      <c r="AK211" s="3">
        <f>100/$X211*$H211*VLOOKUP($G211&amp;"Total",$D:$AK,34,FALSE)/100+100/$X211*$K211*VLOOKUP($J211&amp;"Total",$D:$AK,34,FALSE)/100+100/$X211*$N211*VLOOKUP($M211&amp;"Total",$D:$AK,34,FALSE)/100+100/$X211*$Q211*VLOOKUP($P211&amp;"Total",$D:$AK,34,FALSE)/100+
(IF($G211=AK$66,$H211,0)+IF($J211=AK$66,$K211,0)+IF($M211=AK$66,$N211,0)+IF($P211=AK$66,$Q211,0))*100/$X211</f>
        <v>112.5</v>
      </c>
    </row>
    <row r="212" spans="1:37" x14ac:dyDescent="0.25">
      <c r="A212" t="s">
        <v>168</v>
      </c>
      <c r="B212" t="s">
        <v>170</v>
      </c>
      <c r="D212" t="str">
        <f t="shared" si="115"/>
        <v>Turbofuel</v>
      </c>
      <c r="E212" s="26">
        <f>100/X212*(T212+W212)</f>
        <v>675.68951037106524</v>
      </c>
      <c r="G212" t="s">
        <v>99</v>
      </c>
      <c r="H212" s="23">
        <v>37.5</v>
      </c>
      <c r="I212" s="3">
        <f>VLOOKUP(G212&amp;"Total",$D:$AB,2,FALSE)/100*H212</f>
        <v>40.232259615384621</v>
      </c>
      <c r="J212" t="s">
        <v>124</v>
      </c>
      <c r="K212" s="23">
        <v>30</v>
      </c>
      <c r="L212" s="3">
        <f>VLOOKUP(J212&amp;"Total",$D:$AB,2,FALSE)/100*K212</f>
        <v>132.47459349593495</v>
      </c>
      <c r="M212" s="22" t="s">
        <v>27</v>
      </c>
      <c r="N212" s="23">
        <v>0</v>
      </c>
      <c r="O212" s="3">
        <f>VLOOKUP(M212&amp;"Total",$D:$AB,2,FALSE)/100*N212</f>
        <v>0</v>
      </c>
      <c r="P212" s="22" t="s">
        <v>27</v>
      </c>
      <c r="Q212" s="23">
        <v>0</v>
      </c>
      <c r="R212" s="3">
        <f>VLOOKUP(P212&amp;"Total",$D:$AB,2,FALSE)/100*Q212</f>
        <v>0</v>
      </c>
      <c r="T212" s="3">
        <f t="shared" ref="T212:T239" si="117">I212+L212+O212+R212</f>
        <v>172.70685311131956</v>
      </c>
      <c r="V212" s="22" t="s">
        <v>60</v>
      </c>
      <c r="W212" s="22">
        <v>30</v>
      </c>
      <c r="X212" s="23">
        <v>30</v>
      </c>
      <c r="AA212" s="3">
        <f>100/$X212*$H212*VLOOKUP($G212&amp;"Total",$D:$AK,24,FALSE)/100+100/$X212*$K212*VLOOKUP($J212&amp;"Total",$D:$AK,24,FALSE)/100+100/$X212*$N212*VLOOKUP($M212&amp;"Total",$D:$AK,24,FALSE)/100+100/$X212*$Q212*VLOOKUP($P212&amp;"Total",$D:$AK,24,FALSE)/100+
(IF($G212=AA$66,$H212,0)+IF($J212=AA$66,$K212,0)+IF($M212=AA$66,$N212,0)+IF($P212=AA$66,$Q212,0))*100/$X212</f>
        <v>0</v>
      </c>
      <c r="AB212" s="3">
        <f>100/$X212*$H212*VLOOKUP($G212&amp;"Total",$D:$AK,25,FALSE)/100+100/$X212*$K212*VLOOKUP($J212&amp;"Total",$D:$AK,25,FALSE)/100+100/$X212*$N212*VLOOKUP($M212&amp;"Total",$D:$AK,25,FALSE)/100+100/$X212*$Q212*VLOOKUP($P212&amp;"Total",$D:$AK,25,FALSE)/100+
(IF($G212=AB$66,$H212,0)+IF($J212=AB$66,$K212,0)+IF($M212=AB$66,$N212,0)+IF($P212=AB$66,$Q212,0))*100/$X212</f>
        <v>0</v>
      </c>
      <c r="AC212" s="3">
        <f>100/$X212*$H212*VLOOKUP($G212&amp;"Total",$D:$AK,26,FALSE)/100+100/$X212*$K212*VLOOKUP($J212&amp;"Total",$D:$AK,26,FALSE)/100+100/$X212*$N212*VLOOKUP($M212&amp;"Total",$D:$AK,26,FALSE)/100+100/$X212*$Q212*VLOOKUP($P212&amp;"Total",$D:$AK,26,FALSE)/100+
(IF($G212=AC$66,$H212,0)+IF($J212=AC$66,$K212,0)+IF($M212=AC$66,$N212,0)+IF($P212=AC$66,$Q212,0))*100/$X212</f>
        <v>0</v>
      </c>
      <c r="AD212" s="3">
        <f>100/$X212*$H212*VLOOKUP($G212&amp;"Total",$D:$AK,27,FALSE)/100+100/$X212*$K212*VLOOKUP($J212&amp;"Total",$D:$AK,27,FALSE)/100+100/$X212*$N212*VLOOKUP($M212&amp;"Total",$D:$AK,27,FALSE)/100+100/$X212*$Q212*VLOOKUP($P212&amp;"Total",$D:$AK,27,FALSE)/100+
(IF($G212=AD$66,$H212,0)+IF($J212=AD$66,$K212,0)+IF($M212=AD$66,$N212,0)+IF($P212=AD$66,$Q212,0))*100/$X212</f>
        <v>500</v>
      </c>
      <c r="AE212" s="3">
        <f>100/$X212*$H212*VLOOKUP($G212&amp;"Total",$D:$AK,28,FALSE)/100+100/$X212*$K212*VLOOKUP($J212&amp;"Total",$D:$AK,28,FALSE)/100+100/$X212*$N212*VLOOKUP($M212&amp;"Total",$D:$AK,28,FALSE)/100+100/$X212*$Q212*VLOOKUP($P212&amp;"Total",$D:$AK,28,FALSE)/100+
(IF($G212=AE$66,$H212,0)+IF($J212=AE$66,$K212,0)+IF($M212=AE$66,$N212,0)+IF($P212=AE$66,$Q212,0))*100/$X212</f>
        <v>0</v>
      </c>
      <c r="AF212" s="3">
        <f>100/$X212*$H212*VLOOKUP($G212&amp;"Total",$D:$AK,29,FALSE)/100+100/$X212*$K212*VLOOKUP($J212&amp;"Total",$D:$AK,29,FALSE)/100+100/$X212*$N212*VLOOKUP($M212&amp;"Total",$D:$AK,29,FALSE)/100+100/$X212*$Q212*VLOOKUP($P212&amp;"Total",$D:$AK,29,FALSE)/100+
(IF($G212=AF$66,$H212,0)+IF($J212=AF$66,$K212,0)+IF($M212=AF$66,$N212,0)+IF($P212=AF$66,$Q212,0))*100/$X212</f>
        <v>0</v>
      </c>
      <c r="AG212" s="3">
        <f>100/$X212*$H212*VLOOKUP($G212&amp;"Total",$D:$AK,30,FALSE)/100+100/$X212*$K212*VLOOKUP($J212&amp;"Total",$D:$AK,30,FALSE)/100+100/$X212*$N212*VLOOKUP($M212&amp;"Total",$D:$AK,30,FALSE)/100+100/$X212*$Q212*VLOOKUP($P212&amp;"Total",$D:$AK,30,FALSE)/100+
(IF($G212=AG$66,$H212,0)+IF($J212=AG$66,$K212,0)+IF($M212=AG$66,$N212,0)+IF($P212=AG$66,$Q212,0))*100/$X212</f>
        <v>0</v>
      </c>
      <c r="AH212" s="3">
        <f>100/$X212*$H212*VLOOKUP($G212&amp;"Total",$D:$AK,31,FALSE)/100+100/$X212*$K212*VLOOKUP($J212&amp;"Total",$D:$AK,31,FALSE)/100+100/$X212*$N212*VLOOKUP($M212&amp;"Total",$D:$AK,31,FALSE)/100+100/$X212*$Q212*VLOOKUP($P212&amp;"Total",$D:$AK,31,FALSE)/100+
(IF($G212=AH$66,$H212,0)+IF($J212=AH$66,$K212,0)+IF($M212=AH$66,$N212,0)+IF($P212=AH$66,$Q212,0))*100/$X212</f>
        <v>0</v>
      </c>
      <c r="AI212" s="3">
        <f>100/$X212*$H212*VLOOKUP($G212&amp;"Total",$D:$AK,32,FALSE)/100+100/$X212*$K212*VLOOKUP($J212&amp;"Total",$D:$AK,32,FALSE)/100+100/$X212*$N212*VLOOKUP($M212&amp;"Total",$D:$AK,32,FALSE)/100+100/$X212*$Q212*VLOOKUP($P212&amp;"Total",$D:$AK,32,FALSE)/100+
(IF($G212=AI$66,$H212,0)+IF($J212=AI$66,$K212,0)+IF($M212=AI$66,$N212,0)+IF($P212=AI$66,$Q212,0))*100/$X212</f>
        <v>0</v>
      </c>
      <c r="AJ212" s="3">
        <f>100/$X212*$H212*VLOOKUP($G212&amp;"Total",$D:$AK,33,FALSE)/100+100/$X212*$K212*VLOOKUP($J212&amp;"Total",$D:$AK,33,FALSE)/100+100/$X212*$N212*VLOOKUP($M212&amp;"Total",$D:$AK,33,FALSE)/100+100/$X212*$Q212*VLOOKUP($P212&amp;"Total",$D:$AK,33,FALSE)/100+
(IF($G212=AJ$66,$H212,0)+IF($J212=AJ$66,$K212,0)+IF($M212=AJ$66,$N212,0)+IF($P212=AJ$66,$Q212,0))*100/$X212</f>
        <v>0</v>
      </c>
      <c r="AK212" s="3">
        <f>100/$X212*$H212*VLOOKUP($G212&amp;"Total",$D:$AK,34,FALSE)/100+100/$X212*$K212*VLOOKUP($J212&amp;"Total",$D:$AK,34,FALSE)/100+100/$X212*$N212*VLOOKUP($M212&amp;"Total",$D:$AK,34,FALSE)/100+100/$X212*$Q212*VLOOKUP($P212&amp;"Total",$D:$AK,34,FALSE)/100+
(IF($G212=AK$66,$H212,0)+IF($J212=AK$66,$K212,0)+IF($M212=AK$66,$N212,0)+IF($P212=AK$66,$Q212,0))*100/$X212</f>
        <v>93.75</v>
      </c>
    </row>
    <row r="213" spans="1:37" x14ac:dyDescent="0.25">
      <c r="A213" t="s">
        <v>168</v>
      </c>
      <c r="B213" t="s">
        <v>168</v>
      </c>
      <c r="C213" s="1"/>
      <c r="D213" t="str">
        <f t="shared" si="115"/>
        <v>Turbofuel</v>
      </c>
      <c r="E213" s="26">
        <f>100/X213*(T213+W213)</f>
        <v>680.75204419428803</v>
      </c>
      <c r="G213" t="s">
        <v>157</v>
      </c>
      <c r="H213" s="23">
        <v>22.5</v>
      </c>
      <c r="I213" s="3">
        <f>VLOOKUP(G213&amp;"Total",$D:$AB,2,FALSE)/100*H213</f>
        <v>31.403711538461543</v>
      </c>
      <c r="J213" t="s">
        <v>124</v>
      </c>
      <c r="K213" s="23">
        <v>15</v>
      </c>
      <c r="L213" s="3">
        <f>VLOOKUP(J213&amp;"Total",$D:$AB,2,FALSE)/100*K213</f>
        <v>66.237296747967477</v>
      </c>
      <c r="M213" s="22" t="s">
        <v>27</v>
      </c>
      <c r="N213" s="23">
        <v>0</v>
      </c>
      <c r="O213" s="3">
        <f>VLOOKUP(M213&amp;"Total",$D:$AB,2,FALSE)/100*N213</f>
        <v>0</v>
      </c>
      <c r="P213" s="22" t="s">
        <v>27</v>
      </c>
      <c r="Q213" s="23">
        <v>0</v>
      </c>
      <c r="R213" s="3">
        <f>VLOOKUP(P213&amp;"Total",$D:$AB,2,FALSE)/100*Q213</f>
        <v>0</v>
      </c>
      <c r="T213" s="3">
        <f t="shared" si="117"/>
        <v>97.641008286429013</v>
      </c>
      <c r="V213" s="22" t="s">
        <v>60</v>
      </c>
      <c r="W213" s="22">
        <v>30</v>
      </c>
      <c r="X213" s="23">
        <v>18.75</v>
      </c>
      <c r="AA213" s="3">
        <f>100/$X213*$H213*VLOOKUP($G213&amp;"Total",$D:$AK,24,FALSE)/100+100/$X213*$K213*VLOOKUP($J213&amp;"Total",$D:$AK,24,FALSE)/100+100/$X213*$N213*VLOOKUP($M213&amp;"Total",$D:$AK,24,FALSE)/100+100/$X213*$Q213*VLOOKUP($P213&amp;"Total",$D:$AK,24,FALSE)/100+
(IF($G213=AA$66,$H213,0)+IF($J213=AA$66,$K213,0)+IF($M213=AA$66,$N213,0)+IF($P213=AA$66,$Q213,0))*100/$X213</f>
        <v>0</v>
      </c>
      <c r="AB213" s="3">
        <f>100/$X213*$H213*VLOOKUP($G213&amp;"Total",$D:$AK,25,FALSE)/100+100/$X213*$K213*VLOOKUP($J213&amp;"Total",$D:$AK,25,FALSE)/100+100/$X213*$N213*VLOOKUP($M213&amp;"Total",$D:$AK,25,FALSE)/100+100/$X213*$Q213*VLOOKUP($P213&amp;"Total",$D:$AK,25,FALSE)/100+
(IF($G213=AB$66,$H213,0)+IF($J213=AB$66,$K213,0)+IF($M213=AB$66,$N213,0)+IF($P213=AB$66,$Q213,0))*100/$X213</f>
        <v>0</v>
      </c>
      <c r="AC213" s="3">
        <f>100/$X213*$H213*VLOOKUP($G213&amp;"Total",$D:$AK,26,FALSE)/100+100/$X213*$K213*VLOOKUP($J213&amp;"Total",$D:$AK,26,FALSE)/100+100/$X213*$N213*VLOOKUP($M213&amp;"Total",$D:$AK,26,FALSE)/100+100/$X213*$Q213*VLOOKUP($P213&amp;"Total",$D:$AK,26,FALSE)/100+
(IF($G213=AC$66,$H213,0)+IF($J213=AC$66,$K213,0)+IF($M213=AC$66,$N213,0)+IF($P213=AC$66,$Q213,0))*100/$X213</f>
        <v>0</v>
      </c>
      <c r="AD213" s="3">
        <f>100/$X213*$H213*VLOOKUP($G213&amp;"Total",$D:$AK,27,FALSE)/100+100/$X213*$K213*VLOOKUP($J213&amp;"Total",$D:$AK,27,FALSE)/100+100/$X213*$N213*VLOOKUP($M213&amp;"Total",$D:$AK,27,FALSE)/100+100/$X213*$Q213*VLOOKUP($P213&amp;"Total",$D:$AK,27,FALSE)/100+
(IF($G213=AD$66,$H213,0)+IF($J213=AD$66,$K213,0)+IF($M213=AD$66,$N213,0)+IF($P213=AD$66,$Q213,0))*100/$X213</f>
        <v>400</v>
      </c>
      <c r="AE213" s="3">
        <f>100/$X213*$H213*VLOOKUP($G213&amp;"Total",$D:$AK,28,FALSE)/100+100/$X213*$K213*VLOOKUP($J213&amp;"Total",$D:$AK,28,FALSE)/100+100/$X213*$N213*VLOOKUP($M213&amp;"Total",$D:$AK,28,FALSE)/100+100/$X213*$Q213*VLOOKUP($P213&amp;"Total",$D:$AK,28,FALSE)/100+
(IF($G213=AE$66,$H213,0)+IF($J213=AE$66,$K213,0)+IF($M213=AE$66,$N213,0)+IF($P213=AE$66,$Q213,0))*100/$X213</f>
        <v>0</v>
      </c>
      <c r="AF213" s="3">
        <f>100/$X213*$H213*VLOOKUP($G213&amp;"Total",$D:$AK,29,FALSE)/100+100/$X213*$K213*VLOOKUP($J213&amp;"Total",$D:$AK,29,FALSE)/100+100/$X213*$N213*VLOOKUP($M213&amp;"Total",$D:$AK,29,FALSE)/100+100/$X213*$Q213*VLOOKUP($P213&amp;"Total",$D:$AK,29,FALSE)/100+
(IF($G213=AF$66,$H213,0)+IF($J213=AF$66,$K213,0)+IF($M213=AF$66,$N213,0)+IF($P213=AF$66,$Q213,0))*100/$X213</f>
        <v>0</v>
      </c>
      <c r="AG213" s="3">
        <f>100/$X213*$H213*VLOOKUP($G213&amp;"Total",$D:$AK,30,FALSE)/100+100/$X213*$K213*VLOOKUP($J213&amp;"Total",$D:$AK,30,FALSE)/100+100/$X213*$N213*VLOOKUP($M213&amp;"Total",$D:$AK,30,FALSE)/100+100/$X213*$Q213*VLOOKUP($P213&amp;"Total",$D:$AK,30,FALSE)/100+
(IF($G213=AG$66,$H213,0)+IF($J213=AG$66,$K213,0)+IF($M213=AG$66,$N213,0)+IF($P213=AG$66,$Q213,0))*100/$X213</f>
        <v>0</v>
      </c>
      <c r="AH213" s="3">
        <f>100/$X213*$H213*VLOOKUP($G213&amp;"Total",$D:$AK,31,FALSE)/100+100/$X213*$K213*VLOOKUP($J213&amp;"Total",$D:$AK,31,FALSE)/100+100/$X213*$N213*VLOOKUP($M213&amp;"Total",$D:$AK,31,FALSE)/100+100/$X213*$Q213*VLOOKUP($P213&amp;"Total",$D:$AK,31,FALSE)/100+
(IF($G213=AH$66,$H213,0)+IF($J213=AH$66,$K213,0)+IF($M213=AH$66,$N213,0)+IF($P213=AH$66,$Q213,0))*100/$X213</f>
        <v>0</v>
      </c>
      <c r="AI213" s="3">
        <f>100/$X213*$H213*VLOOKUP($G213&amp;"Total",$D:$AK,32,FALSE)/100+100/$X213*$K213*VLOOKUP($J213&amp;"Total",$D:$AK,32,FALSE)/100+100/$X213*$N213*VLOOKUP($M213&amp;"Total",$D:$AK,32,FALSE)/100+100/$X213*$Q213*VLOOKUP($P213&amp;"Total",$D:$AK,32,FALSE)/100+
(IF($G213=AI$66,$H213,0)+IF($J213=AI$66,$K213,0)+IF($M213=AI$66,$N213,0)+IF($P213=AI$66,$Q213,0))*100/$X213</f>
        <v>0</v>
      </c>
      <c r="AJ213" s="3">
        <f>100/$X213*$H213*VLOOKUP($G213&amp;"Total",$D:$AK,33,FALSE)/100+100/$X213*$K213*VLOOKUP($J213&amp;"Total",$D:$AK,33,FALSE)/100+100/$X213*$N213*VLOOKUP($M213&amp;"Total",$D:$AK,33,FALSE)/100+100/$X213*$Q213*VLOOKUP($P213&amp;"Total",$D:$AK,33,FALSE)/100+
(IF($G213=AJ$66,$H213,0)+IF($J213=AJ$66,$K213,0)+IF($M213=AJ$66,$N213,0)+IF($P213=AJ$66,$Q213,0))*100/$X213</f>
        <v>0</v>
      </c>
      <c r="AK213" s="3">
        <f>100/$X213*$H213*VLOOKUP($G213&amp;"Total",$D:$AK,34,FALSE)/100+100/$X213*$K213*VLOOKUP($J213&amp;"Total",$D:$AK,34,FALSE)/100+100/$X213*$N213*VLOOKUP($M213&amp;"Total",$D:$AK,34,FALSE)/100+100/$X213*$Q213*VLOOKUP($P213&amp;"Total",$D:$AK,34,FALSE)/100+
(IF($G213=AK$66,$H213,0)+IF($J213=AK$66,$K213,0)+IF($M213=AK$66,$N213,0)+IF($P213=AK$66,$Q213,0))*100/$X213</f>
        <v>180</v>
      </c>
    </row>
    <row r="214" spans="1:37" x14ac:dyDescent="0.25">
      <c r="C214" s="1"/>
      <c r="E214" s="26"/>
      <c r="H214" s="23"/>
      <c r="I214" s="3"/>
      <c r="K214" s="23"/>
      <c r="L214" s="3"/>
      <c r="M214" s="22"/>
      <c r="N214" s="23"/>
      <c r="O214" s="3"/>
      <c r="P214" s="22"/>
      <c r="Q214" s="23"/>
      <c r="R214" s="3"/>
      <c r="T214" s="3"/>
      <c r="V214" s="22"/>
      <c r="W214" s="22"/>
      <c r="X214" s="2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 x14ac:dyDescent="0.25">
      <c r="A215" t="s">
        <v>302</v>
      </c>
      <c r="B215" t="s">
        <v>302</v>
      </c>
      <c r="C215" t="s">
        <v>17</v>
      </c>
      <c r="D215" s="28" t="str">
        <f t="shared" ref="D215" si="118">A215&amp;C215</f>
        <v>Packed TurbofuelTotal</v>
      </c>
      <c r="E215" s="26">
        <f>100/X215*(T215+W215)</f>
        <v>452.01637413085081</v>
      </c>
      <c r="G215" t="s">
        <v>168</v>
      </c>
      <c r="H215" s="23">
        <v>20</v>
      </c>
      <c r="I215" s="3">
        <f>VLOOKUP(G215&amp;"Total",$D:$AB,2,FALSE)/100*H215</f>
        <v>64.442447258703368</v>
      </c>
      <c r="J215" t="s">
        <v>298</v>
      </c>
      <c r="K215" s="23">
        <v>20</v>
      </c>
      <c r="L215" s="3">
        <f>VLOOKUP(J215&amp;"Total",$D:$AB,2,FALSE)/100*K215</f>
        <v>15.96082756746679</v>
      </c>
      <c r="M215" s="22" t="s">
        <v>27</v>
      </c>
      <c r="N215" s="23">
        <v>0</v>
      </c>
      <c r="O215" s="3">
        <f>VLOOKUP(M215&amp;"Total",$D:$AB,2,FALSE)/100*N215</f>
        <v>0</v>
      </c>
      <c r="P215" s="22" t="s">
        <v>27</v>
      </c>
      <c r="Q215" s="23">
        <v>0</v>
      </c>
      <c r="R215" s="3">
        <f>VLOOKUP(P215&amp;"Total",$D:$AB,2,FALSE)/100*Q215</f>
        <v>0</v>
      </c>
      <c r="T215" s="3">
        <f t="shared" ref="T215" si="119">I215+L215+O215+R215</f>
        <v>80.403274826170161</v>
      </c>
      <c r="V215" s="22" t="s">
        <v>303</v>
      </c>
      <c r="W215" s="22">
        <v>10</v>
      </c>
      <c r="X215" s="23">
        <v>20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 x14ac:dyDescent="0.25">
      <c r="C216" s="1"/>
      <c r="E216" s="26"/>
      <c r="H216" s="23"/>
      <c r="I216" s="3"/>
      <c r="K216" s="23"/>
      <c r="L216" s="3"/>
      <c r="M216" s="22"/>
      <c r="N216" s="23"/>
      <c r="O216" s="3"/>
      <c r="P216" s="22"/>
      <c r="Q216" s="23"/>
      <c r="R216" s="3"/>
      <c r="T216" s="3"/>
      <c r="V216" s="22"/>
      <c r="W216" s="22"/>
      <c r="X216" s="2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 x14ac:dyDescent="0.25">
      <c r="A217" t="s">
        <v>298</v>
      </c>
      <c r="B217" t="s">
        <v>298</v>
      </c>
      <c r="C217" s="1"/>
      <c r="D217" t="str">
        <f t="shared" ref="D217:D219" si="120">A217&amp;C217</f>
        <v>Canister</v>
      </c>
      <c r="E217" s="26">
        <f>100/X217*(T217+W217)</f>
        <v>113.95269230769233</v>
      </c>
      <c r="G217" t="s">
        <v>82</v>
      </c>
      <c r="H217" s="23">
        <v>30</v>
      </c>
      <c r="I217" s="3">
        <f>VLOOKUP(G217&amp;"Total",$D:$AB,2,FALSE)/100*H217</f>
        <v>64.371615384615396</v>
      </c>
      <c r="J217" s="22" t="s">
        <v>27</v>
      </c>
      <c r="K217" s="23">
        <v>0</v>
      </c>
      <c r="L217" s="3">
        <f>VLOOKUP(J217&amp;"Total",$D:$AB,2,FALSE)/100*K217</f>
        <v>0</v>
      </c>
      <c r="M217" s="22" t="s">
        <v>27</v>
      </c>
      <c r="N217" s="23">
        <v>0</v>
      </c>
      <c r="O217" s="3">
        <f>VLOOKUP(M217&amp;"Total",$D:$AB,2,FALSE)/100*N217</f>
        <v>0</v>
      </c>
      <c r="P217" s="22" t="s">
        <v>27</v>
      </c>
      <c r="Q217" s="23">
        <v>0</v>
      </c>
      <c r="R217" s="3">
        <f>VLOOKUP(P217&amp;"Total",$D:$AB,2,FALSE)/100*Q217</f>
        <v>0</v>
      </c>
      <c r="T217" s="3">
        <f t="shared" ref="T217:T219" si="121">I217+L217+O217+R217</f>
        <v>64.371615384615396</v>
      </c>
      <c r="V217" s="22" t="s">
        <v>67</v>
      </c>
      <c r="W217" s="22">
        <v>4</v>
      </c>
      <c r="X217" s="23">
        <v>60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 x14ac:dyDescent="0.25">
      <c r="A218" t="s">
        <v>298</v>
      </c>
      <c r="B218" t="s">
        <v>299</v>
      </c>
      <c r="C218" t="s">
        <v>17</v>
      </c>
      <c r="D218" t="str">
        <f t="shared" si="120"/>
        <v>CanisterTotal</v>
      </c>
      <c r="E218" s="26">
        <f>100/X218*(T218+W218)</f>
        <v>79.804137837333954</v>
      </c>
      <c r="G218" t="s">
        <v>80</v>
      </c>
      <c r="H218" s="23">
        <v>30</v>
      </c>
      <c r="I218" s="3">
        <f>VLOOKUP(G218&amp;"Total",$D:$AB,2,FALSE)/100*H218</f>
        <v>18.316138408396501</v>
      </c>
      <c r="J218" t="s">
        <v>95</v>
      </c>
      <c r="K218" s="23">
        <v>15</v>
      </c>
      <c r="L218" s="3">
        <f>VLOOKUP(J218&amp;"Total",$D:$AB,2,FALSE)/100*K218</f>
        <v>14.566344294003869</v>
      </c>
      <c r="M218" s="22" t="s">
        <v>27</v>
      </c>
      <c r="N218" s="23">
        <v>0</v>
      </c>
      <c r="O218" s="3">
        <f>VLOOKUP(M218&amp;"Total",$D:$AB,2,FALSE)/100*N218</f>
        <v>0</v>
      </c>
      <c r="P218" s="22" t="s">
        <v>27</v>
      </c>
      <c r="Q218" s="23">
        <v>0</v>
      </c>
      <c r="R218" s="3">
        <f>VLOOKUP(P218&amp;"Total",$D:$AB,2,FALSE)/100*Q218</f>
        <v>0</v>
      </c>
      <c r="T218" s="3">
        <f t="shared" si="121"/>
        <v>32.882482702400367</v>
      </c>
      <c r="V218" s="22" t="s">
        <v>70</v>
      </c>
      <c r="W218" s="22">
        <v>15</v>
      </c>
      <c r="X218" s="23">
        <v>60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 x14ac:dyDescent="0.25">
      <c r="A219" t="s">
        <v>298</v>
      </c>
      <c r="B219" t="s">
        <v>300</v>
      </c>
      <c r="C219" s="1"/>
      <c r="D219" t="str">
        <f t="shared" si="120"/>
        <v>Canister</v>
      </c>
      <c r="E219" s="26">
        <f>100/X219*(T219+W219)</f>
        <v>91.452529796436664</v>
      </c>
      <c r="G219" t="s">
        <v>301</v>
      </c>
      <c r="H219" s="23">
        <v>60</v>
      </c>
      <c r="I219" s="3">
        <f>VLOOKUP(G219&amp;"Total",$D:$AB,2,FALSE)/100*H219</f>
        <v>32.581011918574667</v>
      </c>
      <c r="J219" s="22" t="s">
        <v>27</v>
      </c>
      <c r="K219" s="23">
        <v>0</v>
      </c>
      <c r="L219" s="3">
        <f>VLOOKUP(J219&amp;"Total",$D:$AB,2,FALSE)/100*K219</f>
        <v>0</v>
      </c>
      <c r="M219" s="22" t="s">
        <v>27</v>
      </c>
      <c r="N219" s="23">
        <v>0</v>
      </c>
      <c r="O219" s="3">
        <f>VLOOKUP(M219&amp;"Total",$D:$AB,2,FALSE)/100*N219</f>
        <v>0</v>
      </c>
      <c r="P219" s="22" t="s">
        <v>27</v>
      </c>
      <c r="Q219" s="23">
        <v>0</v>
      </c>
      <c r="R219" s="3">
        <f>VLOOKUP(P219&amp;"Total",$D:$AB,2,FALSE)/100*Q219</f>
        <v>0</v>
      </c>
      <c r="T219" s="3">
        <f t="shared" si="121"/>
        <v>32.581011918574667</v>
      </c>
      <c r="V219" s="22" t="s">
        <v>67</v>
      </c>
      <c r="W219" s="22">
        <v>4</v>
      </c>
      <c r="X219" s="23">
        <v>40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 x14ac:dyDescent="0.25">
      <c r="C220" s="1"/>
      <c r="E220" s="26"/>
      <c r="H220" s="23"/>
      <c r="I220" s="3"/>
      <c r="K220" s="23"/>
      <c r="L220" s="3"/>
      <c r="M220" s="22"/>
      <c r="N220" s="23"/>
      <c r="O220" s="3"/>
      <c r="P220" s="22"/>
      <c r="Q220" s="23"/>
      <c r="R220" s="3"/>
      <c r="T220" s="3"/>
      <c r="V220" s="22"/>
      <c r="W220" s="22"/>
      <c r="X220" s="2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 x14ac:dyDescent="0.25">
      <c r="A221" t="s">
        <v>291</v>
      </c>
      <c r="B221" t="s">
        <v>291</v>
      </c>
      <c r="C221" s="1"/>
      <c r="D221" t="str">
        <f t="shared" ref="D221:D222" si="122">A221&amp;C221</f>
        <v>Aluminia Solution</v>
      </c>
      <c r="E221" s="26">
        <f>100/X221*(T221+W221)</f>
        <v>413.1594843462247</v>
      </c>
      <c r="G221" t="s">
        <v>24</v>
      </c>
      <c r="H221" s="23">
        <v>120</v>
      </c>
      <c r="I221" s="3">
        <f>VLOOKUP(G221&amp;"Total",$D:$AB,2,FALSE)/100*H221</f>
        <v>17.467403314917128</v>
      </c>
      <c r="J221" t="s">
        <v>26</v>
      </c>
      <c r="K221" s="23">
        <v>180</v>
      </c>
      <c r="L221" s="3">
        <f>VLOOKUP(J221&amp;"Total",$D:$AB,2,FALSE)/100*K221</f>
        <v>30.000000000000004</v>
      </c>
      <c r="M221" s="22" t="s">
        <v>27</v>
      </c>
      <c r="N221" s="23">
        <v>0</v>
      </c>
      <c r="O221" s="3">
        <f>VLOOKUP(M221&amp;"Total",$D:$AB,2,FALSE)/100*N221</f>
        <v>0</v>
      </c>
      <c r="P221" s="22" t="s">
        <v>27</v>
      </c>
      <c r="Q221" s="23">
        <v>0</v>
      </c>
      <c r="R221" s="3">
        <f>VLOOKUP(P221&amp;"Total",$D:$AB,2,FALSE)/100*Q221</f>
        <v>0</v>
      </c>
      <c r="T221" s="3">
        <f t="shared" ref="T221:T222" si="123">I221+L221+O221+R221</f>
        <v>47.467403314917135</v>
      </c>
      <c r="V221" s="22" t="s">
        <v>60</v>
      </c>
      <c r="W221" s="22">
        <v>30</v>
      </c>
      <c r="X221" s="23">
        <v>18.75</v>
      </c>
      <c r="Z221" s="21" t="s">
        <v>295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 x14ac:dyDescent="0.25">
      <c r="A222" t="s">
        <v>291</v>
      </c>
      <c r="B222" t="s">
        <v>294</v>
      </c>
      <c r="C222" s="1" t="s">
        <v>17</v>
      </c>
      <c r="D222" t="str">
        <f t="shared" si="122"/>
        <v>Aluminia SolutionTotal</v>
      </c>
      <c r="E222" s="26">
        <f>100/X222*(T222+W222)</f>
        <v>176.65217925107427</v>
      </c>
      <c r="G222" t="s">
        <v>24</v>
      </c>
      <c r="H222" s="23">
        <v>10</v>
      </c>
      <c r="I222" s="3">
        <f>VLOOKUP(G222&amp;"Total",$D:$AB,2,FALSE)/100*H222</f>
        <v>1.4556169429097607</v>
      </c>
      <c r="J222" t="s">
        <v>26</v>
      </c>
      <c r="K222" s="23">
        <v>10</v>
      </c>
      <c r="L222" s="3">
        <f>VLOOKUP(J222&amp;"Total",$D:$AB,2,FALSE)/100*K222</f>
        <v>1.666666666666667</v>
      </c>
      <c r="M222" s="22" t="s">
        <v>27</v>
      </c>
      <c r="N222" s="23">
        <v>0</v>
      </c>
      <c r="O222" s="3">
        <f>VLOOKUP(M222&amp;"Total",$D:$AB,2,FALSE)/100*N222</f>
        <v>0</v>
      </c>
      <c r="P222" s="22" t="s">
        <v>27</v>
      </c>
      <c r="Q222" s="23">
        <v>0</v>
      </c>
      <c r="R222" s="3">
        <f>VLOOKUP(P222&amp;"Total",$D:$AB,2,FALSE)/100*Q222</f>
        <v>0</v>
      </c>
      <c r="T222" s="3">
        <f t="shared" si="123"/>
        <v>3.1222836095764279</v>
      </c>
      <c r="V222" s="22" t="s">
        <v>60</v>
      </c>
      <c r="W222" s="22">
        <v>30</v>
      </c>
      <c r="X222" s="23">
        <v>18.75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 x14ac:dyDescent="0.25">
      <c r="C223" s="1"/>
      <c r="E223" s="26"/>
      <c r="H223" s="23"/>
      <c r="I223" s="3"/>
      <c r="K223" s="23"/>
      <c r="L223" s="3"/>
      <c r="M223" s="22"/>
      <c r="N223" s="23"/>
      <c r="O223" s="3"/>
      <c r="P223" s="22"/>
      <c r="Q223" s="23"/>
      <c r="R223" s="3"/>
      <c r="T223" s="3"/>
      <c r="V223" s="22"/>
      <c r="W223" s="22"/>
      <c r="X223" s="2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 x14ac:dyDescent="0.25">
      <c r="A224" t="s">
        <v>292</v>
      </c>
      <c r="C224" s="1" t="s">
        <v>17</v>
      </c>
      <c r="D224" t="str">
        <f t="shared" ref="D224" si="124">A224&amp;C224</f>
        <v>Sulfuric AcidTotal</v>
      </c>
      <c r="E224" s="26">
        <f>100/X224*(T224+W224)</f>
        <v>90.899728997289969</v>
      </c>
      <c r="G224" t="s">
        <v>283</v>
      </c>
      <c r="H224" s="23">
        <v>50</v>
      </c>
      <c r="I224" s="3">
        <f>VLOOKUP(G224&amp;"Total",$D:$AB,2,FALSE)/100*H224</f>
        <v>7.1165311653116543</v>
      </c>
      <c r="J224" t="s">
        <v>26</v>
      </c>
      <c r="K224" s="23">
        <v>50</v>
      </c>
      <c r="L224" s="3">
        <f>VLOOKUP(J224&amp;"Total",$D:$AB,2,FALSE)/100*K224</f>
        <v>8.3333333333333339</v>
      </c>
      <c r="M224" s="22" t="s">
        <v>27</v>
      </c>
      <c r="N224" s="23">
        <v>0</v>
      </c>
      <c r="O224" s="3">
        <f>VLOOKUP(M224&amp;"Total",$D:$AB,2,FALSE)/100*N224</f>
        <v>0</v>
      </c>
      <c r="P224" s="22" t="s">
        <v>27</v>
      </c>
      <c r="Q224" s="23">
        <v>0</v>
      </c>
      <c r="R224" s="3">
        <f>VLOOKUP(P224&amp;"Total",$D:$AB,2,FALSE)/100*Q224</f>
        <v>0</v>
      </c>
      <c r="T224" s="3">
        <f t="shared" ref="T224" si="125">I224+L224+O224+R224</f>
        <v>15.449864498644988</v>
      </c>
      <c r="V224" s="22" t="s">
        <v>60</v>
      </c>
      <c r="W224" s="22">
        <v>30</v>
      </c>
      <c r="X224" s="23">
        <v>50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 x14ac:dyDescent="0.25">
      <c r="C225" s="1"/>
      <c r="E225" s="26"/>
      <c r="H225" s="23"/>
      <c r="I225" s="3"/>
      <c r="K225" s="23"/>
      <c r="L225" s="3"/>
      <c r="M225" s="22"/>
      <c r="N225" s="23"/>
      <c r="O225" s="3"/>
      <c r="P225" s="22"/>
      <c r="Q225" s="23"/>
      <c r="R225" s="3"/>
      <c r="T225" s="3"/>
      <c r="V225" s="22"/>
      <c r="W225" s="22"/>
      <c r="X225" s="2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 x14ac:dyDescent="0.25">
      <c r="A226" t="s">
        <v>288</v>
      </c>
      <c r="B226" t="s">
        <v>288</v>
      </c>
      <c r="C226" s="1"/>
      <c r="D226" t="str">
        <f t="shared" ref="D226:D228" si="126">A226&amp;C226</f>
        <v>Aluminium Scrap</v>
      </c>
      <c r="E226" s="26">
        <f>100/X226*(T226+W226)</f>
        <v>130.79589727849395</v>
      </c>
      <c r="G226" t="s">
        <v>291</v>
      </c>
      <c r="H226" s="23">
        <v>240</v>
      </c>
      <c r="I226" s="3">
        <f>VLOOKUP(G226&amp;"Total",$D:$AB,2,FALSE)/100*H226</f>
        <v>423.96523020257825</v>
      </c>
      <c r="J226" t="s">
        <v>173</v>
      </c>
      <c r="K226" s="23">
        <v>120</v>
      </c>
      <c r="L226" s="3">
        <f>VLOOKUP(J226&amp;"Total",$D:$AB,2,FALSE)/100*K226</f>
        <v>16.900000000000002</v>
      </c>
      <c r="M226" s="22" t="s">
        <v>27</v>
      </c>
      <c r="N226" s="23">
        <v>0</v>
      </c>
      <c r="O226" s="3">
        <f>VLOOKUP(M226&amp;"Total",$D:$AB,2,FALSE)/100*N226</f>
        <v>0</v>
      </c>
      <c r="P226" s="22" t="s">
        <v>27</v>
      </c>
      <c r="Q226" s="23">
        <v>0</v>
      </c>
      <c r="R226" s="3">
        <f>VLOOKUP(P226&amp;"Total",$D:$AB,2,FALSE)/100*Q226</f>
        <v>0</v>
      </c>
      <c r="T226" s="3">
        <f t="shared" ref="T226:T228" si="127">I226+L226+O226+R226</f>
        <v>440.86523020257823</v>
      </c>
      <c r="V226" s="22" t="s">
        <v>60</v>
      </c>
      <c r="W226" s="22">
        <v>30</v>
      </c>
      <c r="X226" s="23">
        <v>360</v>
      </c>
      <c r="Z226" s="21" t="s">
        <v>293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 x14ac:dyDescent="0.25">
      <c r="A227" t="s">
        <v>288</v>
      </c>
      <c r="B227" t="s">
        <v>289</v>
      </c>
      <c r="C227" s="1"/>
      <c r="D227" t="str">
        <f t="shared" si="126"/>
        <v>Aluminium Scrap</v>
      </c>
      <c r="E227" s="26">
        <f>100/X227*(T227+W227)</f>
        <v>128.14370926004628</v>
      </c>
      <c r="G227" t="s">
        <v>291</v>
      </c>
      <c r="H227" s="23">
        <v>180</v>
      </c>
      <c r="I227" s="3">
        <f>VLOOKUP(G227&amp;"Total",$D:$AB,2,FALSE)/100*H227</f>
        <v>317.97392265193372</v>
      </c>
      <c r="J227" t="s">
        <v>108</v>
      </c>
      <c r="K227" s="23">
        <v>60</v>
      </c>
      <c r="L227" s="3">
        <f>VLOOKUP(J227&amp;"Total",$D:$AB,2,FALSE)/100*K227</f>
        <v>36.457205128205132</v>
      </c>
      <c r="M227" s="22" t="s">
        <v>27</v>
      </c>
      <c r="N227" s="23">
        <v>0</v>
      </c>
      <c r="O227" s="3">
        <f>VLOOKUP(M227&amp;"Total",$D:$AB,2,FALSE)/100*N227</f>
        <v>0</v>
      </c>
      <c r="P227" s="22" t="s">
        <v>27</v>
      </c>
      <c r="Q227" s="23">
        <v>0</v>
      </c>
      <c r="R227" s="3">
        <f>VLOOKUP(P227&amp;"Total",$D:$AB,2,FALSE)/100*Q227</f>
        <v>0</v>
      </c>
      <c r="T227" s="3">
        <f t="shared" si="127"/>
        <v>354.43112778013887</v>
      </c>
      <c r="V227" s="22" t="s">
        <v>60</v>
      </c>
      <c r="W227" s="22">
        <v>30</v>
      </c>
      <c r="X227" s="23">
        <v>300</v>
      </c>
      <c r="Z227" s="21" t="s">
        <v>293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 x14ac:dyDescent="0.25">
      <c r="A228" t="s">
        <v>288</v>
      </c>
      <c r="B228" t="s">
        <v>290</v>
      </c>
      <c r="C228" s="1" t="s">
        <v>253</v>
      </c>
      <c r="D228" t="str">
        <f t="shared" si="126"/>
        <v>Aluminium Scraptotal</v>
      </c>
      <c r="E228" s="26">
        <f>100/X228*(T228+W228)</f>
        <v>52.678039547430458</v>
      </c>
      <c r="G228" t="s">
        <v>24</v>
      </c>
      <c r="H228" s="23">
        <v>150</v>
      </c>
      <c r="I228" s="3">
        <f>VLOOKUP(G228&amp;"Total",$D:$AB,2,FALSE)/100*H228</f>
        <v>21.834254143646412</v>
      </c>
      <c r="J228" t="s">
        <v>173</v>
      </c>
      <c r="K228" s="23">
        <v>100</v>
      </c>
      <c r="L228" s="3">
        <f>VLOOKUP(J228&amp;"Total",$D:$AB,2,FALSE)/100*K228</f>
        <v>14.083333333333334</v>
      </c>
      <c r="M228" t="s">
        <v>292</v>
      </c>
      <c r="N228" s="23">
        <v>50</v>
      </c>
      <c r="O228" s="3">
        <f>VLOOKUP(M228&amp;"Total",$D:$AB,2,FALSE)/100*N228</f>
        <v>45.449864498644985</v>
      </c>
      <c r="P228" s="22" t="s">
        <v>26</v>
      </c>
      <c r="Q228" s="23">
        <v>10</v>
      </c>
      <c r="R228" s="3">
        <f>VLOOKUP(P228&amp;"Total",$D:$AB,2,FALSE)/100*Q228</f>
        <v>1.666666666666667</v>
      </c>
      <c r="T228" s="3">
        <f t="shared" si="127"/>
        <v>83.034118642291403</v>
      </c>
      <c r="V228" s="22" t="s">
        <v>167</v>
      </c>
      <c r="W228" s="22">
        <v>75</v>
      </c>
      <c r="X228" s="23">
        <v>300</v>
      </c>
      <c r="Z228" s="21" t="s">
        <v>293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 x14ac:dyDescent="0.25">
      <c r="C229" s="1"/>
      <c r="E229" s="26"/>
      <c r="H229" s="23"/>
      <c r="I229" s="3"/>
      <c r="K229" s="23"/>
      <c r="L229" s="3"/>
      <c r="M229" s="22"/>
      <c r="N229" s="23"/>
      <c r="O229" s="3"/>
      <c r="P229" s="22"/>
      <c r="Q229" s="23"/>
      <c r="R229" s="3"/>
      <c r="T229" s="3"/>
      <c r="V229" s="22"/>
      <c r="W229" s="22"/>
      <c r="X229" s="2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 x14ac:dyDescent="0.25">
      <c r="A230" t="s">
        <v>285</v>
      </c>
      <c r="B230" t="s">
        <v>286</v>
      </c>
      <c r="C230" s="1" t="s">
        <v>253</v>
      </c>
      <c r="D230" t="str">
        <f t="shared" ref="D230:D231" si="128">A230&amp;C230</f>
        <v>Aluminium Ingottotal</v>
      </c>
      <c r="E230" s="26">
        <f>100/X230*(T230+W230)</f>
        <v>127.27144528605797</v>
      </c>
      <c r="G230" t="s">
        <v>288</v>
      </c>
      <c r="H230" s="23">
        <v>90</v>
      </c>
      <c r="I230" s="3">
        <f>VLOOKUP(G230&amp;"Total",$D:$AB,2,FALSE)/100*H230</f>
        <v>47.410235592687407</v>
      </c>
      <c r="J230" t="s">
        <v>69</v>
      </c>
      <c r="K230" s="23">
        <v>75</v>
      </c>
      <c r="L230" s="3">
        <f>VLOOKUP(J230&amp;"Total",$D:$AB,2,FALSE)/100*K230</f>
        <v>13.952631578947368</v>
      </c>
      <c r="M230" s="22" t="s">
        <v>27</v>
      </c>
      <c r="N230" s="23">
        <v>0</v>
      </c>
      <c r="O230" s="3">
        <f>VLOOKUP(M230&amp;"Total",$D:$AB,2,FALSE)/100*N230</f>
        <v>0</v>
      </c>
      <c r="P230" s="22" t="s">
        <v>27</v>
      </c>
      <c r="Q230" s="23">
        <v>0</v>
      </c>
      <c r="R230" s="3">
        <f>VLOOKUP(P230&amp;"Total",$D:$AB,2,FALSE)/100*Q230</f>
        <v>0</v>
      </c>
      <c r="T230" s="3">
        <f t="shared" ref="T230:T231" si="129">I230+L230+O230+R230</f>
        <v>61.362867171634775</v>
      </c>
      <c r="V230" s="22" t="s">
        <v>70</v>
      </c>
      <c r="W230" s="22">
        <v>15</v>
      </c>
      <c r="X230" s="23">
        <v>60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 x14ac:dyDescent="0.25">
      <c r="A231" t="s">
        <v>285</v>
      </c>
      <c r="B231" t="s">
        <v>287</v>
      </c>
      <c r="C231" s="1"/>
      <c r="D231" t="str">
        <f t="shared" si="128"/>
        <v>Aluminium Ingot</v>
      </c>
      <c r="E231" s="26">
        <f>100/X231*(T231+W231)</f>
        <v>155.35607909486092</v>
      </c>
      <c r="G231" t="s">
        <v>288</v>
      </c>
      <c r="H231" s="23">
        <v>60</v>
      </c>
      <c r="I231" s="3">
        <f>VLOOKUP(G231&amp;"Total",$D:$AB,2,FALSE)/100*H231</f>
        <v>31.606823728458274</v>
      </c>
      <c r="J231" s="22" t="s">
        <v>27</v>
      </c>
      <c r="K231" s="23">
        <v>0</v>
      </c>
      <c r="L231" s="3">
        <f>VLOOKUP(J231&amp;"Total",$D:$AB,2,FALSE)/100*K231</f>
        <v>0</v>
      </c>
      <c r="M231" s="22" t="s">
        <v>27</v>
      </c>
      <c r="N231" s="23">
        <v>0</v>
      </c>
      <c r="O231" s="3">
        <f>VLOOKUP(M231&amp;"Total",$D:$AB,2,FALSE)/100*N231</f>
        <v>0</v>
      </c>
      <c r="P231" s="22" t="s">
        <v>27</v>
      </c>
      <c r="Q231" s="23">
        <v>0</v>
      </c>
      <c r="R231" s="3">
        <f>VLOOKUP(P231&amp;"Total",$D:$AB,2,FALSE)/100*Q231</f>
        <v>0</v>
      </c>
      <c r="T231" s="3">
        <f t="shared" si="129"/>
        <v>31.606823728458274</v>
      </c>
      <c r="V231" s="22" t="s">
        <v>70</v>
      </c>
      <c r="W231" s="22">
        <v>15</v>
      </c>
      <c r="X231" s="23">
        <v>30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 x14ac:dyDescent="0.25">
      <c r="C232" s="1"/>
      <c r="E232" s="26"/>
      <c r="H232" s="23"/>
      <c r="I232" s="3"/>
      <c r="K232" s="23"/>
      <c r="L232" s="3"/>
      <c r="M232" s="22"/>
      <c r="N232" s="23"/>
      <c r="O232" s="3"/>
      <c r="P232" s="22"/>
      <c r="Q232" s="23"/>
      <c r="R232" s="3"/>
      <c r="T232" s="3"/>
      <c r="V232" s="22"/>
      <c r="W232" s="22"/>
      <c r="X232" s="2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 x14ac:dyDescent="0.25">
      <c r="A233" t="s">
        <v>284</v>
      </c>
      <c r="B233" t="s">
        <v>284</v>
      </c>
      <c r="C233" s="1" t="s">
        <v>17</v>
      </c>
      <c r="D233" t="str">
        <f t="shared" ref="D233" si="130">A233&amp;C233</f>
        <v>Alclad SheetTotal</v>
      </c>
      <c r="E233" s="26">
        <f>100/X233*(T233+W233)</f>
        <v>186.78960561272893</v>
      </c>
      <c r="G233" t="s">
        <v>285</v>
      </c>
      <c r="H233" s="23">
        <v>30</v>
      </c>
      <c r="I233" s="3">
        <f>VLOOKUP(G233&amp;"Total",$D:$AB,2,FALSE)/100*H233</f>
        <v>38.181433585817388</v>
      </c>
      <c r="J233" t="s">
        <v>61</v>
      </c>
      <c r="K233" s="23">
        <v>10</v>
      </c>
      <c r="L233" s="3">
        <f>VLOOKUP(J233&amp;"Total",$D:$AB,2,FALSE)/100*K233</f>
        <v>2.8554480980012897</v>
      </c>
      <c r="M233" s="22" t="s">
        <v>27</v>
      </c>
      <c r="N233" s="23">
        <v>0</v>
      </c>
      <c r="O233" s="3">
        <f>VLOOKUP(M233&amp;"Total",$D:$AB,2,FALSE)/100*N233</f>
        <v>0</v>
      </c>
      <c r="P233" s="22" t="s">
        <v>27</v>
      </c>
      <c r="Q233" s="23">
        <v>0</v>
      </c>
      <c r="R233" s="3">
        <f>VLOOKUP(P233&amp;"Total",$D:$AB,2,FALSE)/100*Q233</f>
        <v>0</v>
      </c>
      <c r="T233" s="3">
        <f t="shared" ref="T233" si="131">I233+L233+O233+R233</f>
        <v>41.036881683818677</v>
      </c>
      <c r="V233" s="22" t="s">
        <v>70</v>
      </c>
      <c r="W233" s="22">
        <v>15</v>
      </c>
      <c r="X233" s="23">
        <v>30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 x14ac:dyDescent="0.25">
      <c r="C234" s="1"/>
      <c r="E234" s="26"/>
      <c r="H234" s="23"/>
      <c r="I234" s="3"/>
      <c r="K234" s="23"/>
      <c r="L234" s="3"/>
      <c r="M234" s="22"/>
      <c r="N234" s="23"/>
      <c r="O234" s="3"/>
      <c r="P234" s="22"/>
      <c r="Q234" s="23"/>
      <c r="R234" s="3"/>
      <c r="T234" s="3"/>
      <c r="V234" s="22"/>
      <c r="W234" s="22"/>
      <c r="X234" s="2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 x14ac:dyDescent="0.25">
      <c r="A235" t="s">
        <v>296</v>
      </c>
      <c r="B235" t="s">
        <v>296</v>
      </c>
      <c r="C235" s="1" t="s">
        <v>17</v>
      </c>
      <c r="D235" t="str">
        <f t="shared" ref="D235:D236" si="132">A235&amp;C235</f>
        <v>Aluminum CasingTotal</v>
      </c>
      <c r="E235" s="26">
        <f>100/X235*(T235+W235)</f>
        <v>197.57383459575362</v>
      </c>
      <c r="G235" t="s">
        <v>285</v>
      </c>
      <c r="H235" s="23">
        <v>90</v>
      </c>
      <c r="I235" s="3">
        <f>VLOOKUP(G235&amp;"Total",$D:$AB,2,FALSE)/100*H235</f>
        <v>114.54430075745216</v>
      </c>
      <c r="J235" s="22" t="s">
        <v>27</v>
      </c>
      <c r="K235" s="23">
        <v>0</v>
      </c>
      <c r="L235" s="3">
        <f>VLOOKUP(J235&amp;"Total",$D:$AB,2,FALSE)/100*K235</f>
        <v>0</v>
      </c>
      <c r="M235" s="22" t="s">
        <v>27</v>
      </c>
      <c r="N235" s="23">
        <v>0</v>
      </c>
      <c r="O235" s="3">
        <f>VLOOKUP(M235&amp;"Total",$D:$AB,2,FALSE)/100*N235</f>
        <v>0</v>
      </c>
      <c r="P235" s="22" t="s">
        <v>27</v>
      </c>
      <c r="Q235" s="23">
        <v>0</v>
      </c>
      <c r="R235" s="3">
        <f>VLOOKUP(P235&amp;"Total",$D:$AB,2,FALSE)/100*Q235</f>
        <v>0</v>
      </c>
      <c r="T235" s="3">
        <f t="shared" ref="T235:T236" si="133">I235+L235+O235+R235</f>
        <v>114.54430075745216</v>
      </c>
      <c r="V235" s="22" t="s">
        <v>67</v>
      </c>
      <c r="W235" s="22">
        <v>4</v>
      </c>
      <c r="X235" s="23">
        <v>60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 x14ac:dyDescent="0.25">
      <c r="A236" t="s">
        <v>296</v>
      </c>
      <c r="B236" t="s">
        <v>297</v>
      </c>
      <c r="C236" s="1"/>
      <c r="D236" t="str">
        <f t="shared" si="132"/>
        <v>Aluminum Casing</v>
      </c>
      <c r="E236" s="26">
        <f>100/X236*(T236+W236)</f>
        <v>202.06491436808588</v>
      </c>
      <c r="G236" t="s">
        <v>285</v>
      </c>
      <c r="H236" s="23">
        <v>150</v>
      </c>
      <c r="I236" s="3">
        <f>VLOOKUP(G236&amp;"Total",$D:$AB,2,FALSE)/100*H236</f>
        <v>190.90716792908694</v>
      </c>
      <c r="J236" t="s">
        <v>61</v>
      </c>
      <c r="K236" s="23">
        <v>75</v>
      </c>
      <c r="L236" s="3">
        <f>VLOOKUP(J236&amp;"Total",$D:$AB,2,FALSE)/100*K236</f>
        <v>21.415860735009673</v>
      </c>
      <c r="M236" s="22" t="s">
        <v>27</v>
      </c>
      <c r="N236" s="23">
        <v>0</v>
      </c>
      <c r="O236" s="3">
        <f>VLOOKUP(M236&amp;"Total",$D:$AB,2,FALSE)/100*N236</f>
        <v>0</v>
      </c>
      <c r="P236" s="22" t="s">
        <v>27</v>
      </c>
      <c r="Q236" s="23">
        <v>0</v>
      </c>
      <c r="R236" s="3">
        <f>VLOOKUP(P236&amp;"Total",$D:$AB,2,FALSE)/100*Q236</f>
        <v>0</v>
      </c>
      <c r="T236" s="3">
        <f t="shared" si="133"/>
        <v>212.32302866409663</v>
      </c>
      <c r="V236" s="22" t="s">
        <v>70</v>
      </c>
      <c r="W236" s="22">
        <v>15</v>
      </c>
      <c r="X236" s="23">
        <v>112.5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 x14ac:dyDescent="0.25">
      <c r="C237" s="1"/>
      <c r="D237" s="1"/>
      <c r="E237" s="17"/>
      <c r="F237" s="1"/>
      <c r="G237" s="1"/>
      <c r="H237" s="1"/>
      <c r="I237" s="1"/>
      <c r="J237" s="1"/>
      <c r="K237" s="1"/>
      <c r="N237" s="18"/>
      <c r="O237" s="10"/>
      <c r="P237" s="10"/>
      <c r="Q237" s="10"/>
      <c r="R237" s="10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 x14ac:dyDescent="0.25">
      <c r="A238" t="s">
        <v>281</v>
      </c>
      <c r="B238" t="s">
        <v>281</v>
      </c>
      <c r="C238" s="1"/>
      <c r="D238" t="str">
        <f t="shared" si="115"/>
        <v>Battery</v>
      </c>
      <c r="E238" s="26">
        <f t="shared" ref="E238:E239" si="134">100/X238*(T238+W238)</f>
        <v>1153.1275155911271</v>
      </c>
      <c r="F238" s="1"/>
      <c r="G238" t="s">
        <v>292</v>
      </c>
      <c r="H238" s="23">
        <v>50</v>
      </c>
      <c r="I238" s="3">
        <f>VLOOKUP(G238&amp;"Total",$D:$AB,2,FALSE)/100*H238</f>
        <v>45.449864498644985</v>
      </c>
      <c r="J238" t="s">
        <v>291</v>
      </c>
      <c r="K238" s="23">
        <v>40</v>
      </c>
      <c r="L238" s="3">
        <f>VLOOKUP(J238&amp;"Total",$D:$AB,2,FALSE)/100*K238</f>
        <v>70.660871700429709</v>
      </c>
      <c r="M238" t="s">
        <v>296</v>
      </c>
      <c r="N238" s="23">
        <v>20</v>
      </c>
      <c r="O238" s="3">
        <f>VLOOKUP(M238&amp;"Total",$D:$AB,2,FALSE)/100*N238</f>
        <v>39.514766919150723</v>
      </c>
      <c r="P238" s="22" t="s">
        <v>27</v>
      </c>
      <c r="Q238" s="23">
        <v>0</v>
      </c>
      <c r="R238" s="3">
        <f>VLOOKUP(P238&amp;"Total",$D:$AB,2,FALSE)/100*Q238</f>
        <v>0</v>
      </c>
      <c r="T238" s="3">
        <f t="shared" si="117"/>
        <v>155.62550311822542</v>
      </c>
      <c r="V238" s="22" t="s">
        <v>167</v>
      </c>
      <c r="W238" s="22">
        <v>75</v>
      </c>
      <c r="X238" s="22">
        <v>20</v>
      </c>
      <c r="Z238" s="21" t="s">
        <v>293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 x14ac:dyDescent="0.25">
      <c r="A239" t="s">
        <v>281</v>
      </c>
      <c r="B239" t="s">
        <v>282</v>
      </c>
      <c r="C239" s="1" t="s">
        <v>17</v>
      </c>
      <c r="D239" t="str">
        <f t="shared" si="115"/>
        <v>BatteryTotal</v>
      </c>
      <c r="E239" s="26">
        <f t="shared" si="134"/>
        <v>993.45883921564666</v>
      </c>
      <c r="F239" s="1"/>
      <c r="G239" t="s">
        <v>283</v>
      </c>
      <c r="H239" s="23">
        <v>45</v>
      </c>
      <c r="I239" s="3">
        <f>VLOOKUP(G239&amp;"Total",$D:$AB,2,FALSE)/100*H239</f>
        <v>6.4048780487804891</v>
      </c>
      <c r="J239" t="s">
        <v>284</v>
      </c>
      <c r="K239" s="23">
        <v>52.5</v>
      </c>
      <c r="L239" s="3">
        <f>VLOOKUP(J239&amp;"Total",$D:$AB,2,FALSE)/100*K239</f>
        <v>98.064542946682693</v>
      </c>
      <c r="M239" t="s">
        <v>82</v>
      </c>
      <c r="N239" s="23">
        <v>60</v>
      </c>
      <c r="O239" s="3">
        <f>VLOOKUP(M239&amp;"Total",$D:$AB,2,FALSE)/100*N239</f>
        <v>128.74323076923079</v>
      </c>
      <c r="P239" s="10" t="s">
        <v>91</v>
      </c>
      <c r="Q239" s="23">
        <v>90</v>
      </c>
      <c r="R239" s="3">
        <f>VLOOKUP(P239&amp;"Total",$D:$AB,2,FALSE)/100*Q239</f>
        <v>9.8250000000000011</v>
      </c>
      <c r="T239" s="3">
        <f t="shared" si="117"/>
        <v>243.03765176469398</v>
      </c>
      <c r="V239" s="22" t="s">
        <v>111</v>
      </c>
      <c r="W239" s="22">
        <v>55</v>
      </c>
      <c r="X239" s="22">
        <v>30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 x14ac:dyDescent="0.25">
      <c r="C240" s="1"/>
      <c r="E240" s="26"/>
      <c r="F240" s="1"/>
      <c r="H240" s="3"/>
      <c r="I240" s="3"/>
      <c r="K240" s="3"/>
      <c r="L240" s="3"/>
      <c r="N240" s="3"/>
      <c r="O240" s="3"/>
      <c r="P240" s="10"/>
      <c r="Q240" s="3"/>
      <c r="R240" s="3"/>
      <c r="T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 x14ac:dyDescent="0.25">
      <c r="C241" s="1"/>
      <c r="E241" s="26"/>
      <c r="F241" s="1"/>
      <c r="H241" s="3"/>
      <c r="I241" s="3"/>
      <c r="K241" s="3"/>
      <c r="L241" s="3"/>
      <c r="N241" s="3"/>
      <c r="O241" s="3"/>
      <c r="P241" s="10"/>
      <c r="Q241" s="3"/>
      <c r="R241" s="3"/>
      <c r="T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 x14ac:dyDescent="0.25">
      <c r="A242" t="s">
        <v>311</v>
      </c>
      <c r="B242" t="s">
        <v>311</v>
      </c>
      <c r="C242" s="1"/>
      <c r="D242" t="str">
        <f t="shared" ref="D242" si="135">A242&amp;C242</f>
        <v>Beacon</v>
      </c>
      <c r="E242" s="26">
        <f t="shared" ref="E242" si="136">100/X242*(T242+W242)</f>
        <v>1172.4868057167046</v>
      </c>
      <c r="F242" s="1"/>
      <c r="G242" t="s">
        <v>80</v>
      </c>
      <c r="H242" s="23">
        <v>22.5</v>
      </c>
      <c r="I242" s="3">
        <f>VLOOKUP(G242&amp;"Total",$D:$AB,2,FALSE)/100*H242</f>
        <v>13.737103806297377</v>
      </c>
      <c r="J242" t="s">
        <v>85</v>
      </c>
      <c r="K242" s="23">
        <v>7.5</v>
      </c>
      <c r="L242" s="3">
        <f>VLOOKUP(J242&amp;"Total",$D:$AB,2,FALSE)/100*K242</f>
        <v>1.6431566224554586</v>
      </c>
      <c r="M242" t="s">
        <v>91</v>
      </c>
      <c r="N242" s="23">
        <v>112.5</v>
      </c>
      <c r="O242" s="3">
        <f>VLOOKUP(M242&amp;"Total",$D:$AB,2,FALSE)/100*N242</f>
        <v>12.281250000000002</v>
      </c>
      <c r="P242" s="10" t="s">
        <v>97</v>
      </c>
      <c r="Q242" s="23">
        <v>15</v>
      </c>
      <c r="R242" s="3">
        <f>VLOOKUP(P242&amp;"Total",$D:$AB,2,FALSE)/100*Q242</f>
        <v>5.2750000000000012</v>
      </c>
      <c r="T242" s="3">
        <f t="shared" ref="T242" si="137">I242+L242+O242+R242</f>
        <v>32.93651042875284</v>
      </c>
      <c r="V242" s="22" t="s">
        <v>111</v>
      </c>
      <c r="W242" s="22">
        <v>55</v>
      </c>
      <c r="X242" s="22">
        <v>7.5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 x14ac:dyDescent="0.25">
      <c r="A243" t="s">
        <v>311</v>
      </c>
      <c r="B243" t="s">
        <v>312</v>
      </c>
      <c r="C243" s="1" t="s">
        <v>17</v>
      </c>
      <c r="D243" t="str">
        <f t="shared" ref="D243" si="138">A243&amp;C243</f>
        <v>BeaconTotal</v>
      </c>
      <c r="E243" s="26">
        <f t="shared" ref="E243" si="139">100/X243*(T243+W243)</f>
        <v>979.69311220239433</v>
      </c>
      <c r="F243" s="1"/>
      <c r="G243" t="s">
        <v>90</v>
      </c>
      <c r="H243" s="23">
        <v>2</v>
      </c>
      <c r="I243" s="3">
        <f>VLOOKUP(G243&amp;"Total",$D:$AB,2,FALSE)/100*H243</f>
        <v>4.8774682558099558</v>
      </c>
      <c r="J243" t="s">
        <v>128</v>
      </c>
      <c r="K243" s="23">
        <v>8</v>
      </c>
      <c r="L243" s="3">
        <f>VLOOKUP(J243&amp;"Total",$D:$AB,2,FALSE)/100*K243</f>
        <v>8.1162023837149331</v>
      </c>
      <c r="M243" t="s">
        <v>113</v>
      </c>
      <c r="N243" s="23">
        <v>0.5</v>
      </c>
      <c r="O243" s="3">
        <f>VLOOKUP(M243&amp;"Total",$D:$AB,2,FALSE)/100*N243</f>
        <v>29.975640580714547</v>
      </c>
      <c r="P243" s="22" t="s">
        <v>27</v>
      </c>
      <c r="Q243" s="23">
        <v>0</v>
      </c>
      <c r="R243" s="3">
        <f>VLOOKUP(P243&amp;"Total",$D:$AB,2,FALSE)/100*Q243</f>
        <v>0</v>
      </c>
      <c r="T243" s="3">
        <f t="shared" ref="T243" si="140">I243+L243+O243+R243</f>
        <v>42.969311220239433</v>
      </c>
      <c r="V243" s="22" t="s">
        <v>111</v>
      </c>
      <c r="W243" s="22">
        <v>55</v>
      </c>
      <c r="X243" s="22">
        <v>10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x14ac:dyDescent="0.25">
      <c r="C244" s="1"/>
      <c r="E244" s="26"/>
      <c r="F244" s="1"/>
      <c r="H244" s="3"/>
      <c r="I244" s="3"/>
      <c r="K244" s="3"/>
      <c r="L244" s="3"/>
      <c r="N244" s="3"/>
      <c r="O244" s="3"/>
      <c r="P244" s="10"/>
      <c r="Q244" s="3"/>
      <c r="R244" s="3"/>
      <c r="T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x14ac:dyDescent="0.25">
      <c r="C245" s="1"/>
      <c r="E245" s="26"/>
      <c r="F245" s="1"/>
      <c r="H245" s="3"/>
      <c r="I245" s="3"/>
      <c r="K245" s="3"/>
      <c r="L245" s="3"/>
      <c r="N245" s="3"/>
      <c r="O245" s="3"/>
      <c r="P245" s="10"/>
      <c r="Q245" s="3"/>
      <c r="R245" s="3"/>
      <c r="T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x14ac:dyDescent="0.25">
      <c r="A246" t="s">
        <v>308</v>
      </c>
      <c r="B246" t="s">
        <v>308</v>
      </c>
      <c r="C246" s="1"/>
      <c r="D246" t="str">
        <f t="shared" ref="D246:D247" si="141">A246&amp;C246</f>
        <v>Encased Uranium Cell</v>
      </c>
      <c r="E246" s="26">
        <f t="shared" ref="E246:E247" si="142">100/X246*(T246+W246)</f>
        <v>489.96358728066048</v>
      </c>
      <c r="F246" s="1"/>
      <c r="G246" t="s">
        <v>25</v>
      </c>
      <c r="H246" s="23">
        <v>50</v>
      </c>
      <c r="I246" s="3">
        <f>VLOOKUP(G246&amp;"Total",$D:$AB,2,FALSE)/100*H246</f>
        <v>9.9047619047619051</v>
      </c>
      <c r="J246" t="s">
        <v>66</v>
      </c>
      <c r="K246" s="23">
        <v>15</v>
      </c>
      <c r="L246" s="3">
        <f>VLOOKUP(J246&amp;"Total",$D:$AB,2,FALSE)/100*K246</f>
        <v>10.316216216216215</v>
      </c>
      <c r="M246" t="s">
        <v>292</v>
      </c>
      <c r="N246" s="23">
        <v>30</v>
      </c>
      <c r="O246" s="3">
        <f>VLOOKUP(M246&amp;"Total",$D:$AB,2,FALSE)/100*N246</f>
        <v>27.269918699186992</v>
      </c>
      <c r="P246" s="22" t="s">
        <v>27</v>
      </c>
      <c r="Q246" s="23">
        <v>0</v>
      </c>
      <c r="R246" s="3">
        <f>VLOOKUP(P246&amp;"Total",$D:$AB,2,FALSE)/100*Q246</f>
        <v>0</v>
      </c>
      <c r="T246" s="3">
        <f t="shared" ref="T246:T247" si="143">I246+L246+O246+R246</f>
        <v>47.490896820165112</v>
      </c>
      <c r="V246" s="22" t="s">
        <v>167</v>
      </c>
      <c r="W246" s="22">
        <v>75</v>
      </c>
      <c r="X246" s="22">
        <v>25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x14ac:dyDescent="0.25">
      <c r="A247" t="s">
        <v>308</v>
      </c>
      <c r="B247" t="s">
        <v>309</v>
      </c>
      <c r="C247" s="1" t="s">
        <v>17</v>
      </c>
      <c r="D247" t="str">
        <f t="shared" si="141"/>
        <v>Encased Uranium CellTotal</v>
      </c>
      <c r="E247" s="26">
        <f t="shared" si="142"/>
        <v>402.00586425413127</v>
      </c>
      <c r="F247" s="1"/>
      <c r="G247" t="s">
        <v>25</v>
      </c>
      <c r="H247" s="23">
        <v>25</v>
      </c>
      <c r="I247" s="3">
        <f>VLOOKUP(G247&amp;"Total",$D:$AB,2,FALSE)/100*H247</f>
        <v>4.9523809523809526</v>
      </c>
      <c r="J247" t="s">
        <v>69</v>
      </c>
      <c r="K247" s="23">
        <v>15</v>
      </c>
      <c r="L247" s="3">
        <f>VLOOKUP(J247&amp;"Total",$D:$AB,2,FALSE)/100*K247</f>
        <v>2.7905263157894735</v>
      </c>
      <c r="M247" t="s">
        <v>283</v>
      </c>
      <c r="N247" s="23">
        <v>25</v>
      </c>
      <c r="O247" s="3">
        <f>VLOOKUP(M247&amp;"Total",$D:$AB,2,FALSE)/100*N247</f>
        <v>3.5582655826558272</v>
      </c>
      <c r="P247" s="22" t="s">
        <v>102</v>
      </c>
      <c r="Q247" s="23">
        <v>75</v>
      </c>
      <c r="R247" s="3">
        <f>VLOOKUP(P247&amp;"Total",$D:$AB,2,FALSE)/100*Q247</f>
        <v>14.100000000000005</v>
      </c>
      <c r="T247" s="3">
        <f t="shared" si="143"/>
        <v>25.401172850826256</v>
      </c>
      <c r="V247" s="22" t="s">
        <v>111</v>
      </c>
      <c r="W247" s="22">
        <v>55</v>
      </c>
      <c r="X247" s="22">
        <v>20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x14ac:dyDescent="0.25">
      <c r="C248" s="1"/>
      <c r="E248" s="26"/>
      <c r="F248" s="1"/>
      <c r="H248" s="3"/>
      <c r="I248" s="3"/>
      <c r="K248" s="3"/>
      <c r="L248" s="3"/>
      <c r="N248" s="3"/>
      <c r="O248" s="3"/>
      <c r="P248" s="10"/>
      <c r="Q248" s="3"/>
      <c r="R248" s="3"/>
      <c r="T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x14ac:dyDescent="0.25">
      <c r="C249" s="1"/>
      <c r="E249" s="26"/>
      <c r="F249" s="1"/>
      <c r="H249" s="3"/>
      <c r="I249" s="3"/>
      <c r="K249" s="3"/>
      <c r="L249" s="3"/>
      <c r="N249" s="3"/>
      <c r="O249" s="3"/>
      <c r="P249" s="10"/>
      <c r="Q249" s="3"/>
      <c r="R249" s="3"/>
      <c r="T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x14ac:dyDescent="0.25">
      <c r="A250" t="s">
        <v>306</v>
      </c>
      <c r="B250" t="s">
        <v>306</v>
      </c>
      <c r="C250" s="1" t="s">
        <v>17</v>
      </c>
      <c r="D250" t="str">
        <f t="shared" ref="D250" si="144">A250&amp;C250</f>
        <v>Uranium Fuel RodTotal</v>
      </c>
      <c r="E250" s="26">
        <f t="shared" ref="E250" si="145">100/X250*(T250+W250)</f>
        <v>32828.703219666415</v>
      </c>
      <c r="F250" s="1"/>
      <c r="G250" t="s">
        <v>308</v>
      </c>
      <c r="H250" s="23">
        <v>20</v>
      </c>
      <c r="I250" s="3">
        <f>VLOOKUP(G250&amp;"Total",$D:$AB,2,FALSE)/100*H250</f>
        <v>80.401172850826242</v>
      </c>
      <c r="J250" t="s">
        <v>126</v>
      </c>
      <c r="K250" s="23">
        <v>1.2</v>
      </c>
      <c r="L250" s="3">
        <f>VLOOKUP(J250&amp;"Total",$D:$AB,2,FALSE)/100*K250</f>
        <v>17.148498989387164</v>
      </c>
      <c r="M250" s="22" t="s">
        <v>307</v>
      </c>
      <c r="N250" s="23">
        <v>2</v>
      </c>
      <c r="O250" s="3">
        <f>VLOOKUP(M250&amp;"Total",$D:$AB,2,FALSE)/100*N250</f>
        <v>44.422547477785059</v>
      </c>
      <c r="P250" s="22" t="s">
        <v>27</v>
      </c>
      <c r="Q250" s="23">
        <v>0</v>
      </c>
      <c r="R250" s="3">
        <f>VLOOKUP(P250&amp;"Total",$D:$AB,2,FALSE)/100*Q250</f>
        <v>0</v>
      </c>
      <c r="T250" s="3">
        <f t="shared" ref="T250" si="146">I250+L250+O250+R250</f>
        <v>141.97221931799845</v>
      </c>
      <c r="V250" s="22" t="s">
        <v>111</v>
      </c>
      <c r="W250" s="22">
        <v>55</v>
      </c>
      <c r="X250" s="22">
        <v>0.6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x14ac:dyDescent="0.25">
      <c r="A251" t="s">
        <v>306</v>
      </c>
      <c r="B251" t="s">
        <v>310</v>
      </c>
      <c r="C251" s="1"/>
      <c r="D251" t="str">
        <f t="shared" ref="D251" si="147">A251&amp;C251</f>
        <v>Uranium Fuel Rod</v>
      </c>
      <c r="E251" s="26">
        <f t="shared" ref="E251" si="148">100/X251*(T251+W251)</f>
        <v>37925.13439531625</v>
      </c>
      <c r="F251" s="1"/>
      <c r="G251" t="s">
        <v>308</v>
      </c>
      <c r="H251" s="23">
        <v>20</v>
      </c>
      <c r="I251" s="3">
        <f>VLOOKUP(G251&amp;"Total",$D:$AB,2,FALSE)/100*H251</f>
        <v>80.401172850826242</v>
      </c>
      <c r="J251" t="s">
        <v>113</v>
      </c>
      <c r="K251" s="23">
        <v>0.6</v>
      </c>
      <c r="L251" s="3">
        <f>VLOOKUP(J251&amp;"Total",$D:$AB,2,FALSE)/100*K251</f>
        <v>35.970768696857455</v>
      </c>
      <c r="M251" s="22" t="s">
        <v>307</v>
      </c>
      <c r="N251" s="23">
        <v>2</v>
      </c>
      <c r="O251" s="3">
        <f>VLOOKUP(M251&amp;"Total",$D:$AB,2,FALSE)/100*N251</f>
        <v>44.422547477785059</v>
      </c>
      <c r="P251" s="22" t="s">
        <v>311</v>
      </c>
      <c r="Q251" s="23">
        <v>1.2</v>
      </c>
      <c r="R251" s="3">
        <f>VLOOKUP(P251&amp;"Total",$D:$AB,2,FALSE)/100*Q251</f>
        <v>11.756317346428732</v>
      </c>
      <c r="T251" s="3">
        <f t="shared" ref="T251" si="149">I251+L251+O251+R251</f>
        <v>172.55080637189749</v>
      </c>
      <c r="V251" s="22" t="s">
        <v>111</v>
      </c>
      <c r="W251" s="22">
        <v>55</v>
      </c>
      <c r="X251" s="22">
        <v>0.6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x14ac:dyDescent="0.25">
      <c r="C252" s="1"/>
      <c r="D252" s="1"/>
      <c r="E252" s="17"/>
      <c r="F252" s="1"/>
      <c r="G252" s="1"/>
      <c r="H252" s="1"/>
      <c r="I252" s="1"/>
      <c r="J252" s="1"/>
      <c r="K252" s="1"/>
      <c r="N252" s="18"/>
      <c r="O252" s="10"/>
      <c r="P252" s="10"/>
      <c r="Q252" s="10"/>
      <c r="R252" s="10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x14ac:dyDescent="0.25">
      <c r="C253" s="1"/>
      <c r="D253" s="1"/>
      <c r="G253" s="17">
        <v>1</v>
      </c>
      <c r="H253" s="1"/>
      <c r="I253" s="1"/>
      <c r="J253" s="1"/>
      <c r="K253" s="1"/>
      <c r="L253" s="1"/>
      <c r="M253" s="1"/>
      <c r="P253" s="18">
        <v>2.5</v>
      </c>
      <c r="Q253" s="10"/>
      <c r="R253" s="10"/>
      <c r="S253" s="10"/>
      <c r="T253" s="10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x14ac:dyDescent="0.25">
      <c r="G254" t="s">
        <v>38</v>
      </c>
      <c r="H254" t="s">
        <v>39</v>
      </c>
      <c r="I254" t="s">
        <v>40</v>
      </c>
      <c r="J254" t="s">
        <v>41</v>
      </c>
      <c r="K254" t="s">
        <v>42</v>
      </c>
      <c r="L254" t="s">
        <v>43</v>
      </c>
      <c r="M254" t="s">
        <v>171</v>
      </c>
      <c r="N254" t="s">
        <v>50</v>
      </c>
      <c r="P254" t="s">
        <v>38</v>
      </c>
      <c r="Q254" t="s">
        <v>39</v>
      </c>
      <c r="R254" t="s">
        <v>40</v>
      </c>
      <c r="S254" t="s">
        <v>41</v>
      </c>
      <c r="T254" t="s">
        <v>42</v>
      </c>
      <c r="U254" t="s">
        <v>43</v>
      </c>
      <c r="V254" t="s">
        <v>171</v>
      </c>
      <c r="W254" t="s">
        <v>50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x14ac:dyDescent="0.25">
      <c r="A255" s="19" t="s">
        <v>172</v>
      </c>
      <c r="B255" s="19" t="s">
        <v>173</v>
      </c>
      <c r="C255" t="s">
        <v>17</v>
      </c>
      <c r="D255" t="str">
        <f t="shared" ref="D255:D262" si="150">A255&amp;C255</f>
        <v>Coal generatorTotal</v>
      </c>
      <c r="G255" s="19" t="s">
        <v>20</v>
      </c>
      <c r="H255" s="20">
        <v>15</v>
      </c>
      <c r="I255" s="20">
        <f>VLOOKUP(G255&amp;"Total",$D:$AB,2,FALSE)/100*H255</f>
        <v>2.1125000000000003</v>
      </c>
      <c r="J255" s="19" t="s">
        <v>59</v>
      </c>
      <c r="K255" s="20">
        <v>45</v>
      </c>
      <c r="L255" s="20">
        <f>VLOOKUP(J255&amp;"Total",$D:$AB,2,FALSE)/100*K255</f>
        <v>7.5000000000000009</v>
      </c>
      <c r="M255" s="20">
        <v>75</v>
      </c>
      <c r="N255" s="20">
        <f>I255+L255</f>
        <v>9.6125000000000007</v>
      </c>
      <c r="O255" s="19"/>
      <c r="P255" s="19" t="s">
        <v>20</v>
      </c>
      <c r="Q255" s="20">
        <f>H255*$P$253</f>
        <v>37.5</v>
      </c>
      <c r="R255" s="20">
        <f>VLOOKUP(P255&amp;"Total",$D:$AB,2,FALSE)/100*Q255</f>
        <v>5.28125</v>
      </c>
      <c r="S255" s="19" t="s">
        <v>59</v>
      </c>
      <c r="T255" s="20">
        <f>K255*$P$253</f>
        <v>112.5</v>
      </c>
      <c r="U255" s="20">
        <f>VLOOKUP(S255&amp;"Total",$D:$AB,2,FALSE)/100*T255</f>
        <v>18.750000000000004</v>
      </c>
      <c r="V255" s="20">
        <f>M255*$P$253</f>
        <v>187.5</v>
      </c>
      <c r="W255" s="20">
        <f>R255+U255</f>
        <v>24.031250000000004</v>
      </c>
      <c r="X255" s="15">
        <f>W255/V255</f>
        <v>0.12816666666666668</v>
      </c>
      <c r="AA255" s="3">
        <f>100/$X255*$H255*VLOOKUP($G255&amp;"Total",$D:$AK,24,FALSE)/100+100/$X255*$K255*VLOOKUP($J255&amp;"Total",$D:$AK,24,FALSE)/100+
(IF($G255=AA$66,$H255,0)+IF($J255=AA$66,$K255,0))*100/$X255</f>
        <v>0</v>
      </c>
      <c r="AB255" s="3">
        <f>100/$X255*$H255*VLOOKUP($G255&amp;"Total",$D:$AK,25,FALSE)/100+100/$X255*$K255*VLOOKUP($J255&amp;"Total",$D:$AK,25,FALSE)/100+
(IF($G255=AB$66,$H255,0)+IF($J255=AB$66,$K255,0))*100/$X255</f>
        <v>0</v>
      </c>
      <c r="AC255" s="3">
        <f>100/$X255*$H255*VLOOKUP($G255&amp;"Total",$D:$AK,26,FALSE)/100+100/$X255*$K255*VLOOKUP($J255&amp;"Total",$D:$AK,26,FALSE)/100+
(IF($G255=AC$66,$H255,0)+IF($J255=AC$66,$K255,0))*100/$X255</f>
        <v>0</v>
      </c>
      <c r="AD255" s="3">
        <f>100/$M255*$H255*VLOOKUP($G255&amp;"Total",$D:$AK,27,FALSE)/100+100/$M255*$K255*VLOOKUP($J255&amp;"Total",$D:$AK,27,FALSE)/100+
(IF($G255=AD$66,$H255,0)+IF($J255=AD$66,$K255,0))*100/$M255</f>
        <v>20</v>
      </c>
      <c r="AE255" s="3">
        <f>100/$M255*$H255*VLOOKUP($G255&amp;"Total",$D:$AK,28,FALSE)/100+100/$M255*$K255*VLOOKUP($J255&amp;"Total",$D:$AK,28,FALSE)/100+
(IF($G255=AE$66,$H255,0)+IF($J255=AE$66,$K255,0))*100/$M255</f>
        <v>0</v>
      </c>
      <c r="AF255" s="3">
        <f>100/$M255*$H255*VLOOKUP($G255&amp;"Total",$D:$AK,29,FALSE)/100+100/$M255*$K255*VLOOKUP($J255&amp;"Total",$D:$AK,29,FALSE)/100+
(IF($G255=AF$66,$H255,0)+IF($J255=AF$66,$K255,0))*100/$M255</f>
        <v>0</v>
      </c>
      <c r="AG255" s="3">
        <f>100/$M255*$H255*VLOOKUP($G255&amp;"Total",$D:$AK,30,FALSE)/100+100/$M255*$K255*VLOOKUP($J255&amp;"Total",$D:$AK,30,FALSE)/100+
(IF($G255=AG$66,$H255,0)+IF($J255=AG$66,$K255,0))*100/$M255</f>
        <v>0</v>
      </c>
      <c r="AH255" s="3">
        <f>100/$M255*$H255*VLOOKUP($G255&amp;"Total",$D:$AK,31,FALSE)/100+100/$M255*$K255*VLOOKUP($J255&amp;"Total",$D:$AK,31,FALSE)/100+
(IF($G255=AH$66,$H255,0)+IF($J255=AH$66,$K255,0))*100/$M255</f>
        <v>0</v>
      </c>
      <c r="AI255" s="3">
        <f>100/$M255*$H255*VLOOKUP($G255&amp;"Total",$D:$AK,32,FALSE)/100+100/$M255*$K255*VLOOKUP($J255&amp;"Total",$D:$AK,32,FALSE)/100+
(IF($G255=AI$66,$H255,0)+IF($J255=AI$66,$K255,0))*100/$M255</f>
        <v>0</v>
      </c>
      <c r="AJ255" s="3">
        <f>100/$M255*$H255*VLOOKUP($G255&amp;"Total",$D:$AK,33,FALSE)/100+100/$M255*$K255*VLOOKUP($J255&amp;"Total",$D:$AK,33,FALSE)/100+
(IF($G255=AJ$66,$H255,0)+IF($J255=AJ$66,$K255,0))*100/$M255</f>
        <v>60</v>
      </c>
      <c r="AK255" s="3">
        <f>100/$M255*$H255*VLOOKUP($G255&amp;"Total",$D:$AK,34,FALSE)/100+100/$M255*$K255*VLOOKUP($J255&amp;"Total",$D:$AK,34,FALSE)/100+
(IF($G255=AK$66,$H255,0)+IF($J255=AK$66,$K255,0))*100/$M255</f>
        <v>0</v>
      </c>
    </row>
    <row r="256" spans="1:37" x14ac:dyDescent="0.25">
      <c r="A256" t="s">
        <v>172</v>
      </c>
      <c r="B256" t="s">
        <v>124</v>
      </c>
      <c r="D256" t="str">
        <f t="shared" si="150"/>
        <v>Coal generator</v>
      </c>
      <c r="G256" t="s">
        <v>124</v>
      </c>
      <c r="H256">
        <v>8.1428569999999993</v>
      </c>
      <c r="I256" s="3">
        <f>VLOOKUP(G256&amp;"Total",$D:$AB,2,FALSE)/100*H256</f>
        <v>35.957389032350946</v>
      </c>
      <c r="J256" t="s">
        <v>59</v>
      </c>
      <c r="K256" s="3">
        <v>45</v>
      </c>
      <c r="L256" s="3">
        <f>VLOOKUP(J256&amp;"Total",$D:$AB,2,FALSE)/100*K256</f>
        <v>7.5000000000000009</v>
      </c>
      <c r="M256" s="3">
        <v>75</v>
      </c>
      <c r="N256" s="3">
        <f>I256+L256</f>
        <v>43.457389032350946</v>
      </c>
      <c r="P256" t="s">
        <v>124</v>
      </c>
      <c r="Q256" s="3">
        <f>H256*$P$253</f>
        <v>20.357142499999998</v>
      </c>
      <c r="R256" s="3">
        <f>VLOOKUP(P256&amp;"Total",$D:$AB,2,FALSE)/100*Q256</f>
        <v>89.893472580877358</v>
      </c>
      <c r="S256" t="s">
        <v>59</v>
      </c>
      <c r="T256" s="3">
        <f>K256*$P$253</f>
        <v>112.5</v>
      </c>
      <c r="U256" s="3">
        <f>VLOOKUP(S256&amp;"Total",$D:$AB,2,FALSE)/100*T256</f>
        <v>18.750000000000004</v>
      </c>
      <c r="V256" s="3">
        <f>M256*$P$253</f>
        <v>187.5</v>
      </c>
      <c r="W256" s="3">
        <f>R256+U256</f>
        <v>108.64347258087736</v>
      </c>
      <c r="X256" s="15">
        <f>W256/V256</f>
        <v>0.57943185376467921</v>
      </c>
      <c r="AA256" s="3">
        <f>100/$X256*$H256*VLOOKUP($G256&amp;"Total",$D:$AK,24,FALSE)/100+100/$X256*$K256*VLOOKUP($J256&amp;"Total",$D:$AK,24,FALSE)/100+
(IF($G256=AA$66,$H256,0)+IF($J256=AA$66,$K256,0))*100/$X256</f>
        <v>0</v>
      </c>
      <c r="AB256" s="3">
        <f>100/$X256*$H256*VLOOKUP($G256&amp;"Total",$D:$AK,25,FALSE)/100+100/$X256*$K256*VLOOKUP($J256&amp;"Total",$D:$AK,25,FALSE)/100+
(IF($G256=AB$66,$H256,0)+IF($J256=AB$66,$K256,0))*100/$X256</f>
        <v>0</v>
      </c>
      <c r="AC256" s="3">
        <f>100/$X256*$H256*VLOOKUP($G256&amp;"Total",$D:$AK,26,FALSE)/100+100/$X256*$K256*VLOOKUP($J256&amp;"Total",$D:$AK,26,FALSE)/100+
(IF($G256=AC$66,$H256,0)+IF($J256=AC$66,$K256,0))*100/$X256</f>
        <v>0</v>
      </c>
      <c r="AD256" s="3">
        <f>100/$M256*$H256*VLOOKUP($G256&amp;"Total",$D:$AK,27,FALSE)/100+100/$M256*$K256*VLOOKUP($J256&amp;"Total",$D:$AK,27,FALSE)/100+
(IF($G256=AD$66,$H256,0)+IF($J256=AD$66,$K256,0))*100/$M256</f>
        <v>54.285713333333327</v>
      </c>
      <c r="AE256" s="3">
        <f>100/$M256*$H256*VLOOKUP($G256&amp;"Total",$D:$AK,28,FALSE)/100+100/$M256*$K256*VLOOKUP($J256&amp;"Total",$D:$AK,28,FALSE)/100+
(IF($G256=AE$66,$H256,0)+IF($J256=AE$66,$K256,0))*100/$M256</f>
        <v>0</v>
      </c>
      <c r="AF256" s="3">
        <f>100/$M256*$H256*VLOOKUP($G256&amp;"Total",$D:$AK,29,FALSE)/100+100/$M256*$K256*VLOOKUP($J256&amp;"Total",$D:$AK,29,FALSE)/100+
(IF($G256=AF$66,$H256,0)+IF($J256=AF$66,$K256,0))*100/$M256</f>
        <v>0</v>
      </c>
      <c r="AG256" s="3">
        <f>100/$M256*$H256*VLOOKUP($G256&amp;"Total",$D:$AK,30,FALSE)/100+100/$M256*$K256*VLOOKUP($J256&amp;"Total",$D:$AK,30,FALSE)/100+
(IF($G256=AG$66,$H256,0)+IF($J256=AG$66,$K256,0))*100/$M256</f>
        <v>0</v>
      </c>
      <c r="AH256" s="3">
        <f>100/$M256*$H256*VLOOKUP($G256&amp;"Total",$D:$AK,31,FALSE)/100+100/$M256*$K256*VLOOKUP($J256&amp;"Total",$D:$AK,31,FALSE)/100+
(IF($G256=AH$66,$H256,0)+IF($J256=AH$66,$K256,0))*100/$M256</f>
        <v>0</v>
      </c>
      <c r="AI256" s="3">
        <f>100/$M256*$H256*VLOOKUP($G256&amp;"Total",$D:$AK,32,FALSE)/100+100/$M256*$K256*VLOOKUP($J256&amp;"Total",$D:$AK,32,FALSE)/100+
(IF($G256=AI$66,$H256,0)+IF($J256=AI$66,$K256,0))*100/$M256</f>
        <v>0</v>
      </c>
      <c r="AJ256" s="3">
        <f>100/$M256*$H256*VLOOKUP($G256&amp;"Total",$D:$AK,33,FALSE)/100+100/$M256*$K256*VLOOKUP($J256&amp;"Total",$D:$AK,33,FALSE)/100+
(IF($G256=AJ$66,$H256,0)+IF($J256=AJ$66,$K256,0))*100/$M256</f>
        <v>60</v>
      </c>
      <c r="AK256" s="3">
        <f>100/$M256*$H256*VLOOKUP($G256&amp;"Total",$D:$AK,34,FALSE)/100+100/$M256*$K256*VLOOKUP($J256&amp;"Total",$D:$AK,34,FALSE)/100+
(IF($G256=AK$66,$H256,0)+IF($J256=AK$66,$K256,0))*100/$M256</f>
        <v>0</v>
      </c>
    </row>
    <row r="257" spans="1:37" x14ac:dyDescent="0.25">
      <c r="A257" t="s">
        <v>172</v>
      </c>
      <c r="B257" t="s">
        <v>108</v>
      </c>
      <c r="D257" t="str">
        <f t="shared" si="150"/>
        <v>Coal generator</v>
      </c>
      <c r="G257" s="11" t="s">
        <v>108</v>
      </c>
      <c r="H257">
        <v>25</v>
      </c>
      <c r="I257" s="3">
        <f>VLOOKUP(G257&amp;"Total",$D:$AB,2,FALSE)/100*H257</f>
        <v>15.190502136752137</v>
      </c>
      <c r="J257" t="s">
        <v>59</v>
      </c>
      <c r="K257" s="3">
        <v>45</v>
      </c>
      <c r="L257" s="3">
        <f>VLOOKUP(J257&amp;"Total",$D:$AB,2,FALSE)/100*K257</f>
        <v>7.5000000000000009</v>
      </c>
      <c r="M257" s="3">
        <v>75</v>
      </c>
      <c r="N257" s="3">
        <f>I257+L257</f>
        <v>22.690502136752137</v>
      </c>
      <c r="P257" s="11" t="s">
        <v>108</v>
      </c>
      <c r="Q257" s="3">
        <f>H257*$P$253</f>
        <v>62.5</v>
      </c>
      <c r="R257" s="3">
        <f>VLOOKUP(P257&amp;"Total",$D:$AB,2,FALSE)/100*Q257</f>
        <v>37.976255341880346</v>
      </c>
      <c r="S257" t="s">
        <v>59</v>
      </c>
      <c r="T257" s="3">
        <f>K257*$P$253</f>
        <v>112.5</v>
      </c>
      <c r="U257" s="3">
        <f>VLOOKUP(S257&amp;"Total",$D:$AB,2,FALSE)/100*T257</f>
        <v>18.750000000000004</v>
      </c>
      <c r="V257" s="3">
        <f>M257*$P$253</f>
        <v>187.5</v>
      </c>
      <c r="W257" s="3">
        <f>R257+U257</f>
        <v>56.726255341880346</v>
      </c>
      <c r="X257" s="15">
        <f>W257/V257</f>
        <v>0.30254002849002853</v>
      </c>
      <c r="AA257" s="3">
        <f>100/$X257*$H257*VLOOKUP($G257&amp;"Total",$D:$AK,24,FALSE)/100+100/$X257*$K257*VLOOKUP($J257&amp;"Total",$D:$AK,24,FALSE)/100+
(IF($G257=AA$66,$H257,0)+IF($J257=AA$66,$K257,0))*100/$X257</f>
        <v>0</v>
      </c>
      <c r="AB257" s="3">
        <f>100/$X257*$H257*VLOOKUP($G257&amp;"Total",$D:$AK,25,FALSE)/100+100/$X257*$K257*VLOOKUP($J257&amp;"Total",$D:$AK,25,FALSE)/100+
(IF($G257=AB$66,$H257,0)+IF($J257=AB$66,$K257,0))*100/$X257</f>
        <v>0</v>
      </c>
      <c r="AC257" s="3">
        <f>100/$X257*$H257*VLOOKUP($G257&amp;"Total",$D:$AK,26,FALSE)/100+100/$X257*$K257*VLOOKUP($J257&amp;"Total",$D:$AK,26,FALSE)/100+
(IF($G257=AC$66,$H257,0)+IF($J257=AC$66,$K257,0))*100/$X257</f>
        <v>0</v>
      </c>
      <c r="AD257" s="3">
        <f>100/$M257*$H257*VLOOKUP($G257&amp;"Total",$D:$AK,27,FALSE)/100+100/$M257*$K257*VLOOKUP($J257&amp;"Total",$D:$AK,27,FALSE)/100+
(IF($G257=AD$66,$H257,0)+IF($J257=AD$66,$K257,0))*100/$M257</f>
        <v>0</v>
      </c>
      <c r="AE257" s="3">
        <f>100/$M257*$H257*VLOOKUP($G257&amp;"Total",$D:$AK,28,FALSE)/100+100/$M257*$K257*VLOOKUP($J257&amp;"Total",$D:$AK,28,FALSE)/100+
(IF($G257=AE$66,$H257,0)+IF($J257=AE$66,$K257,0))*100/$M257</f>
        <v>0</v>
      </c>
      <c r="AF257" s="3">
        <f>100/$M257*$H257*VLOOKUP($G257&amp;"Total",$D:$AK,29,FALSE)/100+100/$M257*$K257*VLOOKUP($J257&amp;"Total",$D:$AK,29,FALSE)/100+
(IF($G257=AF$66,$H257,0)+IF($J257=AF$66,$K257,0))*100/$M257</f>
        <v>0</v>
      </c>
      <c r="AG257" s="3">
        <f>100/$M257*$H257*VLOOKUP($G257&amp;"Total",$D:$AK,30,FALSE)/100+100/$M257*$K257*VLOOKUP($J257&amp;"Total",$D:$AK,30,FALSE)/100+
(IF($G257=AG$66,$H257,0)+IF($J257=AG$66,$K257,0))*100/$M257</f>
        <v>0</v>
      </c>
      <c r="AH257" s="3">
        <f>100/$M257*$H257*VLOOKUP($G257&amp;"Total",$D:$AK,31,FALSE)/100+100/$M257*$K257*VLOOKUP($J257&amp;"Total",$D:$AK,31,FALSE)/100+
(IF($G257=AH$66,$H257,0)+IF($J257=AH$66,$K257,0))*100/$M257</f>
        <v>0</v>
      </c>
      <c r="AI257" s="3">
        <f>100/$M257*$H257*VLOOKUP($G257&amp;"Total",$D:$AK,32,FALSE)/100+100/$M257*$K257*VLOOKUP($J257&amp;"Total",$D:$AK,32,FALSE)/100+
(IF($G257=AI$66,$H257,0)+IF($J257=AI$66,$K257,0))*100/$M257</f>
        <v>0</v>
      </c>
      <c r="AJ257" s="3">
        <f>100/$M257*$H257*VLOOKUP($G257&amp;"Total",$D:$AK,33,FALSE)/100+100/$M257*$K257*VLOOKUP($J257&amp;"Total",$D:$AK,33,FALSE)/100+
(IF($G257=AJ$66,$H257,0)+IF($J257=AJ$66,$K257,0))*100/$M257</f>
        <v>60</v>
      </c>
      <c r="AK257" s="3">
        <f>100/$M257*$H257*VLOOKUP($G257&amp;"Total",$D:$AK,34,FALSE)/100+100/$M257*$K257*VLOOKUP($J257&amp;"Total",$D:$AK,34,FALSE)/100+
(IF($G257=AK$66,$H257,0)+IF($J257=AK$66,$K257,0))*100/$M257</f>
        <v>8.3333333333333321</v>
      </c>
    </row>
    <row r="258" spans="1:37" x14ac:dyDescent="0.25"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x14ac:dyDescent="0.25"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 x14ac:dyDescent="0.25">
      <c r="A260" t="s">
        <v>174</v>
      </c>
      <c r="B260" t="s">
        <v>157</v>
      </c>
      <c r="D260" t="str">
        <f t="shared" si="150"/>
        <v>Fuel Generator</v>
      </c>
      <c r="G260" t="s">
        <v>157</v>
      </c>
      <c r="H260">
        <v>12</v>
      </c>
      <c r="I260" s="3">
        <f>VLOOKUP(G260&amp;"Total",$D:$AB,2,FALSE)/100*H260</f>
        <v>16.748646153846156</v>
      </c>
      <c r="J260" t="s">
        <v>27</v>
      </c>
      <c r="K260" s="3">
        <v>0</v>
      </c>
      <c r="L260" s="3">
        <f>VLOOKUP(J260&amp;"Total",$D:$AB,2,FALSE)/100*K260</f>
        <v>0</v>
      </c>
      <c r="M260" s="3">
        <v>150</v>
      </c>
      <c r="N260" s="3">
        <f>I260+L260</f>
        <v>16.748646153846156</v>
      </c>
      <c r="P260" t="s">
        <v>157</v>
      </c>
      <c r="Q260" s="3">
        <f>H260*$P$253</f>
        <v>30</v>
      </c>
      <c r="R260" s="3">
        <f>VLOOKUP(P260&amp;"Total",$D:$AB,2,FALSE)/100*Q260</f>
        <v>41.871615384615389</v>
      </c>
      <c r="S260" t="s">
        <v>27</v>
      </c>
      <c r="T260" s="3">
        <f>K260*$P$253</f>
        <v>0</v>
      </c>
      <c r="U260" s="3">
        <f>VLOOKUP(S260&amp;"Total",$D:$AB,2,FALSE)/100*T260</f>
        <v>0</v>
      </c>
      <c r="V260" s="3">
        <f>M260*$P$253</f>
        <v>375</v>
      </c>
      <c r="W260" s="3">
        <f>R260+U260</f>
        <v>41.871615384615389</v>
      </c>
      <c r="X260" s="15">
        <f>W260/V260</f>
        <v>0.11165764102564103</v>
      </c>
      <c r="AA260" s="3">
        <f>100/$X260*$H260*VLOOKUP($G260&amp;"Total",$D:$AK,24,FALSE)/100+100/$X260*$K260*VLOOKUP($J260&amp;"Total",$D:$AK,24,FALSE)/100+
(IF($G260=AA$66,$H260,0)+IF($J260=AA$66,$K260,0))*100/$X260</f>
        <v>0</v>
      </c>
      <c r="AB260" s="3">
        <f>100/$X260*$H260*VLOOKUP($G260&amp;"Total",$D:$AK,25,FALSE)/100+100/$X260*$K260*VLOOKUP($J260&amp;"Total",$D:$AK,25,FALSE)/100+
(IF($G260=AB$66,$H260,0)+IF($J260=AB$66,$K260,0))*100/$X260</f>
        <v>0</v>
      </c>
      <c r="AC260" s="3">
        <f>100/$X260*$H260*VLOOKUP($G260&amp;"Total",$D:$AK,26,FALSE)/100+100/$X260*$K260*VLOOKUP($J260&amp;"Total",$D:$AK,26,FALSE)/100+
(IF($G260=AC$66,$H260,0)+IF($J260=AC$66,$K260,0))*100/$X260</f>
        <v>0</v>
      </c>
      <c r="AD260" s="3">
        <f>100/$M260*$H260*VLOOKUP($G260&amp;"Total",$D:$AK,27,FALSE)/100+100/$M260*$K260*VLOOKUP($J260&amp;"Total",$D:$AK,27,FALSE)/100+
(IF($G260=AD$66,$H260,0)+IF($J260=AD$66,$K260,0))*100/$M260</f>
        <v>0</v>
      </c>
      <c r="AE260" s="3">
        <f>100/$M260*$H260*VLOOKUP($G260&amp;"Total",$D:$AK,28,FALSE)/100+100/$M260*$K260*VLOOKUP($J260&amp;"Total",$D:$AK,28,FALSE)/100+
(IF($G260=AE$66,$H260,0)+IF($J260=AE$66,$K260,0))*100/$M260</f>
        <v>0</v>
      </c>
      <c r="AF260" s="3">
        <f>100/$M260*$H260*VLOOKUP($G260&amp;"Total",$D:$AK,29,FALSE)/100+100/$M260*$K260*VLOOKUP($J260&amp;"Total",$D:$AK,29,FALSE)/100+
(IF($G260=AF$66,$H260,0)+IF($J260=AF$66,$K260,0))*100/$M260</f>
        <v>0</v>
      </c>
      <c r="AG260" s="3">
        <f>100/$M260*$H260*VLOOKUP($G260&amp;"Total",$D:$AK,30,FALSE)/100+100/$M260*$K260*VLOOKUP($J260&amp;"Total",$D:$AK,30,FALSE)/100+
(IF($G260=AG$66,$H260,0)+IF($J260=AG$66,$K260,0))*100/$M260</f>
        <v>0</v>
      </c>
      <c r="AH260" s="3">
        <f>100/$M260*$H260*VLOOKUP($G260&amp;"Total",$D:$AK,31,FALSE)/100+100/$M260*$K260*VLOOKUP($J260&amp;"Total",$D:$AK,31,FALSE)/100+
(IF($G260=AH$66,$H260,0)+IF($J260=AH$66,$K260,0))*100/$M260</f>
        <v>0</v>
      </c>
      <c r="AI260" s="3">
        <f>100/$M260*$H260*VLOOKUP($G260&amp;"Total",$D:$AK,32,FALSE)/100+100/$M260*$K260*VLOOKUP($J260&amp;"Total",$D:$AK,32,FALSE)/100+
(IF($G260=AI$66,$H260,0)+IF($J260=AI$66,$K260,0))*100/$M260</f>
        <v>0</v>
      </c>
      <c r="AJ260" s="3">
        <f>100/$M260*$H260*VLOOKUP($G260&amp;"Total",$D:$AK,33,FALSE)/100+100/$M260*$K260*VLOOKUP($J260&amp;"Total",$D:$AK,33,FALSE)/100+
(IF($G260=AJ$66,$H260,0)+IF($J260=AJ$66,$K260,0))*100/$M260</f>
        <v>0</v>
      </c>
      <c r="AK260" s="3">
        <f>100/$M260*$H260*VLOOKUP($G260&amp;"Total",$D:$AK,34,FALSE)/100+100/$M260*$K260*VLOOKUP($J260&amp;"Total",$D:$AK,34,FALSE)/100+
(IF($G260=AK$66,$H260,0)+IF($J260=AK$66,$K260,0))*100/$M260</f>
        <v>12</v>
      </c>
    </row>
    <row r="261" spans="1:37" x14ac:dyDescent="0.25">
      <c r="A261" t="s">
        <v>174</v>
      </c>
      <c r="B261" t="s">
        <v>175</v>
      </c>
      <c r="C261" t="s">
        <v>17</v>
      </c>
      <c r="D261" t="str">
        <f t="shared" si="150"/>
        <v>Fuel GeneratorTotal</v>
      </c>
      <c r="G261" t="s">
        <v>168</v>
      </c>
      <c r="H261">
        <v>4.5</v>
      </c>
      <c r="I261" s="3">
        <f>VLOOKUP(G261&amp;"Total",$D:$AB,2,FALSE)/100*H261</f>
        <v>14.499550633208258</v>
      </c>
      <c r="J261" t="s">
        <v>27</v>
      </c>
      <c r="K261" s="3">
        <v>0</v>
      </c>
      <c r="L261" s="3">
        <f>VLOOKUP(J261&amp;"Total",$D:$AB,2,FALSE)/100*K261</f>
        <v>0</v>
      </c>
      <c r="M261" s="3">
        <v>150</v>
      </c>
      <c r="N261" s="3">
        <f>I261+L261</f>
        <v>14.499550633208258</v>
      </c>
      <c r="P261" t="s">
        <v>168</v>
      </c>
      <c r="Q261" s="3">
        <f>H261*$P$253</f>
        <v>11.25</v>
      </c>
      <c r="R261" s="3">
        <f>VLOOKUP(P261&amp;"Total",$D:$AB,2,FALSE)/100*Q261</f>
        <v>36.248876583020646</v>
      </c>
      <c r="S261" t="s">
        <v>27</v>
      </c>
      <c r="T261" s="3">
        <f>K261*$P$253</f>
        <v>0</v>
      </c>
      <c r="U261" s="3">
        <f>VLOOKUP(S261&amp;"Total",$D:$AB,2,FALSE)/100*T261</f>
        <v>0</v>
      </c>
      <c r="V261" s="3">
        <f>M261*$P$253</f>
        <v>375</v>
      </c>
      <c r="W261" s="3">
        <f>R261+U261</f>
        <v>36.248876583020646</v>
      </c>
      <c r="X261" s="15">
        <f>W261/V261</f>
        <v>9.6663670888055053E-2</v>
      </c>
      <c r="AA261" s="3">
        <f>100/$X261*$H261*VLOOKUP($G261&amp;"Total",$D:$AK,24,FALSE)/100+100/$X261*$K261*VLOOKUP($J261&amp;"Total",$D:$AK,24,FALSE)/100+
(IF($G261=AA$66,$H261,0)+IF($J261=AA$66,$K261,0))*100/$X261</f>
        <v>0</v>
      </c>
      <c r="AB261" s="3">
        <f>100/$X261*$H261*VLOOKUP($G261&amp;"Total",$D:$AK,25,FALSE)/100+100/$X261*$K261*VLOOKUP($J261&amp;"Total",$D:$AK,25,FALSE)/100+
(IF($G261=AB$66,$H261,0)+IF($J261=AB$66,$K261,0))*100/$X261</f>
        <v>0</v>
      </c>
      <c r="AC261" s="3">
        <f>100/$X261*$H261*VLOOKUP($G261&amp;"Total",$D:$AK,26,FALSE)/100+100/$X261*$K261*VLOOKUP($J261&amp;"Total",$D:$AK,26,FALSE)/100+
(IF($G261=AC$66,$H261,0)+IF($J261=AC$66,$K261,0))*100/$X261</f>
        <v>0</v>
      </c>
      <c r="AD261" s="3">
        <f>100/$M261*$H261*VLOOKUP($G261&amp;"Total",$D:$AK,27,FALSE)/100+100/$M261*$K261*VLOOKUP($J261&amp;"Total",$D:$AK,27,FALSE)/100+
(IF($G261=AD$66,$H261,0)+IF($J261=AD$66,$K261,0))*100/$M261</f>
        <v>0</v>
      </c>
      <c r="AE261" s="3">
        <f>100/$M261*$H261*VLOOKUP($G261&amp;"Total",$D:$AK,28,FALSE)/100+100/$M261*$K261*VLOOKUP($J261&amp;"Total",$D:$AK,28,FALSE)/100+
(IF($G261=AE$66,$H261,0)+IF($J261=AE$66,$K261,0))*100/$M261</f>
        <v>0</v>
      </c>
      <c r="AF261" s="3">
        <f>100/$M261*$H261*VLOOKUP($G261&amp;"Total",$D:$AK,29,FALSE)/100+100/$M261*$K261*VLOOKUP($J261&amp;"Total",$D:$AK,29,FALSE)/100+
(IF($G261=AF$66,$H261,0)+IF($J261=AF$66,$K261,0))*100/$M261</f>
        <v>0</v>
      </c>
      <c r="AG261" s="3">
        <f>100/$M261*$H261*VLOOKUP($G261&amp;"Total",$D:$AK,30,FALSE)/100+100/$M261*$K261*VLOOKUP($J261&amp;"Total",$D:$AK,30,FALSE)/100+
(IF($G261=AG$66,$H261,0)+IF($J261=AG$66,$K261,0))*100/$M261</f>
        <v>0</v>
      </c>
      <c r="AH261" s="3">
        <f>100/$M261*$H261*VLOOKUP($G261&amp;"Total",$D:$AK,31,FALSE)/100+100/$M261*$K261*VLOOKUP($J261&amp;"Total",$D:$AK,31,FALSE)/100+
(IF($G261=AH$66,$H261,0)+IF($J261=AH$66,$K261,0))*100/$M261</f>
        <v>0</v>
      </c>
      <c r="AI261" s="3">
        <f>100/$M261*$H261*VLOOKUP($G261&amp;"Total",$D:$AK,32,FALSE)/100+100/$M261*$K261*VLOOKUP($J261&amp;"Total",$D:$AK,32,FALSE)/100+
(IF($G261=AI$66,$H261,0)+IF($J261=AI$66,$K261,0))*100/$M261</f>
        <v>0</v>
      </c>
      <c r="AJ261" s="3">
        <f>100/$M261*$H261*VLOOKUP($G261&amp;"Total",$D:$AK,33,FALSE)/100+100/$M261*$K261*VLOOKUP($J261&amp;"Total",$D:$AK,33,FALSE)/100+
(IF($G261=AJ$66,$H261,0)+IF($J261=AJ$66,$K261,0))*100/$M261</f>
        <v>0</v>
      </c>
      <c r="AK261" s="3">
        <f>100/$M261*$H261*VLOOKUP($G261&amp;"Total",$D:$AK,34,FALSE)/100+100/$M261*$K261*VLOOKUP($J261&amp;"Total",$D:$AK,34,FALSE)/100+
(IF($G261=AK$66,$H261,0)+IF($J261=AK$66,$K261,0))*100/$M261</f>
        <v>3.375</v>
      </c>
    </row>
    <row r="262" spans="1:37" x14ac:dyDescent="0.25">
      <c r="D262" t="str">
        <f t="shared" si="150"/>
        <v/>
      </c>
    </row>
    <row r="263" spans="1:37" x14ac:dyDescent="0.25">
      <c r="A263" t="s">
        <v>304</v>
      </c>
      <c r="B263" t="s">
        <v>305</v>
      </c>
      <c r="C263" t="s">
        <v>17</v>
      </c>
      <c r="D263" t="str">
        <f t="shared" ref="D263" si="151">A263&amp;C263</f>
        <v>Nuclear GeneratorTotal</v>
      </c>
      <c r="G263" t="s">
        <v>306</v>
      </c>
      <c r="H263">
        <v>0.2</v>
      </c>
      <c r="I263" s="3">
        <f>VLOOKUP(G263&amp;"Total",$D:$AB,2,FALSE)/100*H263</f>
        <v>65.657406439332831</v>
      </c>
      <c r="J263" t="s">
        <v>59</v>
      </c>
      <c r="K263" s="3">
        <v>1200</v>
      </c>
      <c r="L263" s="3">
        <f>VLOOKUP(J263&amp;"Total",$D:$AB,2,FALSE)/100*K263</f>
        <v>200.00000000000003</v>
      </c>
      <c r="M263" s="3">
        <v>2500</v>
      </c>
      <c r="N263" s="3">
        <f>I263+L263</f>
        <v>265.65740643933287</v>
      </c>
      <c r="P263" t="s">
        <v>306</v>
      </c>
      <c r="Q263" s="3">
        <f>H263*$P$253</f>
        <v>0.5</v>
      </c>
      <c r="R263" s="3">
        <f>VLOOKUP(P263&amp;"Total",$D:$AB,2,FALSE)/100*Q263</f>
        <v>164.14351609833207</v>
      </c>
      <c r="S263" t="s">
        <v>59</v>
      </c>
      <c r="T263" s="3">
        <f>K263*$P$253</f>
        <v>3000</v>
      </c>
      <c r="U263" s="3">
        <f>VLOOKUP(S263&amp;"Total",$D:$AB,2,FALSE)/100*T263</f>
        <v>500.00000000000006</v>
      </c>
      <c r="V263" s="3">
        <f>M263*$P$253</f>
        <v>6250</v>
      </c>
      <c r="W263" s="3">
        <f>R263+U263</f>
        <v>664.14351609833216</v>
      </c>
      <c r="X263" s="15">
        <f>W263/V263</f>
        <v>0.10626296257573314</v>
      </c>
    </row>
    <row r="268" spans="1:37" x14ac:dyDescent="0.25">
      <c r="A268" t="s">
        <v>176</v>
      </c>
      <c r="B268" t="s">
        <v>177</v>
      </c>
      <c r="K268" t="s">
        <v>178</v>
      </c>
      <c r="L268" s="1">
        <v>0.5</v>
      </c>
      <c r="M268" s="1">
        <v>1</v>
      </c>
      <c r="N268" s="1">
        <v>1.5</v>
      </c>
      <c r="O268" s="1">
        <v>2</v>
      </c>
      <c r="P268" s="1">
        <v>2.5</v>
      </c>
    </row>
    <row r="269" spans="1:37" x14ac:dyDescent="0.25">
      <c r="A269">
        <v>3.96</v>
      </c>
      <c r="B269">
        <v>9.9</v>
      </c>
      <c r="K269" t="s">
        <v>179</v>
      </c>
      <c r="L269" s="2">
        <v>1.6</v>
      </c>
      <c r="M269" s="2" t="s">
        <v>180</v>
      </c>
      <c r="N269" s="2">
        <v>45086</v>
      </c>
      <c r="O269" s="2">
        <v>44972</v>
      </c>
      <c r="P269" s="2">
        <v>45128</v>
      </c>
    </row>
    <row r="270" spans="1:37" x14ac:dyDescent="0.25">
      <c r="A270">
        <v>9.84</v>
      </c>
      <c r="B270">
        <v>24.6</v>
      </c>
      <c r="K270" t="s">
        <v>181</v>
      </c>
      <c r="L270" s="2" t="s">
        <v>182</v>
      </c>
      <c r="M270" s="2" t="s">
        <v>183</v>
      </c>
      <c r="N270" s="2" t="s">
        <v>184</v>
      </c>
      <c r="O270" s="2" t="s">
        <v>185</v>
      </c>
      <c r="P270" s="2" t="s">
        <v>186</v>
      </c>
    </row>
    <row r="271" spans="1:37" ht="18" x14ac:dyDescent="0.3">
      <c r="A271">
        <v>22.08</v>
      </c>
      <c r="B271" t="s">
        <v>187</v>
      </c>
      <c r="K271" t="s">
        <v>188</v>
      </c>
      <c r="L271" s="2">
        <v>45178</v>
      </c>
      <c r="M271" s="2" t="s">
        <v>189</v>
      </c>
      <c r="N271" s="2" t="s">
        <v>190</v>
      </c>
      <c r="O271" s="2" t="s">
        <v>191</v>
      </c>
      <c r="P271" s="2" t="s">
        <v>192</v>
      </c>
    </row>
    <row r="272" spans="1:37" ht="18" x14ac:dyDescent="0.3">
      <c r="A272">
        <v>35.880000000000003</v>
      </c>
      <c r="B272" t="s">
        <v>193</v>
      </c>
    </row>
    <row r="274" spans="11:12" x14ac:dyDescent="0.25">
      <c r="K274" t="s">
        <v>194</v>
      </c>
      <c r="L274">
        <v>60</v>
      </c>
    </row>
    <row r="275" spans="11:12" x14ac:dyDescent="0.25">
      <c r="K275" t="s">
        <v>195</v>
      </c>
      <c r="L275">
        <v>120</v>
      </c>
    </row>
    <row r="276" spans="11:12" x14ac:dyDescent="0.25">
      <c r="K276" t="s">
        <v>196</v>
      </c>
      <c r="L276">
        <v>240</v>
      </c>
    </row>
    <row r="277" spans="11:12" x14ac:dyDescent="0.25">
      <c r="K277" t="s">
        <v>197</v>
      </c>
      <c r="L277">
        <v>480</v>
      </c>
    </row>
    <row r="278" spans="11:12" x14ac:dyDescent="0.25">
      <c r="K278" t="s">
        <v>198</v>
      </c>
      <c r="L278">
        <v>780</v>
      </c>
    </row>
  </sheetData>
  <mergeCells count="7">
    <mergeCell ref="AA65:AK65"/>
    <mergeCell ref="P65:R65"/>
    <mergeCell ref="I3:L3"/>
    <mergeCell ref="M3:N3"/>
    <mergeCell ref="G65:I65"/>
    <mergeCell ref="J65:L65"/>
    <mergeCell ref="M65:O65"/>
  </mergeCells>
  <conditionalFormatting sqref="AA67:AK261">
    <cfRule type="cellIs" dxfId="2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539D-64E3-4EF3-9E9F-DF5AEE4C6399}">
  <dimension ref="A1:AM80"/>
  <sheetViews>
    <sheetView workbookViewId="0">
      <pane ySplit="1" topLeftCell="A20" activePane="bottomLeft" state="frozen"/>
      <selection pane="bottomLeft" activeCell="A30" sqref="A30:U30"/>
    </sheetView>
  </sheetViews>
  <sheetFormatPr baseColWidth="10" defaultColWidth="11.42578125" defaultRowHeight="15" x14ac:dyDescent="0.25"/>
  <cols>
    <col min="1" max="1" width="16.7109375" customWidth="1"/>
    <col min="2" max="3" width="5.42578125" customWidth="1"/>
    <col min="4" max="4" width="5.7109375" style="30" customWidth="1"/>
    <col min="5" max="5" width="6.7109375" style="30" customWidth="1"/>
    <col min="6" max="6" width="5.42578125" style="32" customWidth="1"/>
    <col min="7" max="7" width="7.42578125" style="27" customWidth="1"/>
    <col min="8" max="8" width="8.140625" style="47" customWidth="1"/>
    <col min="9" max="9" width="6.5703125" style="47" customWidth="1"/>
    <col min="10" max="10" width="8" style="35" customWidth="1"/>
    <col min="11" max="11" width="5.42578125" style="27" customWidth="1"/>
    <col min="12" max="12" width="8.28515625" style="27" customWidth="1"/>
    <col min="13" max="13" width="5.7109375" style="4" customWidth="1"/>
    <col min="14" max="14" width="5.42578125" style="4" customWidth="1"/>
    <col min="15" max="15" width="7.85546875" style="47" customWidth="1"/>
    <col min="16" max="16" width="11.85546875" customWidth="1"/>
    <col min="17" max="17" width="8.28515625" style="3" customWidth="1"/>
    <col min="18" max="18" width="5.42578125" style="32" customWidth="1"/>
    <col min="19" max="19" width="11.85546875" customWidth="1"/>
    <col min="20" max="20" width="8.28515625" style="3" customWidth="1"/>
    <col min="21" max="21" width="5.42578125" style="27" customWidth="1"/>
    <col min="22" max="22" width="11.85546875" customWidth="1"/>
    <col min="23" max="23" width="8.28515625" style="3" customWidth="1"/>
    <col min="24" max="24" width="5.42578125" style="27" customWidth="1"/>
    <col min="25" max="25" width="11.85546875" customWidth="1"/>
    <col min="26" max="26" width="8.28515625" style="3" customWidth="1"/>
    <col min="27" max="27" width="5.42578125" style="4" customWidth="1"/>
    <col min="29" max="39" width="6.5703125" style="3" customWidth="1"/>
  </cols>
  <sheetData>
    <row r="1" spans="1:39" ht="90" x14ac:dyDescent="0.25">
      <c r="A1" s="38" t="s">
        <v>199</v>
      </c>
      <c r="B1" s="38" t="s">
        <v>200</v>
      </c>
      <c r="C1" s="38" t="s">
        <v>201</v>
      </c>
      <c r="D1" s="39" t="s">
        <v>202</v>
      </c>
      <c r="E1" s="39" t="s">
        <v>203</v>
      </c>
      <c r="F1" s="40" t="s">
        <v>204</v>
      </c>
      <c r="G1" s="43" t="s">
        <v>205</v>
      </c>
      <c r="H1" s="45" t="s">
        <v>206</v>
      </c>
      <c r="I1" s="46" t="s">
        <v>207</v>
      </c>
      <c r="J1" s="41" t="s">
        <v>208</v>
      </c>
      <c r="K1" s="40" t="s">
        <v>209</v>
      </c>
      <c r="L1" s="40" t="s">
        <v>210</v>
      </c>
      <c r="M1" s="40" t="s">
        <v>211</v>
      </c>
      <c r="N1" s="40" t="s">
        <v>212</v>
      </c>
      <c r="O1" s="40" t="s">
        <v>213</v>
      </c>
      <c r="P1" s="38" t="s">
        <v>214</v>
      </c>
      <c r="Q1" s="36" t="s">
        <v>215</v>
      </c>
      <c r="R1" s="37" t="s">
        <v>216</v>
      </c>
      <c r="S1" s="36" t="s">
        <v>217</v>
      </c>
      <c r="T1" s="36" t="s">
        <v>218</v>
      </c>
      <c r="U1" s="37" t="s">
        <v>219</v>
      </c>
      <c r="V1" s="36" t="s">
        <v>220</v>
      </c>
      <c r="W1" s="36" t="s">
        <v>221</v>
      </c>
      <c r="X1" s="37" t="s">
        <v>222</v>
      </c>
      <c r="Y1" s="36" t="s">
        <v>223</v>
      </c>
      <c r="Z1" s="36" t="s">
        <v>224</v>
      </c>
      <c r="AA1" s="37" t="s">
        <v>225</v>
      </c>
      <c r="AC1" s="37" t="s">
        <v>13</v>
      </c>
      <c r="AD1" s="37" t="s">
        <v>18</v>
      </c>
      <c r="AE1" s="37" t="s">
        <v>19</v>
      </c>
      <c r="AF1" s="37" t="s">
        <v>20</v>
      </c>
      <c r="AG1" s="37" t="s">
        <v>21</v>
      </c>
      <c r="AH1" s="37" t="s">
        <v>22</v>
      </c>
      <c r="AI1" s="37" t="s">
        <v>23</v>
      </c>
      <c r="AJ1" s="37" t="s">
        <v>24</v>
      </c>
      <c r="AK1" s="37" t="s">
        <v>25</v>
      </c>
      <c r="AL1" s="37" t="s">
        <v>26</v>
      </c>
      <c r="AM1" s="37" t="s">
        <v>29</v>
      </c>
    </row>
    <row r="2" spans="1:39" x14ac:dyDescent="0.25">
      <c r="A2" t="s">
        <v>13</v>
      </c>
      <c r="D2" s="30">
        <f t="shared" ref="D2:D12" si="0">SUMIFS(Q:Q,P:P,A2)+SUMIFS(T:T,S:S,A2)+SUMIFS(W:W,V:V,A2)+SUMIFS(Z:Z,Y:Y,A2)</f>
        <v>870</v>
      </c>
      <c r="E2" s="30">
        <f>D2+C2</f>
        <v>870</v>
      </c>
      <c r="F2" s="32">
        <f t="shared" ref="F2:F12" si="1">COUNTIFS(P:P,A2,Q:Q,"&gt;0")+COUNTIFS(S:S,A2,T:T,"&gt;0")+COUNTIFS(V:V,A2,W:W,"&gt;0")+COUNTIFS(Y:Y,A2,Z:Z,"&gt;0")</f>
        <v>1</v>
      </c>
      <c r="G2" s="32">
        <f t="shared" ref="G2:G12" si="2">ROUNDUP((C2+D2)/M2,0)</f>
        <v>2</v>
      </c>
      <c r="J2" s="34"/>
      <c r="K2" s="32">
        <f t="shared" ref="K2:K10" si="3">SUMIFS(R:R,P:P,A2)+SUMIFS(U:U,S:S,A2)+SUMIFS(X:X,V:V,A2)+SUMIFS(AA:AA,Y:Y,A2)</f>
        <v>2</v>
      </c>
      <c r="L2" s="27">
        <f t="shared" ref="L2:L12" si="4">G2*N2</f>
        <v>72.8</v>
      </c>
      <c r="M2" s="24">
        <v>480</v>
      </c>
      <c r="N2" s="24">
        <v>36.4</v>
      </c>
      <c r="O2" s="47">
        <v>3</v>
      </c>
      <c r="P2">
        <f>O2*M2+Q2</f>
        <v>1440</v>
      </c>
      <c r="AC2" s="3">
        <f>SUM(AC$15:AC$70)</f>
        <v>845.95726495726501</v>
      </c>
    </row>
    <row r="3" spans="1:39" x14ac:dyDescent="0.25">
      <c r="A3" t="s">
        <v>18</v>
      </c>
      <c r="D3" s="30">
        <f t="shared" si="0"/>
        <v>383.99999999999994</v>
      </c>
      <c r="E3" s="30">
        <f t="shared" ref="E3:E70" si="5">D3+C3</f>
        <v>383.99999999999994</v>
      </c>
      <c r="F3" s="32">
        <f t="shared" si="1"/>
        <v>1</v>
      </c>
      <c r="G3" s="32">
        <f t="shared" si="2"/>
        <v>1</v>
      </c>
      <c r="J3" s="34"/>
      <c r="K3" s="32">
        <f t="shared" si="3"/>
        <v>1</v>
      </c>
      <c r="L3" s="27">
        <f t="shared" si="4"/>
        <v>36.4</v>
      </c>
      <c r="M3" s="24">
        <v>480</v>
      </c>
      <c r="N3" s="24">
        <v>36.4</v>
      </c>
      <c r="O3" s="47" t="s">
        <v>227</v>
      </c>
      <c r="P3">
        <v>480</v>
      </c>
      <c r="AD3" s="3">
        <f>SUM(AD$15:AD$70)</f>
        <v>369.00000000000006</v>
      </c>
    </row>
    <row r="4" spans="1:39" x14ac:dyDescent="0.25">
      <c r="A4" t="s">
        <v>19</v>
      </c>
      <c r="D4" s="30">
        <f t="shared" si="0"/>
        <v>1035</v>
      </c>
      <c r="E4" s="30">
        <f t="shared" si="5"/>
        <v>1035</v>
      </c>
      <c r="F4" s="32">
        <f t="shared" si="1"/>
        <v>1</v>
      </c>
      <c r="G4" s="32">
        <f t="shared" si="2"/>
        <v>3</v>
      </c>
      <c r="J4" s="34"/>
      <c r="K4" s="32">
        <f t="shared" si="3"/>
        <v>3</v>
      </c>
      <c r="L4" s="27">
        <f t="shared" si="4"/>
        <v>109.19999999999999</v>
      </c>
      <c r="M4" s="24">
        <v>480</v>
      </c>
      <c r="N4" s="24">
        <v>36.4</v>
      </c>
      <c r="O4" s="47">
        <v>2</v>
      </c>
      <c r="P4">
        <f>O4*M4+Q4</f>
        <v>1200</v>
      </c>
      <c r="Q4" s="3">
        <v>240</v>
      </c>
      <c r="AE4" s="3">
        <f>SUM(AE$15:AE$70)</f>
        <v>1017</v>
      </c>
    </row>
    <row r="5" spans="1:39" x14ac:dyDescent="0.25">
      <c r="A5" t="s">
        <v>20</v>
      </c>
      <c r="D5" s="30">
        <f t="shared" si="0"/>
        <v>851.00000000000011</v>
      </c>
      <c r="E5" s="30">
        <f t="shared" si="5"/>
        <v>851.00000000000011</v>
      </c>
      <c r="F5" s="32">
        <f t="shared" si="1"/>
        <v>2</v>
      </c>
      <c r="G5" s="32">
        <f t="shared" si="2"/>
        <v>2</v>
      </c>
      <c r="J5" s="34"/>
      <c r="K5" s="32">
        <f t="shared" si="3"/>
        <v>2</v>
      </c>
      <c r="L5" s="27">
        <f t="shared" si="4"/>
        <v>72.8</v>
      </c>
      <c r="M5" s="24">
        <v>480</v>
      </c>
      <c r="N5" s="24">
        <v>36.4</v>
      </c>
      <c r="O5" s="47">
        <v>2</v>
      </c>
      <c r="P5">
        <f>O5*M5+Q5</f>
        <v>960</v>
      </c>
      <c r="AF5" s="3">
        <f>SUM(AF$15:AF$70)+Q79</f>
        <v>833.45726495726512</v>
      </c>
    </row>
    <row r="6" spans="1:39" x14ac:dyDescent="0.25">
      <c r="A6" t="s">
        <v>21</v>
      </c>
      <c r="D6" s="30">
        <f t="shared" si="0"/>
        <v>499.5</v>
      </c>
      <c r="E6" s="30">
        <f t="shared" si="5"/>
        <v>499.5</v>
      </c>
      <c r="F6" s="32">
        <f t="shared" si="1"/>
        <v>1</v>
      </c>
      <c r="G6" s="32">
        <f t="shared" si="2"/>
        <v>2</v>
      </c>
      <c r="J6" s="34"/>
      <c r="K6" s="32">
        <f t="shared" si="3"/>
        <v>2</v>
      </c>
      <c r="L6" s="27">
        <f t="shared" si="4"/>
        <v>72.8</v>
      </c>
      <c r="M6" s="24">
        <v>480</v>
      </c>
      <c r="N6" s="24">
        <v>36.4</v>
      </c>
      <c r="O6" s="47" t="s">
        <v>226</v>
      </c>
      <c r="P6">
        <v>960</v>
      </c>
      <c r="AG6" s="3">
        <f>SUM(AG$15:AG$70)</f>
        <v>478.45000000000005</v>
      </c>
    </row>
    <row r="7" spans="1:39" x14ac:dyDescent="0.25">
      <c r="A7" t="s">
        <v>22</v>
      </c>
      <c r="D7" s="30">
        <f t="shared" si="0"/>
        <v>132</v>
      </c>
      <c r="E7" s="30">
        <f t="shared" si="5"/>
        <v>132</v>
      </c>
      <c r="F7" s="32">
        <f t="shared" si="1"/>
        <v>2</v>
      </c>
      <c r="G7" s="32">
        <f t="shared" si="2"/>
        <v>1</v>
      </c>
      <c r="J7" s="34"/>
      <c r="K7" s="32">
        <f t="shared" si="3"/>
        <v>2</v>
      </c>
      <c r="L7" s="27">
        <f t="shared" si="4"/>
        <v>36.4</v>
      </c>
      <c r="M7" s="24">
        <v>480</v>
      </c>
      <c r="N7" s="24">
        <v>36.4</v>
      </c>
      <c r="O7" s="47" t="s">
        <v>229</v>
      </c>
      <c r="P7">
        <v>240</v>
      </c>
      <c r="AH7" s="3">
        <f>SUM(AH$15:AH$70)</f>
        <v>123.36666666666665</v>
      </c>
    </row>
    <row r="8" spans="1:39" x14ac:dyDescent="0.25">
      <c r="A8" t="s">
        <v>23</v>
      </c>
      <c r="D8" s="30">
        <f t="shared" si="0"/>
        <v>0</v>
      </c>
      <c r="E8" s="30">
        <f t="shared" si="5"/>
        <v>0</v>
      </c>
      <c r="F8" s="32">
        <f t="shared" si="1"/>
        <v>0</v>
      </c>
      <c r="G8" s="32">
        <f t="shared" si="2"/>
        <v>0</v>
      </c>
      <c r="J8" s="34"/>
      <c r="K8" s="32">
        <f t="shared" si="3"/>
        <v>0</v>
      </c>
      <c r="L8" s="27">
        <f t="shared" si="4"/>
        <v>0</v>
      </c>
      <c r="M8" s="24">
        <v>480</v>
      </c>
      <c r="N8" s="24">
        <v>36.4</v>
      </c>
      <c r="AI8" s="3">
        <f>SUM(AI$15:AI$70)</f>
        <v>0</v>
      </c>
    </row>
    <row r="9" spans="1:39" x14ac:dyDescent="0.25">
      <c r="A9" t="s">
        <v>24</v>
      </c>
      <c r="D9" s="30">
        <f t="shared" si="0"/>
        <v>0</v>
      </c>
      <c r="E9" s="30">
        <f t="shared" si="5"/>
        <v>0</v>
      </c>
      <c r="F9" s="32">
        <f t="shared" si="1"/>
        <v>0</v>
      </c>
      <c r="G9" s="32">
        <f t="shared" si="2"/>
        <v>0</v>
      </c>
      <c r="J9" s="34"/>
      <c r="K9" s="32">
        <f t="shared" si="3"/>
        <v>0</v>
      </c>
      <c r="L9" s="27">
        <f t="shared" si="4"/>
        <v>0</v>
      </c>
      <c r="M9" s="24">
        <v>480</v>
      </c>
      <c r="N9" s="24">
        <v>36.4</v>
      </c>
      <c r="AJ9" s="3">
        <f>SUM(AJ$15:AJ$70)</f>
        <v>0</v>
      </c>
    </row>
    <row r="10" spans="1:39" x14ac:dyDescent="0.25">
      <c r="A10" t="s">
        <v>25</v>
      </c>
      <c r="D10" s="30">
        <f t="shared" si="0"/>
        <v>0</v>
      </c>
      <c r="E10" s="30">
        <f t="shared" si="5"/>
        <v>0</v>
      </c>
      <c r="F10" s="32">
        <f t="shared" si="1"/>
        <v>0</v>
      </c>
      <c r="G10" s="32">
        <f t="shared" si="2"/>
        <v>0</v>
      </c>
      <c r="J10" s="34"/>
      <c r="K10" s="32">
        <f t="shared" si="3"/>
        <v>0</v>
      </c>
      <c r="L10" s="27">
        <f t="shared" si="4"/>
        <v>0</v>
      </c>
      <c r="M10" s="24">
        <v>480</v>
      </c>
      <c r="N10" s="24">
        <v>36.4</v>
      </c>
      <c r="AK10" s="3">
        <f>SUM(AK$15:AK$70)</f>
        <v>0</v>
      </c>
    </row>
    <row r="11" spans="1:39" x14ac:dyDescent="0.25">
      <c r="A11" t="s">
        <v>26</v>
      </c>
      <c r="D11" s="30">
        <f t="shared" si="0"/>
        <v>585</v>
      </c>
      <c r="E11" s="30">
        <f t="shared" si="5"/>
        <v>585</v>
      </c>
      <c r="F11" s="32">
        <f t="shared" si="1"/>
        <v>1</v>
      </c>
      <c r="G11" s="32">
        <f t="shared" si="2"/>
        <v>5</v>
      </c>
      <c r="J11" s="34"/>
      <c r="K11" s="32"/>
      <c r="L11" s="27">
        <f t="shared" si="4"/>
        <v>100</v>
      </c>
      <c r="M11" s="24">
        <v>120</v>
      </c>
      <c r="N11" s="24">
        <v>20</v>
      </c>
      <c r="AL11" s="3">
        <f>SUM(AL$15:AL$70)+T79</f>
        <v>585</v>
      </c>
    </row>
    <row r="12" spans="1:39" x14ac:dyDescent="0.25">
      <c r="A12" t="s">
        <v>29</v>
      </c>
      <c r="D12" s="30">
        <f t="shared" si="0"/>
        <v>225</v>
      </c>
      <c r="E12" s="30">
        <f t="shared" si="5"/>
        <v>225</v>
      </c>
      <c r="F12" s="32">
        <f t="shared" si="1"/>
        <v>1</v>
      </c>
      <c r="G12" s="32">
        <f t="shared" si="2"/>
        <v>1</v>
      </c>
      <c r="J12" s="34"/>
      <c r="K12" s="32"/>
      <c r="L12" s="27">
        <f t="shared" si="4"/>
        <v>134.31</v>
      </c>
      <c r="M12" s="24">
        <v>600</v>
      </c>
      <c r="N12" s="24">
        <v>134.31</v>
      </c>
      <c r="AM12" s="3">
        <f>SUM(AM$15:AM$70)</f>
        <v>221.25</v>
      </c>
    </row>
    <row r="13" spans="1:39" x14ac:dyDescent="0.25">
      <c r="D13"/>
      <c r="J13" s="34"/>
      <c r="K13" s="32"/>
      <c r="M13"/>
      <c r="N13"/>
      <c r="Q13"/>
      <c r="T13"/>
      <c r="U13" s="4"/>
      <c r="W13"/>
      <c r="X13" s="4"/>
      <c r="Z13"/>
    </row>
    <row r="14" spans="1:39" x14ac:dyDescent="0.25">
      <c r="A14" s="6" t="s">
        <v>64</v>
      </c>
      <c r="D14" s="30">
        <f>SUMIFS(Q:Q,P:P,A14)+SUMIFS(T:T,S:S,A14)+SUMIFS(W:W,V:V,A14)+SUMIFS(Z:Z,Y:Y,A14)</f>
        <v>165.89999999999998</v>
      </c>
      <c r="E14" s="30">
        <f>D14+C14</f>
        <v>165.89999999999998</v>
      </c>
      <c r="F14" s="32">
        <f>COUNTIFS(P:P,A14,Q:Q,"&gt;0")+COUNTIFS(S:S,A14,T:T,"&gt;0")+COUNTIFS(V:V,A14,W:W,"&gt;0")+COUNTIFS(Y:Y,A14,Z:Z,"&gt;0")</f>
        <v>2</v>
      </c>
      <c r="G14" s="27">
        <f>ROUNDUP((C14+D14)/M14,1)</f>
        <v>11.1</v>
      </c>
      <c r="H14" s="47">
        <f>G14*M14</f>
        <v>166.5</v>
      </c>
      <c r="I14" s="47">
        <f>MOD(H14,M14)</f>
        <v>1.5</v>
      </c>
      <c r="J14" s="34" t="str">
        <f>VLOOKUP($A14&amp;"Total",Rezepte!$D:$Z,19,FALSE)</f>
        <v>smelter</v>
      </c>
      <c r="K14" s="32">
        <f>SUMIFS(R:R,P:P,A14)+SUMIFS(U:U,S:S,A14)+SUMIFS(X:X,V:V,A14)+SUMIFS(AA:AA,Y:Y,A14)</f>
        <v>2</v>
      </c>
      <c r="L14" s="27">
        <f>G14*N14</f>
        <v>44.4</v>
      </c>
      <c r="M14" s="4">
        <f>VLOOKUP($A14&amp;"Total",Rezepte!$D:$Z,21,FALSE)</f>
        <v>15</v>
      </c>
      <c r="N14" s="4">
        <f>VLOOKUP($A14&amp;"Total",Rezepte!$D:$Z,20,FALSE)</f>
        <v>4</v>
      </c>
      <c r="O14" s="47">
        <v>166.5</v>
      </c>
      <c r="P14" t="str">
        <f>VLOOKUP($A14&amp;"Total",Rezepte!$D:$Z,4,FALSE)</f>
        <v>caterium ore</v>
      </c>
      <c r="Q14" s="3">
        <f>VLOOKUP($A14&amp;"Total",Rezepte!$D:$Z,5,FALSE)*G14</f>
        <v>499.5</v>
      </c>
      <c r="R14" s="32">
        <f>ROUNDUP(Q14/$P$76,0)</f>
        <v>2</v>
      </c>
      <c r="S14" t="str">
        <f>VLOOKUP($A14&amp;"Total",Rezepte!$D:$Z,7,FALSE)</f>
        <v>nothing</v>
      </c>
      <c r="T14" s="3">
        <f>VLOOKUP($A14&amp;"Total",Rezepte!$D:$Z,8,FALSE)*G14</f>
        <v>0</v>
      </c>
      <c r="U14" s="32">
        <f>ROUNDUP(T14/$P$76,0)</f>
        <v>0</v>
      </c>
      <c r="V14" t="str">
        <f>VLOOKUP($A14&amp;"Total",Rezepte!$D:$Z,10,FALSE)</f>
        <v>nothing</v>
      </c>
      <c r="W14" s="3">
        <f>VLOOKUP($A14&amp;"Total",Rezepte!$D:$Z,11,FALSE)*G14</f>
        <v>0</v>
      </c>
      <c r="X14" s="32">
        <f>ROUNDUP(W14/$P$76,0)</f>
        <v>0</v>
      </c>
      <c r="Y14" t="str">
        <f>VLOOKUP($A14&amp;"Total",Rezepte!$D:$Z,13,FALSE)</f>
        <v>nothing</v>
      </c>
      <c r="Z14" s="3">
        <f>VLOOKUP($A14&amp;"Total",Rezepte!$D:$Z,14,FALSE)*G14</f>
        <v>0</v>
      </c>
      <c r="AA14" s="32">
        <f>ROUNDUP(Z14/$P$76,0)</f>
        <v>0</v>
      </c>
      <c r="AC14" s="3">
        <f>VLOOKUP($A14&amp;"Total",Rezepte!$D:$AK,24,FALSE)/100*$C14</f>
        <v>0</v>
      </c>
      <c r="AD14" s="3">
        <f>VLOOKUP($A14&amp;"Total",Rezepte!$D:$AK,25,FALSE)/100*$C14</f>
        <v>0</v>
      </c>
      <c r="AE14" s="3">
        <f>VLOOKUP($A14&amp;"Total",Rezepte!$D:$AK,26,FALSE)/100*$C14</f>
        <v>0</v>
      </c>
      <c r="AF14" s="3">
        <f>VLOOKUP($A14&amp;"Total",Rezepte!$D:$AK,27,FALSE)/100*$C14</f>
        <v>0</v>
      </c>
      <c r="AG14" s="3">
        <f>VLOOKUP($A14&amp;"Total",Rezepte!$D:$AK,28,FALSE)/100*$C14</f>
        <v>0</v>
      </c>
      <c r="AH14" s="3">
        <f>VLOOKUP($A14&amp;"Total",Rezepte!$D:$AK,29,FALSE)/100*$C14</f>
        <v>0</v>
      </c>
      <c r="AI14" s="3">
        <f>VLOOKUP($A14&amp;"Total",Rezepte!$D:$AK,30,FALSE)/100*$C14</f>
        <v>0</v>
      </c>
      <c r="AJ14" s="3">
        <f>VLOOKUP($A14&amp;"Total",Rezepte!$D:$AK,31,FALSE)/100*$C14</f>
        <v>0</v>
      </c>
      <c r="AK14" s="3">
        <f>VLOOKUP($A14&amp;"Total",Rezepte!$D:$AK,32,FALSE)/100*$C14</f>
        <v>0</v>
      </c>
      <c r="AL14" s="3">
        <f>VLOOKUP($A14&amp;"Total",Rezepte!$D:$AK,33,FALSE)/100*$C14</f>
        <v>0</v>
      </c>
      <c r="AM14" s="3">
        <f>VLOOKUP($A14&amp;"Total",Rezepte!$D:$AK,34,FALSE)/100*$C14</f>
        <v>0</v>
      </c>
    </row>
    <row r="16" spans="1:39" x14ac:dyDescent="0.25">
      <c r="A16" t="s">
        <v>74</v>
      </c>
      <c r="C16">
        <v>5</v>
      </c>
      <c r="D16" s="30">
        <f>SUMIFS(Q:Q,P:P,A16)+SUMIFS(T:T,S:S,A16)+SUMIFS(W:W,V:V,A16)+SUMIFS(Z:Z,Y:Y,A16)</f>
        <v>35.625</v>
      </c>
      <c r="E16" s="30">
        <f>D16+C16</f>
        <v>40.625</v>
      </c>
      <c r="F16" s="32">
        <f>COUNTIFS(P:P,A16,Q:Q,"&gt;0")+COUNTIFS(S:S,A16,T:T,"&gt;0")+COUNTIFS(V:V,A16,W:W,"&gt;0")+COUNTIFS(Y:Y,A16,Z:Z,"&gt;0")</f>
        <v>1</v>
      </c>
      <c r="G16" s="27">
        <f>ROUNDUP((C16+D16)/M16,1)</f>
        <v>1.9000000000000001</v>
      </c>
      <c r="H16" s="47">
        <f>G16*M16</f>
        <v>42.75</v>
      </c>
      <c r="I16" s="47">
        <f>MOD(H16,M16)</f>
        <v>20.25</v>
      </c>
      <c r="J16" s="34" t="str">
        <f>VLOOKUP($A16&amp;"Total",Rezepte!$D:$Z,19,FALSE)</f>
        <v>constructor</v>
      </c>
      <c r="K16" s="32">
        <f>SUMIFS(R:R,P:P,A16)+SUMIFS(U:U,S:S,A16)+SUMIFS(X:X,V:V,A16)+SUMIFS(AA:AA,Y:Y,A16)</f>
        <v>1</v>
      </c>
      <c r="L16" s="27">
        <f>G16*N16</f>
        <v>7.6000000000000005</v>
      </c>
      <c r="M16" s="44">
        <f>VLOOKUP($A16&amp;"Total",Rezepte!$D:$Z,21,FALSE)</f>
        <v>22.5</v>
      </c>
      <c r="N16" s="4">
        <f>VLOOKUP($A16&amp;"Total",Rezepte!$D:$Z,20,FALSE)</f>
        <v>4</v>
      </c>
      <c r="O16" s="47">
        <v>42.75</v>
      </c>
      <c r="P16" t="str">
        <f>VLOOKUP($A16&amp;"Total",Rezepte!$D:$Z,4,FALSE)</f>
        <v>raw quartz</v>
      </c>
      <c r="Q16" s="3">
        <f>VLOOKUP($A16&amp;"Total",Rezepte!$D:$Z,5,FALSE)*G16</f>
        <v>71.25</v>
      </c>
      <c r="R16" s="32">
        <f>ROUNDUP(Q16/$P$76,0)</f>
        <v>1</v>
      </c>
      <c r="S16" t="str">
        <f>VLOOKUP($A16&amp;"Total",Rezepte!$D:$Z,7,FALSE)</f>
        <v>nothing</v>
      </c>
      <c r="T16" s="3">
        <f>VLOOKUP($A16&amp;"Total",Rezepte!$D:$Z,8,FALSE)*G16</f>
        <v>0</v>
      </c>
      <c r="U16" s="32">
        <f>ROUNDUP(T16/$P$76,0)</f>
        <v>0</v>
      </c>
      <c r="V16" t="str">
        <f>VLOOKUP($A16&amp;"Total",Rezepte!$D:$Z,10,FALSE)</f>
        <v>nothing</v>
      </c>
      <c r="W16" s="3">
        <f>VLOOKUP($A16&amp;"Total",Rezepte!$D:$Z,11,FALSE)*G16</f>
        <v>0</v>
      </c>
      <c r="X16" s="32">
        <f>ROUNDUP(W16/$P$76,0)</f>
        <v>0</v>
      </c>
      <c r="Y16" t="str">
        <f>VLOOKUP($A16&amp;"Total",Rezepte!$D:$Z,13,FALSE)</f>
        <v>nothing</v>
      </c>
      <c r="Z16" s="3">
        <f>VLOOKUP($A16&amp;"Total",Rezepte!$D:$Z,14,FALSE)*G16</f>
        <v>0</v>
      </c>
      <c r="AA16" s="32">
        <f>ROUNDUP(Z16/$P$76,0)</f>
        <v>0</v>
      </c>
      <c r="AC16" s="3">
        <f>VLOOKUP($A16&amp;"Total",Rezepte!$D:$AK,24,FALSE)/100*$C16</f>
        <v>0</v>
      </c>
      <c r="AD16" s="3">
        <f>VLOOKUP($A16&amp;"Total",Rezepte!$D:$AK,25,FALSE)/100*$C16</f>
        <v>0</v>
      </c>
      <c r="AE16" s="3">
        <f>VLOOKUP($A16&amp;"Total",Rezepte!$D:$AK,26,FALSE)/100*$C16</f>
        <v>0</v>
      </c>
      <c r="AF16" s="3">
        <f>VLOOKUP($A16&amp;"Total",Rezepte!$D:$AK,27,FALSE)/100*$C16</f>
        <v>0</v>
      </c>
      <c r="AG16" s="3">
        <f>VLOOKUP($A16&amp;"Total",Rezepte!$D:$AK,28,FALSE)/100*$C16</f>
        <v>0</v>
      </c>
      <c r="AH16" s="3">
        <f>VLOOKUP($A16&amp;"Total",Rezepte!$D:$AK,29,FALSE)/100*$C16</f>
        <v>8.3333333333333321</v>
      </c>
      <c r="AI16" s="3">
        <f>VLOOKUP($A16&amp;"Total",Rezepte!$D:$AK,30,FALSE)/100*$C16</f>
        <v>0</v>
      </c>
      <c r="AJ16" s="3">
        <f>VLOOKUP($A16&amp;"Total",Rezepte!$D:$AK,31,FALSE)/100*$C16</f>
        <v>0</v>
      </c>
      <c r="AK16" s="3">
        <f>VLOOKUP($A16&amp;"Total",Rezepte!$D:$AK,32,FALSE)/100*$C16</f>
        <v>0</v>
      </c>
      <c r="AL16" s="3">
        <f>VLOOKUP($A16&amp;"Total",Rezepte!$D:$AK,33,FALSE)/100*$C16</f>
        <v>0</v>
      </c>
      <c r="AM16" s="3">
        <f>VLOOKUP($A16&amp;"Total",Rezepte!$D:$AK,34,FALSE)/100*$C16</f>
        <v>0</v>
      </c>
    </row>
    <row r="17" spans="1:39" x14ac:dyDescent="0.25">
      <c r="A17" t="s">
        <v>69</v>
      </c>
      <c r="C17">
        <v>5</v>
      </c>
      <c r="D17" s="30">
        <f>SUMIFS(Q:Q,P:P,A17)+SUMIFS(T:T,S:S,A17)+SUMIFS(W:W,V:V,A17)+SUMIFS(Z:Z,Y:Y,A17)</f>
        <v>94.75</v>
      </c>
      <c r="E17" s="30">
        <f>D17+C17</f>
        <v>99.75</v>
      </c>
      <c r="F17" s="32">
        <f>COUNTIFS(P:P,A17,Q:Q,"&gt;0")+COUNTIFS(S:S,A17,T:T,"&gt;0")+COUNTIFS(V:V,A17,W:W,"&gt;0")+COUNTIFS(Y:Y,A17,Z:Z,"&gt;0")</f>
        <v>2</v>
      </c>
      <c r="G17" s="27">
        <f>ROUNDUP((C17+D17)/M17,1)</f>
        <v>2.7</v>
      </c>
      <c r="H17" s="47">
        <f>G17*M17</f>
        <v>101.25</v>
      </c>
      <c r="I17" s="47">
        <f>MOD(H17,M17)</f>
        <v>26.25</v>
      </c>
      <c r="J17" s="34" t="str">
        <f>VLOOKUP($A17&amp;"Total",Rezepte!$D:$Z,19,FALSE)</f>
        <v>constructor</v>
      </c>
      <c r="K17" s="32">
        <f>SUMIFS(R:R,P:P,A17)+SUMIFS(U:U,S:S,A17)+SUMIFS(X:X,V:V,A17)+SUMIFS(AA:AA,Y:Y,A17)</f>
        <v>2</v>
      </c>
      <c r="L17" s="27">
        <f>G17*N17</f>
        <v>10.8</v>
      </c>
      <c r="M17" s="4">
        <f>VLOOKUP($A17&amp;"Total",Rezepte!$D:$Z,21,FALSE)</f>
        <v>37.5</v>
      </c>
      <c r="N17" s="4">
        <f>VLOOKUP($A17&amp;"Total",Rezepte!$D:$Z,20,FALSE)</f>
        <v>4</v>
      </c>
      <c r="O17" s="47">
        <v>101.25</v>
      </c>
      <c r="P17" t="str">
        <f>VLOOKUP($A17&amp;"Total",Rezepte!$D:$Z,4,FALSE)</f>
        <v>raw quartz</v>
      </c>
      <c r="Q17" s="3">
        <f>VLOOKUP($A17&amp;"Total",Rezepte!$D:$Z,5,FALSE)*G17</f>
        <v>60.750000000000007</v>
      </c>
      <c r="R17" s="32">
        <f>ROUNDUP(Q17/$P$76,0)</f>
        <v>1</v>
      </c>
      <c r="S17" t="str">
        <f>VLOOKUP($A17&amp;"Total",Rezepte!$D:$Z,7,FALSE)</f>
        <v>nothing</v>
      </c>
      <c r="T17" s="3">
        <f>VLOOKUP($A17&amp;"Total",Rezepte!$D:$Z,8,FALSE)*G17</f>
        <v>0</v>
      </c>
      <c r="U17" s="32">
        <f>ROUNDUP(T17/$P$76,0)</f>
        <v>0</v>
      </c>
      <c r="V17" t="str">
        <f>VLOOKUP($A17&amp;"Total",Rezepte!$D:$Z,10,FALSE)</f>
        <v>nothing</v>
      </c>
      <c r="W17" s="3">
        <f>VLOOKUP($A17&amp;"Total",Rezepte!$D:$Z,11,FALSE)*G17</f>
        <v>0</v>
      </c>
      <c r="X17" s="32">
        <f>ROUNDUP(W17/$P$76,0)</f>
        <v>0</v>
      </c>
      <c r="Y17" t="str">
        <f>VLOOKUP($A17&amp;"Total",Rezepte!$D:$Z,13,FALSE)</f>
        <v>nothing</v>
      </c>
      <c r="Z17" s="3">
        <f>VLOOKUP($A17&amp;"Total",Rezepte!$D:$Z,14,FALSE)*G17</f>
        <v>0</v>
      </c>
      <c r="AA17" s="32">
        <f>ROUNDUP(Z17/$P$76,0)</f>
        <v>0</v>
      </c>
      <c r="AC17" s="3">
        <f>VLOOKUP($A17&amp;"Total",Rezepte!$D:$AK,24,FALSE)/100*$C17</f>
        <v>0</v>
      </c>
      <c r="AD17" s="3">
        <f>VLOOKUP($A17&amp;"Total",Rezepte!$D:$AK,25,FALSE)/100*$C17</f>
        <v>0</v>
      </c>
      <c r="AE17" s="3">
        <f>VLOOKUP($A17&amp;"Total",Rezepte!$D:$AK,26,FALSE)/100*$C17</f>
        <v>0</v>
      </c>
      <c r="AF17" s="3">
        <f>VLOOKUP($A17&amp;"Total",Rezepte!$D:$AK,27,FALSE)/100*$C17</f>
        <v>0</v>
      </c>
      <c r="AG17" s="3">
        <f>VLOOKUP($A17&amp;"Total",Rezepte!$D:$AK,28,FALSE)/100*$C17</f>
        <v>0</v>
      </c>
      <c r="AH17" s="3">
        <f>VLOOKUP($A17&amp;"Total",Rezepte!$D:$AK,29,FALSE)/100*$C17</f>
        <v>3</v>
      </c>
      <c r="AI17" s="3">
        <f>VLOOKUP($A17&amp;"Total",Rezepte!$D:$AK,30,FALSE)/100*$C17</f>
        <v>0</v>
      </c>
      <c r="AJ17" s="3">
        <f>VLOOKUP($A17&amp;"Total",Rezepte!$D:$AK,31,FALSE)/100*$C17</f>
        <v>0</v>
      </c>
      <c r="AK17" s="3">
        <f>VLOOKUP($A17&amp;"Total",Rezepte!$D:$AK,32,FALSE)/100*$C17</f>
        <v>0</v>
      </c>
      <c r="AL17" s="3">
        <f>VLOOKUP($A17&amp;"Total",Rezepte!$D:$AK,33,FALSE)/100*$C17</f>
        <v>0</v>
      </c>
      <c r="AM17" s="3">
        <f>VLOOKUP($A17&amp;"Total",Rezepte!$D:$AK,34,FALSE)/100*$C17</f>
        <v>0</v>
      </c>
    </row>
    <row r="18" spans="1:39" x14ac:dyDescent="0.25">
      <c r="A18" t="s">
        <v>102</v>
      </c>
      <c r="C18">
        <v>5</v>
      </c>
      <c r="D18" s="30">
        <f>SUMIFS(Q:Q,P:P,A18)+SUMIFS(T:T,S:S,A18)+SUMIFS(W:W,V:V,A18)+SUMIFS(Z:Z,Y:Y,A18)</f>
        <v>451.5</v>
      </c>
      <c r="E18" s="30">
        <f>D18+C18</f>
        <v>456.5</v>
      </c>
      <c r="F18" s="32">
        <f>COUNTIFS(P:P,A18,Q:Q,"&gt;0")+COUNTIFS(S:S,A18,T:T,"&gt;0")+COUNTIFS(V:V,A18,W:W,"&gt;0")+COUNTIFS(Y:Y,A18,Z:Z,"&gt;0")</f>
        <v>4</v>
      </c>
      <c r="G18" s="27">
        <f>ROUNDUP((C18+D18)/M18,1)</f>
        <v>7.6999999999999993</v>
      </c>
      <c r="H18" s="47">
        <f>G18*M18</f>
        <v>461.99999999999994</v>
      </c>
      <c r="I18" s="47">
        <f>MOD(H18,M18)</f>
        <v>41.999999999999943</v>
      </c>
      <c r="J18" s="34" t="str">
        <f>VLOOKUP($A18&amp;"Total",Rezepte!$D:$Z,19,FALSE)</f>
        <v>constructor</v>
      </c>
      <c r="K18" s="32">
        <f>SUMIFS(R:R,P:P,A18)+SUMIFS(U:U,S:S,A18)+SUMIFS(X:X,V:V,A18)+SUMIFS(AA:AA,Y:Y,A18)</f>
        <v>4</v>
      </c>
      <c r="L18" s="27">
        <f>G18*N18</f>
        <v>30.799999999999997</v>
      </c>
      <c r="M18" s="4">
        <f>VLOOKUP($A18&amp;"Total",Rezepte!$D:$Z,21,FALSE)</f>
        <v>60</v>
      </c>
      <c r="N18" s="4">
        <f>VLOOKUP($A18&amp;"Total",Rezepte!$D:$Z,20,FALSE)</f>
        <v>4</v>
      </c>
      <c r="O18" s="47">
        <v>462</v>
      </c>
      <c r="P18" t="str">
        <f>VLOOKUP($A18&amp;"Total",Rezepte!$D:$Z,4,FALSE)</f>
        <v>Caterium Ingot</v>
      </c>
      <c r="Q18" s="3">
        <f>VLOOKUP($A18&amp;"Total",Rezepte!$D:$Z,5,FALSE)*G18</f>
        <v>92.399999999999991</v>
      </c>
      <c r="R18" s="32">
        <f>ROUNDUP(Q18/$P$76,0)</f>
        <v>1</v>
      </c>
      <c r="S18" t="str">
        <f>VLOOKUP($A18&amp;"Total",Rezepte!$D:$Z,7,FALSE)</f>
        <v>nothing</v>
      </c>
      <c r="T18" s="3">
        <f>VLOOKUP($A18&amp;"Total",Rezepte!$D:$Z,8,FALSE)*G18</f>
        <v>0</v>
      </c>
      <c r="U18" s="32">
        <f>ROUNDUP(T18/$P$76,0)</f>
        <v>0</v>
      </c>
      <c r="V18" t="str">
        <f>VLOOKUP($A18&amp;"Total",Rezepte!$D:$Z,10,FALSE)</f>
        <v>nothing</v>
      </c>
      <c r="W18" s="3">
        <f>VLOOKUP($A18&amp;"Total",Rezepte!$D:$Z,11,FALSE)*G18</f>
        <v>0</v>
      </c>
      <c r="X18" s="32">
        <f>ROUNDUP(W18/$P$76,0)</f>
        <v>0</v>
      </c>
      <c r="Y18" t="str">
        <f>VLOOKUP($A18&amp;"Total",Rezepte!$D:$Z,13,FALSE)</f>
        <v>nothing</v>
      </c>
      <c r="Z18" s="3">
        <f>VLOOKUP($A18&amp;"Total",Rezepte!$D:$Z,14,FALSE)*G18</f>
        <v>0</v>
      </c>
      <c r="AA18" s="32">
        <f>ROUNDUP(Z18/$P$76,0)</f>
        <v>0</v>
      </c>
      <c r="AC18" s="3">
        <f>VLOOKUP($A18&amp;"Total",Rezepte!$D:$AK,24,FALSE)/100*$C18</f>
        <v>0</v>
      </c>
      <c r="AD18" s="3">
        <f>VLOOKUP($A18&amp;"Total",Rezepte!$D:$AK,25,FALSE)/100*$C18</f>
        <v>0</v>
      </c>
      <c r="AE18" s="3">
        <f>VLOOKUP($A18&amp;"Total",Rezepte!$D:$AK,26,FALSE)/100*$C18</f>
        <v>0</v>
      </c>
      <c r="AF18" s="3">
        <f>VLOOKUP($A18&amp;"Total",Rezepte!$D:$AK,27,FALSE)/100*$C18</f>
        <v>0</v>
      </c>
      <c r="AG18" s="3">
        <f>VLOOKUP($A18&amp;"Total",Rezepte!$D:$AK,28,FALSE)/100*$C18</f>
        <v>3</v>
      </c>
      <c r="AH18" s="3">
        <f>VLOOKUP($A18&amp;"Total",Rezepte!$D:$AK,29,FALSE)/100*$C18</f>
        <v>0</v>
      </c>
      <c r="AI18" s="3">
        <f>VLOOKUP($A18&amp;"Total",Rezepte!$D:$AK,30,FALSE)/100*$C18</f>
        <v>0</v>
      </c>
      <c r="AJ18" s="3">
        <f>VLOOKUP($A18&amp;"Total",Rezepte!$D:$AK,31,FALSE)/100*$C18</f>
        <v>0</v>
      </c>
      <c r="AK18" s="3">
        <f>VLOOKUP($A18&amp;"Total",Rezepte!$D:$AK,32,FALSE)/100*$C18</f>
        <v>0</v>
      </c>
      <c r="AL18" s="3">
        <f>VLOOKUP($A18&amp;"Total",Rezepte!$D:$AK,33,FALSE)/100*$C18</f>
        <v>0</v>
      </c>
      <c r="AM18" s="3">
        <f>VLOOKUP($A18&amp;"Total",Rezepte!$D:$AK,34,FALSE)/100*$C18</f>
        <v>0</v>
      </c>
    </row>
    <row r="19" spans="1:39" x14ac:dyDescent="0.25">
      <c r="A19" t="s">
        <v>91</v>
      </c>
      <c r="C19">
        <v>10</v>
      </c>
      <c r="D19" s="30">
        <f>SUMIFS(Q:Q,P:P,A19)+SUMIFS(T:T,S:S,A19)+SUMIFS(W:W,V:V,A19)+SUMIFS(Z:Z,Y:Y,A19)</f>
        <v>575.24999999999989</v>
      </c>
      <c r="E19" s="30">
        <f>D19+C19</f>
        <v>585.24999999999989</v>
      </c>
      <c r="F19" s="32">
        <f>COUNTIFS(P:P,A19,Q:Q,"&gt;0")+COUNTIFS(S:S,A19,T:T,"&gt;0")+COUNTIFS(V:V,A19,W:W,"&gt;0")+COUNTIFS(Y:Y,A19,Z:Z,"&gt;0")</f>
        <v>2</v>
      </c>
      <c r="G19" s="27">
        <f>ROUNDUP((C19+D19)/M19,1)</f>
        <v>4.8999999999999995</v>
      </c>
      <c r="H19" s="47">
        <f>G19*M19</f>
        <v>587.99999999999989</v>
      </c>
      <c r="I19" s="47">
        <f>MOD(H19,M19)</f>
        <v>107.99999999999989</v>
      </c>
      <c r="J19" s="34" t="str">
        <f>VLOOKUP($A19&amp;"Total",Rezepte!$D:$Z,19,FALSE)</f>
        <v>constructor</v>
      </c>
      <c r="K19" s="32">
        <f>SUMIFS(R:R,P:P,A19)+SUMIFS(U:U,S:S,A19)+SUMIFS(X:X,V:V,A19)+SUMIFS(AA:AA,Y:Y,A19)</f>
        <v>2</v>
      </c>
      <c r="L19" s="27">
        <f>G19*N19</f>
        <v>19.599999999999998</v>
      </c>
      <c r="M19" s="4">
        <f>VLOOKUP($A19&amp;"Total",Rezepte!$D:$Z,21,FALSE)</f>
        <v>120</v>
      </c>
      <c r="N19" s="4">
        <f>VLOOKUP($A19&amp;"Total",Rezepte!$D:$Z,20,FALSE)</f>
        <v>4</v>
      </c>
      <c r="O19" s="47">
        <v>588</v>
      </c>
      <c r="P19" t="str">
        <f>VLOOKUP($A19&amp;"Total",Rezepte!$D:$Z,4,FALSE)</f>
        <v>Caterium Ingot</v>
      </c>
      <c r="Q19" s="3">
        <f>VLOOKUP($A19&amp;"Total",Rezepte!$D:$Z,5,FALSE)*G19</f>
        <v>73.499999999999986</v>
      </c>
      <c r="R19" s="32">
        <f>ROUNDUP(Q19/$P$76,0)</f>
        <v>1</v>
      </c>
      <c r="S19" t="str">
        <f>VLOOKUP($A19&amp;"Total",Rezepte!$D:$Z,7,FALSE)</f>
        <v>nothing</v>
      </c>
      <c r="T19" s="3">
        <f>VLOOKUP($A19&amp;"Total",Rezepte!$D:$Z,8,FALSE)*G19</f>
        <v>0</v>
      </c>
      <c r="U19" s="32">
        <f>ROUNDUP(T19/$P$76,0)</f>
        <v>0</v>
      </c>
      <c r="V19" t="str">
        <f>VLOOKUP($A19&amp;"Total",Rezepte!$D:$Z,10,FALSE)</f>
        <v>nothing</v>
      </c>
      <c r="W19" s="3">
        <f>VLOOKUP($A19&amp;"Total",Rezepte!$D:$Z,11,FALSE)*G19</f>
        <v>0</v>
      </c>
      <c r="X19" s="32">
        <f>ROUNDUP(W19/$P$76,0)</f>
        <v>0</v>
      </c>
      <c r="Y19" t="str">
        <f>VLOOKUP($A19&amp;"Total",Rezepte!$D:$Z,13,FALSE)</f>
        <v>nothing</v>
      </c>
      <c r="Z19" s="3">
        <f>VLOOKUP($A19&amp;"Total",Rezepte!$D:$Z,14,FALSE)*G19</f>
        <v>0</v>
      </c>
      <c r="AA19" s="32">
        <f>ROUNDUP(Z19/$P$76,0)</f>
        <v>0</v>
      </c>
      <c r="AC19" s="3">
        <f>VLOOKUP($A19&amp;"Total",Rezepte!$D:$AK,24,FALSE)/100*$C19</f>
        <v>0</v>
      </c>
      <c r="AD19" s="3">
        <f>VLOOKUP($A19&amp;"Total",Rezepte!$D:$AK,25,FALSE)/100*$C19</f>
        <v>0</v>
      </c>
      <c r="AE19" s="3">
        <f>VLOOKUP($A19&amp;"Total",Rezepte!$D:$AK,26,FALSE)/100*$C19</f>
        <v>0</v>
      </c>
      <c r="AF19" s="3">
        <f>VLOOKUP($A19&amp;"Total",Rezepte!$D:$AK,27,FALSE)/100*$C19</f>
        <v>0</v>
      </c>
      <c r="AG19" s="3">
        <f>VLOOKUP($A19&amp;"Total",Rezepte!$D:$AK,28,FALSE)/100*$C19</f>
        <v>3.75</v>
      </c>
      <c r="AH19" s="3">
        <f>VLOOKUP($A19&amp;"Total",Rezepte!$D:$AK,29,FALSE)/100*$C19</f>
        <v>0</v>
      </c>
      <c r="AI19" s="3">
        <f>VLOOKUP($A19&amp;"Total",Rezepte!$D:$AK,30,FALSE)/100*$C19</f>
        <v>0</v>
      </c>
      <c r="AJ19" s="3">
        <f>VLOOKUP($A19&amp;"Total",Rezepte!$D:$AK,31,FALSE)/100*$C19</f>
        <v>0</v>
      </c>
      <c r="AK19" s="3">
        <f>VLOOKUP($A19&amp;"Total",Rezepte!$D:$AK,32,FALSE)/100*$C19</f>
        <v>0</v>
      </c>
      <c r="AL19" s="3">
        <f>VLOOKUP($A19&amp;"Total",Rezepte!$D:$AK,33,FALSE)/100*$C19</f>
        <v>0</v>
      </c>
      <c r="AM19" s="3">
        <f>VLOOKUP($A19&amp;"Total",Rezepte!$D:$AK,34,FALSE)/100*$C19</f>
        <v>0</v>
      </c>
    </row>
    <row r="20" spans="1:39" x14ac:dyDescent="0.25">
      <c r="A20" t="s">
        <v>97</v>
      </c>
      <c r="C20">
        <v>10</v>
      </c>
      <c r="D20" s="30">
        <f>SUMIFS(Q:Q,P:P,A20)+SUMIFS(T:T,S:S,A20)+SUMIFS(W:W,V:V,A20)+SUMIFS(Z:Z,Y:Y,A20)</f>
        <v>150</v>
      </c>
      <c r="E20" s="30">
        <f>D20+C20</f>
        <v>160</v>
      </c>
      <c r="F20" s="32">
        <f>COUNTIFS(P:P,A20,Q:Q,"&gt;0")+COUNTIFS(S:S,A20,T:T,"&gt;0")+COUNTIFS(V:V,A20,W:W,"&gt;0")+COUNTIFS(Y:Y,A20,Z:Z,"&gt;0")</f>
        <v>1</v>
      </c>
      <c r="G20" s="27">
        <f>ROUNDUP((C20+D20)/M20,1)</f>
        <v>5.3999999999999995</v>
      </c>
      <c r="H20" s="47">
        <f>G20*M20</f>
        <v>161.99999999999997</v>
      </c>
      <c r="I20" s="47">
        <f>MOD(H20,M20)</f>
        <v>11.999999999999972</v>
      </c>
      <c r="J20" s="34" t="str">
        <f>VLOOKUP($A20&amp;"Total",Rezepte!$D:$Z,19,FALSE)</f>
        <v>constructor</v>
      </c>
      <c r="K20" s="32">
        <f>SUMIFS(R:R,P:P,A20)+SUMIFS(U:U,S:S,A20)+SUMIFS(X:X,V:V,A20)+SUMIFS(AA:AA,Y:Y,A20)</f>
        <v>1</v>
      </c>
      <c r="L20" s="27">
        <f>G20*N20</f>
        <v>21.599999999999998</v>
      </c>
      <c r="M20" s="4">
        <f>VLOOKUP($A20&amp;"Total",Rezepte!$D:$Z,21,FALSE)</f>
        <v>30</v>
      </c>
      <c r="N20" s="4">
        <f>VLOOKUP($A20&amp;"Total",Rezepte!$D:$Z,20,FALSE)</f>
        <v>4</v>
      </c>
      <c r="O20" s="47">
        <v>162</v>
      </c>
      <c r="P20" t="str">
        <f>VLOOKUP($A20&amp;"Total",Rezepte!$D:$Z,4,FALSE)</f>
        <v>Wire</v>
      </c>
      <c r="Q20" s="3">
        <f>VLOOKUP($A20&amp;"Total",Rezepte!$D:$Z,5,FALSE)*G20</f>
        <v>323.99999999999994</v>
      </c>
      <c r="R20" s="32">
        <f>ROUNDUP(Q20/$P$76,0)</f>
        <v>1</v>
      </c>
      <c r="S20" t="str">
        <f>VLOOKUP($A20&amp;"Total",Rezepte!$D:$Z,7,FALSE)</f>
        <v>nothing</v>
      </c>
      <c r="T20" s="3">
        <f>VLOOKUP($A20&amp;"Total",Rezepte!$D:$Z,8,FALSE)*G20</f>
        <v>0</v>
      </c>
      <c r="U20" s="32">
        <f>ROUNDUP(T20/$P$76,0)</f>
        <v>0</v>
      </c>
      <c r="V20" t="str">
        <f>VLOOKUP($A20&amp;"Total",Rezepte!$D:$Z,10,FALSE)</f>
        <v>nothing</v>
      </c>
      <c r="W20" s="3">
        <f>VLOOKUP($A20&amp;"Total",Rezepte!$D:$Z,11,FALSE)*G20</f>
        <v>0</v>
      </c>
      <c r="X20" s="32">
        <f>ROUNDUP(W20/$P$76,0)</f>
        <v>0</v>
      </c>
      <c r="Y20" t="str">
        <f>VLOOKUP($A20&amp;"Total",Rezepte!$D:$Z,13,FALSE)</f>
        <v>nothing</v>
      </c>
      <c r="Z20" s="3">
        <f>VLOOKUP($A20&amp;"Total",Rezepte!$D:$Z,14,FALSE)*G20</f>
        <v>0</v>
      </c>
      <c r="AA20" s="32">
        <f>ROUNDUP(Z20/$P$76,0)</f>
        <v>0</v>
      </c>
      <c r="AC20" s="3">
        <f>VLOOKUP($A20&amp;"Total",Rezepte!$D:$AK,24,FALSE)/100*$C20</f>
        <v>0</v>
      </c>
      <c r="AD20" s="3">
        <f>VLOOKUP($A20&amp;"Total",Rezepte!$D:$AK,25,FALSE)/100*$C20</f>
        <v>0</v>
      </c>
      <c r="AE20" s="3">
        <f>VLOOKUP($A20&amp;"Total",Rezepte!$D:$AK,26,FALSE)/100*$C20</f>
        <v>0</v>
      </c>
      <c r="AF20" s="3">
        <f>VLOOKUP($A20&amp;"Total",Rezepte!$D:$AK,27,FALSE)/100*$C20</f>
        <v>0</v>
      </c>
      <c r="AG20" s="3">
        <f>VLOOKUP($A20&amp;"Total",Rezepte!$D:$AK,28,FALSE)/100*$C20</f>
        <v>7.5</v>
      </c>
      <c r="AH20" s="3">
        <f>VLOOKUP($A20&amp;"Total",Rezepte!$D:$AK,29,FALSE)/100*$C20</f>
        <v>0</v>
      </c>
      <c r="AI20" s="3">
        <f>VLOOKUP($A20&amp;"Total",Rezepte!$D:$AK,30,FALSE)/100*$C20</f>
        <v>0</v>
      </c>
      <c r="AJ20" s="3">
        <f>VLOOKUP($A20&amp;"Total",Rezepte!$D:$AK,31,FALSE)/100*$C20</f>
        <v>0</v>
      </c>
      <c r="AK20" s="3">
        <f>VLOOKUP($A20&amp;"Total",Rezepte!$D:$AK,32,FALSE)/100*$C20</f>
        <v>0</v>
      </c>
      <c r="AL20" s="3">
        <f>VLOOKUP($A20&amp;"Total",Rezepte!$D:$AK,33,FALSE)/100*$C20</f>
        <v>0</v>
      </c>
      <c r="AM20" s="3">
        <f>VLOOKUP($A20&amp;"Total",Rezepte!$D:$AK,34,FALSE)/100*$C20</f>
        <v>0</v>
      </c>
    </row>
    <row r="21" spans="1:39" x14ac:dyDescent="0.25">
      <c r="J21" s="34"/>
      <c r="K21" s="32"/>
      <c r="U21" s="32"/>
      <c r="X21" s="32"/>
      <c r="AA21" s="32"/>
    </row>
    <row r="23" spans="1:39" x14ac:dyDescent="0.25">
      <c r="A23" t="s">
        <v>54</v>
      </c>
      <c r="D23" s="30">
        <f>SUMIFS(Q:Q,P:P,A23)+SUMIFS(T:T,S:S,A23)+SUMIFS(W:W,V:V,A23)+SUMIFS(Z:Z,Y:Y,A23)</f>
        <v>869.00000000000011</v>
      </c>
      <c r="E23" s="30">
        <f>D23+C23</f>
        <v>869.00000000000011</v>
      </c>
      <c r="F23" s="32">
        <f>COUNTIFS(P:P,A23,Q:Q,"&gt;0")+COUNTIFS(S:S,A23,T:T,"&gt;0")+COUNTIFS(V:V,A23,W:W,"&gt;0")+COUNTIFS(Y:Y,A23,Z:Z,"&gt;0")</f>
        <v>2</v>
      </c>
      <c r="G23" s="27">
        <f>ROUNDUP((C23+D23)/M23,1)</f>
        <v>29</v>
      </c>
      <c r="H23" s="47">
        <f>G23*M23</f>
        <v>870</v>
      </c>
      <c r="I23" s="47">
        <f>MOD(H23,M23)</f>
        <v>0</v>
      </c>
      <c r="J23" s="34" t="str">
        <f>VLOOKUP($A23&amp;"Total",Rezepte!$D:$Z,19,FALSE)</f>
        <v>smelter</v>
      </c>
      <c r="K23" s="32">
        <f>SUMIFS(R:R,P:P,A23)+SUMIFS(U:U,S:S,A23)+SUMIFS(X:X,V:V,A23)+SUMIFS(AA:AA,Y:Y,A23)</f>
        <v>3</v>
      </c>
      <c r="L23" s="27">
        <f>G23*N23</f>
        <v>116</v>
      </c>
      <c r="M23" s="4">
        <f>VLOOKUP($A23&amp;"Total",Rezepte!$D:$Z,21,FALSE)</f>
        <v>30</v>
      </c>
      <c r="N23" s="4">
        <f>VLOOKUP($A23&amp;"Total",Rezepte!$D:$Z,20,FALSE)</f>
        <v>4</v>
      </c>
      <c r="O23" s="47">
        <v>966</v>
      </c>
      <c r="P23" t="str">
        <f>VLOOKUP($A23&amp;"Total",Rezepte!$D:$Z,4,FALSE)</f>
        <v>Iron Ore</v>
      </c>
      <c r="Q23" s="3">
        <f>VLOOKUP($A23&amp;"Total",Rezepte!$D:$Z,5,FALSE)*G23</f>
        <v>870</v>
      </c>
      <c r="R23" s="32">
        <f>ROUNDUP(Q23/$P$76,0)</f>
        <v>2</v>
      </c>
      <c r="S23" t="str">
        <f>VLOOKUP($A23&amp;"Total",Rezepte!$D:$Z,7,FALSE)</f>
        <v>nothing</v>
      </c>
      <c r="T23" s="3">
        <f>VLOOKUP($A23&amp;"Total",Rezepte!$D:$Z,8,FALSE)*G23</f>
        <v>0</v>
      </c>
      <c r="U23" s="32">
        <f>ROUNDUP(T23/$P$76,0)</f>
        <v>0</v>
      </c>
      <c r="V23" t="str">
        <f>VLOOKUP($A23&amp;"Total",Rezepte!$D:$Z,10,FALSE)</f>
        <v>nothing</v>
      </c>
      <c r="W23" s="3">
        <f>VLOOKUP($A23&amp;"Total",Rezepte!$D:$Z,11,FALSE)*G23</f>
        <v>0</v>
      </c>
      <c r="X23" s="32">
        <f>ROUNDUP(W23/$P$76,0)</f>
        <v>0</v>
      </c>
      <c r="Y23" t="str">
        <f>VLOOKUP($A23&amp;"Total",Rezepte!$D:$Z,13,FALSE)</f>
        <v>nothing</v>
      </c>
      <c r="Z23" s="3">
        <f>VLOOKUP($A23&amp;"Total",Rezepte!$D:$Z,14,FALSE)*G23</f>
        <v>0</v>
      </c>
      <c r="AA23" s="32">
        <f>ROUNDUP(Z23/$P$76,0)</f>
        <v>0</v>
      </c>
      <c r="AC23" s="3">
        <f>VLOOKUP($A23&amp;"Total",Rezepte!$D:$AK,24,FALSE)/100*$C23</f>
        <v>0</v>
      </c>
      <c r="AD23" s="3">
        <f>VLOOKUP($A23&amp;"Total",Rezepte!$D:$AK,25,FALSE)/100*$C23</f>
        <v>0</v>
      </c>
      <c r="AE23" s="3">
        <f>VLOOKUP($A23&amp;"Total",Rezepte!$D:$AK,26,FALSE)/100*$C23</f>
        <v>0</v>
      </c>
      <c r="AF23" s="3">
        <f>VLOOKUP($A23&amp;"Total",Rezepte!$D:$AK,27,FALSE)/100*$C23</f>
        <v>0</v>
      </c>
      <c r="AG23" s="3">
        <f>VLOOKUP($A23&amp;"Total",Rezepte!$D:$AK,28,FALSE)/100*$C23</f>
        <v>0</v>
      </c>
      <c r="AH23" s="3">
        <f>VLOOKUP($A23&amp;"Total",Rezepte!$D:$AK,29,FALSE)/100*$C23</f>
        <v>0</v>
      </c>
      <c r="AI23" s="3">
        <f>VLOOKUP($A23&amp;"Total",Rezepte!$D:$AK,30,FALSE)/100*$C23</f>
        <v>0</v>
      </c>
      <c r="AJ23" s="3">
        <f>VLOOKUP($A23&amp;"Total",Rezepte!$D:$AK,31,FALSE)/100*$C23</f>
        <v>0</v>
      </c>
      <c r="AK23" s="3">
        <f>VLOOKUP($A23&amp;"Total",Rezepte!$D:$AK,32,FALSE)/100*$C23</f>
        <v>0</v>
      </c>
      <c r="AL23" s="3">
        <f>VLOOKUP($A23&amp;"Total",Rezepte!$D:$AK,33,FALSE)/100*$C23</f>
        <v>0</v>
      </c>
      <c r="AM23" s="3">
        <f>VLOOKUP($A23&amp;"Total",Rezepte!$D:$AK,34,FALSE)/100*$C23</f>
        <v>0</v>
      </c>
    </row>
    <row r="25" spans="1:39" x14ac:dyDescent="0.25">
      <c r="A25" t="s">
        <v>80</v>
      </c>
      <c r="C25">
        <v>15</v>
      </c>
      <c r="D25" s="30">
        <f t="shared" ref="D25:D37" si="6">SUMIFS(Q:Q,P:P,A25)+SUMIFS(T:T,S:S,A25)+SUMIFS(W:W,V:V,A25)+SUMIFS(Z:Z,Y:Y,A25)</f>
        <v>125.62499999999999</v>
      </c>
      <c r="E25" s="30">
        <f t="shared" ref="E25:E37" si="7">D25+C25</f>
        <v>140.625</v>
      </c>
      <c r="F25" s="32">
        <f t="shared" ref="F25:F37" si="8">COUNTIFS(P:P,A25,Q:Q,"&gt;0")+COUNTIFS(S:S,A25,T:T,"&gt;0")+COUNTIFS(V:V,A25,W:W,"&gt;0")+COUNTIFS(Y:Y,A25,Z:Z,"&gt;0")</f>
        <v>1</v>
      </c>
      <c r="G25" s="27">
        <f t="shared" ref="G25:G37" si="9">ROUNDUP((C25+D25)/M25,1)</f>
        <v>7.1</v>
      </c>
      <c r="H25" s="47">
        <f t="shared" ref="H25:H70" si="10">G25*M25</f>
        <v>142</v>
      </c>
      <c r="I25" s="47">
        <f t="shared" ref="I25:I70" si="11">MOD(H25,M25)</f>
        <v>2</v>
      </c>
      <c r="J25" s="34" t="str">
        <f>VLOOKUP($A25&amp;"Total",Rezepte!$D:$Z,19,FALSE)</f>
        <v>constructor</v>
      </c>
      <c r="K25" s="32">
        <f t="shared" ref="K25:K37" si="12">SUMIFS(R:R,P:P,A25)+SUMIFS(U:U,S:S,A25)+SUMIFS(X:X,V:V,A25)+SUMIFS(AA:AA,Y:Y,A25)</f>
        <v>1</v>
      </c>
      <c r="L25" s="27">
        <f t="shared" ref="L25:L37" si="13">G25*N25</f>
        <v>28.4</v>
      </c>
      <c r="M25" s="4">
        <f>VLOOKUP($A25&amp;"Total",Rezepte!$D:$Z,21,FALSE)</f>
        <v>20</v>
      </c>
      <c r="N25" s="4">
        <f>VLOOKUP($A25&amp;"Total",Rezepte!$D:$Z,20,FALSE)</f>
        <v>4</v>
      </c>
      <c r="O25" s="47">
        <v>142</v>
      </c>
      <c r="P25" t="str">
        <f>VLOOKUP($A25&amp;"Total",Rezepte!$D:$Z,4,FALSE)</f>
        <v>Iron Ingot</v>
      </c>
      <c r="Q25" s="3">
        <f>VLOOKUP($A25&amp;"Total",Rezepte!$D:$Z,5,FALSE)*G25</f>
        <v>213</v>
      </c>
      <c r="R25" s="32">
        <f t="shared" ref="R25:R37" si="14">ROUNDUP(Q25/$P$76,0)</f>
        <v>1</v>
      </c>
      <c r="S25" t="str">
        <f>VLOOKUP($A25&amp;"Total",Rezepte!$D:$Z,7,FALSE)</f>
        <v>nothing</v>
      </c>
      <c r="T25" s="3">
        <f>VLOOKUP($A25&amp;"Total",Rezepte!$D:$Z,8,FALSE)*G25</f>
        <v>0</v>
      </c>
      <c r="U25" s="32">
        <f t="shared" ref="U25:U37" si="15">ROUNDUP(T25/$P$76,0)</f>
        <v>0</v>
      </c>
      <c r="V25" t="str">
        <f>VLOOKUP($A25&amp;"Total",Rezepte!$D:$Z,10,FALSE)</f>
        <v>nothing</v>
      </c>
      <c r="W25" s="3">
        <f>VLOOKUP($A25&amp;"Total",Rezepte!$D:$Z,11,FALSE)*G25</f>
        <v>0</v>
      </c>
      <c r="X25" s="32">
        <f t="shared" ref="X25:X37" si="16">ROUNDUP(W25/$P$76,0)</f>
        <v>0</v>
      </c>
      <c r="Y25" t="str">
        <f>VLOOKUP($A25&amp;"Total",Rezepte!$D:$Z,13,FALSE)</f>
        <v>nothing</v>
      </c>
      <c r="Z25" s="3">
        <f>VLOOKUP($A25&amp;"Total",Rezepte!$D:$Z,14,FALSE)*G25</f>
        <v>0</v>
      </c>
      <c r="AA25" s="32">
        <f t="shared" ref="AA25:AA37" si="17">ROUNDUP(Z25/$P$76,0)</f>
        <v>0</v>
      </c>
      <c r="AC25" s="3">
        <f>VLOOKUP($A25&amp;"Total",Rezepte!$D:$AK,24,FALSE)/100*$C25</f>
        <v>22.5</v>
      </c>
      <c r="AD25" s="3">
        <f>VLOOKUP($A25&amp;"Total",Rezepte!$D:$AK,25,FALSE)/100*$C25</f>
        <v>0</v>
      </c>
      <c r="AE25" s="3">
        <f>VLOOKUP($A25&amp;"Total",Rezepte!$D:$AK,26,FALSE)/100*$C25</f>
        <v>0</v>
      </c>
      <c r="AF25" s="3">
        <f>VLOOKUP($A25&amp;"Total",Rezepte!$D:$AK,27,FALSE)/100*$C25</f>
        <v>0</v>
      </c>
      <c r="AG25" s="3">
        <f>VLOOKUP($A25&amp;"Total",Rezepte!$D:$AK,28,FALSE)/100*$C25</f>
        <v>0</v>
      </c>
      <c r="AH25" s="3">
        <f>VLOOKUP($A25&amp;"Total",Rezepte!$D:$AK,29,FALSE)/100*$C25</f>
        <v>0</v>
      </c>
      <c r="AI25" s="3">
        <f>VLOOKUP($A25&amp;"Total",Rezepte!$D:$AK,30,FALSE)/100*$C25</f>
        <v>0</v>
      </c>
      <c r="AJ25" s="3">
        <f>VLOOKUP($A25&amp;"Total",Rezepte!$D:$AK,31,FALSE)/100*$C25</f>
        <v>0</v>
      </c>
      <c r="AK25" s="3">
        <f>VLOOKUP($A25&amp;"Total",Rezepte!$D:$AK,32,FALSE)/100*$C25</f>
        <v>0</v>
      </c>
      <c r="AL25" s="3">
        <f>VLOOKUP($A25&amp;"Total",Rezepte!$D:$AK,33,FALSE)/100*$C25</f>
        <v>0</v>
      </c>
      <c r="AM25" s="3">
        <f>VLOOKUP($A25&amp;"Total",Rezepte!$D:$AK,34,FALSE)/100*$C25</f>
        <v>0</v>
      </c>
    </row>
    <row r="26" spans="1:39" x14ac:dyDescent="0.25">
      <c r="A26" t="s">
        <v>84</v>
      </c>
      <c r="D26" s="30">
        <f t="shared" si="6"/>
        <v>979.8</v>
      </c>
      <c r="E26" s="30">
        <f t="shared" si="7"/>
        <v>979.8</v>
      </c>
      <c r="F26" s="32">
        <f t="shared" si="8"/>
        <v>3</v>
      </c>
      <c r="G26" s="27">
        <f t="shared" si="9"/>
        <v>16.400000000000002</v>
      </c>
      <c r="H26" s="47">
        <f t="shared" si="10"/>
        <v>984.00000000000011</v>
      </c>
      <c r="I26" s="47">
        <f t="shared" si="11"/>
        <v>24.000000000000114</v>
      </c>
      <c r="J26" s="34" t="str">
        <f>VLOOKUP($A26&amp;"Total",Rezepte!$D:$Z,19,FALSE)</f>
        <v>foundry</v>
      </c>
      <c r="K26" s="32">
        <f t="shared" si="12"/>
        <v>4</v>
      </c>
      <c r="L26" s="27">
        <f t="shared" si="13"/>
        <v>262.40000000000003</v>
      </c>
      <c r="M26" s="4">
        <f>VLOOKUP($A26&amp;"Total",Rezepte!$D:$Z,21,FALSE)</f>
        <v>60</v>
      </c>
      <c r="N26" s="4">
        <f>VLOOKUP($A26&amp;"Total",Rezepte!$D:$Z,20,FALSE)</f>
        <v>16</v>
      </c>
      <c r="O26" s="47">
        <v>984</v>
      </c>
      <c r="P26" t="str">
        <f>VLOOKUP($A26&amp;"Total",Rezepte!$D:$Z,4,FALSE)</f>
        <v>Iron Ingot</v>
      </c>
      <c r="Q26" s="3">
        <f>VLOOKUP($A26&amp;"Total",Rezepte!$D:$Z,5,FALSE)*G26</f>
        <v>656.00000000000011</v>
      </c>
      <c r="R26" s="32">
        <f t="shared" si="14"/>
        <v>2</v>
      </c>
      <c r="S26" t="str">
        <f>VLOOKUP($A26&amp;"Total",Rezepte!$D:$Z,7,FALSE)</f>
        <v>coal</v>
      </c>
      <c r="T26" s="3">
        <f>VLOOKUP($A26&amp;"Total",Rezepte!$D:$Z,8,FALSE)*G26</f>
        <v>656.00000000000011</v>
      </c>
      <c r="U26" s="32">
        <f t="shared" si="15"/>
        <v>2</v>
      </c>
      <c r="V26" t="str">
        <f>VLOOKUP($A26&amp;"Total",Rezepte!$D:$Z,10,FALSE)</f>
        <v>nothing</v>
      </c>
      <c r="W26" s="3">
        <f>VLOOKUP($A26&amp;"Total",Rezepte!$D:$Z,11,FALSE)*G26</f>
        <v>0</v>
      </c>
      <c r="X26" s="32">
        <f t="shared" si="16"/>
        <v>0</v>
      </c>
      <c r="Y26" t="str">
        <f>VLOOKUP($A26&amp;"Total",Rezepte!$D:$Z,13,FALSE)</f>
        <v>nothing</v>
      </c>
      <c r="Z26" s="3">
        <f>VLOOKUP($A26&amp;"Total",Rezepte!$D:$Z,14,FALSE)*G26</f>
        <v>0</v>
      </c>
      <c r="AA26" s="32">
        <f t="shared" si="17"/>
        <v>0</v>
      </c>
      <c r="AC26" s="3">
        <f>VLOOKUP($A26&amp;"Total",Rezepte!$D:$AK,24,FALSE)/100*$C26</f>
        <v>0</v>
      </c>
      <c r="AD26" s="3">
        <f>VLOOKUP($A26&amp;"Total",Rezepte!$D:$AK,25,FALSE)/100*$C26</f>
        <v>0</v>
      </c>
      <c r="AE26" s="3">
        <f>VLOOKUP($A26&amp;"Total",Rezepte!$D:$AK,26,FALSE)/100*$C26</f>
        <v>0</v>
      </c>
      <c r="AF26" s="3">
        <f>VLOOKUP($A26&amp;"Total",Rezepte!$D:$AK,27,FALSE)/100*$C26</f>
        <v>0</v>
      </c>
      <c r="AG26" s="3">
        <f>VLOOKUP($A26&amp;"Total",Rezepte!$D:$AK,28,FALSE)/100*$C26</f>
        <v>0</v>
      </c>
      <c r="AH26" s="3">
        <f>VLOOKUP($A26&amp;"Total",Rezepte!$D:$AK,29,FALSE)/100*$C26</f>
        <v>0</v>
      </c>
      <c r="AI26" s="3">
        <f>VLOOKUP($A26&amp;"Total",Rezepte!$D:$AK,30,FALSE)/100*$C26</f>
        <v>0</v>
      </c>
      <c r="AJ26" s="3">
        <f>VLOOKUP($A26&amp;"Total",Rezepte!$D:$AK,31,FALSE)/100*$C26</f>
        <v>0</v>
      </c>
      <c r="AK26" s="3">
        <f>VLOOKUP($A26&amp;"Total",Rezepte!$D:$AK,32,FALSE)/100*$C26</f>
        <v>0</v>
      </c>
      <c r="AL26" s="3">
        <f>VLOOKUP($A26&amp;"Total",Rezepte!$D:$AK,33,FALSE)/100*$C26</f>
        <v>0</v>
      </c>
      <c r="AM26" s="3">
        <f>VLOOKUP($A26&amp;"Total",Rezepte!$D:$AK,34,FALSE)/100*$C26</f>
        <v>0</v>
      </c>
    </row>
    <row r="27" spans="1:39" x14ac:dyDescent="0.25">
      <c r="A27" t="s">
        <v>85</v>
      </c>
      <c r="C27">
        <v>15</v>
      </c>
      <c r="D27" s="30">
        <f t="shared" si="6"/>
        <v>0</v>
      </c>
      <c r="E27" s="30">
        <f t="shared" si="7"/>
        <v>15</v>
      </c>
      <c r="F27" s="32">
        <f t="shared" si="8"/>
        <v>0</v>
      </c>
      <c r="G27" s="27">
        <f t="shared" si="9"/>
        <v>0.4</v>
      </c>
      <c r="H27" s="47">
        <f t="shared" si="10"/>
        <v>19.200000000000003</v>
      </c>
      <c r="I27" s="47">
        <f t="shared" si="11"/>
        <v>19.200000000000003</v>
      </c>
      <c r="J27" s="34" t="str">
        <f>VLOOKUP($A27&amp;"Total",Rezepte!$D:$Z,19,FALSE)</f>
        <v>constructor</v>
      </c>
      <c r="K27" s="32">
        <f t="shared" si="12"/>
        <v>0</v>
      </c>
      <c r="L27" s="27">
        <f t="shared" si="13"/>
        <v>1.6</v>
      </c>
      <c r="M27" s="4">
        <f>VLOOKUP($A27&amp;"Total",Rezepte!$D:$Z,21,FALSE)</f>
        <v>48</v>
      </c>
      <c r="N27" s="4">
        <f>VLOOKUP($A27&amp;"Total",Rezepte!$D:$Z,20,FALSE)</f>
        <v>4</v>
      </c>
      <c r="O27" s="47">
        <v>19.2</v>
      </c>
      <c r="P27" t="str">
        <f>VLOOKUP($A27&amp;"Total",Rezepte!$D:$Z,4,FALSE)</f>
        <v>Steel Ingot</v>
      </c>
      <c r="Q27" s="3">
        <f>VLOOKUP($A27&amp;"Total",Rezepte!$D:$Z,5,FALSE)*G27</f>
        <v>4.8000000000000007</v>
      </c>
      <c r="R27" s="32">
        <f t="shared" si="14"/>
        <v>1</v>
      </c>
      <c r="S27" t="str">
        <f>VLOOKUP($A27&amp;"Total",Rezepte!$D:$Z,7,FALSE)</f>
        <v>nothing</v>
      </c>
      <c r="T27" s="3">
        <f>VLOOKUP($A27&amp;"Total",Rezepte!$D:$Z,8,FALSE)*G27</f>
        <v>0</v>
      </c>
      <c r="U27" s="32">
        <f t="shared" si="15"/>
        <v>0</v>
      </c>
      <c r="V27" t="str">
        <f>VLOOKUP($A27&amp;"Total",Rezepte!$D:$Z,10,FALSE)</f>
        <v>nothing</v>
      </c>
      <c r="W27" s="3">
        <f>VLOOKUP($A27&amp;"Total",Rezepte!$D:$Z,11,FALSE)*G27</f>
        <v>0</v>
      </c>
      <c r="X27" s="32">
        <f t="shared" si="16"/>
        <v>0</v>
      </c>
      <c r="Y27" t="str">
        <f>VLOOKUP($A27&amp;"Total",Rezepte!$D:$Z,13,FALSE)</f>
        <v>nothing</v>
      </c>
      <c r="Z27" s="3">
        <f>VLOOKUP($A27&amp;"Total",Rezepte!$D:$Z,14,FALSE)*G27</f>
        <v>0</v>
      </c>
      <c r="AA27" s="32">
        <f t="shared" si="17"/>
        <v>0</v>
      </c>
      <c r="AC27" s="3">
        <f>VLOOKUP($A27&amp;"Total",Rezepte!$D:$AK,24,FALSE)/100*$C27</f>
        <v>2.5000000000000004</v>
      </c>
      <c r="AD27" s="3">
        <f>VLOOKUP($A27&amp;"Total",Rezepte!$D:$AK,25,FALSE)/100*$C27</f>
        <v>0</v>
      </c>
      <c r="AE27" s="3">
        <f>VLOOKUP($A27&amp;"Total",Rezepte!$D:$AK,26,FALSE)/100*$C27</f>
        <v>0</v>
      </c>
      <c r="AF27" s="3">
        <f>VLOOKUP($A27&amp;"Total",Rezepte!$D:$AK,27,FALSE)/100*$C27</f>
        <v>2.5000000000000004</v>
      </c>
      <c r="AG27" s="3">
        <f>VLOOKUP($A27&amp;"Total",Rezepte!$D:$AK,28,FALSE)/100*$C27</f>
        <v>0</v>
      </c>
      <c r="AH27" s="3">
        <f>VLOOKUP($A27&amp;"Total",Rezepte!$D:$AK,29,FALSE)/100*$C27</f>
        <v>0</v>
      </c>
      <c r="AI27" s="3">
        <f>VLOOKUP($A27&amp;"Total",Rezepte!$D:$AK,30,FALSE)/100*$C27</f>
        <v>0</v>
      </c>
      <c r="AJ27" s="3">
        <f>VLOOKUP($A27&amp;"Total",Rezepte!$D:$AK,31,FALSE)/100*$C27</f>
        <v>0</v>
      </c>
      <c r="AK27" s="3">
        <f>VLOOKUP($A27&amp;"Total",Rezepte!$D:$AK,32,FALSE)/100*$C27</f>
        <v>0</v>
      </c>
      <c r="AL27" s="3">
        <f>VLOOKUP($A27&amp;"Total",Rezepte!$D:$AK,33,FALSE)/100*$C27</f>
        <v>0</v>
      </c>
      <c r="AM27" s="3">
        <f>VLOOKUP($A27&amp;"Total",Rezepte!$D:$AK,34,FALSE)/100*$C27</f>
        <v>0</v>
      </c>
    </row>
    <row r="28" spans="1:39" x14ac:dyDescent="0.25">
      <c r="A28" t="s">
        <v>90</v>
      </c>
      <c r="C28">
        <v>15</v>
      </c>
      <c r="D28" s="30">
        <f t="shared" si="6"/>
        <v>10</v>
      </c>
      <c r="E28" s="30">
        <f t="shared" si="7"/>
        <v>25</v>
      </c>
      <c r="F28" s="32">
        <f t="shared" si="8"/>
        <v>1</v>
      </c>
      <c r="G28" s="27">
        <f t="shared" si="9"/>
        <v>1.7000000000000002</v>
      </c>
      <c r="H28" s="47">
        <f t="shared" si="10"/>
        <v>25.500000000000004</v>
      </c>
      <c r="I28" s="47">
        <f t="shared" si="11"/>
        <v>10.500000000000004</v>
      </c>
      <c r="J28" s="34" t="str">
        <f>VLOOKUP($A28&amp;"Total",Rezepte!$D:$Z,19,FALSE)</f>
        <v>constructor</v>
      </c>
      <c r="K28" s="32">
        <f t="shared" si="12"/>
        <v>1</v>
      </c>
      <c r="L28" s="27">
        <f t="shared" si="13"/>
        <v>6.8000000000000007</v>
      </c>
      <c r="M28" s="4">
        <f>VLOOKUP($A28&amp;"Total",Rezepte!$D:$Z,21,FALSE)</f>
        <v>15</v>
      </c>
      <c r="N28" s="4">
        <f>VLOOKUP($A28&amp;"Total",Rezepte!$D:$Z,20,FALSE)</f>
        <v>4</v>
      </c>
      <c r="O28" s="47">
        <v>25.5</v>
      </c>
      <c r="P28" t="str">
        <f>VLOOKUP($A28&amp;"Total",Rezepte!$D:$Z,4,FALSE)</f>
        <v>Steel Ingot</v>
      </c>
      <c r="Q28" s="3">
        <f>VLOOKUP($A28&amp;"Total",Rezepte!$D:$Z,5,FALSE)*G28</f>
        <v>102.00000000000001</v>
      </c>
      <c r="R28" s="32">
        <f t="shared" si="14"/>
        <v>1</v>
      </c>
      <c r="S28" t="str">
        <f>VLOOKUP($A28&amp;"Total",Rezepte!$D:$Z,7,FALSE)</f>
        <v>nothing</v>
      </c>
      <c r="T28" s="3">
        <f>VLOOKUP($A28&amp;"Total",Rezepte!$D:$Z,8,FALSE)*G28</f>
        <v>0</v>
      </c>
      <c r="U28" s="32">
        <f t="shared" si="15"/>
        <v>0</v>
      </c>
      <c r="V28" t="str">
        <f>VLOOKUP($A28&amp;"Total",Rezepte!$D:$Z,10,FALSE)</f>
        <v>nothing</v>
      </c>
      <c r="W28" s="3">
        <f>VLOOKUP($A28&amp;"Total",Rezepte!$D:$Z,11,FALSE)*G28</f>
        <v>0</v>
      </c>
      <c r="X28" s="32">
        <f t="shared" si="16"/>
        <v>0</v>
      </c>
      <c r="Y28" t="str">
        <f>VLOOKUP($A28&amp;"Total",Rezepte!$D:$Z,13,FALSE)</f>
        <v>nothing</v>
      </c>
      <c r="Z28" s="3">
        <f>VLOOKUP($A28&amp;"Total",Rezepte!$D:$Z,14,FALSE)*G28</f>
        <v>0</v>
      </c>
      <c r="AA28" s="32">
        <f t="shared" si="17"/>
        <v>0</v>
      </c>
      <c r="AC28" s="3">
        <f>VLOOKUP($A28&amp;"Total",Rezepte!$D:$AK,24,FALSE)/100*$C28</f>
        <v>40.000000000000007</v>
      </c>
      <c r="AD28" s="3">
        <f>VLOOKUP($A28&amp;"Total",Rezepte!$D:$AK,25,FALSE)/100*$C28</f>
        <v>0</v>
      </c>
      <c r="AE28" s="3">
        <f>VLOOKUP($A28&amp;"Total",Rezepte!$D:$AK,26,FALSE)/100*$C28</f>
        <v>0</v>
      </c>
      <c r="AF28" s="3">
        <f>VLOOKUP($A28&amp;"Total",Rezepte!$D:$AK,27,FALSE)/100*$C28</f>
        <v>40.000000000000007</v>
      </c>
      <c r="AG28" s="3">
        <f>VLOOKUP($A28&amp;"Total",Rezepte!$D:$AK,28,FALSE)/100*$C28</f>
        <v>0</v>
      </c>
      <c r="AH28" s="3">
        <f>VLOOKUP($A28&amp;"Total",Rezepte!$D:$AK,29,FALSE)/100*$C28</f>
        <v>0</v>
      </c>
      <c r="AI28" s="3">
        <f>VLOOKUP($A28&amp;"Total",Rezepte!$D:$AK,30,FALSE)/100*$C28</f>
        <v>0</v>
      </c>
      <c r="AJ28" s="3">
        <f>VLOOKUP($A28&amp;"Total",Rezepte!$D:$AK,31,FALSE)/100*$C28</f>
        <v>0</v>
      </c>
      <c r="AK28" s="3">
        <f>VLOOKUP($A28&amp;"Total",Rezepte!$D:$AK,32,FALSE)/100*$C28</f>
        <v>0</v>
      </c>
      <c r="AL28" s="3">
        <f>VLOOKUP($A28&amp;"Total",Rezepte!$D:$AK,33,FALSE)/100*$C28</f>
        <v>0</v>
      </c>
      <c r="AM28" s="3">
        <f>VLOOKUP($A28&amp;"Total",Rezepte!$D:$AK,34,FALSE)/100*$C28</f>
        <v>0</v>
      </c>
    </row>
    <row r="29" spans="1:39" x14ac:dyDescent="0.25">
      <c r="A29" t="s">
        <v>87</v>
      </c>
      <c r="C29">
        <v>10</v>
      </c>
      <c r="D29" s="30">
        <f t="shared" si="6"/>
        <v>487.5</v>
      </c>
      <c r="E29" s="30">
        <f t="shared" si="7"/>
        <v>497.5</v>
      </c>
      <c r="F29" s="32">
        <f t="shared" si="8"/>
        <v>1</v>
      </c>
      <c r="G29" s="27">
        <f t="shared" si="9"/>
        <v>2</v>
      </c>
      <c r="H29" s="47">
        <f t="shared" si="10"/>
        <v>520</v>
      </c>
      <c r="I29" s="47">
        <f t="shared" si="11"/>
        <v>0</v>
      </c>
      <c r="J29" s="34" t="str">
        <f>VLOOKUP($A29&amp;"Total",Rezepte!$D:$Z,19,FALSE)</f>
        <v>constructor</v>
      </c>
      <c r="K29" s="32">
        <f t="shared" si="12"/>
        <v>2</v>
      </c>
      <c r="L29" s="27">
        <f t="shared" si="13"/>
        <v>8</v>
      </c>
      <c r="M29" s="4">
        <f>VLOOKUP($A29&amp;"Total",Rezepte!$D:$Z,21,FALSE)</f>
        <v>260</v>
      </c>
      <c r="N29" s="4">
        <f>VLOOKUP($A29&amp;"Total",Rezepte!$D:$Z,20,FALSE)</f>
        <v>4</v>
      </c>
      <c r="O29" s="47">
        <v>520</v>
      </c>
      <c r="P29" t="str">
        <f>VLOOKUP($A29&amp;"Total",Rezepte!$D:$Z,4,FALSE)</f>
        <v>Steel Beam</v>
      </c>
      <c r="Q29" s="3">
        <f>VLOOKUP($A29&amp;"Total",Rezepte!$D:$Z,5,FALSE)*G29</f>
        <v>10</v>
      </c>
      <c r="R29" s="32">
        <f t="shared" si="14"/>
        <v>1</v>
      </c>
      <c r="S29" t="str">
        <f>VLOOKUP($A29&amp;"Total",Rezepte!$D:$Z,7,FALSE)</f>
        <v>nothing</v>
      </c>
      <c r="T29" s="3">
        <f>VLOOKUP($A29&amp;"Total",Rezepte!$D:$Z,8,FALSE)*G29</f>
        <v>0</v>
      </c>
      <c r="U29" s="32">
        <f t="shared" si="15"/>
        <v>0</v>
      </c>
      <c r="V29" t="str">
        <f>VLOOKUP($A29&amp;"Total",Rezepte!$D:$Z,10,FALSE)</f>
        <v>nothing</v>
      </c>
      <c r="W29" s="3">
        <f>VLOOKUP($A29&amp;"Total",Rezepte!$D:$Z,11,FALSE)*G29</f>
        <v>0</v>
      </c>
      <c r="X29" s="32">
        <f t="shared" si="16"/>
        <v>0</v>
      </c>
      <c r="Y29" t="str">
        <f>VLOOKUP($A29&amp;"Total",Rezepte!$D:$Z,13,FALSE)</f>
        <v>nothing</v>
      </c>
      <c r="Z29" s="3">
        <f>VLOOKUP($A29&amp;"Total",Rezepte!$D:$Z,14,FALSE)*G29</f>
        <v>0</v>
      </c>
      <c r="AA29" s="32">
        <f t="shared" si="17"/>
        <v>0</v>
      </c>
      <c r="AC29" s="3">
        <f>VLOOKUP($A29&amp;"Total",Rezepte!$D:$AK,24,FALSE)/100*$C29</f>
        <v>0.51282051282051277</v>
      </c>
      <c r="AD29" s="3">
        <f>VLOOKUP($A29&amp;"Total",Rezepte!$D:$AK,25,FALSE)/100*$C29</f>
        <v>0</v>
      </c>
      <c r="AE29" s="3">
        <f>VLOOKUP($A29&amp;"Total",Rezepte!$D:$AK,26,FALSE)/100*$C29</f>
        <v>0</v>
      </c>
      <c r="AF29" s="3">
        <f>VLOOKUP($A29&amp;"Total",Rezepte!$D:$AK,27,FALSE)/100*$C29</f>
        <v>0.51282051282051277</v>
      </c>
      <c r="AG29" s="3">
        <f>VLOOKUP($A29&amp;"Total",Rezepte!$D:$AK,28,FALSE)/100*$C29</f>
        <v>0</v>
      </c>
      <c r="AH29" s="3">
        <f>VLOOKUP($A29&amp;"Total",Rezepte!$D:$AK,29,FALSE)/100*$C29</f>
        <v>0</v>
      </c>
      <c r="AI29" s="3">
        <f>VLOOKUP($A29&amp;"Total",Rezepte!$D:$AK,30,FALSE)/100*$C29</f>
        <v>0</v>
      </c>
      <c r="AJ29" s="3">
        <f>VLOOKUP($A29&amp;"Total",Rezepte!$D:$AK,31,FALSE)/100*$C29</f>
        <v>0</v>
      </c>
      <c r="AK29" s="3">
        <f>VLOOKUP($A29&amp;"Total",Rezepte!$D:$AK,32,FALSE)/100*$C29</f>
        <v>0</v>
      </c>
      <c r="AL29" s="3">
        <f>VLOOKUP($A29&amp;"Total",Rezepte!$D:$AK,33,FALSE)/100*$C29</f>
        <v>0</v>
      </c>
      <c r="AM29" s="3">
        <f>VLOOKUP($A29&amp;"Total",Rezepte!$D:$AK,34,FALSE)/100*$C29</f>
        <v>0</v>
      </c>
    </row>
    <row r="30" spans="1:39" x14ac:dyDescent="0.25">
      <c r="A30" t="s">
        <v>128</v>
      </c>
      <c r="C30">
        <v>15</v>
      </c>
      <c r="D30" s="30">
        <f t="shared" si="6"/>
        <v>565.84999999999991</v>
      </c>
      <c r="E30" s="30">
        <f t="shared" si="7"/>
        <v>580.84999999999991</v>
      </c>
      <c r="F30" s="32">
        <f t="shared" si="8"/>
        <v>4</v>
      </c>
      <c r="G30" s="27">
        <f t="shared" si="9"/>
        <v>29.1</v>
      </c>
      <c r="H30" s="47">
        <f t="shared" si="10"/>
        <v>582</v>
      </c>
      <c r="I30" s="47">
        <f t="shared" si="11"/>
        <v>2</v>
      </c>
      <c r="J30" s="34" t="str">
        <f>VLOOKUP($A30&amp;"Total",Rezepte!$D:$Z,19,FALSE)</f>
        <v>constructor</v>
      </c>
      <c r="K30" s="32">
        <f t="shared" si="12"/>
        <v>4</v>
      </c>
      <c r="L30" s="27">
        <f t="shared" si="13"/>
        <v>116.4</v>
      </c>
      <c r="M30" s="4">
        <f>VLOOKUP($A30&amp;"Total",Rezepte!$D:$Z,21,FALSE)</f>
        <v>20</v>
      </c>
      <c r="N30" s="4">
        <f>VLOOKUP($A30&amp;"Total",Rezepte!$D:$Z,20,FALSE)</f>
        <v>4</v>
      </c>
      <c r="O30" s="47">
        <v>582</v>
      </c>
      <c r="P30" t="str">
        <f>VLOOKUP($A30&amp;"Total",Rezepte!$D:$Z,4,FALSE)</f>
        <v>Steel Ingot</v>
      </c>
      <c r="Q30" s="3">
        <f>VLOOKUP($A30&amp;"Total",Rezepte!$D:$Z,5,FALSE)*G30</f>
        <v>873</v>
      </c>
      <c r="R30" s="32">
        <f t="shared" si="14"/>
        <v>2</v>
      </c>
      <c r="S30" t="str">
        <f>VLOOKUP($A30&amp;"Total",Rezepte!$D:$Z,7,FALSE)</f>
        <v>nothing</v>
      </c>
      <c r="T30" s="3">
        <f>VLOOKUP($A30&amp;"Total",Rezepte!$D:$Z,8,FALSE)*G30</f>
        <v>0</v>
      </c>
      <c r="U30" s="32">
        <f t="shared" si="15"/>
        <v>0</v>
      </c>
      <c r="V30" t="str">
        <f>VLOOKUP($A30&amp;"Total",Rezepte!$D:$Z,10,FALSE)</f>
        <v>nothing</v>
      </c>
      <c r="W30" s="3">
        <f>VLOOKUP($A30&amp;"Total",Rezepte!$D:$Z,11,FALSE)*G30</f>
        <v>0</v>
      </c>
      <c r="X30" s="32">
        <f t="shared" si="16"/>
        <v>0</v>
      </c>
      <c r="Y30" t="str">
        <f>VLOOKUP($A30&amp;"Total",Rezepte!$D:$Z,13,FALSE)</f>
        <v>nothing</v>
      </c>
      <c r="Z30" s="3">
        <f>VLOOKUP($A30&amp;"Total",Rezepte!$D:$Z,14,FALSE)*G30</f>
        <v>0</v>
      </c>
      <c r="AA30" s="32">
        <f t="shared" si="17"/>
        <v>0</v>
      </c>
      <c r="AC30" s="3">
        <f>VLOOKUP($A30&amp;"Total",Rezepte!$D:$AK,24,FALSE)/100*$C30</f>
        <v>15</v>
      </c>
      <c r="AD30" s="3">
        <f>VLOOKUP($A30&amp;"Total",Rezepte!$D:$AK,25,FALSE)/100*$C30</f>
        <v>0</v>
      </c>
      <c r="AE30" s="3">
        <f>VLOOKUP($A30&amp;"Total",Rezepte!$D:$AK,26,FALSE)/100*$C30</f>
        <v>0</v>
      </c>
      <c r="AF30" s="3">
        <f>VLOOKUP($A30&amp;"Total",Rezepte!$D:$AK,27,FALSE)/100*$C30</f>
        <v>15</v>
      </c>
      <c r="AG30" s="3">
        <f>VLOOKUP($A30&amp;"Total",Rezepte!$D:$AK,28,FALSE)/100*$C30</f>
        <v>0</v>
      </c>
      <c r="AH30" s="3">
        <f>VLOOKUP($A30&amp;"Total",Rezepte!$D:$AK,29,FALSE)/100*$C30</f>
        <v>0</v>
      </c>
      <c r="AI30" s="3">
        <f>VLOOKUP($A30&amp;"Total",Rezepte!$D:$AK,30,FALSE)/100*$C30</f>
        <v>0</v>
      </c>
      <c r="AJ30" s="3">
        <f>VLOOKUP($A30&amp;"Total",Rezepte!$D:$AK,31,FALSE)/100*$C30</f>
        <v>0</v>
      </c>
      <c r="AK30" s="3">
        <f>VLOOKUP($A30&amp;"Total",Rezepte!$D:$AK,32,FALSE)/100*$C30</f>
        <v>0</v>
      </c>
      <c r="AL30" s="3">
        <f>VLOOKUP($A30&amp;"Total",Rezepte!$D:$AK,33,FALSE)/100*$C30</f>
        <v>0</v>
      </c>
      <c r="AM30" s="3">
        <f>VLOOKUP($A30&amp;"Total",Rezepte!$D:$AK,34,FALSE)/100*$C30</f>
        <v>0</v>
      </c>
    </row>
    <row r="31" spans="1:39" x14ac:dyDescent="0.25">
      <c r="A31" t="s">
        <v>66</v>
      </c>
      <c r="C31">
        <v>15</v>
      </c>
      <c r="D31" s="30">
        <f t="shared" si="6"/>
        <v>329.375</v>
      </c>
      <c r="E31" s="30">
        <f t="shared" si="7"/>
        <v>344.375</v>
      </c>
      <c r="F31" s="32">
        <f t="shared" si="8"/>
        <v>2</v>
      </c>
      <c r="G31" s="27">
        <f t="shared" si="9"/>
        <v>23</v>
      </c>
      <c r="H31" s="47">
        <f t="shared" si="10"/>
        <v>345</v>
      </c>
      <c r="I31" s="47">
        <f t="shared" si="11"/>
        <v>0</v>
      </c>
      <c r="J31" s="34" t="str">
        <f>VLOOKUP($A31&amp;"Total",Rezepte!$D:$Z,19,FALSE)</f>
        <v>constructor</v>
      </c>
      <c r="K31" s="32">
        <f t="shared" si="12"/>
        <v>2</v>
      </c>
      <c r="L31" s="27">
        <f t="shared" si="13"/>
        <v>92</v>
      </c>
      <c r="M31" s="4">
        <f>VLOOKUP($A31&amp;"Total",Rezepte!$D:$Z,21,FALSE)</f>
        <v>15</v>
      </c>
      <c r="N31" s="4">
        <f>VLOOKUP($A31&amp;"Total",Rezepte!$D:$Z,20,FALSE)</f>
        <v>4</v>
      </c>
      <c r="O31" s="47">
        <v>345</v>
      </c>
      <c r="P31" t="str">
        <f>VLOOKUP($A31&amp;"Total",Rezepte!$D:$Z,4,FALSE)</f>
        <v>Limestone</v>
      </c>
      <c r="Q31" s="3">
        <f>VLOOKUP($A31&amp;"Total",Rezepte!$D:$Z,5,FALSE)*G31</f>
        <v>1035</v>
      </c>
      <c r="R31" s="32">
        <f t="shared" si="14"/>
        <v>3</v>
      </c>
      <c r="S31" t="str">
        <f>VLOOKUP($A31&amp;"Total",Rezepte!$D:$Z,7,FALSE)</f>
        <v>nothing</v>
      </c>
      <c r="T31" s="3">
        <f>VLOOKUP($A31&amp;"Total",Rezepte!$D:$Z,8,FALSE)*G31</f>
        <v>0</v>
      </c>
      <c r="U31" s="32">
        <f t="shared" si="15"/>
        <v>0</v>
      </c>
      <c r="V31" t="str">
        <f>VLOOKUP($A31&amp;"Total",Rezepte!$D:$Z,10,FALSE)</f>
        <v>nothing</v>
      </c>
      <c r="W31" s="3">
        <f>VLOOKUP($A31&amp;"Total",Rezepte!$D:$Z,11,FALSE)*G31</f>
        <v>0</v>
      </c>
      <c r="X31" s="32">
        <f t="shared" si="16"/>
        <v>0</v>
      </c>
      <c r="Y31" t="str">
        <f>VLOOKUP($A31&amp;"Total",Rezepte!$D:$Z,13,FALSE)</f>
        <v>nothing</v>
      </c>
      <c r="Z31" s="3">
        <f>VLOOKUP($A31&amp;"Total",Rezepte!$D:$Z,14,FALSE)*G31</f>
        <v>0</v>
      </c>
      <c r="AA31" s="32">
        <f t="shared" si="17"/>
        <v>0</v>
      </c>
      <c r="AC31" s="3">
        <f>VLOOKUP($A31&amp;"Total",Rezepte!$D:$AK,24,FALSE)/100*$C31</f>
        <v>0</v>
      </c>
      <c r="AD31" s="3">
        <f>VLOOKUP($A31&amp;"Total",Rezepte!$D:$AK,25,FALSE)/100*$C31</f>
        <v>0</v>
      </c>
      <c r="AE31" s="3">
        <f>VLOOKUP($A31&amp;"Total",Rezepte!$D:$AK,26,FALSE)/100*$C31</f>
        <v>45</v>
      </c>
      <c r="AF31" s="3">
        <f>VLOOKUP($A31&amp;"Total",Rezepte!$D:$AK,27,FALSE)/100*$C31</f>
        <v>0</v>
      </c>
      <c r="AG31" s="3">
        <f>VLOOKUP($A31&amp;"Total",Rezepte!$D:$AK,28,FALSE)/100*$C31</f>
        <v>0</v>
      </c>
      <c r="AH31" s="3">
        <f>VLOOKUP($A31&amp;"Total",Rezepte!$D:$AK,29,FALSE)/100*$C31</f>
        <v>0</v>
      </c>
      <c r="AI31" s="3">
        <f>VLOOKUP($A31&amp;"Total",Rezepte!$D:$AK,30,FALSE)/100*$C31</f>
        <v>0</v>
      </c>
      <c r="AJ31" s="3">
        <f>VLOOKUP($A31&amp;"Total",Rezepte!$D:$AK,31,FALSE)/100*$C31</f>
        <v>0</v>
      </c>
      <c r="AK31" s="3">
        <f>VLOOKUP($A31&amp;"Total",Rezepte!$D:$AK,32,FALSE)/100*$C31</f>
        <v>0</v>
      </c>
      <c r="AL31" s="3">
        <f>VLOOKUP($A31&amp;"Total",Rezepte!$D:$AK,33,FALSE)/100*$C31</f>
        <v>0</v>
      </c>
      <c r="AM31" s="3">
        <f>VLOOKUP($A31&amp;"Total",Rezepte!$D:$AK,34,FALSE)/100*$C31</f>
        <v>0</v>
      </c>
    </row>
    <row r="32" spans="1:39" x14ac:dyDescent="0.25">
      <c r="A32" t="s">
        <v>126</v>
      </c>
      <c r="C32">
        <v>36</v>
      </c>
      <c r="D32" s="30">
        <f t="shared" si="6"/>
        <v>20.625</v>
      </c>
      <c r="E32" s="30">
        <f t="shared" si="7"/>
        <v>56.625</v>
      </c>
      <c r="F32" s="32">
        <f t="shared" si="8"/>
        <v>1</v>
      </c>
      <c r="G32" s="27">
        <f t="shared" si="9"/>
        <v>14.2</v>
      </c>
      <c r="H32" s="47">
        <f t="shared" si="10"/>
        <v>56.8</v>
      </c>
      <c r="I32" s="47">
        <f t="shared" si="11"/>
        <v>0.79999999999999716</v>
      </c>
      <c r="J32" s="34" t="str">
        <f>VLOOKUP($A32&amp;"Total",Rezepte!$D:$Z,19,FALSE)</f>
        <v>Assembler</v>
      </c>
      <c r="K32" s="32">
        <f t="shared" si="12"/>
        <v>1</v>
      </c>
      <c r="L32" s="27">
        <f t="shared" si="13"/>
        <v>213</v>
      </c>
      <c r="M32" s="4">
        <f>VLOOKUP($A32&amp;"Total",Rezepte!$D:$Z,21,FALSE)</f>
        <v>4</v>
      </c>
      <c r="N32" s="4">
        <f>VLOOKUP($A32&amp;"Total",Rezepte!$D:$Z,20,FALSE)</f>
        <v>15</v>
      </c>
      <c r="O32" s="47">
        <v>56.8</v>
      </c>
      <c r="P32" t="str">
        <f>VLOOKUP($A32&amp;"Total",Rezepte!$D:$Z,4,FALSE)</f>
        <v>Steel Pipe</v>
      </c>
      <c r="Q32" s="3">
        <f>VLOOKUP($A32&amp;"Total",Rezepte!$D:$Z,5,FALSE)*G32</f>
        <v>397.59999999999997</v>
      </c>
      <c r="R32" s="32">
        <f t="shared" si="14"/>
        <v>1</v>
      </c>
      <c r="S32" t="str">
        <f>VLOOKUP($A32&amp;"Total",Rezepte!$D:$Z,7,FALSE)</f>
        <v>Concrete</v>
      </c>
      <c r="T32" s="3">
        <f>VLOOKUP($A32&amp;"Total",Rezepte!$D:$Z,8,FALSE)*G32</f>
        <v>284</v>
      </c>
      <c r="U32" s="32">
        <f t="shared" si="15"/>
        <v>1</v>
      </c>
      <c r="V32" t="str">
        <f>VLOOKUP($A32&amp;"Total",Rezepte!$D:$Z,10,FALSE)</f>
        <v>nothing</v>
      </c>
      <c r="W32" s="3">
        <f>VLOOKUP($A32&amp;"Total",Rezepte!$D:$Z,11,FALSE)*G32</f>
        <v>0</v>
      </c>
      <c r="X32" s="32">
        <f t="shared" si="16"/>
        <v>0</v>
      </c>
      <c r="Y32" t="str">
        <f>VLOOKUP($A32&amp;"Total",Rezepte!$D:$Z,13,FALSE)</f>
        <v>nothing</v>
      </c>
      <c r="Z32" s="3">
        <f>VLOOKUP($A32&amp;"Total",Rezepte!$D:$Z,14,FALSE)*G32</f>
        <v>0</v>
      </c>
      <c r="AA32" s="32">
        <f t="shared" si="17"/>
        <v>0</v>
      </c>
      <c r="AC32" s="3">
        <f>VLOOKUP($A32&amp;"Total",Rezepte!$D:$AK,24,FALSE)/100*$C32</f>
        <v>252</v>
      </c>
      <c r="AD32" s="3">
        <f>VLOOKUP($A32&amp;"Total",Rezepte!$D:$AK,25,FALSE)/100*$C32</f>
        <v>0</v>
      </c>
      <c r="AE32" s="3">
        <f>VLOOKUP($A32&amp;"Total",Rezepte!$D:$AK,26,FALSE)/100*$C32</f>
        <v>540</v>
      </c>
      <c r="AF32" s="3">
        <f>VLOOKUP($A32&amp;"Total",Rezepte!$D:$AK,27,FALSE)/100*$C32</f>
        <v>252</v>
      </c>
      <c r="AG32" s="3">
        <f>VLOOKUP($A32&amp;"Total",Rezepte!$D:$AK,28,FALSE)/100*$C32</f>
        <v>0</v>
      </c>
      <c r="AH32" s="3">
        <f>VLOOKUP($A32&amp;"Total",Rezepte!$D:$AK,29,FALSE)/100*$C32</f>
        <v>0</v>
      </c>
      <c r="AI32" s="3">
        <f>VLOOKUP($A32&amp;"Total",Rezepte!$D:$AK,30,FALSE)/100*$C32</f>
        <v>0</v>
      </c>
      <c r="AJ32" s="3">
        <f>VLOOKUP($A32&amp;"Total",Rezepte!$D:$AK,31,FALSE)/100*$C32</f>
        <v>0</v>
      </c>
      <c r="AK32" s="3">
        <f>VLOOKUP($A32&amp;"Total",Rezepte!$D:$AK,32,FALSE)/100*$C32</f>
        <v>0</v>
      </c>
      <c r="AL32" s="3">
        <f>VLOOKUP($A32&amp;"Total",Rezepte!$D:$AK,33,FALSE)/100*$C32</f>
        <v>0</v>
      </c>
      <c r="AM32" s="3">
        <f>VLOOKUP($A32&amp;"Total",Rezepte!$D:$AK,34,FALSE)/100*$C32</f>
        <v>0</v>
      </c>
    </row>
    <row r="33" spans="1:39" x14ac:dyDescent="0.25">
      <c r="A33" t="s">
        <v>114</v>
      </c>
      <c r="C33">
        <v>15</v>
      </c>
      <c r="D33" s="30">
        <f t="shared" si="6"/>
        <v>22.4</v>
      </c>
      <c r="E33" s="30">
        <f t="shared" si="7"/>
        <v>37.4</v>
      </c>
      <c r="F33" s="32">
        <f t="shared" si="8"/>
        <v>2</v>
      </c>
      <c r="G33" s="27">
        <f t="shared" si="9"/>
        <v>6.6999999999999993</v>
      </c>
      <c r="H33" s="47">
        <f t="shared" si="10"/>
        <v>37.687499999999993</v>
      </c>
      <c r="I33" s="47">
        <f t="shared" si="11"/>
        <v>3.9374999999999929</v>
      </c>
      <c r="J33" s="34" t="str">
        <f>VLOOKUP($A33&amp;"Total",Rezepte!$D:$Z,19,FALSE)</f>
        <v>Assembler</v>
      </c>
      <c r="K33" s="32">
        <f t="shared" si="12"/>
        <v>2</v>
      </c>
      <c r="L33" s="27">
        <f t="shared" si="13"/>
        <v>100.49999999999999</v>
      </c>
      <c r="M33" s="4">
        <f>VLOOKUP($A33&amp;"Total",Rezepte!$D:$Z,21,FALSE)</f>
        <v>5.625</v>
      </c>
      <c r="N33" s="4">
        <f>VLOOKUP($A33&amp;"Total",Rezepte!$D:$Z,20,FALSE)</f>
        <v>15</v>
      </c>
      <c r="O33" s="47">
        <v>37.69</v>
      </c>
      <c r="P33" t="str">
        <f>VLOOKUP($A33&amp;"Total",Rezepte!$D:$Z,4,FALSE)</f>
        <v>Iron Plate</v>
      </c>
      <c r="Q33" s="3">
        <f>VLOOKUP($A33&amp;"Total",Rezepte!$D:$Z,5,FALSE)*G33</f>
        <v>125.62499999999999</v>
      </c>
      <c r="R33" s="32">
        <f t="shared" si="14"/>
        <v>1</v>
      </c>
      <c r="S33" t="str">
        <f>VLOOKUP($A33&amp;"Total",Rezepte!$D:$Z,7,FALSE)</f>
        <v>Wire</v>
      </c>
      <c r="T33" s="3">
        <f>VLOOKUP($A33&amp;"Total",Rezepte!$D:$Z,8,FALSE)*G33</f>
        <v>251.24999999999997</v>
      </c>
      <c r="U33" s="32">
        <f t="shared" si="15"/>
        <v>1</v>
      </c>
      <c r="V33" t="str">
        <f>VLOOKUP($A33&amp;"Total",Rezepte!$D:$Z,10,FALSE)</f>
        <v>nothing</v>
      </c>
      <c r="W33" s="3">
        <f>VLOOKUP($A33&amp;"Total",Rezepte!$D:$Z,11,FALSE)*G33</f>
        <v>0</v>
      </c>
      <c r="X33" s="32">
        <f t="shared" si="16"/>
        <v>0</v>
      </c>
      <c r="Y33" t="str">
        <f>VLOOKUP($A33&amp;"Total",Rezepte!$D:$Z,13,FALSE)</f>
        <v>nothing</v>
      </c>
      <c r="Z33" s="3">
        <f>VLOOKUP($A33&amp;"Total",Rezepte!$D:$Z,14,FALSE)*G33</f>
        <v>0</v>
      </c>
      <c r="AA33" s="32">
        <f t="shared" si="17"/>
        <v>0</v>
      </c>
      <c r="AC33" s="3">
        <f>VLOOKUP($A33&amp;"Total",Rezepte!$D:$AK,24,FALSE)/100*$C33</f>
        <v>75.000000000000014</v>
      </c>
      <c r="AD33" s="3">
        <f>VLOOKUP($A33&amp;"Total",Rezepte!$D:$AK,25,FALSE)/100*$C33</f>
        <v>0</v>
      </c>
      <c r="AE33" s="3">
        <f>VLOOKUP($A33&amp;"Total",Rezepte!$D:$AK,26,FALSE)/100*$C33</f>
        <v>0</v>
      </c>
      <c r="AF33" s="3">
        <f>VLOOKUP($A33&amp;"Total",Rezepte!$D:$AK,27,FALSE)/100*$C33</f>
        <v>0</v>
      </c>
      <c r="AG33" s="3">
        <f>VLOOKUP($A33&amp;"Total",Rezepte!$D:$AK,28,FALSE)/100*$C33</f>
        <v>37.500000000000007</v>
      </c>
      <c r="AH33" s="3">
        <f>VLOOKUP($A33&amp;"Total",Rezepte!$D:$AK,29,FALSE)/100*$C33</f>
        <v>0</v>
      </c>
      <c r="AI33" s="3">
        <f>VLOOKUP($A33&amp;"Total",Rezepte!$D:$AK,30,FALSE)/100*$C33</f>
        <v>0</v>
      </c>
      <c r="AJ33" s="3">
        <f>VLOOKUP($A33&amp;"Total",Rezepte!$D:$AK,31,FALSE)/100*$C33</f>
        <v>0</v>
      </c>
      <c r="AK33" s="3">
        <f>VLOOKUP($A33&amp;"Total",Rezepte!$D:$AK,32,FALSE)/100*$C33</f>
        <v>0</v>
      </c>
      <c r="AL33" s="3">
        <f>VLOOKUP($A33&amp;"Total",Rezepte!$D:$AK,33,FALSE)/100*$C33</f>
        <v>0</v>
      </c>
      <c r="AM33" s="3">
        <f>VLOOKUP($A33&amp;"Total",Rezepte!$D:$AK,34,FALSE)/100*$C33</f>
        <v>0</v>
      </c>
    </row>
    <row r="34" spans="1:39" x14ac:dyDescent="0.25">
      <c r="A34" t="s">
        <v>132</v>
      </c>
      <c r="C34">
        <v>2</v>
      </c>
      <c r="D34" s="30">
        <f t="shared" si="6"/>
        <v>16.5</v>
      </c>
      <c r="E34" s="30">
        <f t="shared" si="7"/>
        <v>18.5</v>
      </c>
      <c r="F34" s="32">
        <f t="shared" si="8"/>
        <v>1</v>
      </c>
      <c r="G34" s="27">
        <f t="shared" si="9"/>
        <v>6.1999999999999993</v>
      </c>
      <c r="H34" s="47">
        <f t="shared" si="10"/>
        <v>18.599999999999998</v>
      </c>
      <c r="I34" s="47">
        <f t="shared" si="11"/>
        <v>0.59999999999999787</v>
      </c>
      <c r="J34" s="34" t="str">
        <f>VLOOKUP($A34&amp;"Total",Rezepte!$D:$Z,19,FALSE)</f>
        <v>Assembler</v>
      </c>
      <c r="K34" s="32">
        <f t="shared" si="12"/>
        <v>1</v>
      </c>
      <c r="L34" s="27">
        <f t="shared" si="13"/>
        <v>92.999999999999986</v>
      </c>
      <c r="M34" s="4">
        <f>VLOOKUP($A34&amp;"Total",Rezepte!$D:$Z,21,FALSE)</f>
        <v>3</v>
      </c>
      <c r="N34" s="4">
        <f>VLOOKUP($A34&amp;"Total",Rezepte!$D:$Z,20,FALSE)</f>
        <v>15</v>
      </c>
      <c r="O34" s="47">
        <v>18.600000000000001</v>
      </c>
      <c r="P34" t="str">
        <f>VLOOKUP($A34&amp;"Total",Rezepte!$D:$Z,4,FALSE)</f>
        <v>reinforced Plate</v>
      </c>
      <c r="Q34" s="3">
        <f>VLOOKUP($A34&amp;"Total",Rezepte!$D:$Z,5,FALSE)*G34</f>
        <v>12.399999999999999</v>
      </c>
      <c r="R34" s="32">
        <f t="shared" si="14"/>
        <v>1</v>
      </c>
      <c r="S34" t="str">
        <f>VLOOKUP($A34&amp;"Total",Rezepte!$D:$Z,7,FALSE)</f>
        <v>Steel Pipe</v>
      </c>
      <c r="T34" s="3">
        <f>VLOOKUP($A34&amp;"Total",Rezepte!$D:$Z,8,FALSE)*G34</f>
        <v>61.999999999999993</v>
      </c>
      <c r="U34" s="32">
        <f t="shared" si="15"/>
        <v>1</v>
      </c>
      <c r="V34" t="str">
        <f>VLOOKUP($A34&amp;"Total",Rezepte!$D:$Z,10,FALSE)</f>
        <v>nothing</v>
      </c>
      <c r="W34" s="3">
        <f>VLOOKUP($A34&amp;"Total",Rezepte!$D:$Z,11,FALSE)*G34</f>
        <v>0</v>
      </c>
      <c r="X34" s="32">
        <f t="shared" si="16"/>
        <v>0</v>
      </c>
      <c r="Y34" t="str">
        <f>VLOOKUP($A34&amp;"Total",Rezepte!$D:$Z,13,FALSE)</f>
        <v>nothing</v>
      </c>
      <c r="Z34" s="3">
        <f>VLOOKUP($A34&amp;"Total",Rezepte!$D:$Z,14,FALSE)*G34</f>
        <v>0</v>
      </c>
      <c r="AA34" s="32">
        <f t="shared" si="17"/>
        <v>0</v>
      </c>
      <c r="AC34" s="3">
        <f>VLOOKUP($A34&amp;"Total",Rezepte!$D:$AK,24,FALSE)/100*$C34</f>
        <v>13.333333333333336</v>
      </c>
      <c r="AD34" s="3">
        <f>VLOOKUP($A34&amp;"Total",Rezepte!$D:$AK,25,FALSE)/100*$C34</f>
        <v>0</v>
      </c>
      <c r="AE34" s="3">
        <f>VLOOKUP($A34&amp;"Total",Rezepte!$D:$AK,26,FALSE)/100*$C34</f>
        <v>0</v>
      </c>
      <c r="AF34" s="3">
        <f>VLOOKUP($A34&amp;"Total",Rezepte!$D:$AK,27,FALSE)/100*$C34</f>
        <v>6.6666666666666679</v>
      </c>
      <c r="AG34" s="3">
        <f>VLOOKUP($A34&amp;"Total",Rezepte!$D:$AK,28,FALSE)/100*$C34</f>
        <v>3.3333333333333344</v>
      </c>
      <c r="AH34" s="3">
        <f>VLOOKUP($A34&amp;"Total",Rezepte!$D:$AK,29,FALSE)/100*$C34</f>
        <v>0</v>
      </c>
      <c r="AI34" s="3">
        <f>VLOOKUP($A34&amp;"Total",Rezepte!$D:$AK,30,FALSE)/100*$C34</f>
        <v>0</v>
      </c>
      <c r="AJ34" s="3">
        <f>VLOOKUP($A34&amp;"Total",Rezepte!$D:$AK,31,FALSE)/100*$C34</f>
        <v>0</v>
      </c>
      <c r="AK34" s="3">
        <f>VLOOKUP($A34&amp;"Total",Rezepte!$D:$AK,32,FALSE)/100*$C34</f>
        <v>0</v>
      </c>
      <c r="AL34" s="3">
        <f>VLOOKUP($A34&amp;"Total",Rezepte!$D:$AK,33,FALSE)/100*$C34</f>
        <v>0</v>
      </c>
      <c r="AM34" s="3">
        <f>VLOOKUP($A34&amp;"Total",Rezepte!$D:$AK,34,FALSE)/100*$C34</f>
        <v>0</v>
      </c>
    </row>
    <row r="35" spans="1:39" x14ac:dyDescent="0.25">
      <c r="A35" t="s">
        <v>136</v>
      </c>
      <c r="C35">
        <v>5</v>
      </c>
      <c r="D35" s="30">
        <f t="shared" si="6"/>
        <v>1</v>
      </c>
      <c r="E35" s="30">
        <f t="shared" si="7"/>
        <v>6</v>
      </c>
      <c r="F35" s="32">
        <f t="shared" si="8"/>
        <v>1</v>
      </c>
      <c r="G35" s="27">
        <f t="shared" si="9"/>
        <v>2.2000000000000002</v>
      </c>
      <c r="H35" s="47">
        <f t="shared" si="10"/>
        <v>6.1875000000000009</v>
      </c>
      <c r="I35" s="47">
        <f t="shared" si="11"/>
        <v>0.56250000000000089</v>
      </c>
      <c r="J35" s="34" t="str">
        <f>VLOOKUP($A35&amp;"Total",Rezepte!$D:$Z,19,FALSE)</f>
        <v>Manufactirer</v>
      </c>
      <c r="K35" s="32">
        <f t="shared" si="12"/>
        <v>1</v>
      </c>
      <c r="L35" s="27">
        <f t="shared" si="13"/>
        <v>121.00000000000001</v>
      </c>
      <c r="M35" s="4">
        <f>VLOOKUP($A35&amp;"Total",Rezepte!$D:$Z,21,FALSE)</f>
        <v>2.8125</v>
      </c>
      <c r="N35" s="4">
        <f>VLOOKUP($A35&amp;"Total",Rezepte!$D:$Z,20,FALSE)</f>
        <v>55</v>
      </c>
      <c r="O35" s="47">
        <v>6.19</v>
      </c>
      <c r="P35" t="str">
        <f>VLOOKUP($A35&amp;"Total",Rezepte!$D:$Z,4,FALSE)</f>
        <v>Modular Frame</v>
      </c>
      <c r="Q35" s="3">
        <f>VLOOKUP($A35&amp;"Total",Rezepte!$D:$Z,5,FALSE)*G35</f>
        <v>16.5</v>
      </c>
      <c r="R35" s="32">
        <f t="shared" si="14"/>
        <v>1</v>
      </c>
      <c r="S35" t="str">
        <f>VLOOKUP($A35&amp;"Total",Rezepte!$D:$Z,7,FALSE)</f>
        <v>Encased Industrial Beam</v>
      </c>
      <c r="T35" s="3">
        <f>VLOOKUP($A35&amp;"Total",Rezepte!$D:$Z,8,FALSE)*G35</f>
        <v>20.625</v>
      </c>
      <c r="U35" s="32">
        <f t="shared" si="15"/>
        <v>1</v>
      </c>
      <c r="V35" t="str">
        <f>VLOOKUP($A35&amp;"Total",Rezepte!$D:$Z,10,FALSE)</f>
        <v>Steel Pipe</v>
      </c>
      <c r="W35" s="3">
        <f>VLOOKUP($A35&amp;"Total",Rezepte!$D:$Z,11,FALSE)*G35</f>
        <v>74.25</v>
      </c>
      <c r="X35" s="32">
        <f t="shared" si="16"/>
        <v>1</v>
      </c>
      <c r="Y35" t="str">
        <f>VLOOKUP($A35&amp;"Total",Rezepte!$D:$Z,13,FALSE)</f>
        <v>Concrete</v>
      </c>
      <c r="Z35" s="3">
        <f>VLOOKUP($A35&amp;"Total",Rezepte!$D:$Z,14,FALSE)*G35</f>
        <v>45.375000000000007</v>
      </c>
      <c r="AA35" s="32">
        <f t="shared" si="17"/>
        <v>1</v>
      </c>
      <c r="AC35" s="3">
        <f>VLOOKUP($A35&amp;"Total",Rezepte!$D:$AK,24,FALSE)/100*$C35</f>
        <v>265.5555555555556</v>
      </c>
      <c r="AD35" s="3">
        <f>VLOOKUP($A35&amp;"Total",Rezepte!$D:$AK,25,FALSE)/100*$C35</f>
        <v>0</v>
      </c>
      <c r="AE35" s="3">
        <f>VLOOKUP($A35&amp;"Total",Rezepte!$D:$AK,26,FALSE)/100*$C35</f>
        <v>360.00000000000006</v>
      </c>
      <c r="AF35" s="3">
        <f>VLOOKUP($A35&amp;"Total",Rezepte!$D:$AK,27,FALSE)/100*$C35</f>
        <v>221.11111111111114</v>
      </c>
      <c r="AG35" s="3">
        <f>VLOOKUP($A35&amp;"Total",Rezepte!$D:$AK,28,FALSE)/100*$C35</f>
        <v>22.222222222222229</v>
      </c>
      <c r="AH35" s="3">
        <f>VLOOKUP($A35&amp;"Total",Rezepte!$D:$AK,29,FALSE)/100*$C35</f>
        <v>0</v>
      </c>
      <c r="AI35" s="3">
        <f>VLOOKUP($A35&amp;"Total",Rezepte!$D:$AK,30,FALSE)/100*$C35</f>
        <v>0</v>
      </c>
      <c r="AJ35" s="3">
        <f>VLOOKUP($A35&amp;"Total",Rezepte!$D:$AK,31,FALSE)/100*$C35</f>
        <v>0</v>
      </c>
      <c r="AK35" s="3">
        <f>VLOOKUP($A35&amp;"Total",Rezepte!$D:$AK,32,FALSE)/100*$C35</f>
        <v>0</v>
      </c>
      <c r="AL35" s="3">
        <f>VLOOKUP($A35&amp;"Total",Rezepte!$D:$AK,33,FALSE)/100*$C35</f>
        <v>0</v>
      </c>
      <c r="AM35" s="3">
        <f>VLOOKUP($A35&amp;"Total",Rezepte!$D:$AK,34,FALSE)/100*$C35</f>
        <v>0</v>
      </c>
    </row>
    <row r="36" spans="1:39" x14ac:dyDescent="0.25">
      <c r="A36" t="s">
        <v>139</v>
      </c>
      <c r="C36">
        <v>10</v>
      </c>
      <c r="D36" s="30">
        <f t="shared" si="6"/>
        <v>17.5</v>
      </c>
      <c r="E36" s="30">
        <f t="shared" si="7"/>
        <v>27.5</v>
      </c>
      <c r="F36" s="32">
        <f t="shared" si="8"/>
        <v>2</v>
      </c>
      <c r="G36" s="27">
        <f t="shared" si="9"/>
        <v>2.5</v>
      </c>
      <c r="H36" s="47">
        <f t="shared" si="10"/>
        <v>28.125</v>
      </c>
      <c r="I36" s="47">
        <f t="shared" si="11"/>
        <v>5.625</v>
      </c>
      <c r="J36" s="34" t="str">
        <f>VLOOKUP($A36&amp;"Total",Rezepte!$D:$Z,19,FALSE)</f>
        <v>Assembler</v>
      </c>
      <c r="K36" s="32">
        <f t="shared" si="12"/>
        <v>2</v>
      </c>
      <c r="L36" s="27">
        <f t="shared" si="13"/>
        <v>37.5</v>
      </c>
      <c r="M36" s="4">
        <f>VLOOKUP($A36&amp;"Total",Rezepte!$D:$Z,21,FALSE)</f>
        <v>11.25</v>
      </c>
      <c r="N36" s="4">
        <f>VLOOKUP($A36&amp;"Total",Rezepte!$D:$Z,20,FALSE)</f>
        <v>15</v>
      </c>
      <c r="O36" s="47">
        <v>28.18</v>
      </c>
      <c r="P36" t="str">
        <f>VLOOKUP($A36&amp;"Total",Rezepte!$D:$Z,4,FALSE)</f>
        <v>Copper Sheet</v>
      </c>
      <c r="Q36" s="3">
        <f>VLOOKUP($A36&amp;"Total",Rezepte!$D:$Z,5,FALSE)*G36</f>
        <v>56.25</v>
      </c>
      <c r="R36" s="32">
        <f t="shared" si="14"/>
        <v>1</v>
      </c>
      <c r="S36" t="str">
        <f>VLOOKUP($A36&amp;"Total",Rezepte!$D:$Z,7,FALSE)</f>
        <v>Screw</v>
      </c>
      <c r="T36" s="3">
        <f>VLOOKUP($A36&amp;"Total",Rezepte!$D:$Z,8,FALSE)*G36</f>
        <v>487.5</v>
      </c>
      <c r="U36" s="32">
        <f t="shared" si="15"/>
        <v>2</v>
      </c>
      <c r="V36" t="str">
        <f>VLOOKUP($A36&amp;"Total",Rezepte!$D:$Z,10,FALSE)</f>
        <v>nothing</v>
      </c>
      <c r="W36" s="3">
        <f>VLOOKUP($A36&amp;"Total",Rezepte!$D:$Z,11,FALSE)*G36</f>
        <v>0</v>
      </c>
      <c r="X36" s="32">
        <f t="shared" si="16"/>
        <v>0</v>
      </c>
      <c r="Y36" t="str">
        <f>VLOOKUP($A36&amp;"Total",Rezepte!$D:$Z,13,FALSE)</f>
        <v>nothing</v>
      </c>
      <c r="Z36" s="3">
        <f>VLOOKUP($A36&amp;"Total",Rezepte!$D:$Z,14,FALSE)*G36</f>
        <v>0</v>
      </c>
      <c r="AA36" s="32">
        <f t="shared" si="17"/>
        <v>0</v>
      </c>
      <c r="AC36" s="3">
        <f>VLOOKUP($A36&amp;"Total",Rezepte!$D:$AK,24,FALSE)/100*$C36</f>
        <v>8.8888888888888893</v>
      </c>
      <c r="AD36" s="3">
        <f>VLOOKUP($A36&amp;"Total",Rezepte!$D:$AK,25,FALSE)/100*$C36</f>
        <v>40</v>
      </c>
      <c r="AE36" s="3">
        <f>VLOOKUP($A36&amp;"Total",Rezepte!$D:$AK,26,FALSE)/100*$C36</f>
        <v>0</v>
      </c>
      <c r="AF36" s="3">
        <f>VLOOKUP($A36&amp;"Total",Rezepte!$D:$AK,27,FALSE)/100*$C36</f>
        <v>8.8888888888888893</v>
      </c>
      <c r="AG36" s="3">
        <f>VLOOKUP($A36&amp;"Total",Rezepte!$D:$AK,28,FALSE)/100*$C36</f>
        <v>0</v>
      </c>
      <c r="AH36" s="3">
        <f>VLOOKUP($A36&amp;"Total",Rezepte!$D:$AK,29,FALSE)/100*$C36</f>
        <v>0</v>
      </c>
      <c r="AI36" s="3">
        <f>VLOOKUP($A36&amp;"Total",Rezepte!$D:$AK,30,FALSE)/100*$C36</f>
        <v>0</v>
      </c>
      <c r="AJ36" s="3">
        <f>VLOOKUP($A36&amp;"Total",Rezepte!$D:$AK,31,FALSE)/100*$C36</f>
        <v>0</v>
      </c>
      <c r="AK36" s="3">
        <f>VLOOKUP($A36&amp;"Total",Rezepte!$D:$AK,32,FALSE)/100*$C36</f>
        <v>0</v>
      </c>
      <c r="AL36" s="3">
        <f>VLOOKUP($A36&amp;"Total",Rezepte!$D:$AK,33,FALSE)/100*$C36</f>
        <v>0</v>
      </c>
      <c r="AM36" s="3">
        <f>VLOOKUP($A36&amp;"Total",Rezepte!$D:$AK,34,FALSE)/100*$C36</f>
        <v>0</v>
      </c>
    </row>
    <row r="37" spans="1:39" x14ac:dyDescent="0.25">
      <c r="A37" t="s">
        <v>117</v>
      </c>
      <c r="C37">
        <v>1</v>
      </c>
      <c r="D37" s="30">
        <f t="shared" si="6"/>
        <v>15</v>
      </c>
      <c r="E37" s="30">
        <f t="shared" si="7"/>
        <v>16</v>
      </c>
      <c r="F37" s="32">
        <f t="shared" si="8"/>
        <v>2</v>
      </c>
      <c r="G37" s="27">
        <f t="shared" si="9"/>
        <v>2</v>
      </c>
      <c r="H37" s="47">
        <f t="shared" si="10"/>
        <v>16</v>
      </c>
      <c r="I37" s="47">
        <f t="shared" si="11"/>
        <v>0</v>
      </c>
      <c r="J37" s="34" t="str">
        <f>VLOOKUP($A37&amp;"Total",Rezepte!$D:$Z,19,FALSE)</f>
        <v>Assembler</v>
      </c>
      <c r="K37" s="32">
        <f t="shared" si="12"/>
        <v>2</v>
      </c>
      <c r="L37" s="27">
        <f t="shared" si="13"/>
        <v>30</v>
      </c>
      <c r="M37" s="4">
        <f>VLOOKUP($A37&amp;"Total",Rezepte!$D:$Z,21,FALSE)</f>
        <v>8</v>
      </c>
      <c r="N37" s="4">
        <f>VLOOKUP($A37&amp;"Total",Rezepte!$D:$Z,20,FALSE)</f>
        <v>15</v>
      </c>
      <c r="O37" s="47">
        <v>16</v>
      </c>
      <c r="P37" t="str">
        <f>VLOOKUP($A37&amp;"Total",Rezepte!$D:$Z,4,FALSE)</f>
        <v>Steel Pipe</v>
      </c>
      <c r="Q37" s="3">
        <f>VLOOKUP($A37&amp;"Total",Rezepte!$D:$Z,5,FALSE)*G37</f>
        <v>32</v>
      </c>
      <c r="R37" s="32">
        <f t="shared" si="14"/>
        <v>1</v>
      </c>
      <c r="S37" t="str">
        <f>VLOOKUP($A37&amp;"Total",Rezepte!$D:$Z,7,FALSE)</f>
        <v>Quickwire</v>
      </c>
      <c r="T37" s="3">
        <f>VLOOKUP($A37&amp;"Total",Rezepte!$D:$Z,8,FALSE)*G37</f>
        <v>120</v>
      </c>
      <c r="U37" s="32">
        <f t="shared" si="15"/>
        <v>1</v>
      </c>
      <c r="V37" t="str">
        <f>VLOOKUP($A37&amp;"Total",Rezepte!$D:$Z,10,FALSE)</f>
        <v>nothing</v>
      </c>
      <c r="W37" s="3">
        <f>VLOOKUP($A37&amp;"Total",Rezepte!$D:$Z,11,FALSE)*G37</f>
        <v>0</v>
      </c>
      <c r="X37" s="32">
        <f t="shared" si="16"/>
        <v>0</v>
      </c>
      <c r="Y37" t="str">
        <f>VLOOKUP($A37&amp;"Total",Rezepte!$D:$Z,13,FALSE)</f>
        <v>nothing</v>
      </c>
      <c r="Z37" s="3">
        <f>VLOOKUP($A37&amp;"Total",Rezepte!$D:$Z,14,FALSE)*G37</f>
        <v>0</v>
      </c>
      <c r="AA37" s="32">
        <f t="shared" si="17"/>
        <v>0</v>
      </c>
      <c r="AC37" s="3">
        <f>VLOOKUP($A37&amp;"Total",Rezepte!$D:$AK,24,FALSE)/100*$C37</f>
        <v>2</v>
      </c>
      <c r="AD37" s="3">
        <f>VLOOKUP($A37&amp;"Total",Rezepte!$D:$AK,25,FALSE)/100*$C37</f>
        <v>0</v>
      </c>
      <c r="AE37" s="3">
        <f>VLOOKUP($A37&amp;"Total",Rezepte!$D:$AK,26,FALSE)/100*$C37</f>
        <v>0</v>
      </c>
      <c r="AF37" s="3">
        <f>VLOOKUP($A37&amp;"Total",Rezepte!$D:$AK,27,FALSE)/100*$C37</f>
        <v>2</v>
      </c>
      <c r="AG37" s="3">
        <f>VLOOKUP($A37&amp;"Total",Rezepte!$D:$AK,28,FALSE)/100*$C37</f>
        <v>4.5</v>
      </c>
      <c r="AH37" s="3">
        <f>VLOOKUP($A37&amp;"Total",Rezepte!$D:$AK,29,FALSE)/100*$C37</f>
        <v>0</v>
      </c>
      <c r="AI37" s="3">
        <f>VLOOKUP($A37&amp;"Total",Rezepte!$D:$AK,30,FALSE)/100*$C37</f>
        <v>0</v>
      </c>
      <c r="AJ37" s="3">
        <f>VLOOKUP($A37&amp;"Total",Rezepte!$D:$AK,31,FALSE)/100*$C37</f>
        <v>0</v>
      </c>
      <c r="AK37" s="3">
        <f>VLOOKUP($A37&amp;"Total",Rezepte!$D:$AK,32,FALSE)/100*$C37</f>
        <v>0</v>
      </c>
      <c r="AL37" s="3">
        <f>VLOOKUP($A37&amp;"Total",Rezepte!$D:$AK,33,FALSE)/100*$C37</f>
        <v>0</v>
      </c>
      <c r="AM37" s="3">
        <f>VLOOKUP($A37&amp;"Total",Rezepte!$D:$AK,34,FALSE)/100*$C37</f>
        <v>0</v>
      </c>
    </row>
    <row r="38" spans="1:39" x14ac:dyDescent="0.25">
      <c r="J38" s="34"/>
      <c r="K38" s="32"/>
      <c r="U38" s="32"/>
      <c r="X38" s="32"/>
      <c r="AA38" s="32"/>
    </row>
    <row r="39" spans="1:39" x14ac:dyDescent="0.25">
      <c r="J39" s="34"/>
      <c r="K39" s="32"/>
      <c r="U39" s="32"/>
      <c r="X39" s="32"/>
      <c r="AA39" s="32"/>
    </row>
    <row r="40" spans="1:39" x14ac:dyDescent="0.25">
      <c r="A40" t="s">
        <v>61</v>
      </c>
      <c r="D40" s="30">
        <f t="shared" ref="D40:D47" si="18">SUMIFS(Q:Q,P:P,A40)+SUMIFS(T:T,S:S,A40)+SUMIFS(W:W,V:V,A40)+SUMIFS(Z:Z,Y:Y,A40)</f>
        <v>382</v>
      </c>
      <c r="E40" s="30">
        <f>D40+C40</f>
        <v>382</v>
      </c>
      <c r="F40" s="32">
        <f t="shared" ref="F40:F47" si="19">COUNTIFS(P:P,A40,Q:Q,"&gt;0")+COUNTIFS(S:S,A40,T:T,"&gt;0")+COUNTIFS(V:V,A40,W:W,"&gt;0")+COUNTIFS(Y:Y,A40,Z:Z,"&gt;0")</f>
        <v>1</v>
      </c>
      <c r="G40" s="27">
        <f>ROUNDUP((C40+D40)/M40,1)</f>
        <v>12.799999999999999</v>
      </c>
      <c r="H40" s="47">
        <f t="shared" si="10"/>
        <v>383.99999999999994</v>
      </c>
      <c r="I40" s="47">
        <f t="shared" si="11"/>
        <v>23.999999999999943</v>
      </c>
      <c r="J40" s="34" t="str">
        <f>VLOOKUP($A40&amp;"Total",Rezepte!$D:$Z,19,FALSE)</f>
        <v>smelter</v>
      </c>
      <c r="K40" s="32">
        <f t="shared" ref="K40:K47" si="20">SUMIFS(R:R,P:P,A40)+SUMIFS(U:U,S:S,A40)+SUMIFS(X:X,V:V,A40)+SUMIFS(AA:AA,Y:Y,A40)</f>
        <v>1</v>
      </c>
      <c r="L40" s="27">
        <f>G40*N40</f>
        <v>51.199999999999996</v>
      </c>
      <c r="M40" s="4">
        <f>VLOOKUP($A40&amp;"Total",Rezepte!$D:$Z,21,FALSE)</f>
        <v>30</v>
      </c>
      <c r="N40" s="4">
        <f>VLOOKUP($A40&amp;"Total",Rezepte!$D:$Z,20,FALSE)</f>
        <v>4</v>
      </c>
      <c r="O40" s="47">
        <v>384</v>
      </c>
      <c r="P40" t="str">
        <f>VLOOKUP($A40&amp;"Total",Rezepte!$D:$Z,4,FALSE)</f>
        <v>Copper Ore</v>
      </c>
      <c r="Q40" s="3">
        <f>VLOOKUP($A40&amp;"Total",Rezepte!$D:$Z,5,FALSE)*G40</f>
        <v>383.99999999999994</v>
      </c>
      <c r="R40" s="32">
        <f t="shared" ref="R40:R47" si="21">ROUNDUP(Q40/$P$76,0)</f>
        <v>1</v>
      </c>
      <c r="S40" t="str">
        <f>VLOOKUP($A40&amp;"Total",Rezepte!$D:$Z,7,FALSE)</f>
        <v>nothing</v>
      </c>
      <c r="T40" s="3">
        <f>VLOOKUP($A40&amp;"Total",Rezepte!$D:$Z,8,FALSE)*G40</f>
        <v>0</v>
      </c>
      <c r="U40" s="32">
        <f t="shared" ref="U40:U47" si="22">ROUNDUP(T40/$P$76,0)</f>
        <v>0</v>
      </c>
      <c r="V40" t="str">
        <f>VLOOKUP($A40&amp;"Total",Rezepte!$D:$Z,10,FALSE)</f>
        <v>nothing</v>
      </c>
      <c r="W40" s="3">
        <f>VLOOKUP($A40&amp;"Total",Rezepte!$D:$Z,11,FALSE)*G40</f>
        <v>0</v>
      </c>
      <c r="X40" s="32">
        <f t="shared" ref="X40:X47" si="23">ROUNDUP(W40/$P$76,0)</f>
        <v>0</v>
      </c>
      <c r="Y40" t="str">
        <f>VLOOKUP($A40&amp;"Total",Rezepte!$D:$Z,13,FALSE)</f>
        <v>nothing</v>
      </c>
      <c r="Z40" s="3">
        <f>VLOOKUP($A40&amp;"Total",Rezepte!$D:$Z,14,FALSE)*G40</f>
        <v>0</v>
      </c>
      <c r="AA40" s="32">
        <f t="shared" ref="AA40:AA47" si="24">ROUNDUP(Z40/$P$76,0)</f>
        <v>0</v>
      </c>
      <c r="AC40" s="3">
        <f>VLOOKUP($A40&amp;"Total",Rezepte!$D:$AK,24,FALSE)/100*$C40</f>
        <v>0</v>
      </c>
      <c r="AD40" s="3">
        <f>VLOOKUP($A40&amp;"Total",Rezepte!$D:$AK,25,FALSE)/100*$C40</f>
        <v>0</v>
      </c>
      <c r="AE40" s="3">
        <f>VLOOKUP($A40&amp;"Total",Rezepte!$D:$AK,26,FALSE)/100*$C40</f>
        <v>0</v>
      </c>
      <c r="AF40" s="3">
        <f>VLOOKUP($A40&amp;"Total",Rezepte!$D:$AK,27,FALSE)/100*$C40</f>
        <v>0</v>
      </c>
      <c r="AG40" s="3">
        <f>VLOOKUP($A40&amp;"Total",Rezepte!$D:$AK,28,FALSE)/100*$C40</f>
        <v>0</v>
      </c>
      <c r="AH40" s="3">
        <f>VLOOKUP($A40&amp;"Total",Rezepte!$D:$AK,29,FALSE)/100*$C40</f>
        <v>0</v>
      </c>
      <c r="AI40" s="3">
        <f>VLOOKUP($A40&amp;"Total",Rezepte!$D:$AK,30,FALSE)/100*$C40</f>
        <v>0</v>
      </c>
      <c r="AJ40" s="3">
        <f>VLOOKUP($A40&amp;"Total",Rezepte!$D:$AK,31,FALSE)/100*$C40</f>
        <v>0</v>
      </c>
      <c r="AK40" s="3">
        <f>VLOOKUP($A40&amp;"Total",Rezepte!$D:$AK,32,FALSE)/100*$C40</f>
        <v>0</v>
      </c>
      <c r="AL40" s="3">
        <f>VLOOKUP($A40&amp;"Total",Rezepte!$D:$AK,33,FALSE)/100*$C40</f>
        <v>0</v>
      </c>
      <c r="AM40" s="3">
        <f>VLOOKUP($A40&amp;"Total",Rezepte!$D:$AK,34,FALSE)/100*$C40</f>
        <v>0</v>
      </c>
    </row>
    <row r="41" spans="1:39" x14ac:dyDescent="0.25">
      <c r="A41" t="s">
        <v>95</v>
      </c>
      <c r="C41">
        <v>10</v>
      </c>
      <c r="D41" s="30">
        <f t="shared" si="18"/>
        <v>181</v>
      </c>
      <c r="E41" s="30">
        <f>D41+C41</f>
        <v>191</v>
      </c>
      <c r="F41" s="32">
        <f t="shared" si="19"/>
        <v>3</v>
      </c>
      <c r="G41" s="27">
        <f>ROUNDUP((C41+D41)/M41,1)</f>
        <v>19.100000000000001</v>
      </c>
      <c r="H41" s="47">
        <f t="shared" si="10"/>
        <v>191</v>
      </c>
      <c r="I41" s="47">
        <f t="shared" si="11"/>
        <v>1</v>
      </c>
      <c r="J41" s="34" t="str">
        <f>VLOOKUP($A41&amp;"Total",Rezepte!$D:$Z,19,FALSE)</f>
        <v>constructor</v>
      </c>
      <c r="K41" s="32">
        <f t="shared" si="20"/>
        <v>3</v>
      </c>
      <c r="L41" s="27">
        <f>G41*N41</f>
        <v>76.400000000000006</v>
      </c>
      <c r="M41" s="4">
        <f>VLOOKUP($A41&amp;"Total",Rezepte!$D:$Z,21,FALSE)</f>
        <v>10</v>
      </c>
      <c r="N41" s="4">
        <f>VLOOKUP($A41&amp;"Total",Rezepte!$D:$Z,20,FALSE)</f>
        <v>4</v>
      </c>
      <c r="O41" s="47">
        <v>191</v>
      </c>
      <c r="P41" t="str">
        <f>VLOOKUP($A41&amp;"Total",Rezepte!$D:$Z,4,FALSE)</f>
        <v>Copper Ingot</v>
      </c>
      <c r="Q41" s="3">
        <f>VLOOKUP($A41&amp;"Total",Rezepte!$D:$Z,5,FALSE)*G41</f>
        <v>382</v>
      </c>
      <c r="R41" s="32">
        <f t="shared" si="21"/>
        <v>1</v>
      </c>
      <c r="S41" t="str">
        <f>VLOOKUP($A41&amp;"Total",Rezepte!$D:$Z,7,FALSE)</f>
        <v>nothing</v>
      </c>
      <c r="T41" s="3">
        <f>VLOOKUP($A41&amp;"Total",Rezepte!$D:$Z,8,FALSE)*G41</f>
        <v>0</v>
      </c>
      <c r="U41" s="32">
        <f t="shared" si="22"/>
        <v>0</v>
      </c>
      <c r="V41" t="str">
        <f>VLOOKUP($A41&amp;"Total",Rezepte!$D:$Z,10,FALSE)</f>
        <v>nothing</v>
      </c>
      <c r="W41" s="3">
        <f>VLOOKUP($A41&amp;"Total",Rezepte!$D:$Z,11,FALSE)*G41</f>
        <v>0</v>
      </c>
      <c r="X41" s="32">
        <f t="shared" si="23"/>
        <v>0</v>
      </c>
      <c r="Y41" t="str">
        <f>VLOOKUP($A41&amp;"Total",Rezepte!$D:$Z,13,FALSE)</f>
        <v>nothing</v>
      </c>
      <c r="Z41" s="3">
        <f>VLOOKUP($A41&amp;"Total",Rezepte!$D:$Z,14,FALSE)*G41</f>
        <v>0</v>
      </c>
      <c r="AA41" s="32">
        <f t="shared" si="24"/>
        <v>0</v>
      </c>
      <c r="AC41" s="3">
        <f>VLOOKUP($A41&amp;"Total",Rezepte!$D:$AK,24,FALSE)/100*$C41</f>
        <v>0</v>
      </c>
      <c r="AD41" s="3">
        <f>VLOOKUP($A41&amp;"Total",Rezepte!$D:$AK,25,FALSE)/100*$C41</f>
        <v>20</v>
      </c>
      <c r="AE41" s="3">
        <f>VLOOKUP($A41&amp;"Total",Rezepte!$D:$AK,26,FALSE)/100*$C41</f>
        <v>0</v>
      </c>
      <c r="AF41" s="3">
        <f>VLOOKUP($A41&amp;"Total",Rezepte!$D:$AK,27,FALSE)/100*$C41</f>
        <v>0</v>
      </c>
      <c r="AG41" s="3">
        <f>VLOOKUP($A41&amp;"Total",Rezepte!$D:$AK,28,FALSE)/100*$C41</f>
        <v>0</v>
      </c>
      <c r="AH41" s="3">
        <f>VLOOKUP($A41&amp;"Total",Rezepte!$D:$AK,29,FALSE)/100*$C41</f>
        <v>0</v>
      </c>
      <c r="AI41" s="3">
        <f>VLOOKUP($A41&amp;"Total",Rezepte!$D:$AK,30,FALSE)/100*$C41</f>
        <v>0</v>
      </c>
      <c r="AJ41" s="3">
        <f>VLOOKUP($A41&amp;"Total",Rezepte!$D:$AK,31,FALSE)/100*$C41</f>
        <v>0</v>
      </c>
      <c r="AK41" s="3">
        <f>VLOOKUP($A41&amp;"Total",Rezepte!$D:$AK,32,FALSE)/100*$C41</f>
        <v>0</v>
      </c>
      <c r="AL41" s="3">
        <f>VLOOKUP($A41&amp;"Total",Rezepte!$D:$AK,33,FALSE)/100*$C41</f>
        <v>0</v>
      </c>
      <c r="AM41" s="3">
        <f>VLOOKUP($A41&amp;"Total",Rezepte!$D:$AK,34,FALSE)/100*$C41</f>
        <v>0</v>
      </c>
    </row>
    <row r="42" spans="1:39" x14ac:dyDescent="0.25">
      <c r="A42" t="s">
        <v>105</v>
      </c>
      <c r="C42">
        <v>1</v>
      </c>
      <c r="D42" s="30">
        <f t="shared" si="18"/>
        <v>35.075000000000003</v>
      </c>
      <c r="E42" s="30">
        <f t="shared" ref="E42:E47" si="25">D42+C42</f>
        <v>36.075000000000003</v>
      </c>
      <c r="F42" s="32">
        <f t="shared" si="19"/>
        <v>3</v>
      </c>
      <c r="G42" s="27">
        <f t="shared" ref="G42:G47" si="26">ROUNDUP((C42+D42)/M42,1)</f>
        <v>2.9</v>
      </c>
      <c r="H42" s="47">
        <f t="shared" ref="H42:H47" si="27">G42*M42</f>
        <v>36.25</v>
      </c>
      <c r="I42" s="47">
        <f t="shared" ref="I42:I47" si="28">MOD(H42,M42)</f>
        <v>11.25</v>
      </c>
      <c r="J42" s="34" t="str">
        <f>VLOOKUP($A42&amp;"Total",Rezepte!$D:$Z,19,FALSE)</f>
        <v>Assembler</v>
      </c>
      <c r="K42" s="32">
        <f t="shared" si="20"/>
        <v>3</v>
      </c>
      <c r="L42" s="27">
        <f t="shared" ref="L42:L47" si="29">G42*N42</f>
        <v>43.5</v>
      </c>
      <c r="M42" s="4">
        <f>VLOOKUP($A42&amp;"Total",Rezepte!$D:$Z,21,FALSE)</f>
        <v>12.5</v>
      </c>
      <c r="N42" s="4">
        <f>VLOOKUP($A42&amp;"Total",Rezepte!$D:$Z,20,FALSE)</f>
        <v>15</v>
      </c>
      <c r="O42" s="47">
        <v>36.25</v>
      </c>
      <c r="P42" t="str">
        <f>VLOOKUP($A42&amp;"Total",Rezepte!$D:$Z,4,FALSE)</f>
        <v>Copper Sheet</v>
      </c>
      <c r="Q42" s="3">
        <f>VLOOKUP($A42&amp;"Total",Rezepte!$D:$Z,5,FALSE)*G42</f>
        <v>79.75</v>
      </c>
      <c r="R42" s="32">
        <f t="shared" si="21"/>
        <v>1</v>
      </c>
      <c r="S42" t="str">
        <f>VLOOKUP($A42&amp;"Total",Rezepte!$D:$Z,7,FALSE)</f>
        <v>Silicia</v>
      </c>
      <c r="T42" s="3">
        <f>VLOOKUP($A42&amp;"Total",Rezepte!$D:$Z,8,FALSE)*G42</f>
        <v>79.75</v>
      </c>
      <c r="U42" s="32">
        <f t="shared" si="22"/>
        <v>1</v>
      </c>
      <c r="V42" t="str">
        <f>VLOOKUP($A42&amp;"Total",Rezepte!$D:$Z,10,FALSE)</f>
        <v>nothing</v>
      </c>
      <c r="W42" s="3">
        <f>VLOOKUP($A42&amp;"Total",Rezepte!$D:$Z,11,FALSE)*G42</f>
        <v>0</v>
      </c>
      <c r="X42" s="32">
        <f t="shared" si="23"/>
        <v>0</v>
      </c>
      <c r="Y42" t="str">
        <f>VLOOKUP($A42&amp;"Total",Rezepte!$D:$Z,13,FALSE)</f>
        <v>nothing</v>
      </c>
      <c r="Z42" s="3">
        <f>VLOOKUP($A42&amp;"Total",Rezepte!$D:$Z,14,FALSE)*G42</f>
        <v>0</v>
      </c>
      <c r="AA42" s="32">
        <f t="shared" si="24"/>
        <v>0</v>
      </c>
      <c r="AC42" s="3">
        <f>VLOOKUP($A42&amp;"Total",Rezepte!$D:$AK,24,FALSE)/100*$C42</f>
        <v>0</v>
      </c>
      <c r="AD42" s="3">
        <f>VLOOKUP($A42&amp;"Total",Rezepte!$D:$AK,25,FALSE)/100*$C42</f>
        <v>4.4000000000000004</v>
      </c>
      <c r="AE42" s="3">
        <f>VLOOKUP($A42&amp;"Total",Rezepte!$D:$AK,26,FALSE)/100*$C42</f>
        <v>0</v>
      </c>
      <c r="AF42" s="3">
        <f>VLOOKUP($A42&amp;"Total",Rezepte!$D:$AK,27,FALSE)/100*$C42</f>
        <v>0</v>
      </c>
      <c r="AG42" s="3">
        <f>VLOOKUP($A42&amp;"Total",Rezepte!$D:$AK,28,FALSE)/100*$C42</f>
        <v>0</v>
      </c>
      <c r="AH42" s="3">
        <f>VLOOKUP($A42&amp;"Total",Rezepte!$D:$AK,29,FALSE)/100*$C42</f>
        <v>1.32</v>
      </c>
      <c r="AI42" s="3">
        <f>VLOOKUP($A42&amp;"Total",Rezepte!$D:$AK,30,FALSE)/100*$C42</f>
        <v>0</v>
      </c>
      <c r="AJ42" s="3">
        <f>VLOOKUP($A42&amp;"Total",Rezepte!$D:$AK,31,FALSE)/100*$C42</f>
        <v>0</v>
      </c>
      <c r="AK42" s="3">
        <f>VLOOKUP($A42&amp;"Total",Rezepte!$D:$AK,32,FALSE)/100*$C42</f>
        <v>0</v>
      </c>
      <c r="AL42" s="3">
        <f>VLOOKUP($A42&amp;"Total",Rezepte!$D:$AK,33,FALSE)/100*$C42</f>
        <v>0</v>
      </c>
      <c r="AM42" s="3">
        <f>VLOOKUP($A42&amp;"Total",Rezepte!$D:$AK,34,FALSE)/100*$C42</f>
        <v>0</v>
      </c>
    </row>
    <row r="43" spans="1:39" x14ac:dyDescent="0.25">
      <c r="A43" t="s">
        <v>110</v>
      </c>
      <c r="C43">
        <v>1</v>
      </c>
      <c r="D43" s="30">
        <f t="shared" si="18"/>
        <v>0</v>
      </c>
      <c r="E43" s="30">
        <f t="shared" si="25"/>
        <v>1</v>
      </c>
      <c r="F43" s="32">
        <f t="shared" si="19"/>
        <v>0</v>
      </c>
      <c r="G43" s="27">
        <f t="shared" si="26"/>
        <v>0.4</v>
      </c>
      <c r="H43" s="47">
        <f t="shared" si="27"/>
        <v>1.2000000000000002</v>
      </c>
      <c r="I43" s="47">
        <f t="shared" si="28"/>
        <v>1.2000000000000002</v>
      </c>
      <c r="J43" s="34" t="str">
        <f>VLOOKUP($A43&amp;"Total",Rezepte!$D:$Z,19,FALSE)</f>
        <v>Manufactirer</v>
      </c>
      <c r="K43" s="32">
        <f t="shared" si="20"/>
        <v>0</v>
      </c>
      <c r="L43" s="27">
        <f t="shared" si="29"/>
        <v>22</v>
      </c>
      <c r="M43" s="4">
        <f>VLOOKUP($A43&amp;"Total",Rezepte!$D:$Z,21,FALSE)</f>
        <v>3</v>
      </c>
      <c r="N43" s="4">
        <f>VLOOKUP($A43&amp;"Total",Rezepte!$D:$Z,20,FALSE)</f>
        <v>55</v>
      </c>
      <c r="O43" s="47">
        <v>1.2</v>
      </c>
      <c r="P43" t="str">
        <f>VLOOKUP($A43&amp;"Total",Rezepte!$D:$Z,4,FALSE)</f>
        <v>Quickwire</v>
      </c>
      <c r="Q43" s="3">
        <f>VLOOKUP($A43&amp;"Total",Rezepte!$D:$Z,5,FALSE)*G43</f>
        <v>36</v>
      </c>
      <c r="R43" s="32">
        <f t="shared" si="21"/>
        <v>1</v>
      </c>
      <c r="S43" t="str">
        <f>VLOOKUP($A43&amp;"Total",Rezepte!$D:$Z,7,FALSE)</f>
        <v>Silicia</v>
      </c>
      <c r="T43" s="3">
        <f>VLOOKUP($A43&amp;"Total",Rezepte!$D:$Z,8,FALSE)*G43</f>
        <v>15</v>
      </c>
      <c r="U43" s="32">
        <f t="shared" si="22"/>
        <v>1</v>
      </c>
      <c r="V43" t="str">
        <f>VLOOKUP($A43&amp;"Total",Rezepte!$D:$Z,10,FALSE)</f>
        <v>Circuit Board</v>
      </c>
      <c r="W43" s="3">
        <f>VLOOKUP($A43&amp;"Total",Rezepte!$D:$Z,11,FALSE)*G43</f>
        <v>1.2000000000000002</v>
      </c>
      <c r="X43" s="32">
        <f t="shared" si="23"/>
        <v>1</v>
      </c>
      <c r="Y43" t="str">
        <f>VLOOKUP($A43&amp;"Total",Rezepte!$D:$Z,13,FALSE)</f>
        <v>nothing</v>
      </c>
      <c r="Z43" s="3">
        <f>VLOOKUP($A43&amp;"Total",Rezepte!$D:$Z,14,FALSE)*G43</f>
        <v>0</v>
      </c>
      <c r="AA43" s="32">
        <f t="shared" si="24"/>
        <v>0</v>
      </c>
      <c r="AC43" s="3">
        <f>VLOOKUP($A43&amp;"Total",Rezepte!$D:$AK,24,FALSE)/100*$C43</f>
        <v>0</v>
      </c>
      <c r="AD43" s="3">
        <f>VLOOKUP($A43&amp;"Total",Rezepte!$D:$AK,25,FALSE)/100*$C43</f>
        <v>4.4000000000000004</v>
      </c>
      <c r="AE43" s="3">
        <f>VLOOKUP($A43&amp;"Total",Rezepte!$D:$AK,26,FALSE)/100*$C43</f>
        <v>0</v>
      </c>
      <c r="AF43" s="3">
        <f>VLOOKUP($A43&amp;"Total",Rezepte!$D:$AK,27,FALSE)/100*$C43</f>
        <v>0</v>
      </c>
      <c r="AG43" s="3">
        <f>VLOOKUP($A43&amp;"Total",Rezepte!$D:$AK,28,FALSE)/100*$C43</f>
        <v>18</v>
      </c>
      <c r="AH43" s="3">
        <f>VLOOKUP($A43&amp;"Total",Rezepte!$D:$AK,29,FALSE)/100*$C43</f>
        <v>8.82</v>
      </c>
      <c r="AI43" s="3">
        <f>VLOOKUP($A43&amp;"Total",Rezepte!$D:$AK,30,FALSE)/100*$C43</f>
        <v>0</v>
      </c>
      <c r="AJ43" s="3">
        <f>VLOOKUP($A43&amp;"Total",Rezepte!$D:$AK,31,FALSE)/100*$C43</f>
        <v>0</v>
      </c>
      <c r="AK43" s="3">
        <f>VLOOKUP($A43&amp;"Total",Rezepte!$D:$AK,32,FALSE)/100*$C43</f>
        <v>0</v>
      </c>
      <c r="AL43" s="3">
        <f>VLOOKUP($A43&amp;"Total",Rezepte!$D:$AK,33,FALSE)/100*$C43</f>
        <v>0</v>
      </c>
      <c r="AM43" s="3">
        <f>VLOOKUP($A43&amp;"Total",Rezepte!$D:$AK,34,FALSE)/100*$C43</f>
        <v>0</v>
      </c>
    </row>
    <row r="44" spans="1:39" x14ac:dyDescent="0.25">
      <c r="A44" t="s">
        <v>116</v>
      </c>
      <c r="D44" s="30">
        <f t="shared" si="18"/>
        <v>0</v>
      </c>
      <c r="E44" s="30">
        <f t="shared" si="25"/>
        <v>0</v>
      </c>
      <c r="F44" s="32">
        <f t="shared" si="19"/>
        <v>0</v>
      </c>
      <c r="G44" s="27">
        <f t="shared" si="26"/>
        <v>0</v>
      </c>
      <c r="H44" s="47">
        <f t="shared" si="27"/>
        <v>0</v>
      </c>
      <c r="I44" s="47">
        <f t="shared" si="28"/>
        <v>0</v>
      </c>
      <c r="J44" s="34" t="str">
        <f>VLOOKUP($A44&amp;"Total",Rezepte!$D:$Z,19,FALSE)</f>
        <v>Assembler</v>
      </c>
      <c r="K44" s="32">
        <f t="shared" si="20"/>
        <v>0</v>
      </c>
      <c r="L44" s="27">
        <f t="shared" si="29"/>
        <v>0</v>
      </c>
      <c r="M44" s="4">
        <f>VLOOKUP($A44&amp;"Total",Rezepte!$D:$Z,21,FALSE)</f>
        <v>8</v>
      </c>
      <c r="N44" s="4">
        <f>VLOOKUP($A44&amp;"Total",Rezepte!$D:$Z,20,FALSE)</f>
        <v>15</v>
      </c>
      <c r="P44" t="str">
        <f>VLOOKUP($A44&amp;"Total",Rezepte!$D:$Z,4,FALSE)</f>
        <v>Stator</v>
      </c>
      <c r="Q44" s="3">
        <f>VLOOKUP($A44&amp;"Total",Rezepte!$D:$Z,5,FALSE)*G44</f>
        <v>0</v>
      </c>
      <c r="R44" s="32">
        <f t="shared" si="21"/>
        <v>0</v>
      </c>
      <c r="S44" t="str">
        <f>VLOOKUP($A44&amp;"Total",Rezepte!$D:$Z,7,FALSE)</f>
        <v>High-Speed Connector</v>
      </c>
      <c r="T44" s="3">
        <f>VLOOKUP($A44&amp;"Total",Rezepte!$D:$Z,8,FALSE)*G44</f>
        <v>0</v>
      </c>
      <c r="U44" s="32">
        <f t="shared" si="22"/>
        <v>0</v>
      </c>
      <c r="V44" t="str">
        <f>VLOOKUP($A44&amp;"Total",Rezepte!$D:$Z,10,FALSE)</f>
        <v>nothing</v>
      </c>
      <c r="W44" s="3">
        <f>VLOOKUP($A44&amp;"Total",Rezepte!$D:$Z,11,FALSE)*G44</f>
        <v>0</v>
      </c>
      <c r="X44" s="32">
        <f t="shared" si="23"/>
        <v>0</v>
      </c>
      <c r="Y44" t="str">
        <f>VLOOKUP($A44&amp;"Total",Rezepte!$D:$Z,13,FALSE)</f>
        <v>nothing</v>
      </c>
      <c r="Z44" s="3">
        <f>VLOOKUP($A44&amp;"Total",Rezepte!$D:$Z,14,FALSE)*G44</f>
        <v>0</v>
      </c>
      <c r="AA44" s="32">
        <f t="shared" si="24"/>
        <v>0</v>
      </c>
      <c r="AC44" s="3">
        <f>VLOOKUP($A44&amp;"Total",Rezepte!$D:$AK,24,FALSE)/100*$C44</f>
        <v>0</v>
      </c>
      <c r="AD44" s="3">
        <f>VLOOKUP($A44&amp;"Total",Rezepte!$D:$AK,25,FALSE)/100*$C44</f>
        <v>0</v>
      </c>
      <c r="AE44" s="3">
        <f>VLOOKUP($A44&amp;"Total",Rezepte!$D:$AK,26,FALSE)/100*$C44</f>
        <v>0</v>
      </c>
      <c r="AF44" s="3">
        <f>VLOOKUP($A44&amp;"Total",Rezepte!$D:$AK,27,FALSE)/100*$C44</f>
        <v>0</v>
      </c>
      <c r="AG44" s="3">
        <f>VLOOKUP($A44&amp;"Total",Rezepte!$D:$AK,28,FALSE)/100*$C44</f>
        <v>0</v>
      </c>
      <c r="AH44" s="3">
        <f>VLOOKUP($A44&amp;"Total",Rezepte!$D:$AK,29,FALSE)/100*$C44</f>
        <v>0</v>
      </c>
      <c r="AI44" s="3">
        <f>VLOOKUP($A44&amp;"Total",Rezepte!$D:$AK,30,FALSE)/100*$C44</f>
        <v>0</v>
      </c>
      <c r="AJ44" s="3">
        <f>VLOOKUP($A44&amp;"Total",Rezepte!$D:$AK,31,FALSE)/100*$C44</f>
        <v>0</v>
      </c>
      <c r="AK44" s="3">
        <f>VLOOKUP($A44&amp;"Total",Rezepte!$D:$AK,32,FALSE)/100*$C44</f>
        <v>0</v>
      </c>
      <c r="AL44" s="3">
        <f>VLOOKUP($A44&amp;"Total",Rezepte!$D:$AK,33,FALSE)/100*$C44</f>
        <v>0</v>
      </c>
      <c r="AM44" s="3">
        <f>VLOOKUP($A44&amp;"Total",Rezepte!$D:$AK,34,FALSE)/100*$C44</f>
        <v>0</v>
      </c>
    </row>
    <row r="45" spans="1:39" x14ac:dyDescent="0.25">
      <c r="A45" t="s">
        <v>119</v>
      </c>
      <c r="C45">
        <v>3</v>
      </c>
      <c r="D45" s="30">
        <f t="shared" si="18"/>
        <v>1</v>
      </c>
      <c r="E45" s="30">
        <f t="shared" si="25"/>
        <v>4</v>
      </c>
      <c r="F45" s="32">
        <f t="shared" si="19"/>
        <v>1</v>
      </c>
      <c r="G45" s="27">
        <f t="shared" si="26"/>
        <v>1.1000000000000001</v>
      </c>
      <c r="H45" s="47">
        <f t="shared" si="27"/>
        <v>4.125</v>
      </c>
      <c r="I45" s="47">
        <f t="shared" si="28"/>
        <v>0.375</v>
      </c>
      <c r="J45" s="34" t="str">
        <f>VLOOKUP($A45&amp;"Total",Rezepte!$D:$Z,19,FALSE)</f>
        <v>Manufactirer</v>
      </c>
      <c r="K45" s="32">
        <f t="shared" si="20"/>
        <v>1</v>
      </c>
      <c r="L45" s="27">
        <f t="shared" si="29"/>
        <v>60.500000000000007</v>
      </c>
      <c r="M45" s="4">
        <f>VLOOKUP($A45&amp;"Total",Rezepte!$D:$Z,21,FALSE)</f>
        <v>3.75</v>
      </c>
      <c r="N45" s="4">
        <f>VLOOKUP($A45&amp;"Total",Rezepte!$D:$Z,20,FALSE)</f>
        <v>55</v>
      </c>
      <c r="O45" s="47">
        <v>4.13</v>
      </c>
      <c r="P45" t="str">
        <f>VLOOKUP($A45&amp;"Total",Rezepte!$D:$Z,4,FALSE)</f>
        <v>Circuit Board</v>
      </c>
      <c r="Q45" s="3">
        <f>VLOOKUP($A45&amp;"Total",Rezepte!$D:$Z,5,FALSE)*G45</f>
        <v>28.875000000000004</v>
      </c>
      <c r="R45" s="32">
        <f t="shared" si="21"/>
        <v>1</v>
      </c>
      <c r="S45" t="str">
        <f>VLOOKUP($A45&amp;"Total",Rezepte!$D:$Z,7,FALSE)</f>
        <v>Quickwire</v>
      </c>
      <c r="T45" s="3">
        <f>VLOOKUP($A45&amp;"Total",Rezepte!$D:$Z,8,FALSE)*G45</f>
        <v>115.50000000000001</v>
      </c>
      <c r="U45" s="32">
        <f t="shared" si="22"/>
        <v>1</v>
      </c>
      <c r="V45" t="str">
        <f>VLOOKUP($A45&amp;"Total",Rezepte!$D:$Z,10,FALSE)</f>
        <v>Rubber</v>
      </c>
      <c r="W45" s="3">
        <f>VLOOKUP($A45&amp;"Total",Rezepte!$D:$Z,11,FALSE)*G45</f>
        <v>49.500000000000007</v>
      </c>
      <c r="X45" s="32">
        <f t="shared" si="23"/>
        <v>1</v>
      </c>
      <c r="Y45" t="str">
        <f>VLOOKUP($A45&amp;"Total",Rezepte!$D:$Z,13,FALSE)</f>
        <v>nothing</v>
      </c>
      <c r="Z45" s="3">
        <f>VLOOKUP($A45&amp;"Total",Rezepte!$D:$Z,14,FALSE)*G45</f>
        <v>0</v>
      </c>
      <c r="AA45" s="32">
        <f t="shared" si="24"/>
        <v>0</v>
      </c>
      <c r="AC45" s="3">
        <f>VLOOKUP($A45&amp;"Total",Rezepte!$D:$AK,24,FALSE)/100*$C45</f>
        <v>0</v>
      </c>
      <c r="AD45" s="3">
        <f>VLOOKUP($A45&amp;"Total",Rezepte!$D:$AK,25,FALSE)/100*$C45</f>
        <v>92.4</v>
      </c>
      <c r="AE45" s="3">
        <f>VLOOKUP($A45&amp;"Total",Rezepte!$D:$AK,26,FALSE)/100*$C45</f>
        <v>0</v>
      </c>
      <c r="AF45" s="3">
        <f>VLOOKUP($A45&amp;"Total",Rezepte!$D:$AK,27,FALSE)/100*$C45</f>
        <v>0</v>
      </c>
      <c r="AG45" s="3">
        <f>VLOOKUP($A45&amp;"Total",Rezepte!$D:$AK,28,FALSE)/100*$C45</f>
        <v>50.400000000000006</v>
      </c>
      <c r="AH45" s="3">
        <f>VLOOKUP($A45&amp;"Total",Rezepte!$D:$AK,29,FALSE)/100*$C45</f>
        <v>27.72</v>
      </c>
      <c r="AI45" s="3">
        <f>VLOOKUP($A45&amp;"Total",Rezepte!$D:$AK,30,FALSE)/100*$C45</f>
        <v>0</v>
      </c>
      <c r="AJ45" s="3">
        <f>VLOOKUP($A45&amp;"Total",Rezepte!$D:$AK,31,FALSE)/100*$C45</f>
        <v>0</v>
      </c>
      <c r="AK45" s="3">
        <f>VLOOKUP($A45&amp;"Total",Rezepte!$D:$AK,32,FALSE)/100*$C45</f>
        <v>0</v>
      </c>
      <c r="AL45" s="3">
        <f>VLOOKUP($A45&amp;"Total",Rezepte!$D:$AK,33,FALSE)/100*$C45</f>
        <v>0</v>
      </c>
      <c r="AM45" s="3">
        <f>VLOOKUP($A45&amp;"Total",Rezepte!$D:$AK,34,FALSE)/100*$C45</f>
        <v>54</v>
      </c>
    </row>
    <row r="46" spans="1:39" x14ac:dyDescent="0.25">
      <c r="A46" t="s">
        <v>104</v>
      </c>
      <c r="C46">
        <v>5</v>
      </c>
      <c r="D46" s="30">
        <f t="shared" si="18"/>
        <v>3.5625000000000004</v>
      </c>
      <c r="E46" s="30">
        <f t="shared" si="25"/>
        <v>8.5625</v>
      </c>
      <c r="F46" s="32">
        <f t="shared" si="19"/>
        <v>1</v>
      </c>
      <c r="G46" s="27">
        <f t="shared" si="26"/>
        <v>1.8</v>
      </c>
      <c r="H46" s="47">
        <f t="shared" si="27"/>
        <v>9</v>
      </c>
      <c r="I46" s="47">
        <f t="shared" si="28"/>
        <v>4</v>
      </c>
      <c r="J46" s="34" t="str">
        <f>VLOOKUP($A46&amp;"Total",Rezepte!$D:$Z,19,FALSE)</f>
        <v>Assembler</v>
      </c>
      <c r="K46" s="32">
        <f t="shared" si="20"/>
        <v>1</v>
      </c>
      <c r="L46" s="27">
        <f t="shared" si="29"/>
        <v>27</v>
      </c>
      <c r="M46" s="4">
        <f>VLOOKUP($A46&amp;"Total",Rezepte!$D:$Z,21,FALSE)</f>
        <v>5</v>
      </c>
      <c r="N46" s="4">
        <f>VLOOKUP($A46&amp;"Total",Rezepte!$D:$Z,20,FALSE)</f>
        <v>15</v>
      </c>
      <c r="O46" s="47">
        <v>9</v>
      </c>
      <c r="P46" t="str">
        <f>VLOOKUP($A46&amp;"Total",Rezepte!$D:$Z,4,FALSE)</f>
        <v>Copper Sheet</v>
      </c>
      <c r="Q46" s="3">
        <f>VLOOKUP($A46&amp;"Total",Rezepte!$D:$Z,5,FALSE)*G46</f>
        <v>45</v>
      </c>
      <c r="R46" s="32">
        <f t="shared" si="21"/>
        <v>1</v>
      </c>
      <c r="S46" t="str">
        <f>VLOOKUP($A46&amp;"Total",Rezepte!$D:$Z,7,FALSE)</f>
        <v>Quickwire</v>
      </c>
      <c r="T46" s="3">
        <f>VLOOKUP($A46&amp;"Total",Rezepte!$D:$Z,8,FALSE)*G46</f>
        <v>180</v>
      </c>
      <c r="U46" s="32">
        <f t="shared" si="22"/>
        <v>1</v>
      </c>
      <c r="V46" t="str">
        <f>VLOOKUP($A46&amp;"Total",Rezepte!$D:$Z,10,FALSE)</f>
        <v>nothing</v>
      </c>
      <c r="W46" s="3">
        <f>VLOOKUP($A46&amp;"Total",Rezepte!$D:$Z,11,FALSE)*G46</f>
        <v>0</v>
      </c>
      <c r="X46" s="32">
        <f t="shared" si="23"/>
        <v>0</v>
      </c>
      <c r="Y46" t="str">
        <f>VLOOKUP($A46&amp;"Total",Rezepte!$D:$Z,13,FALSE)</f>
        <v>nothing</v>
      </c>
      <c r="Z46" s="3">
        <f>VLOOKUP($A46&amp;"Total",Rezepte!$D:$Z,14,FALSE)*G46</f>
        <v>0</v>
      </c>
      <c r="AA46" s="32">
        <f t="shared" si="24"/>
        <v>0</v>
      </c>
      <c r="AC46" s="3">
        <f>VLOOKUP($A46&amp;"Total",Rezepte!$D:$AK,24,FALSE)/100*$C46</f>
        <v>0</v>
      </c>
      <c r="AD46" s="3">
        <f>VLOOKUP($A46&amp;"Total",Rezepte!$D:$AK,25,FALSE)/100*$C46</f>
        <v>50</v>
      </c>
      <c r="AE46" s="3">
        <f>VLOOKUP($A46&amp;"Total",Rezepte!$D:$AK,26,FALSE)/100*$C46</f>
        <v>0</v>
      </c>
      <c r="AF46" s="3">
        <f>VLOOKUP($A46&amp;"Total",Rezepte!$D:$AK,27,FALSE)/100*$C46</f>
        <v>0</v>
      </c>
      <c r="AG46" s="3">
        <f>VLOOKUP($A46&amp;"Total",Rezepte!$D:$AK,28,FALSE)/100*$C46</f>
        <v>60</v>
      </c>
      <c r="AH46" s="3">
        <f>VLOOKUP($A46&amp;"Total",Rezepte!$D:$AK,29,FALSE)/100*$C46</f>
        <v>0</v>
      </c>
      <c r="AI46" s="3">
        <f>VLOOKUP($A46&amp;"Total",Rezepte!$D:$AK,30,FALSE)/100*$C46</f>
        <v>0</v>
      </c>
      <c r="AJ46" s="3">
        <f>VLOOKUP($A46&amp;"Total",Rezepte!$D:$AK,31,FALSE)/100*$C46</f>
        <v>0</v>
      </c>
      <c r="AK46" s="3">
        <f>VLOOKUP($A46&amp;"Total",Rezepte!$D:$AK,32,FALSE)/100*$C46</f>
        <v>0</v>
      </c>
      <c r="AL46" s="3">
        <f>VLOOKUP($A46&amp;"Total",Rezepte!$D:$AK,33,FALSE)/100*$C46</f>
        <v>0</v>
      </c>
      <c r="AM46" s="3">
        <f>VLOOKUP($A46&amp;"Total",Rezepte!$D:$AK,34,FALSE)/100*$C46</f>
        <v>0</v>
      </c>
    </row>
    <row r="47" spans="1:39" x14ac:dyDescent="0.25">
      <c r="A47" t="s">
        <v>113</v>
      </c>
      <c r="C47">
        <v>1</v>
      </c>
      <c r="D47" s="30">
        <f t="shared" si="18"/>
        <v>2.5</v>
      </c>
      <c r="E47" s="51">
        <f t="shared" si="25"/>
        <v>3.5</v>
      </c>
      <c r="F47" s="32">
        <f t="shared" si="19"/>
        <v>1</v>
      </c>
      <c r="G47" s="27">
        <f t="shared" si="26"/>
        <v>1.9000000000000001</v>
      </c>
      <c r="H47" s="51">
        <f t="shared" si="27"/>
        <v>3.5625000000000004</v>
      </c>
      <c r="I47" s="47">
        <f t="shared" si="28"/>
        <v>1.6875000000000004</v>
      </c>
      <c r="J47" s="34" t="str">
        <f>VLOOKUP($A47&amp;"Total",Rezepte!$D:$Z,19,FALSE)</f>
        <v>Manufactirer</v>
      </c>
      <c r="K47" s="32">
        <f t="shared" si="20"/>
        <v>1</v>
      </c>
      <c r="L47" s="27">
        <f t="shared" si="29"/>
        <v>104.50000000000001</v>
      </c>
      <c r="M47" s="4">
        <f>VLOOKUP($A47&amp;"Total",Rezepte!$D:$Z,21,FALSE)</f>
        <v>1.875</v>
      </c>
      <c r="N47" s="4">
        <f>VLOOKUP($A47&amp;"Total",Rezepte!$D:$Z,20,FALSE)</f>
        <v>55</v>
      </c>
      <c r="O47" s="47">
        <v>3.5630000000000002</v>
      </c>
      <c r="P47" t="str">
        <f>VLOOKUP($A47&amp;"Total",Rezepte!$D:$Z,4,FALSE)</f>
        <v>Quartz Crystal</v>
      </c>
      <c r="Q47" s="3">
        <f>VLOOKUP($A47&amp;"Total",Rezepte!$D:$Z,5,FALSE)*G47</f>
        <v>35.625</v>
      </c>
      <c r="R47" s="32">
        <f t="shared" si="21"/>
        <v>1</v>
      </c>
      <c r="S47" t="str">
        <f>VLOOKUP($A47&amp;"Total",Rezepte!$D:$Z,7,FALSE)</f>
        <v>Rubber</v>
      </c>
      <c r="T47" s="3">
        <f>VLOOKUP($A47&amp;"Total",Rezepte!$D:$Z,8,FALSE)*G47</f>
        <v>24.9375</v>
      </c>
      <c r="U47" s="32">
        <f t="shared" si="22"/>
        <v>1</v>
      </c>
      <c r="V47" t="str">
        <f>VLOOKUP($A47&amp;"Total",Rezepte!$D:$Z,10,FALSE)</f>
        <v>AI Limiter</v>
      </c>
      <c r="W47" s="3">
        <f>VLOOKUP($A47&amp;"Total",Rezepte!$D:$Z,11,FALSE)*G47</f>
        <v>3.5625000000000004</v>
      </c>
      <c r="X47" s="32">
        <f t="shared" si="23"/>
        <v>1</v>
      </c>
      <c r="Y47" t="str">
        <f>VLOOKUP($A47&amp;"Total",Rezepte!$D:$Z,13,FALSE)</f>
        <v>nothing</v>
      </c>
      <c r="Z47" s="3">
        <f>VLOOKUP($A47&amp;"Total",Rezepte!$D:$Z,14,FALSE)*G47</f>
        <v>0</v>
      </c>
      <c r="AA47" s="32">
        <f t="shared" si="24"/>
        <v>0</v>
      </c>
      <c r="AC47" s="3">
        <f>VLOOKUP($A47&amp;"Total",Rezepte!$D:$AK,24,FALSE)/100*$C47</f>
        <v>0</v>
      </c>
      <c r="AD47" s="3">
        <f>VLOOKUP($A47&amp;"Total",Rezepte!$D:$AK,25,FALSE)/100*$C47</f>
        <v>10</v>
      </c>
      <c r="AE47" s="3">
        <f>VLOOKUP($A47&amp;"Total",Rezepte!$D:$AK,26,FALSE)/100*$C47</f>
        <v>0</v>
      </c>
      <c r="AF47" s="3">
        <f>VLOOKUP($A47&amp;"Total",Rezepte!$D:$AK,27,FALSE)/100*$C47</f>
        <v>0</v>
      </c>
      <c r="AG47" s="3">
        <f>VLOOKUP($A47&amp;"Total",Rezepte!$D:$AK,28,FALSE)/100*$C47</f>
        <v>12</v>
      </c>
      <c r="AH47" s="3">
        <f>VLOOKUP($A47&amp;"Total",Rezepte!$D:$AK,29,FALSE)/100*$C47</f>
        <v>16.666666666666664</v>
      </c>
      <c r="AI47" s="3">
        <f>VLOOKUP($A47&amp;"Total",Rezepte!$D:$AK,30,FALSE)/100*$C47</f>
        <v>0</v>
      </c>
      <c r="AJ47" s="3">
        <f>VLOOKUP($A47&amp;"Total",Rezepte!$D:$AK,31,FALSE)/100*$C47</f>
        <v>0</v>
      </c>
      <c r="AK47" s="3">
        <f>VLOOKUP($A47&amp;"Total",Rezepte!$D:$AK,32,FALSE)/100*$C47</f>
        <v>0</v>
      </c>
      <c r="AL47" s="3">
        <f>VLOOKUP($A47&amp;"Total",Rezepte!$D:$AK,33,FALSE)/100*$C47</f>
        <v>0</v>
      </c>
      <c r="AM47" s="3">
        <f>VLOOKUP($A47&amp;"Total",Rezepte!$D:$AK,34,FALSE)/100*$C47</f>
        <v>10.5</v>
      </c>
    </row>
    <row r="49" spans="1:39" x14ac:dyDescent="0.25">
      <c r="A49" t="s">
        <v>149</v>
      </c>
      <c r="C49">
        <v>5</v>
      </c>
      <c r="D49" s="30">
        <f>SUMIFS(Q:Q,P:P,A49)+SUMIFS(T:T,S:S,A49)+SUMIFS(W:W,V:V,A49)+SUMIFS(Z:Z,Y:Y,A49)</f>
        <v>10</v>
      </c>
      <c r="E49" s="30">
        <f>D49+C49</f>
        <v>15</v>
      </c>
      <c r="F49" s="32">
        <f>COUNTIFS(P:P,A49,Q:Q,"&gt;0")+COUNTIFS(S:S,A49,T:T,"&gt;0")+COUNTIFS(V:V,A49,W:W,"&gt;0")+COUNTIFS(Y:Y,A49,Z:Z,"&gt;0")</f>
        <v>1</v>
      </c>
      <c r="G49" s="27">
        <f>ROUNDUP((C49+D49)/M49,1)</f>
        <v>2</v>
      </c>
      <c r="H49" s="47">
        <f>G49*M49</f>
        <v>15</v>
      </c>
      <c r="I49" s="47">
        <f>MOD(H49,M49)</f>
        <v>0</v>
      </c>
      <c r="J49" s="34" t="str">
        <f>VLOOKUP($A49&amp;"Total",Rezepte!$D:$Z,19,FALSE)</f>
        <v>Manufactirer</v>
      </c>
      <c r="K49" s="32">
        <f>SUMIFS(R:R,P:P,A49)+SUMIFS(U:U,S:S,A49)+SUMIFS(X:X,V:V,A49)+SUMIFS(AA:AA,Y:Y,A49)</f>
        <v>1</v>
      </c>
      <c r="L49" s="27">
        <f>G49*N49</f>
        <v>110</v>
      </c>
      <c r="M49" s="4">
        <f>VLOOKUP($A49&amp;"Total",Rezepte!$D:$Z,21,FALSE)</f>
        <v>7.5</v>
      </c>
      <c r="N49" s="4">
        <f>VLOOKUP($A49&amp;"Total",Rezepte!$D:$Z,20,FALSE)</f>
        <v>55</v>
      </c>
      <c r="O49" s="47">
        <v>15</v>
      </c>
      <c r="P49" t="str">
        <f>VLOOKUP($A49&amp;"Total",Rezepte!$D:$Z,4,FALSE)</f>
        <v>Rotor</v>
      </c>
      <c r="Q49" s="3">
        <f>VLOOKUP($A49&amp;"Total",Rezepte!$D:$Z,5,FALSE)*G49</f>
        <v>7.5</v>
      </c>
      <c r="R49" s="32">
        <f>ROUNDUP(Q49/$P$76,0)</f>
        <v>1</v>
      </c>
      <c r="S49" t="str">
        <f>VLOOKUP($A49&amp;"Total",Rezepte!$D:$Z,7,FALSE)</f>
        <v>Stator</v>
      </c>
      <c r="T49" s="3">
        <f>VLOOKUP($A49&amp;"Total",Rezepte!$D:$Z,8,FALSE)*G49</f>
        <v>7.5</v>
      </c>
      <c r="U49" s="32">
        <f>ROUNDUP(T49/$P$76,0)</f>
        <v>1</v>
      </c>
      <c r="V49" t="str">
        <f>VLOOKUP($A49&amp;"Total",Rezepte!$D:$Z,10,FALSE)</f>
        <v>Crystal Oscillator</v>
      </c>
      <c r="W49" s="49">
        <f>VLOOKUP($A49&amp;"Total",Rezepte!$D:$Z,11,FALSE)*G49</f>
        <v>2.5</v>
      </c>
      <c r="X49" s="32">
        <f>ROUNDUP(W49/$P$76,0)</f>
        <v>1</v>
      </c>
      <c r="Y49" t="str">
        <f>VLOOKUP($A49&amp;"Total",Rezepte!$D:$Z,13,FALSE)</f>
        <v>nothing</v>
      </c>
      <c r="Z49" s="3">
        <f>VLOOKUP($A49&amp;"Total",Rezepte!$D:$Z,14,FALSE)*G49</f>
        <v>0</v>
      </c>
      <c r="AA49" s="32">
        <f>ROUNDUP(Z49/$P$76,0)</f>
        <v>0</v>
      </c>
      <c r="AC49" s="3">
        <f>VLOOKUP($A49&amp;"Total",Rezepte!$D:$AK,24,FALSE)/100*$C49</f>
        <v>7.2222222222222232</v>
      </c>
      <c r="AD49" s="3">
        <f>VLOOKUP($A49&amp;"Total",Rezepte!$D:$AK,25,FALSE)/100*$C49</f>
        <v>18.333333333333336</v>
      </c>
      <c r="AE49" s="3">
        <f>VLOOKUP($A49&amp;"Total",Rezepte!$D:$AK,26,FALSE)/100*$C49</f>
        <v>0</v>
      </c>
      <c r="AF49" s="3">
        <f>VLOOKUP($A49&amp;"Total",Rezepte!$D:$AK,27,FALSE)/100*$C49</f>
        <v>7.2222222222222232</v>
      </c>
      <c r="AG49" s="3">
        <f>VLOOKUP($A49&amp;"Total",Rezepte!$D:$AK,28,FALSE)/100*$C49</f>
        <v>21.25</v>
      </c>
      <c r="AH49" s="3">
        <f>VLOOKUP($A49&amp;"Total",Rezepte!$D:$AK,29,FALSE)/100*$C49</f>
        <v>13.888888888888889</v>
      </c>
      <c r="AI49" s="3">
        <f>VLOOKUP($A49&amp;"Total",Rezepte!$D:$AK,30,FALSE)/100*$C49</f>
        <v>0</v>
      </c>
      <c r="AJ49" s="3">
        <f>VLOOKUP($A49&amp;"Total",Rezepte!$D:$AK,31,FALSE)/100*$C49</f>
        <v>0</v>
      </c>
      <c r="AK49" s="3">
        <f>VLOOKUP($A49&amp;"Total",Rezepte!$D:$AK,32,FALSE)/100*$C49</f>
        <v>0</v>
      </c>
      <c r="AL49" s="3">
        <f>VLOOKUP($A49&amp;"Total",Rezepte!$D:$AK,33,FALSE)/100*$C49</f>
        <v>0</v>
      </c>
      <c r="AM49" s="3">
        <f>VLOOKUP($A49&amp;"Total",Rezepte!$D:$AK,34,FALSE)/100*$C49</f>
        <v>8.75</v>
      </c>
    </row>
    <row r="51" spans="1:39" x14ac:dyDescent="0.25">
      <c r="G51" s="52"/>
    </row>
    <row r="54" spans="1:39" x14ac:dyDescent="0.25">
      <c r="A54" t="s">
        <v>143</v>
      </c>
      <c r="D54" s="30">
        <f>SUMIFS(Q:Q,P:P,A54)+SUMIFS(T:T,S:S,A54)+SUMIFS(W:W,V:V,A54)+SUMIFS(Z:Z,Y:Y,A54)</f>
        <v>10</v>
      </c>
      <c r="E54" s="30">
        <f>D54+C54</f>
        <v>10</v>
      </c>
      <c r="F54" s="32">
        <f>COUNTIFS(P:P,A54,Q:Q,"&gt;0")+COUNTIFS(S:S,A54,T:T,"&gt;0")+COUNTIFS(V:V,A54,W:W,"&gt;0")+COUNTIFS(Y:Y,A54,Z:Z,"&gt;0")</f>
        <v>1</v>
      </c>
      <c r="G54" s="27">
        <f>ROUNDUP((C54+D54)/M54,1)</f>
        <v>5</v>
      </c>
      <c r="H54" s="47">
        <f>G54*M54</f>
        <v>10</v>
      </c>
      <c r="I54" s="47">
        <f>MOD(H54,M54)</f>
        <v>0</v>
      </c>
      <c r="J54" s="34" t="str">
        <f>VLOOKUP($A54&amp;"Total",Rezepte!$D:$Z,19,FALSE)</f>
        <v>Assembler</v>
      </c>
      <c r="K54" s="32">
        <f>SUMIFS(R:R,P:P,A54)+SUMIFS(U:U,S:S,A54)+SUMIFS(X:X,V:V,A54)+SUMIFS(AA:AA,Y:Y,A54)</f>
        <v>1</v>
      </c>
      <c r="L54" s="27">
        <f>G54*N54</f>
        <v>75</v>
      </c>
      <c r="M54" s="4">
        <f>VLOOKUP($A54&amp;"Total",Rezepte!$D:$Z,21,FALSE)</f>
        <v>2</v>
      </c>
      <c r="N54" s="4">
        <f>VLOOKUP($A54&amp;"Total",Rezepte!$D:$Z,20,FALSE)</f>
        <v>15</v>
      </c>
      <c r="O54" s="47">
        <v>10</v>
      </c>
      <c r="P54" t="str">
        <f>VLOOKUP($A54&amp;"Total",Rezepte!$D:$Z,4,FALSE)</f>
        <v>reinforced Plate</v>
      </c>
      <c r="Q54" s="3">
        <f>VLOOKUP($A54&amp;"Total",Rezepte!$D:$Z,5,FALSE)*G54</f>
        <v>10</v>
      </c>
      <c r="R54" s="32">
        <f>ROUNDUP(Q54/$P$76,0)</f>
        <v>1</v>
      </c>
      <c r="S54" t="str">
        <f>VLOOKUP($A54&amp;"Total",Rezepte!$D:$Z,7,FALSE)</f>
        <v>Rotor</v>
      </c>
      <c r="T54" s="3">
        <f>VLOOKUP($A54&amp;"Total",Rezepte!$D:$Z,8,FALSE)*G54</f>
        <v>10</v>
      </c>
      <c r="U54" s="32">
        <f>ROUNDUP(T54/$P$76,0)</f>
        <v>1</v>
      </c>
      <c r="V54" t="str">
        <f>VLOOKUP($A54&amp;"Total",Rezepte!$D:$Z,10,FALSE)</f>
        <v>nothing</v>
      </c>
      <c r="W54" s="3">
        <f>VLOOKUP($A54&amp;"Total",Rezepte!$D:$Z,11,FALSE)*G54</f>
        <v>0</v>
      </c>
      <c r="X54" s="32">
        <f>ROUNDUP(W54/$P$76,0)</f>
        <v>0</v>
      </c>
      <c r="Y54" t="str">
        <f>VLOOKUP($A54&amp;"Total",Rezepte!$D:$Z,13,FALSE)</f>
        <v>nothing</v>
      </c>
      <c r="Z54" s="3">
        <f>VLOOKUP($A54&amp;"Total",Rezepte!$D:$Z,14,FALSE)*G54</f>
        <v>0</v>
      </c>
      <c r="AA54" s="32">
        <f>ROUNDUP(Z54/$P$76,0)</f>
        <v>0</v>
      </c>
      <c r="AC54" s="3">
        <f>VLOOKUP($A54&amp;"Total",Rezepte!$D:$AK,24,FALSE)/100*$C54</f>
        <v>0</v>
      </c>
      <c r="AD54" s="3">
        <f>VLOOKUP($A54&amp;"Total",Rezepte!$D:$AK,25,FALSE)/100*$C54</f>
        <v>0</v>
      </c>
      <c r="AE54" s="3">
        <f>VLOOKUP($A54&amp;"Total",Rezepte!$D:$AK,26,FALSE)/100*$C54</f>
        <v>0</v>
      </c>
      <c r="AF54" s="3">
        <f>VLOOKUP($A54&amp;"Total",Rezepte!$D:$AK,27,FALSE)/100*$C54</f>
        <v>0</v>
      </c>
      <c r="AG54" s="3">
        <f>VLOOKUP($A54&amp;"Total",Rezepte!$D:$AK,28,FALSE)/100*$C54</f>
        <v>0</v>
      </c>
      <c r="AH54" s="3">
        <f>VLOOKUP($A54&amp;"Total",Rezepte!$D:$AK,29,FALSE)/100*$C54</f>
        <v>0</v>
      </c>
      <c r="AI54" s="3">
        <f>VLOOKUP($A54&amp;"Total",Rezepte!$D:$AK,30,FALSE)/100*$C54</f>
        <v>0</v>
      </c>
      <c r="AJ54" s="3">
        <f>VLOOKUP($A54&amp;"Total",Rezepte!$D:$AK,31,FALSE)/100*$C54</f>
        <v>0</v>
      </c>
      <c r="AK54" s="3">
        <f>VLOOKUP($A54&amp;"Total",Rezepte!$D:$AK,32,FALSE)/100*$C54</f>
        <v>0</v>
      </c>
      <c r="AL54" s="3">
        <f>VLOOKUP($A54&amp;"Total",Rezepte!$D:$AK,33,FALSE)/100*$C54</f>
        <v>0</v>
      </c>
      <c r="AM54" s="3">
        <f>VLOOKUP($A54&amp;"Total",Rezepte!$D:$AK,34,FALSE)/100*$C54</f>
        <v>0</v>
      </c>
    </row>
    <row r="55" spans="1:39" x14ac:dyDescent="0.25">
      <c r="A55" t="s">
        <v>145</v>
      </c>
      <c r="B55">
        <v>5</v>
      </c>
      <c r="D55" s="30">
        <f>SUMIFS(Q:Q,P:P,A55)+SUMIFS(T:T,S:S,A55)+SUMIFS(W:W,V:V,A55)+SUMIFS(Z:Z,Y:Y,A55)</f>
        <v>0</v>
      </c>
      <c r="E55" s="30">
        <f>D55+C55</f>
        <v>0</v>
      </c>
      <c r="F55" s="32">
        <f>COUNTIFS(P:P,A55,Q:Q,"&gt;0")+COUNTIFS(S:S,A55,T:T,"&gt;0")+COUNTIFS(V:V,A55,W:W,"&gt;0")+COUNTIFS(Y:Y,A55,Z:Z,"&gt;0")</f>
        <v>0</v>
      </c>
      <c r="G55" s="27">
        <f>ROUNDUP((C55+D55)/M55,1)</f>
        <v>0</v>
      </c>
      <c r="H55" s="47">
        <f>G55*M55</f>
        <v>0</v>
      </c>
      <c r="I55" s="47">
        <f>MOD(H55,M55)</f>
        <v>0</v>
      </c>
      <c r="J55" s="34" t="str">
        <f>VLOOKUP($A55&amp;"Total",Rezepte!$D:$Z,19,FALSE)</f>
        <v>Assembler</v>
      </c>
      <c r="K55" s="32">
        <f>SUMIFS(R:R,P:P,A55)+SUMIFS(U:U,S:S,A55)+SUMIFS(X:X,V:V,A55)+SUMIFS(AA:AA,Y:Y,A55)</f>
        <v>0</v>
      </c>
      <c r="L55" s="27">
        <f>G55*N55</f>
        <v>0</v>
      </c>
      <c r="M55" s="4">
        <f>VLOOKUP($A55&amp;"Total",Rezepte!$D:$Z,21,FALSE)</f>
        <v>5</v>
      </c>
      <c r="N55" s="4">
        <f>VLOOKUP($A55&amp;"Total",Rezepte!$D:$Z,20,FALSE)</f>
        <v>15</v>
      </c>
      <c r="P55" t="str">
        <f>VLOOKUP($A55&amp;"Total",Rezepte!$D:$Z,4,FALSE)</f>
        <v>Modular Frame</v>
      </c>
      <c r="Q55" s="3">
        <f>VLOOKUP($A55&amp;"Total",Rezepte!$D:$Z,5,FALSE)*G55</f>
        <v>0</v>
      </c>
      <c r="R55" s="32">
        <f>ROUNDUP(Q55/$P$76,0)</f>
        <v>0</v>
      </c>
      <c r="S55" t="str">
        <f>VLOOKUP($A55&amp;"Total",Rezepte!$D:$Z,7,FALSE)</f>
        <v>Steel Beam</v>
      </c>
      <c r="T55" s="3">
        <f>VLOOKUP($A55&amp;"Total",Rezepte!$D:$Z,8,FALSE)*G55</f>
        <v>0</v>
      </c>
      <c r="U55" s="32">
        <f>ROUNDUP(T55/$P$76,0)</f>
        <v>0</v>
      </c>
      <c r="V55" t="str">
        <f>VLOOKUP($A55&amp;"Total",Rezepte!$D:$Z,10,FALSE)</f>
        <v>nothing</v>
      </c>
      <c r="W55" s="3">
        <f>VLOOKUP($A55&amp;"Total",Rezepte!$D:$Z,11,FALSE)*G55</f>
        <v>0</v>
      </c>
      <c r="X55" s="32">
        <f>ROUNDUP(W55/$P$76,0)</f>
        <v>0</v>
      </c>
      <c r="Y55" t="str">
        <f>VLOOKUP($A55&amp;"Total",Rezepte!$D:$Z,13,FALSE)</f>
        <v>nothing</v>
      </c>
      <c r="Z55" s="3">
        <f>VLOOKUP($A55&amp;"Total",Rezepte!$D:$Z,14,FALSE)*G55</f>
        <v>0</v>
      </c>
      <c r="AA55" s="32">
        <f>ROUNDUP(Z55/$P$76,0)</f>
        <v>0</v>
      </c>
      <c r="AC55" s="3">
        <f>VLOOKUP($A55&amp;"Total",Rezepte!$D:$AK,24,FALSE)/100*$C55</f>
        <v>0</v>
      </c>
      <c r="AD55" s="3">
        <f>VLOOKUP($A55&amp;"Total",Rezepte!$D:$AK,25,FALSE)/100*$C55</f>
        <v>0</v>
      </c>
      <c r="AE55" s="3">
        <f>VLOOKUP($A55&amp;"Total",Rezepte!$D:$AK,26,FALSE)/100*$C55</f>
        <v>0</v>
      </c>
      <c r="AF55" s="3">
        <f>VLOOKUP($A55&amp;"Total",Rezepte!$D:$AK,27,FALSE)/100*$C55</f>
        <v>0</v>
      </c>
      <c r="AG55" s="3">
        <f>VLOOKUP($A55&amp;"Total",Rezepte!$D:$AK,28,FALSE)/100*$C55</f>
        <v>0</v>
      </c>
      <c r="AH55" s="3">
        <f>VLOOKUP($A55&amp;"Total",Rezepte!$D:$AK,29,FALSE)/100*$C55</f>
        <v>0</v>
      </c>
      <c r="AI55" s="3">
        <f>VLOOKUP($A55&amp;"Total",Rezepte!$D:$AK,30,FALSE)/100*$C55</f>
        <v>0</v>
      </c>
      <c r="AJ55" s="3">
        <f>VLOOKUP($A55&amp;"Total",Rezepte!$D:$AK,31,FALSE)/100*$C55</f>
        <v>0</v>
      </c>
      <c r="AK55" s="3">
        <f>VLOOKUP($A55&amp;"Total",Rezepte!$D:$AK,32,FALSE)/100*$C55</f>
        <v>0</v>
      </c>
      <c r="AL55" s="3">
        <f>VLOOKUP($A55&amp;"Total",Rezepte!$D:$AK,33,FALSE)/100*$C55</f>
        <v>0</v>
      </c>
      <c r="AM55" s="3">
        <f>VLOOKUP($A55&amp;"Total",Rezepte!$D:$AK,34,FALSE)/100*$C55</f>
        <v>0</v>
      </c>
    </row>
    <row r="56" spans="1:39" x14ac:dyDescent="0.25">
      <c r="A56" t="s">
        <v>147</v>
      </c>
      <c r="D56" s="30">
        <f>SUMIFS(Q:Q,P:P,A56)+SUMIFS(T:T,S:S,A56)+SUMIFS(W:W,V:V,A56)+SUMIFS(Z:Z,Y:Y,A56)</f>
        <v>7.5</v>
      </c>
      <c r="E56" s="30">
        <f>D56+C56</f>
        <v>7.5</v>
      </c>
      <c r="F56" s="32">
        <f>COUNTIFS(P:P,A56,Q:Q,"&gt;0")+COUNTIFS(S:S,A56,T:T,"&gt;0")+COUNTIFS(V:V,A56,W:W,"&gt;0")+COUNTIFS(Y:Y,A56,Z:Z,"&gt;0")</f>
        <v>1</v>
      </c>
      <c r="G56" s="27">
        <f>ROUNDUP((C56+D56)/M56,1)</f>
        <v>3</v>
      </c>
      <c r="H56" s="47">
        <f>G56*M56</f>
        <v>7.5</v>
      </c>
      <c r="I56" s="47">
        <f>MOD(H56,M56)</f>
        <v>0</v>
      </c>
      <c r="J56" s="34" t="str">
        <f>VLOOKUP($A56&amp;"Total",Rezepte!$D:$Z,19,FALSE)</f>
        <v>Assembler</v>
      </c>
      <c r="K56" s="32">
        <f>SUMIFS(R:R,P:P,A56)+SUMIFS(U:U,S:S,A56)+SUMIFS(X:X,V:V,A56)+SUMIFS(AA:AA,Y:Y,A56)</f>
        <v>1</v>
      </c>
      <c r="L56" s="27">
        <f>G56*N56</f>
        <v>45</v>
      </c>
      <c r="M56" s="4">
        <f>VLOOKUP($A56&amp;"Total",Rezepte!$D:$Z,21,FALSE)</f>
        <v>2.5</v>
      </c>
      <c r="N56" s="4">
        <f>VLOOKUP($A56&amp;"Total",Rezepte!$D:$Z,20,FALSE)</f>
        <v>15</v>
      </c>
      <c r="O56" s="47">
        <v>7.5</v>
      </c>
      <c r="P56" t="str">
        <f>VLOOKUP($A56&amp;"Total",Rezepte!$D:$Z,4,FALSE)</f>
        <v>Stator</v>
      </c>
      <c r="Q56" s="3">
        <f>VLOOKUP($A56&amp;"Total",Rezepte!$D:$Z,5,FALSE)*G56</f>
        <v>7.5</v>
      </c>
      <c r="R56" s="32">
        <f>ROUNDUP(Q56/$P$76,0)</f>
        <v>1</v>
      </c>
      <c r="S56" t="str">
        <f>VLOOKUP($A56&amp;"Total",Rezepte!$D:$Z,7,FALSE)</f>
        <v>Cable</v>
      </c>
      <c r="T56" s="3">
        <f>VLOOKUP($A56&amp;"Total",Rezepte!$D:$Z,8,FALSE)*G56</f>
        <v>150</v>
      </c>
      <c r="U56" s="32">
        <f>ROUNDUP(T56/$P$76,0)</f>
        <v>1</v>
      </c>
      <c r="V56" t="str">
        <f>VLOOKUP($A56&amp;"Total",Rezepte!$D:$Z,10,FALSE)</f>
        <v>nothing</v>
      </c>
      <c r="W56" s="3">
        <f>VLOOKUP($A56&amp;"Total",Rezepte!$D:$Z,11,FALSE)*G56</f>
        <v>0</v>
      </c>
      <c r="X56" s="32">
        <f>ROUNDUP(W56/$P$76,0)</f>
        <v>0</v>
      </c>
      <c r="Y56" t="str">
        <f>VLOOKUP($A56&amp;"Total",Rezepte!$D:$Z,13,FALSE)</f>
        <v>nothing</v>
      </c>
      <c r="Z56" s="3">
        <f>VLOOKUP($A56&amp;"Total",Rezepte!$D:$Z,14,FALSE)*G56</f>
        <v>0</v>
      </c>
      <c r="AA56" s="32">
        <f>ROUNDUP(Z56/$P$76,0)</f>
        <v>0</v>
      </c>
      <c r="AC56" s="3">
        <f>VLOOKUP($A56&amp;"Total",Rezepte!$D:$AK,24,FALSE)/100*$C56</f>
        <v>0</v>
      </c>
      <c r="AD56" s="3">
        <f>VLOOKUP($A56&amp;"Total",Rezepte!$D:$AK,25,FALSE)/100*$C56</f>
        <v>0</v>
      </c>
      <c r="AE56" s="3">
        <f>VLOOKUP($A56&amp;"Total",Rezepte!$D:$AK,26,FALSE)/100*$C56</f>
        <v>0</v>
      </c>
      <c r="AF56" s="3">
        <f>VLOOKUP($A56&amp;"Total",Rezepte!$D:$AK,27,FALSE)/100*$C56</f>
        <v>0</v>
      </c>
      <c r="AG56" s="3">
        <f>VLOOKUP($A56&amp;"Total",Rezepte!$D:$AK,28,FALSE)/100*$C56</f>
        <v>0</v>
      </c>
      <c r="AH56" s="3">
        <f>VLOOKUP($A56&amp;"Total",Rezepte!$D:$AK,29,FALSE)/100*$C56</f>
        <v>0</v>
      </c>
      <c r="AI56" s="3">
        <f>VLOOKUP($A56&amp;"Total",Rezepte!$D:$AK,30,FALSE)/100*$C56</f>
        <v>0</v>
      </c>
      <c r="AJ56" s="3">
        <f>VLOOKUP($A56&amp;"Total",Rezepte!$D:$AK,31,FALSE)/100*$C56</f>
        <v>0</v>
      </c>
      <c r="AK56" s="3">
        <f>VLOOKUP($A56&amp;"Total",Rezepte!$D:$AK,32,FALSE)/100*$C56</f>
        <v>0</v>
      </c>
      <c r="AL56" s="3">
        <f>VLOOKUP($A56&amp;"Total",Rezepte!$D:$AK,33,FALSE)/100*$C56</f>
        <v>0</v>
      </c>
      <c r="AM56" s="3">
        <f>VLOOKUP($A56&amp;"Total",Rezepte!$D:$AK,34,FALSE)/100*$C56</f>
        <v>0</v>
      </c>
    </row>
    <row r="58" spans="1:39" x14ac:dyDescent="0.25">
      <c r="A58" t="s">
        <v>152</v>
      </c>
      <c r="B58">
        <v>5</v>
      </c>
      <c r="C58">
        <v>5</v>
      </c>
      <c r="D58" s="30">
        <f>SUMIFS(Q:Q,P:P,A58)+SUMIFS(T:T,S:S,A58)+SUMIFS(W:W,V:V,A58)+SUMIFS(Z:Z,Y:Y,A58)</f>
        <v>0</v>
      </c>
      <c r="E58" s="30">
        <f>D58+C58</f>
        <v>5</v>
      </c>
      <c r="F58" s="32">
        <f>COUNTIFS(P:P,A58,Q:Q,"&gt;0")+COUNTIFS(S:S,A58,T:T,"&gt;0")+COUNTIFS(V:V,A58,W:W,"&gt;0")+COUNTIFS(Y:Y,A58,Z:Z,"&gt;0")</f>
        <v>0</v>
      </c>
      <c r="G58" s="27">
        <f>ROUNDUP((C58+D58)/M58,1)</f>
        <v>5</v>
      </c>
      <c r="H58" s="47">
        <f>G58*M58</f>
        <v>5</v>
      </c>
      <c r="I58" s="47">
        <f>MOD(H58,M58)</f>
        <v>0</v>
      </c>
      <c r="J58" s="34" t="str">
        <f>VLOOKUP($A58&amp;"Total",Rezepte!$D:$Z,19,FALSE)</f>
        <v>Manufactirer</v>
      </c>
      <c r="K58" s="32">
        <f>SUMIFS(R:R,P:P,A58)+SUMIFS(U:U,S:S,A58)+SUMIFS(X:X,V:V,A58)+SUMIFS(AA:AA,Y:Y,A58)</f>
        <v>0</v>
      </c>
      <c r="L58" s="27">
        <f>G58*N58</f>
        <v>275</v>
      </c>
      <c r="M58" s="4">
        <f>VLOOKUP($A58&amp;"Total",Rezepte!$D:$Z,21,FALSE)</f>
        <v>1</v>
      </c>
      <c r="N58" s="4">
        <f>VLOOKUP($A58&amp;"Total",Rezepte!$D:$Z,20,FALSE)</f>
        <v>55</v>
      </c>
      <c r="O58" s="47">
        <v>5</v>
      </c>
      <c r="P58" t="str">
        <f>VLOOKUP($A58&amp;"Total",Rezepte!$D:$Z,4,FALSE)</f>
        <v>Motor</v>
      </c>
      <c r="Q58" s="3">
        <f>VLOOKUP($A58&amp;"Total",Rezepte!$D:$Z,5,FALSE)*G58</f>
        <v>10</v>
      </c>
      <c r="R58" s="32">
        <f>ROUNDUP(Q58/$P$76,0)</f>
        <v>1</v>
      </c>
      <c r="S58" t="str">
        <f>VLOOKUP($A58&amp;"Total",Rezepte!$D:$Z,7,FALSE)</f>
        <v>Rubber</v>
      </c>
      <c r="T58" s="3">
        <f>VLOOKUP($A58&amp;"Total",Rezepte!$D:$Z,8,FALSE)*G58</f>
        <v>75</v>
      </c>
      <c r="U58" s="32">
        <f>ROUNDUP(T58/$P$76,0)</f>
        <v>1</v>
      </c>
      <c r="V58" t="str">
        <f>VLOOKUP($A58&amp;"Total",Rezepte!$D:$Z,10,FALSE)</f>
        <v>Smart Plating</v>
      </c>
      <c r="W58" s="3">
        <f>VLOOKUP($A58&amp;"Total",Rezepte!$D:$Z,11,FALSE)*G58</f>
        <v>10</v>
      </c>
      <c r="X58" s="32">
        <f>ROUNDUP(W58/$P$76,0)</f>
        <v>1</v>
      </c>
      <c r="Y58" t="str">
        <f>VLOOKUP($A58&amp;"Total",Rezepte!$D:$Z,13,FALSE)</f>
        <v>nothing</v>
      </c>
      <c r="Z58" s="3">
        <f>VLOOKUP($A58&amp;"Total",Rezepte!$D:$Z,14,FALSE)*G58</f>
        <v>0</v>
      </c>
      <c r="AA58" s="32">
        <f>ROUNDUP(Z58/$P$76,0)</f>
        <v>0</v>
      </c>
      <c r="AC58" s="3">
        <f>VLOOKUP($A58&amp;"Total",Rezepte!$D:$AK,24,FALSE)/100*$C58</f>
        <v>73.333333333333343</v>
      </c>
      <c r="AD58" s="3">
        <f>VLOOKUP($A58&amp;"Total",Rezepte!$D:$AK,25,FALSE)/100*$C58</f>
        <v>76.666666666666686</v>
      </c>
      <c r="AE58" s="3">
        <f>VLOOKUP($A58&amp;"Total",Rezepte!$D:$AK,26,FALSE)/100*$C58</f>
        <v>0</v>
      </c>
      <c r="AF58" s="3">
        <f>VLOOKUP($A58&amp;"Total",Rezepte!$D:$AK,27,FALSE)/100*$C58</f>
        <v>23.333333333333336</v>
      </c>
      <c r="AG58" s="3">
        <f>VLOOKUP($A58&amp;"Total",Rezepte!$D:$AK,28,FALSE)/100*$C58</f>
        <v>67.5</v>
      </c>
      <c r="AH58" s="3">
        <f>VLOOKUP($A58&amp;"Total",Rezepte!$D:$AK,29,FALSE)/100*$C58</f>
        <v>27.777777777777779</v>
      </c>
      <c r="AI58" s="3">
        <f>VLOOKUP($A58&amp;"Total",Rezepte!$D:$AK,30,FALSE)/100*$C58</f>
        <v>0</v>
      </c>
      <c r="AJ58" s="3">
        <f>VLOOKUP($A58&amp;"Total",Rezepte!$D:$AK,31,FALSE)/100*$C58</f>
        <v>0</v>
      </c>
      <c r="AK58" s="3">
        <f>VLOOKUP($A58&amp;"Total",Rezepte!$D:$AK,32,FALSE)/100*$C58</f>
        <v>0</v>
      </c>
      <c r="AL58" s="3">
        <f>VLOOKUP($A58&amp;"Total",Rezepte!$D:$AK,33,FALSE)/100*$C58</f>
        <v>0</v>
      </c>
      <c r="AM58" s="3">
        <f>VLOOKUP($A58&amp;"Total",Rezepte!$D:$AK,34,FALSE)/100*$C58</f>
        <v>130</v>
      </c>
    </row>
    <row r="59" spans="1:39" x14ac:dyDescent="0.25">
      <c r="A59" t="s">
        <v>153</v>
      </c>
      <c r="B59">
        <v>1</v>
      </c>
      <c r="C59">
        <v>1</v>
      </c>
      <c r="D59" s="30">
        <f>SUMIFS(Q:Q,P:P,A59)+SUMIFS(T:T,S:S,A59)+SUMIFS(W:W,V:V,A59)+SUMIFS(Z:Z,Y:Y,A59)</f>
        <v>0</v>
      </c>
      <c r="E59" s="30">
        <f>D59+C59</f>
        <v>1</v>
      </c>
      <c r="F59" s="32">
        <f>COUNTIFS(P:P,A59,Q:Q,"&gt;0")+COUNTIFS(S:S,A59,T:T,"&gt;0")+COUNTIFS(V:V,A59,W:W,"&gt;0")+COUNTIFS(Y:Y,A59,Z:Z,"&gt;0")</f>
        <v>0</v>
      </c>
      <c r="G59" s="27">
        <f>ROUNDUP((C59+D59)/M59,1)</f>
        <v>1</v>
      </c>
      <c r="H59" s="47">
        <f>G59*M59</f>
        <v>1</v>
      </c>
      <c r="I59" s="47">
        <f>MOD(H59,M59)</f>
        <v>0</v>
      </c>
      <c r="J59" s="34" t="str">
        <f>VLOOKUP($A59&amp;"Total",Rezepte!$D:$Z,19,FALSE)</f>
        <v>Manufactirer</v>
      </c>
      <c r="K59" s="32">
        <f>SUMIFS(R:R,P:P,A59)+SUMIFS(U:U,S:S,A59)+SUMIFS(X:X,V:V,A59)+SUMIFS(AA:AA,Y:Y,A59)</f>
        <v>0</v>
      </c>
      <c r="L59" s="27">
        <f>G59*N59</f>
        <v>55</v>
      </c>
      <c r="M59" s="4">
        <f>VLOOKUP($A59&amp;"Total",Rezepte!$D:$Z,21,FALSE)</f>
        <v>1</v>
      </c>
      <c r="N59" s="4">
        <f>VLOOKUP($A59&amp;"Total",Rezepte!$D:$Z,20,FALSE)</f>
        <v>55</v>
      </c>
      <c r="O59" s="47">
        <v>1</v>
      </c>
      <c r="P59" t="str">
        <f>VLOOKUP($A59&amp;"Total",Rezepte!$D:$Z,4,FALSE)</f>
        <v>Automated Wiring</v>
      </c>
      <c r="Q59" s="3">
        <f>VLOOKUP($A59&amp;"Total",Rezepte!$D:$Z,5,FALSE)*G59</f>
        <v>7.5</v>
      </c>
      <c r="R59" s="32">
        <f>ROUNDUP(Q59/$P$76,0)</f>
        <v>1</v>
      </c>
      <c r="S59" t="str">
        <f>VLOOKUP($A59&amp;"Total",Rezepte!$D:$Z,7,FALSE)</f>
        <v>Circuit Board</v>
      </c>
      <c r="T59" s="3">
        <f>VLOOKUP($A59&amp;"Total",Rezepte!$D:$Z,8,FALSE)*G59</f>
        <v>5</v>
      </c>
      <c r="U59" s="32">
        <f>ROUNDUP(T59/$P$76,0)</f>
        <v>1</v>
      </c>
      <c r="V59" t="str">
        <f>VLOOKUP($A59&amp;"Total",Rezepte!$D:$Z,10,FALSE)</f>
        <v>heavy modular frame</v>
      </c>
      <c r="W59" s="3">
        <f>VLOOKUP($A59&amp;"Total",Rezepte!$D:$Z,11,FALSE)*G59</f>
        <v>1</v>
      </c>
      <c r="X59" s="32">
        <f>ROUNDUP(W59/$P$76,0)</f>
        <v>1</v>
      </c>
      <c r="Y59" t="str">
        <f>VLOOKUP($A59&amp;"Total",Rezepte!$D:$Z,13,FALSE)</f>
        <v>Computer</v>
      </c>
      <c r="Z59" s="3">
        <f>VLOOKUP($A59&amp;"Total",Rezepte!$D:$Z,14,FALSE)*G59</f>
        <v>1</v>
      </c>
      <c r="AA59" s="32">
        <f>ROUNDUP(Z59/$P$76,0)</f>
        <v>1</v>
      </c>
      <c r="AC59" s="3">
        <f>VLOOKUP($A59&amp;"Total",Rezepte!$D:$AK,24,FALSE)/100*$C59</f>
        <v>68.111111111111128</v>
      </c>
      <c r="AD59" s="3">
        <f>VLOOKUP($A59&amp;"Total",Rezepte!$D:$AK,25,FALSE)/100*$C59</f>
        <v>52.8</v>
      </c>
      <c r="AE59" s="3">
        <f>VLOOKUP($A59&amp;"Total",Rezepte!$D:$AK,26,FALSE)/100*$C59</f>
        <v>72.000000000000014</v>
      </c>
      <c r="AF59" s="3">
        <f>VLOOKUP($A59&amp;"Total",Rezepte!$D:$AK,27,FALSE)/100*$C59</f>
        <v>59.222222222222229</v>
      </c>
      <c r="AG59" s="3">
        <f>VLOOKUP($A59&amp;"Total",Rezepte!$D:$AK,28,FALSE)/100*$C59</f>
        <v>167.49444444444444</v>
      </c>
      <c r="AH59" s="3">
        <f>VLOOKUP($A59&amp;"Total",Rezepte!$D:$AK,29,FALSE)/100*$C59</f>
        <v>15.84</v>
      </c>
      <c r="AI59" s="3">
        <f>VLOOKUP($A59&amp;"Total",Rezepte!$D:$AK,30,FALSE)/100*$C59</f>
        <v>0</v>
      </c>
      <c r="AJ59" s="3">
        <f>VLOOKUP($A59&amp;"Total",Rezepte!$D:$AK,31,FALSE)/100*$C59</f>
        <v>0</v>
      </c>
      <c r="AK59" s="3">
        <f>VLOOKUP($A59&amp;"Total",Rezepte!$D:$AK,32,FALSE)/100*$C59</f>
        <v>0</v>
      </c>
      <c r="AL59" s="3">
        <f>VLOOKUP($A59&amp;"Total",Rezepte!$D:$AK,33,FALSE)/100*$C59</f>
        <v>0</v>
      </c>
      <c r="AM59" s="3">
        <f>VLOOKUP($A59&amp;"Total",Rezepte!$D:$AK,34,FALSE)/100*$C59</f>
        <v>18</v>
      </c>
    </row>
    <row r="61" spans="1:39" x14ac:dyDescent="0.25">
      <c r="A61" t="s">
        <v>82</v>
      </c>
      <c r="D61" s="30">
        <f>SUMIFS(Q:Q,P:P,A61)+SUMIFS(T:T,S:S,A61)+SUMIFS(W:W,V:V,A61)+SUMIFS(Z:Z,Y:Y,A61)</f>
        <v>0</v>
      </c>
      <c r="E61" s="30">
        <f>D61+C61</f>
        <v>0</v>
      </c>
      <c r="F61" s="32">
        <f>COUNTIFS(P:P,A61,Q:Q,"&gt;0")+COUNTIFS(S:S,A61,T:T,"&gt;0")+COUNTIFS(V:V,A61,W:W,"&gt;0")+COUNTIFS(Y:Y,A61,Z:Z,"&gt;0")</f>
        <v>0</v>
      </c>
      <c r="G61" s="27">
        <f>ROUNDUP((C61+D61)/M61,1)</f>
        <v>0</v>
      </c>
      <c r="H61" s="47">
        <f>G61*M61</f>
        <v>0</v>
      </c>
      <c r="I61" s="47">
        <f>MOD(H61,M61)</f>
        <v>0</v>
      </c>
      <c r="J61" s="34" t="str">
        <f>VLOOKUP($A61&amp;"Total",Rezepte!$D:$Z,19,FALSE)</f>
        <v>Refinery</v>
      </c>
      <c r="K61" s="32">
        <f>SUMIFS(R:R,P:P,A61)+SUMIFS(U:U,S:S,A61)+SUMIFS(X:X,V:V,A61)+SUMIFS(AA:AA,Y:Y,A61)</f>
        <v>0</v>
      </c>
      <c r="L61" s="27">
        <f>G61*N61</f>
        <v>0</v>
      </c>
      <c r="M61" s="4">
        <f>VLOOKUP($A61&amp;"Total",Rezepte!$D:$Z,21,FALSE)</f>
        <v>20</v>
      </c>
      <c r="N61" s="4">
        <f>VLOOKUP($A61&amp;"Total",Rezepte!$D:$Z,20,FALSE)</f>
        <v>30</v>
      </c>
      <c r="O61" s="47">
        <v>8</v>
      </c>
      <c r="P61" t="str">
        <f>VLOOKUP($A61&amp;"Total",Rezepte!$D:$Z,4,FALSE)</f>
        <v>Oil</v>
      </c>
      <c r="Q61" s="3">
        <f>VLOOKUP($A61&amp;"Total",Rezepte!$D:$Z,5,FALSE)*G61</f>
        <v>0</v>
      </c>
      <c r="R61" s="32">
        <f>ROUNDUP(Q61/$P$76,0)</f>
        <v>0</v>
      </c>
      <c r="T61" s="3">
        <f>VLOOKUP($A61&amp;"Total",Rezepte!$D:$Z,8,FALSE)*G61</f>
        <v>0</v>
      </c>
      <c r="U61" s="32">
        <f>ROUNDUP(T61/$P$76,0)</f>
        <v>0</v>
      </c>
      <c r="W61" s="3">
        <f>VLOOKUP($A61&amp;"Total",Rezepte!$D:$Z,11,FALSE)*G61</f>
        <v>0</v>
      </c>
      <c r="X61" s="32">
        <f>ROUNDUP(W61/$P$76,0)</f>
        <v>0</v>
      </c>
      <c r="Z61" s="3">
        <f>VLOOKUP($A61&amp;"Total",Rezepte!$D:$Z,14,FALSE)*G61</f>
        <v>0</v>
      </c>
      <c r="AA61" s="32">
        <f>ROUNDUP(Z61/$P$76,0)</f>
        <v>0</v>
      </c>
      <c r="AC61" s="3">
        <f>VLOOKUP($A61&amp;"Total",Rezepte!$D:$AK,24,FALSE)/100*$C61</f>
        <v>0</v>
      </c>
      <c r="AD61" s="3">
        <f>VLOOKUP($A61&amp;"Total",Rezepte!$D:$AK,25,FALSE)/100*$C61</f>
        <v>0</v>
      </c>
      <c r="AE61" s="3">
        <f>VLOOKUP($A61&amp;"Total",Rezepte!$D:$AK,26,FALSE)/100*$C61</f>
        <v>0</v>
      </c>
      <c r="AF61" s="3">
        <f>VLOOKUP($A61&amp;"Total",Rezepte!$D:$AK,27,FALSE)/100*$C61</f>
        <v>0</v>
      </c>
      <c r="AG61" s="3">
        <f>VLOOKUP($A61&amp;"Total",Rezepte!$D:$AK,28,FALSE)/100*$C61</f>
        <v>0</v>
      </c>
      <c r="AH61" s="3">
        <f>VLOOKUP($A61&amp;"Total",Rezepte!$D:$AK,29,FALSE)/100*$C61</f>
        <v>0</v>
      </c>
      <c r="AI61" s="3">
        <f>VLOOKUP($A61&amp;"Total",Rezepte!$D:$AK,30,FALSE)/100*$C61</f>
        <v>0</v>
      </c>
      <c r="AJ61" s="3">
        <f>VLOOKUP($A61&amp;"Total",Rezepte!$D:$AK,31,FALSE)/100*$C61</f>
        <v>0</v>
      </c>
      <c r="AK61" s="3">
        <f>VLOOKUP($A61&amp;"Total",Rezepte!$D:$AK,32,FALSE)/100*$C61</f>
        <v>0</v>
      </c>
      <c r="AL61" s="3">
        <f>VLOOKUP($A61&amp;"Total",Rezepte!$D:$AK,33,FALSE)/100*$C61</f>
        <v>0</v>
      </c>
      <c r="AM61" s="3">
        <f>VLOOKUP($A61&amp;"Total",Rezepte!$D:$AK,34,FALSE)/100*$C61</f>
        <v>0</v>
      </c>
    </row>
    <row r="62" spans="1:39" x14ac:dyDescent="0.25">
      <c r="A62" t="s">
        <v>72</v>
      </c>
      <c r="D62" s="30">
        <f>SUMIFS(Q:Q,P:P,A62)+SUMIFS(T:T,S:S,A62)+SUMIFS(W:W,V:V,A62)+SUMIFS(Z:Z,Y:Y,A62)</f>
        <v>149.4375</v>
      </c>
      <c r="E62" s="30">
        <f>D62+C62</f>
        <v>149.4375</v>
      </c>
      <c r="F62" s="32">
        <f>COUNTIFS(P:P,A62,Q:Q,"&gt;0")+COUNTIFS(S:S,A62,T:T,"&gt;0")+COUNTIFS(V:V,A62,W:W,"&gt;0")+COUNTIFS(Y:Y,A62,Z:Z,"&gt;0")</f>
        <v>3</v>
      </c>
      <c r="G62" s="27">
        <f>ROUNDUP((C62+D62)/M62,1)</f>
        <v>7.5</v>
      </c>
      <c r="H62" s="47">
        <f>G62*M62</f>
        <v>150</v>
      </c>
      <c r="I62" s="47">
        <f>MOD(H62,M62)</f>
        <v>10</v>
      </c>
      <c r="J62" s="34" t="str">
        <f>VLOOKUP($A62&amp;"Total",Rezepte!$D:$Z,19,FALSE)</f>
        <v>Refinery</v>
      </c>
      <c r="K62" s="32">
        <f>SUMIFS(R:R,P:P,A62)+SUMIFS(U:U,S:S,A62)+SUMIFS(X:X,V:V,A62)+SUMIFS(AA:AA,Y:Y,A62)</f>
        <v>3</v>
      </c>
      <c r="L62" s="27">
        <f>G62*N62</f>
        <v>225</v>
      </c>
      <c r="M62" s="4">
        <f>VLOOKUP($A62&amp;"Total",Rezepte!$D:$Z,21,FALSE)</f>
        <v>20</v>
      </c>
      <c r="N62" s="4">
        <f>VLOOKUP($A62&amp;"Total",Rezepte!$D:$Z,20,FALSE)</f>
        <v>30</v>
      </c>
      <c r="O62" s="47">
        <v>156</v>
      </c>
      <c r="P62" t="str">
        <f>VLOOKUP($A62&amp;"Total",Rezepte!$D:$Z,4,FALSE)</f>
        <v>Oil</v>
      </c>
      <c r="Q62" s="3">
        <f>VLOOKUP($A62&amp;"Total",Rezepte!$D:$Z,5,FALSE)*G62</f>
        <v>225</v>
      </c>
      <c r="R62" s="32">
        <f>ROUNDUP(Q62/$P$76,0)</f>
        <v>1</v>
      </c>
      <c r="T62" s="3">
        <f>VLOOKUP($A62&amp;"Total",Rezepte!$D:$Z,8,FALSE)*G62</f>
        <v>0</v>
      </c>
      <c r="U62" s="32">
        <f>ROUNDUP(T62/$P$76,0)</f>
        <v>0</v>
      </c>
      <c r="W62" s="3">
        <f>VLOOKUP($A62&amp;"Total",Rezepte!$D:$Z,11,FALSE)*G62</f>
        <v>0</v>
      </c>
      <c r="X62" s="32">
        <f>ROUNDUP(W62/$P$76,0)</f>
        <v>0</v>
      </c>
      <c r="Z62" s="3">
        <f>VLOOKUP($A62&amp;"Total",Rezepte!$D:$Z,14,FALSE)*G62</f>
        <v>0</v>
      </c>
      <c r="AA62" s="32">
        <f>ROUNDUP(Z62/$P$76,0)</f>
        <v>0</v>
      </c>
      <c r="AC62" s="3">
        <f>VLOOKUP($A62&amp;"Total",Rezepte!$D:$AK,24,FALSE)/100*$C62</f>
        <v>0</v>
      </c>
      <c r="AD62" s="3">
        <f>VLOOKUP($A62&amp;"Total",Rezepte!$D:$AK,25,FALSE)/100*$C62</f>
        <v>0</v>
      </c>
      <c r="AE62" s="3">
        <f>VLOOKUP($A62&amp;"Total",Rezepte!$D:$AK,26,FALSE)/100*$C62</f>
        <v>0</v>
      </c>
      <c r="AF62" s="3">
        <f>VLOOKUP($A62&amp;"Total",Rezepte!$D:$AK,27,FALSE)/100*$C62</f>
        <v>0</v>
      </c>
      <c r="AG62" s="3">
        <f>VLOOKUP($A62&amp;"Total",Rezepte!$D:$AK,28,FALSE)/100*$C62</f>
        <v>0</v>
      </c>
      <c r="AH62" s="3">
        <f>VLOOKUP($A62&amp;"Total",Rezepte!$D:$AK,29,FALSE)/100*$C62</f>
        <v>0</v>
      </c>
      <c r="AI62" s="3">
        <f>VLOOKUP($A62&amp;"Total",Rezepte!$D:$AK,30,FALSE)/100*$C62</f>
        <v>0</v>
      </c>
      <c r="AJ62" s="3">
        <f>VLOOKUP($A62&amp;"Total",Rezepte!$D:$AK,31,FALSE)/100*$C62</f>
        <v>0</v>
      </c>
      <c r="AK62" s="3">
        <f>VLOOKUP($A62&amp;"Total",Rezepte!$D:$AK,32,FALSE)/100*$C62</f>
        <v>0</v>
      </c>
      <c r="AL62" s="3">
        <f>VLOOKUP($A62&amp;"Total",Rezepte!$D:$AK,33,FALSE)/100*$C62</f>
        <v>0</v>
      </c>
      <c r="AM62" s="3">
        <f>VLOOKUP($A62&amp;"Total",Rezepte!$D:$AK,34,FALSE)/100*$C62</f>
        <v>0</v>
      </c>
    </row>
    <row r="65" spans="1:39" x14ac:dyDescent="0.25">
      <c r="A65" t="s">
        <v>155</v>
      </c>
      <c r="D65" s="30">
        <f t="shared" ref="D65:D70" si="30">SUMIFS(Q:Q,P:P,A65)+SUMIFS(T:T,S:S,A65)+SUMIFS(W:W,V:V,A65)+SUMIFS(Z:Z,Y:Y,A65)</f>
        <v>0</v>
      </c>
      <c r="E65" s="30">
        <f t="shared" si="5"/>
        <v>0</v>
      </c>
      <c r="F65" s="32">
        <f t="shared" ref="F65:F70" si="31">COUNTIFS(P:P,A65,Q:Q,"&gt;0")+COUNTIFS(S:S,A65,T:T,"&gt;0")+COUNTIFS(V:V,A65,W:W,"&gt;0")+COUNTIFS(Y:Y,A65,Z:Z,"&gt;0")</f>
        <v>0</v>
      </c>
      <c r="G65" s="27">
        <f t="shared" ref="G65:G70" si="32">ROUNDUP((C65+D65)/M65,1)</f>
        <v>0</v>
      </c>
      <c r="H65" s="47">
        <f t="shared" si="10"/>
        <v>0</v>
      </c>
      <c r="I65" s="47">
        <f t="shared" si="11"/>
        <v>0</v>
      </c>
      <c r="J65" s="34" t="str">
        <f>VLOOKUP($A65&amp;"Total",Rezepte!$D:$Z,19,FALSE)</f>
        <v>Refinery</v>
      </c>
      <c r="K65" s="32">
        <f t="shared" ref="K65:K70" si="33">SUMIFS(R:R,P:P,A65)+SUMIFS(U:U,S:S,A65)+SUMIFS(X:X,V:V,A65)+SUMIFS(AA:AA,Y:Y,A65)</f>
        <v>0</v>
      </c>
      <c r="L65" s="27">
        <f t="shared" ref="L65:L70" si="34">G65*N65</f>
        <v>0</v>
      </c>
      <c r="M65" s="4">
        <f>VLOOKUP($A65&amp;"Total",Rezepte!$D:$Z,21,FALSE)</f>
        <v>130</v>
      </c>
      <c r="N65" s="4">
        <f>VLOOKUP($A65&amp;"Total",Rezepte!$D:$Z,20,FALSE)</f>
        <v>30</v>
      </c>
      <c r="P65" t="str">
        <f>VLOOKUP($A65&amp;"Total",Rezepte!$D:$Z,4,FALSE)</f>
        <v>Oil</v>
      </c>
      <c r="Q65" s="3">
        <f>VLOOKUP($A65&amp;"Total",Rezepte!$D:$Z,5,FALSE)*G65</f>
        <v>0</v>
      </c>
      <c r="R65" s="32">
        <f t="shared" ref="R65:R70" si="35">ROUNDUP(Q65/$P$76,0)</f>
        <v>0</v>
      </c>
      <c r="T65" s="3">
        <f>VLOOKUP($A65&amp;"Total",Rezepte!$D:$Z,8,FALSE)*G65</f>
        <v>0</v>
      </c>
      <c r="U65" s="32">
        <f t="shared" ref="U65:U70" si="36">ROUNDUP(T65/$P$76,0)</f>
        <v>0</v>
      </c>
      <c r="W65" s="3">
        <f>VLOOKUP($A65&amp;"Total",Rezepte!$D:$Z,11,FALSE)*G65</f>
        <v>0</v>
      </c>
      <c r="X65" s="32">
        <f t="shared" ref="X65:X70" si="37">ROUNDUP(W65/$P$76,0)</f>
        <v>0</v>
      </c>
      <c r="Z65" s="3">
        <f>VLOOKUP($A65&amp;"Total",Rezepte!$D:$Z,14,FALSE)*G65</f>
        <v>0</v>
      </c>
      <c r="AA65" s="32">
        <f t="shared" ref="AA65:AA70" si="38">ROUNDUP(Z65/$P$76,0)</f>
        <v>0</v>
      </c>
      <c r="AC65" s="3">
        <f>VLOOKUP($A65&amp;"Total",Rezepte!$D:$AK,24,FALSE)/100*$C65</f>
        <v>0</v>
      </c>
      <c r="AD65" s="3">
        <f>VLOOKUP($A65&amp;"Total",Rezepte!$D:$AK,25,FALSE)/100*$C65</f>
        <v>0</v>
      </c>
      <c r="AE65" s="3">
        <f>VLOOKUP($A65&amp;"Total",Rezepte!$D:$AK,26,FALSE)/100*$C65</f>
        <v>0</v>
      </c>
      <c r="AF65" s="3">
        <f>VLOOKUP($A65&amp;"Total",Rezepte!$D:$AK,27,FALSE)/100*$C65</f>
        <v>0</v>
      </c>
      <c r="AG65" s="3">
        <f>VLOOKUP($A65&amp;"Total",Rezepte!$D:$AK,28,FALSE)/100*$C65</f>
        <v>0</v>
      </c>
      <c r="AH65" s="3">
        <f>VLOOKUP($A65&amp;"Total",Rezepte!$D:$AK,29,FALSE)/100*$C65</f>
        <v>0</v>
      </c>
      <c r="AI65" s="3">
        <f>VLOOKUP($A65&amp;"Total",Rezepte!$D:$AK,30,FALSE)/100*$C65</f>
        <v>0</v>
      </c>
      <c r="AJ65" s="3">
        <f>VLOOKUP($A65&amp;"Total",Rezepte!$D:$AK,31,FALSE)/100*$C65</f>
        <v>0</v>
      </c>
      <c r="AK65" s="3">
        <f>VLOOKUP($A65&amp;"Total",Rezepte!$D:$AK,32,FALSE)/100*$C65</f>
        <v>0</v>
      </c>
      <c r="AL65" s="3">
        <f>VLOOKUP($A65&amp;"Total",Rezepte!$D:$AK,33,FALSE)/100*$C65</f>
        <v>0</v>
      </c>
      <c r="AM65" s="3">
        <f>VLOOKUP($A65&amp;"Total",Rezepte!$D:$AK,34,FALSE)/100*$C65</f>
        <v>0</v>
      </c>
    </row>
    <row r="66" spans="1:39" x14ac:dyDescent="0.25">
      <c r="A66" t="s">
        <v>124</v>
      </c>
      <c r="D66" s="30">
        <f t="shared" si="30"/>
        <v>0</v>
      </c>
      <c r="E66" s="30">
        <f t="shared" si="5"/>
        <v>0</v>
      </c>
      <c r="F66" s="32">
        <f t="shared" si="31"/>
        <v>0</v>
      </c>
      <c r="G66" s="27">
        <f t="shared" si="32"/>
        <v>0</v>
      </c>
      <c r="H66" s="47">
        <f t="shared" si="10"/>
        <v>0</v>
      </c>
      <c r="I66" s="47">
        <f t="shared" si="11"/>
        <v>0</v>
      </c>
      <c r="J66" s="34" t="str">
        <f>VLOOKUP($A66&amp;"Total",Rezepte!$D:$Z,19,FALSE)</f>
        <v>Assembler</v>
      </c>
      <c r="K66" s="32">
        <f t="shared" si="33"/>
        <v>0</v>
      </c>
      <c r="L66" s="27">
        <f t="shared" si="34"/>
        <v>0</v>
      </c>
      <c r="M66" s="4">
        <f>VLOOKUP($A66&amp;"Total",Rezepte!$D:$Z,21,FALSE)</f>
        <v>5</v>
      </c>
      <c r="N66" s="4">
        <f>VLOOKUP($A66&amp;"Total",Rezepte!$D:$Z,20,FALSE)</f>
        <v>15</v>
      </c>
      <c r="P66" t="str">
        <f>VLOOKUP($A66&amp;"Total",Rezepte!$D:$Z,4,FALSE)</f>
        <v>coal</v>
      </c>
      <c r="Q66" s="3">
        <f>VLOOKUP($A66&amp;"Total",Rezepte!$D:$Z,5,FALSE)*G66</f>
        <v>0</v>
      </c>
      <c r="R66" s="32">
        <f t="shared" si="35"/>
        <v>0</v>
      </c>
      <c r="T66" s="3">
        <f>VLOOKUP($A66&amp;"Total",Rezepte!$D:$Z,8,FALSE)*G66</f>
        <v>0</v>
      </c>
      <c r="U66" s="32">
        <f t="shared" si="36"/>
        <v>0</v>
      </c>
      <c r="W66" s="3">
        <f>VLOOKUP($A66&amp;"Total",Rezepte!$D:$Z,11,FALSE)*G66</f>
        <v>0</v>
      </c>
      <c r="X66" s="32">
        <f t="shared" si="37"/>
        <v>0</v>
      </c>
      <c r="Z66" s="3">
        <f>VLOOKUP($A66&amp;"Total",Rezepte!$D:$Z,14,FALSE)*G66</f>
        <v>0</v>
      </c>
      <c r="AA66" s="32">
        <f t="shared" si="38"/>
        <v>0</v>
      </c>
      <c r="AC66" s="3">
        <f>VLOOKUP($A66&amp;"Total",Rezepte!$D:$AK,24,FALSE)/100*$C66</f>
        <v>0</v>
      </c>
      <c r="AD66" s="3">
        <f>VLOOKUP($A66&amp;"Total",Rezepte!$D:$AK,25,FALSE)/100*$C66</f>
        <v>0</v>
      </c>
      <c r="AE66" s="3">
        <f>VLOOKUP($A66&amp;"Total",Rezepte!$D:$AK,26,FALSE)/100*$C66</f>
        <v>0</v>
      </c>
      <c r="AF66" s="3">
        <f>VLOOKUP($A66&amp;"Total",Rezepte!$D:$AK,27,FALSE)/100*$C66</f>
        <v>0</v>
      </c>
      <c r="AG66" s="3">
        <f>VLOOKUP($A66&amp;"Total",Rezepte!$D:$AK,28,FALSE)/100*$C66</f>
        <v>0</v>
      </c>
      <c r="AH66" s="3">
        <f>VLOOKUP($A66&amp;"Total",Rezepte!$D:$AK,29,FALSE)/100*$C66</f>
        <v>0</v>
      </c>
      <c r="AI66" s="3">
        <f>VLOOKUP($A66&amp;"Total",Rezepte!$D:$AK,30,FALSE)/100*$C66</f>
        <v>0</v>
      </c>
      <c r="AJ66" s="3">
        <f>VLOOKUP($A66&amp;"Total",Rezepte!$D:$AK,31,FALSE)/100*$C66</f>
        <v>0</v>
      </c>
      <c r="AK66" s="3">
        <f>VLOOKUP($A66&amp;"Total",Rezepte!$D:$AK,32,FALSE)/100*$C66</f>
        <v>0</v>
      </c>
      <c r="AL66" s="3">
        <f>VLOOKUP($A66&amp;"Total",Rezepte!$D:$AK,33,FALSE)/100*$C66</f>
        <v>0</v>
      </c>
      <c r="AM66" s="3">
        <f>VLOOKUP($A66&amp;"Total",Rezepte!$D:$AK,34,FALSE)/100*$C66</f>
        <v>0</v>
      </c>
    </row>
    <row r="67" spans="1:39" x14ac:dyDescent="0.25">
      <c r="A67" t="s">
        <v>108</v>
      </c>
      <c r="D67" s="30">
        <f t="shared" si="30"/>
        <v>0</v>
      </c>
      <c r="E67" s="30">
        <f t="shared" si="5"/>
        <v>0</v>
      </c>
      <c r="F67" s="32">
        <f t="shared" si="31"/>
        <v>0</v>
      </c>
      <c r="G67" s="27">
        <f t="shared" si="32"/>
        <v>0</v>
      </c>
      <c r="H67" s="47">
        <f t="shared" si="10"/>
        <v>0</v>
      </c>
      <c r="I67" s="47">
        <f t="shared" si="11"/>
        <v>0</v>
      </c>
      <c r="J67" s="34" t="str">
        <f>VLOOKUP($A67&amp;"Total",Rezepte!$D:$Z,19,FALSE)</f>
        <v>Refinery</v>
      </c>
      <c r="K67" s="32">
        <f t="shared" si="33"/>
        <v>0</v>
      </c>
      <c r="L67" s="27">
        <f t="shared" si="34"/>
        <v>0</v>
      </c>
      <c r="M67" s="4">
        <f>VLOOKUP($A67&amp;"Total",Rezepte!$D:$Z,21,FALSE)</f>
        <v>120</v>
      </c>
      <c r="N67" s="4">
        <f>VLOOKUP($A67&amp;"Total",Rezepte!$D:$Z,20,FALSE)</f>
        <v>30</v>
      </c>
      <c r="P67" t="str">
        <f>VLOOKUP($A67&amp;"Total",Rezepte!$D:$Z,4,FALSE)</f>
        <v>Heavy Oil Residue</v>
      </c>
      <c r="Q67" s="3">
        <f>VLOOKUP($A67&amp;"Total",Rezepte!$D:$Z,5,FALSE)*G67</f>
        <v>0</v>
      </c>
      <c r="R67" s="32">
        <f t="shared" si="35"/>
        <v>0</v>
      </c>
      <c r="T67" s="3">
        <f>VLOOKUP($A67&amp;"Total",Rezepte!$D:$Z,8,FALSE)*G67</f>
        <v>0</v>
      </c>
      <c r="U67" s="32">
        <f t="shared" si="36"/>
        <v>0</v>
      </c>
      <c r="W67" s="3">
        <f>VLOOKUP($A67&amp;"Total",Rezepte!$D:$Z,11,FALSE)*G67</f>
        <v>0</v>
      </c>
      <c r="X67" s="32">
        <f t="shared" si="37"/>
        <v>0</v>
      </c>
      <c r="Z67" s="3">
        <f>VLOOKUP($A67&amp;"Total",Rezepte!$D:$Z,14,FALSE)*G67</f>
        <v>0</v>
      </c>
      <c r="AA67" s="32">
        <f t="shared" si="38"/>
        <v>0</v>
      </c>
      <c r="AC67" s="3">
        <f>VLOOKUP($A67&amp;"Total",Rezepte!$D:$AK,24,FALSE)/100*$C67</f>
        <v>0</v>
      </c>
      <c r="AD67" s="3">
        <f>VLOOKUP($A67&amp;"Total",Rezepte!$D:$AK,25,FALSE)/100*$C67</f>
        <v>0</v>
      </c>
      <c r="AE67" s="3">
        <f>VLOOKUP($A67&amp;"Total",Rezepte!$D:$AK,26,FALSE)/100*$C67</f>
        <v>0</v>
      </c>
      <c r="AF67" s="3">
        <f>VLOOKUP($A67&amp;"Total",Rezepte!$D:$AK,27,FALSE)/100*$C67</f>
        <v>0</v>
      </c>
      <c r="AG67" s="3">
        <f>VLOOKUP($A67&amp;"Total",Rezepte!$D:$AK,28,FALSE)/100*$C67</f>
        <v>0</v>
      </c>
      <c r="AH67" s="3">
        <f>VLOOKUP($A67&amp;"Total",Rezepte!$D:$AK,29,FALSE)/100*$C67</f>
        <v>0</v>
      </c>
      <c r="AI67" s="3">
        <f>VLOOKUP($A67&amp;"Total",Rezepte!$D:$AK,30,FALSE)/100*$C67</f>
        <v>0</v>
      </c>
      <c r="AJ67" s="3">
        <f>VLOOKUP($A67&amp;"Total",Rezepte!$D:$AK,31,FALSE)/100*$C67</f>
        <v>0</v>
      </c>
      <c r="AK67" s="3">
        <f>VLOOKUP($A67&amp;"Total",Rezepte!$D:$AK,32,FALSE)/100*$C67</f>
        <v>0</v>
      </c>
      <c r="AL67" s="3">
        <f>VLOOKUP($A67&amp;"Total",Rezepte!$D:$AK,33,FALSE)/100*$C67</f>
        <v>0</v>
      </c>
      <c r="AM67" s="3">
        <f>VLOOKUP($A67&amp;"Total",Rezepte!$D:$AK,34,FALSE)/100*$C67</f>
        <v>0</v>
      </c>
    </row>
    <row r="68" spans="1:39" x14ac:dyDescent="0.25">
      <c r="A68" t="s">
        <v>99</v>
      </c>
      <c r="D68" s="30">
        <f t="shared" si="30"/>
        <v>0</v>
      </c>
      <c r="E68" s="30">
        <f t="shared" si="5"/>
        <v>0</v>
      </c>
      <c r="F68" s="32">
        <f t="shared" si="31"/>
        <v>0</v>
      </c>
      <c r="G68" s="27">
        <f t="shared" si="32"/>
        <v>0</v>
      </c>
      <c r="H68" s="47">
        <f t="shared" si="10"/>
        <v>0</v>
      </c>
      <c r="I68" s="47">
        <f t="shared" si="11"/>
        <v>0</v>
      </c>
      <c r="J68" s="34" t="str">
        <f>VLOOKUP($A68&amp;"Total",Rezepte!$D:$Z,19,FALSE)</f>
        <v>Refinery</v>
      </c>
      <c r="K68" s="32">
        <f t="shared" si="33"/>
        <v>0</v>
      </c>
      <c r="L68" s="27">
        <f t="shared" si="34"/>
        <v>0</v>
      </c>
      <c r="M68" s="4">
        <f>VLOOKUP($A68&amp;"Total",Rezepte!$D:$Z,21,FALSE)</f>
        <v>40</v>
      </c>
      <c r="N68" s="4">
        <f>VLOOKUP($A68&amp;"Total",Rezepte!$D:$Z,20,FALSE)</f>
        <v>30</v>
      </c>
      <c r="P68" t="str">
        <f>VLOOKUP($A68&amp;"Total",Rezepte!$D:$Z,4,FALSE)</f>
        <v>Oil</v>
      </c>
      <c r="Q68" s="3">
        <f>VLOOKUP($A68&amp;"Total",Rezepte!$D:$Z,5,FALSE)*G68</f>
        <v>0</v>
      </c>
      <c r="R68" s="32">
        <f t="shared" si="35"/>
        <v>0</v>
      </c>
      <c r="T68" s="3">
        <f>VLOOKUP($A68&amp;"Total",Rezepte!$D:$Z,8,FALSE)*G68</f>
        <v>0</v>
      </c>
      <c r="U68" s="32">
        <f t="shared" si="36"/>
        <v>0</v>
      </c>
      <c r="W68" s="3">
        <f>VLOOKUP($A68&amp;"Total",Rezepte!$D:$Z,11,FALSE)*G68</f>
        <v>0</v>
      </c>
      <c r="X68" s="32">
        <f t="shared" si="37"/>
        <v>0</v>
      </c>
      <c r="Z68" s="3">
        <f>VLOOKUP($A68&amp;"Total",Rezepte!$D:$Z,14,FALSE)*G68</f>
        <v>0</v>
      </c>
      <c r="AA68" s="32">
        <f t="shared" si="38"/>
        <v>0</v>
      </c>
      <c r="AC68" s="3">
        <f>VLOOKUP($A68&amp;"Total",Rezepte!$D:$AK,24,FALSE)/100*$C68</f>
        <v>0</v>
      </c>
      <c r="AD68" s="3">
        <f>VLOOKUP($A68&amp;"Total",Rezepte!$D:$AK,25,FALSE)/100*$C68</f>
        <v>0</v>
      </c>
      <c r="AE68" s="3">
        <f>VLOOKUP($A68&amp;"Total",Rezepte!$D:$AK,26,FALSE)/100*$C68</f>
        <v>0</v>
      </c>
      <c r="AF68" s="3">
        <f>VLOOKUP($A68&amp;"Total",Rezepte!$D:$AK,27,FALSE)/100*$C68</f>
        <v>0</v>
      </c>
      <c r="AG68" s="3">
        <f>VLOOKUP($A68&amp;"Total",Rezepte!$D:$AK,28,FALSE)/100*$C68</f>
        <v>0</v>
      </c>
      <c r="AH68" s="3">
        <f>VLOOKUP($A68&amp;"Total",Rezepte!$D:$AK,29,FALSE)/100*$C68</f>
        <v>0</v>
      </c>
      <c r="AI68" s="3">
        <f>VLOOKUP($A68&amp;"Total",Rezepte!$D:$AK,30,FALSE)/100*$C68</f>
        <v>0</v>
      </c>
      <c r="AJ68" s="3">
        <f>VLOOKUP($A68&amp;"Total",Rezepte!$D:$AK,31,FALSE)/100*$C68</f>
        <v>0</v>
      </c>
      <c r="AK68" s="3">
        <f>VLOOKUP($A68&amp;"Total",Rezepte!$D:$AK,32,FALSE)/100*$C68</f>
        <v>0</v>
      </c>
      <c r="AL68" s="3">
        <f>VLOOKUP($A68&amp;"Total",Rezepte!$D:$AK,33,FALSE)/100*$C68</f>
        <v>0</v>
      </c>
      <c r="AM68" s="3">
        <f>VLOOKUP($A68&amp;"Total",Rezepte!$D:$AK,34,FALSE)/100*$C68</f>
        <v>0</v>
      </c>
    </row>
    <row r="69" spans="1:39" x14ac:dyDescent="0.25">
      <c r="A69" t="s">
        <v>157</v>
      </c>
      <c r="D69" s="30">
        <f t="shared" si="30"/>
        <v>0</v>
      </c>
      <c r="E69" s="30">
        <f t="shared" si="5"/>
        <v>0</v>
      </c>
      <c r="F69" s="32">
        <f t="shared" si="31"/>
        <v>0</v>
      </c>
      <c r="G69" s="27">
        <f t="shared" si="32"/>
        <v>0</v>
      </c>
      <c r="H69" s="47">
        <f t="shared" si="10"/>
        <v>0</v>
      </c>
      <c r="I69" s="47">
        <f t="shared" si="11"/>
        <v>0</v>
      </c>
      <c r="J69" s="34" t="str">
        <f>VLOOKUP($A69&amp;"Total",Rezepte!$D:$Z,19,FALSE)</f>
        <v>Refinery</v>
      </c>
      <c r="K69" s="32">
        <f t="shared" si="33"/>
        <v>0</v>
      </c>
      <c r="L69" s="27">
        <f t="shared" si="34"/>
        <v>0</v>
      </c>
      <c r="M69" s="4">
        <f>VLOOKUP($A69&amp;"Total",Rezepte!$D:$Z,21,FALSE)</f>
        <v>40</v>
      </c>
      <c r="N69" s="4">
        <f>VLOOKUP($A69&amp;"Total",Rezepte!$D:$Z,20,FALSE)</f>
        <v>30</v>
      </c>
      <c r="P69" t="str">
        <f>VLOOKUP($A69&amp;"Total",Rezepte!$D:$Z,4,FALSE)</f>
        <v>Oil</v>
      </c>
      <c r="Q69" s="3">
        <f>VLOOKUP($A69&amp;"Total",Rezepte!$D:$Z,5,FALSE)*G69</f>
        <v>0</v>
      </c>
      <c r="R69" s="32">
        <f t="shared" si="35"/>
        <v>0</v>
      </c>
      <c r="T69" s="3">
        <f>VLOOKUP($A69&amp;"Total",Rezepte!$D:$Z,8,FALSE)*G69</f>
        <v>0</v>
      </c>
      <c r="U69" s="32">
        <f t="shared" si="36"/>
        <v>0</v>
      </c>
      <c r="W69" s="3">
        <f>VLOOKUP($A69&amp;"Total",Rezepte!$D:$Z,11,FALSE)*G69</f>
        <v>0</v>
      </c>
      <c r="X69" s="32">
        <f t="shared" si="37"/>
        <v>0</v>
      </c>
      <c r="Z69" s="3">
        <f>VLOOKUP($A69&amp;"Total",Rezepte!$D:$Z,14,FALSE)*G69</f>
        <v>0</v>
      </c>
      <c r="AA69" s="32">
        <f t="shared" si="38"/>
        <v>0</v>
      </c>
      <c r="AC69" s="3">
        <f>VLOOKUP($A69&amp;"Total",Rezepte!$D:$AK,24,FALSE)/100*$C69</f>
        <v>0</v>
      </c>
      <c r="AD69" s="3">
        <f>VLOOKUP($A69&amp;"Total",Rezepte!$D:$AK,25,FALSE)/100*$C69</f>
        <v>0</v>
      </c>
      <c r="AE69" s="3">
        <f>VLOOKUP($A69&amp;"Total",Rezepte!$D:$AK,26,FALSE)/100*$C69</f>
        <v>0</v>
      </c>
      <c r="AF69" s="3">
        <f>VLOOKUP($A69&amp;"Total",Rezepte!$D:$AK,27,FALSE)/100*$C69</f>
        <v>0</v>
      </c>
      <c r="AG69" s="3">
        <f>VLOOKUP($A69&amp;"Total",Rezepte!$D:$AK,28,FALSE)/100*$C69</f>
        <v>0</v>
      </c>
      <c r="AH69" s="3">
        <f>VLOOKUP($A69&amp;"Total",Rezepte!$D:$AK,29,FALSE)/100*$C69</f>
        <v>0</v>
      </c>
      <c r="AI69" s="3">
        <f>VLOOKUP($A69&amp;"Total",Rezepte!$D:$AK,30,FALSE)/100*$C69</f>
        <v>0</v>
      </c>
      <c r="AJ69" s="3">
        <f>VLOOKUP($A69&amp;"Total",Rezepte!$D:$AK,31,FALSE)/100*$C69</f>
        <v>0</v>
      </c>
      <c r="AK69" s="3">
        <f>VLOOKUP($A69&amp;"Total",Rezepte!$D:$AK,32,FALSE)/100*$C69</f>
        <v>0</v>
      </c>
      <c r="AL69" s="3">
        <f>VLOOKUP($A69&amp;"Total",Rezepte!$D:$AK,33,FALSE)/100*$C69</f>
        <v>0</v>
      </c>
      <c r="AM69" s="3">
        <f>VLOOKUP($A69&amp;"Total",Rezepte!$D:$AK,34,FALSE)/100*$C69</f>
        <v>0</v>
      </c>
    </row>
    <row r="70" spans="1:39" x14ac:dyDescent="0.25">
      <c r="A70" t="s">
        <v>168</v>
      </c>
      <c r="D70" s="30">
        <f t="shared" si="30"/>
        <v>0</v>
      </c>
      <c r="E70" s="30">
        <f t="shared" si="5"/>
        <v>0</v>
      </c>
      <c r="F70" s="32">
        <f t="shared" si="31"/>
        <v>0</v>
      </c>
      <c r="G70" s="27">
        <f t="shared" si="32"/>
        <v>0</v>
      </c>
      <c r="H70" s="47">
        <f t="shared" si="10"/>
        <v>0</v>
      </c>
      <c r="I70" s="47">
        <f t="shared" si="11"/>
        <v>0</v>
      </c>
      <c r="J70" s="34" t="str">
        <f>VLOOKUP($A70&amp;"Total",Rezepte!$D:$Z,19,FALSE)</f>
        <v>Blender</v>
      </c>
      <c r="K70" s="32">
        <f t="shared" si="33"/>
        <v>0</v>
      </c>
      <c r="L70" s="27">
        <f t="shared" si="34"/>
        <v>0</v>
      </c>
      <c r="M70" s="4">
        <f>VLOOKUP($A70&amp;"Total",Rezepte!$D:$Z,21,FALSE)</f>
        <v>45</v>
      </c>
      <c r="N70" s="4">
        <f>VLOOKUP($A70&amp;"Total",Rezepte!$D:$Z,20,FALSE)</f>
        <v>75</v>
      </c>
      <c r="P70" t="str">
        <f>VLOOKUP($A70&amp;"Total",Rezepte!$D:$Z,4,FALSE)</f>
        <v>Fuel</v>
      </c>
      <c r="Q70" s="3">
        <f>VLOOKUP($A70&amp;"Total",Rezepte!$D:$Z,5,FALSE)*G70</f>
        <v>0</v>
      </c>
      <c r="R70" s="32">
        <f t="shared" si="35"/>
        <v>0</v>
      </c>
      <c r="T70" s="3">
        <f>VLOOKUP($A70&amp;"Total",Rezepte!$D:$Z,8,FALSE)*G70</f>
        <v>0</v>
      </c>
      <c r="U70" s="32">
        <f t="shared" si="36"/>
        <v>0</v>
      </c>
      <c r="W70" s="3">
        <f>VLOOKUP($A70&amp;"Total",Rezepte!$D:$Z,11,FALSE)*G70</f>
        <v>0</v>
      </c>
      <c r="X70" s="32">
        <f t="shared" si="37"/>
        <v>0</v>
      </c>
      <c r="Z70" s="3">
        <f>VLOOKUP($A70&amp;"Total",Rezepte!$D:$Z,14,FALSE)*G70</f>
        <v>0</v>
      </c>
      <c r="AA70" s="32">
        <f t="shared" si="38"/>
        <v>0</v>
      </c>
      <c r="AC70" s="3">
        <f>VLOOKUP($A70&amp;"Total",Rezepte!$D:$AK,24,FALSE)/100*$C70</f>
        <v>0</v>
      </c>
      <c r="AD70" s="3">
        <f>VLOOKUP($A70&amp;"Total",Rezepte!$D:$AK,25,FALSE)/100*$C70</f>
        <v>0</v>
      </c>
      <c r="AE70" s="3">
        <f>VLOOKUP($A70&amp;"Total",Rezepte!$D:$AK,26,FALSE)/100*$C70</f>
        <v>0</v>
      </c>
      <c r="AF70" s="3">
        <f>VLOOKUP($A70&amp;"Total",Rezepte!$D:$AK,27,FALSE)/100*$C70</f>
        <v>0</v>
      </c>
      <c r="AG70" s="3">
        <f>VLOOKUP($A70&amp;"Total",Rezepte!$D:$AK,28,FALSE)/100*$C70</f>
        <v>0</v>
      </c>
      <c r="AH70" s="3">
        <f>VLOOKUP($A70&amp;"Total",Rezepte!$D:$AK,29,FALSE)/100*$C70</f>
        <v>0</v>
      </c>
      <c r="AI70" s="3">
        <f>VLOOKUP($A70&amp;"Total",Rezepte!$D:$AK,30,FALSE)/100*$C70</f>
        <v>0</v>
      </c>
      <c r="AJ70" s="3">
        <f>VLOOKUP($A70&amp;"Total",Rezepte!$D:$AK,31,FALSE)/100*$C70</f>
        <v>0</v>
      </c>
      <c r="AK70" s="3">
        <f>VLOOKUP($A70&amp;"Total",Rezepte!$D:$AK,32,FALSE)/100*$C70</f>
        <v>0</v>
      </c>
      <c r="AL70" s="3">
        <f>VLOOKUP($A70&amp;"Total",Rezepte!$D:$AK,33,FALSE)/100*$C70</f>
        <v>0</v>
      </c>
      <c r="AM70" s="3">
        <f>VLOOKUP($A70&amp;"Total",Rezepte!$D:$AK,34,FALSE)/100*$C70</f>
        <v>0</v>
      </c>
    </row>
    <row r="74" spans="1:39" x14ac:dyDescent="0.25">
      <c r="G74" s="27" t="s">
        <v>230</v>
      </c>
      <c r="L74" s="27">
        <f>SUM(L2:L70)</f>
        <v>3166.21</v>
      </c>
      <c r="N74" s="4" t="s">
        <v>231</v>
      </c>
      <c r="P74">
        <v>480</v>
      </c>
    </row>
    <row r="75" spans="1:39" x14ac:dyDescent="0.25">
      <c r="G75" s="27" t="s">
        <v>232</v>
      </c>
      <c r="L75" s="31">
        <v>0.3</v>
      </c>
      <c r="N75" s="4" t="s">
        <v>233</v>
      </c>
      <c r="P75">
        <v>780</v>
      </c>
    </row>
    <row r="76" spans="1:39" x14ac:dyDescent="0.25">
      <c r="G76" s="27" t="s">
        <v>234</v>
      </c>
      <c r="L76" s="27">
        <f>L74*(L75+1)</f>
        <v>4116.0730000000003</v>
      </c>
      <c r="N76" s="4" t="s">
        <v>235</v>
      </c>
      <c r="P76">
        <f>P74</f>
        <v>480</v>
      </c>
    </row>
    <row r="79" spans="1:39" x14ac:dyDescent="0.25">
      <c r="A79" s="19" t="s">
        <v>172</v>
      </c>
      <c r="B79" s="30"/>
      <c r="C79">
        <v>1</v>
      </c>
      <c r="D79" s="33">
        <v>2300</v>
      </c>
      <c r="E79" s="33"/>
      <c r="G79" s="27">
        <f>ROUNDUP((C79+D79)/M79,0)</f>
        <v>13</v>
      </c>
      <c r="J79" s="34"/>
      <c r="K79" s="32"/>
      <c r="M79" s="4">
        <f>VLOOKUP($A79&amp;"Total",Rezepte!$D:$Z,19,FALSE)</f>
        <v>187.5</v>
      </c>
      <c r="P79" t="str">
        <f>VLOOKUP($A79&amp;"Total",Rezepte!$D:$Z,4,FALSE)</f>
        <v>coal</v>
      </c>
      <c r="Q79" s="3">
        <f>VLOOKUP($A79&amp;"Total",Rezepte!$D:$Z,5,FALSE)*G79</f>
        <v>195</v>
      </c>
      <c r="S79" t="str">
        <f>VLOOKUP($A79&amp;"Total",Rezepte!$D:$Z,7,FALSE)</f>
        <v>water</v>
      </c>
      <c r="T79" s="3">
        <f>VLOOKUP($A79&amp;"Total",Rezepte!$D:$Z,8,FALSE)*G79</f>
        <v>585</v>
      </c>
    </row>
    <row r="80" spans="1:39" x14ac:dyDescent="0.25">
      <c r="A80" t="s">
        <v>174</v>
      </c>
      <c r="B80" s="30"/>
      <c r="G80" s="27">
        <f>ROUNDUP((C80+D80)/M80,0)</f>
        <v>0</v>
      </c>
      <c r="J80" s="34"/>
      <c r="K80" s="32"/>
      <c r="M80" s="4">
        <f>VLOOKUP($A80&amp;"Total",Rezepte!$D:$Z,19,FALSE)</f>
        <v>375</v>
      </c>
      <c r="P80" t="str">
        <f>VLOOKUP($A80&amp;"Total",Rezepte!$D:$Z,4,FALSE)</f>
        <v>Turbofuel</v>
      </c>
      <c r="Q80" s="3">
        <f>VLOOKUP($A80&amp;"Total",Rezepte!$D:$Z,5,FALSE)*G80</f>
        <v>0</v>
      </c>
      <c r="S80" t="str">
        <f>VLOOKUP($A80&amp;"Total",Rezepte!$D:$Z,7,FALSE)</f>
        <v>nothing</v>
      </c>
      <c r="T80" s="3">
        <f>VLOOKUP($A80&amp;"Total",Rezepte!$D:$Z,8,FALSE)*G80</f>
        <v>0</v>
      </c>
    </row>
  </sheetData>
  <conditionalFormatting sqref="A14:AA14 J16:AA20 A23:AA23 J25:AA31 A32:AA37 J40:AA41 A42:AA47 A49:AA49 A54:AA56 A58:AA59 A61:AA62 A65:AA70 A71:Z1048576 AA1 A1:Z13 H15:I22 A16:G21 J21:N21 P21:AA21 H24:I31 A25:G31 J38:N39 P38:AA39 A38:I41 H52:I52">
    <cfRule type="cellIs" dxfId="4" priority="5" operator="equal">
      <formula>"nothing"</formula>
    </cfRule>
  </conditionalFormatting>
  <conditionalFormatting sqref="O14 O16:O20 O23 O25:O37 O40:O47 O49 O54:O56 O58:O59 O61:O62 O65:O1048576">
    <cfRule type="cellIs" dxfId="3" priority="1" operator="greaterThan">
      <formula>$H14</formula>
    </cfRule>
    <cfRule type="cellIs" dxfId="2" priority="2" operator="lessThan">
      <formula>$H14</formula>
    </cfRule>
    <cfRule type="cellIs" dxfId="1" priority="4" operator="equal">
      <formula>$H14</formula>
    </cfRule>
  </conditionalFormatting>
  <conditionalFormatting sqref="AC1:AM1">
    <cfRule type="cellIs" dxfId="0" priority="3" operator="equal">
      <formula>"nothing"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BBA7-1081-4E73-9C78-265F724C31FD}">
  <dimension ref="A2:A13"/>
  <sheetViews>
    <sheetView workbookViewId="0">
      <selection sqref="A1:A13"/>
    </sheetView>
  </sheetViews>
  <sheetFormatPr baseColWidth="10" defaultColWidth="9.140625" defaultRowHeight="15" x14ac:dyDescent="0.25"/>
  <sheetData>
    <row r="2" spans="1:1" x14ac:dyDescent="0.25">
      <c r="A2" t="s">
        <v>13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  <row r="13" spans="1:1" x14ac:dyDescent="0.25">
      <c r="A1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E070-25E9-4A35-B012-B920A7C25505}">
  <dimension ref="A1:AP82"/>
  <sheetViews>
    <sheetView workbookViewId="0">
      <pane ySplit="1" topLeftCell="A2" activePane="bottomLeft" state="frozen"/>
      <selection pane="bottomLeft" activeCell="R32" sqref="R32"/>
    </sheetView>
  </sheetViews>
  <sheetFormatPr baseColWidth="10" defaultColWidth="11.42578125" defaultRowHeight="15" x14ac:dyDescent="0.25"/>
  <cols>
    <col min="1" max="1" width="16.7109375" customWidth="1"/>
    <col min="2" max="3" width="5.42578125" customWidth="1"/>
    <col min="4" max="5" width="7.85546875" style="30" bestFit="1" customWidth="1"/>
    <col min="6" max="6" width="5.42578125" style="32" customWidth="1"/>
    <col min="7" max="7" width="11.42578125" style="32" customWidth="1"/>
    <col min="8" max="8" width="9.140625" style="55" customWidth="1"/>
    <col min="9" max="9" width="10.140625" style="55" customWidth="1"/>
    <col min="10" max="10" width="12.7109375" style="35" customWidth="1"/>
    <col min="11" max="11" width="5.42578125" style="58" customWidth="1"/>
    <col min="12" max="12" width="8.28515625" style="30" customWidth="1"/>
    <col min="13" max="13" width="10.140625" style="60" customWidth="1"/>
    <col min="14" max="14" width="10" style="60" customWidth="1"/>
    <col min="15" max="16" width="5.42578125" style="60" customWidth="1"/>
    <col min="17" max="17" width="7.85546875" style="47" customWidth="1"/>
    <col min="18" max="18" width="20.28515625" bestFit="1" customWidth="1"/>
    <col min="19" max="19" width="11.85546875" customWidth="1"/>
    <col min="20" max="20" width="10.28515625" style="3" customWidth="1"/>
    <col min="21" max="21" width="5.42578125" style="32" customWidth="1"/>
    <col min="22" max="22" width="11.85546875" customWidth="1"/>
    <col min="23" max="23" width="8.28515625" style="3" customWidth="1"/>
    <col min="24" max="24" width="5.42578125" style="27" customWidth="1"/>
    <col min="25" max="25" width="11.85546875" customWidth="1"/>
    <col min="26" max="26" width="8.28515625" style="3" customWidth="1"/>
    <col min="27" max="27" width="5.42578125" style="27" customWidth="1"/>
    <col min="28" max="28" width="11.85546875" customWidth="1"/>
    <col min="29" max="29" width="8.28515625" style="3" customWidth="1"/>
    <col min="30" max="30" width="5.42578125" style="4" customWidth="1"/>
    <col min="31" max="31" width="9.140625"/>
    <col min="32" max="42" width="6.5703125" style="3" customWidth="1"/>
  </cols>
  <sheetData>
    <row r="1" spans="1:42" ht="130.5" x14ac:dyDescent="0.25">
      <c r="A1" s="38" t="s">
        <v>199</v>
      </c>
      <c r="B1" s="38" t="s">
        <v>200</v>
      </c>
      <c r="C1" s="38" t="s">
        <v>276</v>
      </c>
      <c r="D1" s="39" t="s">
        <v>202</v>
      </c>
      <c r="E1" s="39" t="s">
        <v>203</v>
      </c>
      <c r="F1" s="40" t="s">
        <v>204</v>
      </c>
      <c r="G1" s="64" t="s">
        <v>279</v>
      </c>
      <c r="H1" s="53" t="s">
        <v>206</v>
      </c>
      <c r="I1" s="54" t="s">
        <v>207</v>
      </c>
      <c r="J1" s="41" t="s">
        <v>208</v>
      </c>
      <c r="K1" s="56" t="s">
        <v>209</v>
      </c>
      <c r="L1" s="40" t="s">
        <v>210</v>
      </c>
      <c r="M1" s="40" t="s">
        <v>211</v>
      </c>
      <c r="N1" s="40" t="s">
        <v>277</v>
      </c>
      <c r="O1" s="40" t="s">
        <v>212</v>
      </c>
      <c r="P1" s="40" t="s">
        <v>278</v>
      </c>
      <c r="Q1" s="40" t="s">
        <v>213</v>
      </c>
      <c r="S1" s="38" t="s">
        <v>214</v>
      </c>
      <c r="T1" s="36" t="s">
        <v>215</v>
      </c>
      <c r="U1" s="37" t="s">
        <v>216</v>
      </c>
      <c r="V1" s="36" t="s">
        <v>217</v>
      </c>
      <c r="W1" s="36" t="s">
        <v>218</v>
      </c>
      <c r="X1" s="37" t="s">
        <v>219</v>
      </c>
      <c r="Y1" s="36" t="s">
        <v>220</v>
      </c>
      <c r="Z1" s="36" t="s">
        <v>221</v>
      </c>
      <c r="AA1" s="37" t="s">
        <v>222</v>
      </c>
      <c r="AB1" s="36" t="s">
        <v>223</v>
      </c>
      <c r="AC1" s="36" t="s">
        <v>224</v>
      </c>
      <c r="AD1" s="37" t="s">
        <v>225</v>
      </c>
      <c r="AF1" s="37" t="s">
        <v>13</v>
      </c>
      <c r="AG1" s="37" t="s">
        <v>18</v>
      </c>
      <c r="AH1" s="37" t="s">
        <v>19</v>
      </c>
      <c r="AI1" s="37" t="s">
        <v>20</v>
      </c>
      <c r="AJ1" s="37" t="s">
        <v>21</v>
      </c>
      <c r="AK1" s="37" t="s">
        <v>22</v>
      </c>
      <c r="AL1" s="37" t="s">
        <v>23</v>
      </c>
      <c r="AM1" s="37" t="s">
        <v>24</v>
      </c>
      <c r="AN1" s="37" t="s">
        <v>25</v>
      </c>
      <c r="AO1" s="37" t="s">
        <v>26</v>
      </c>
      <c r="AP1" s="37" t="s">
        <v>29</v>
      </c>
    </row>
    <row r="2" spans="1:42" x14ac:dyDescent="0.25">
      <c r="A2" t="s">
        <v>13</v>
      </c>
      <c r="D2" s="47">
        <f t="shared" ref="D2:D12" si="0">SUMIFS(T:T,S:S,A2)+SUMIFS(W:W,V:V,A2)+SUMIFS(Z:Z,Y:Y,A2)+SUMIFS(AC:AC,AB:AB,A2)</f>
        <v>846.51</v>
      </c>
      <c r="E2" s="47">
        <f t="shared" ref="E2:E12" si="1">D2+C2</f>
        <v>846.51</v>
      </c>
      <c r="F2" s="32">
        <f t="shared" ref="F2:F12" si="2">COUNTIFS(S:S,A2,T:T,"&gt;0")+COUNTIFS(V:V,A2,W:W,"&gt;0")+COUNTIFS(Y:Y,A2,Z:Z,"&gt;0")+COUNTIFS(AB:AB,A2,AC:AC,"&gt;0")</f>
        <v>1</v>
      </c>
      <c r="G2" s="32">
        <f t="shared" ref="G2:G12" si="3">ROUNDUP(H2/N2,0)</f>
        <v>2</v>
      </c>
      <c r="H2" s="55">
        <f t="shared" ref="H2:H12" si="4">ROUNDUP(E2,2)</f>
        <v>846.51</v>
      </c>
      <c r="I2" s="55">
        <f t="shared" ref="I2:I12" si="5">MOD(H2,N2)</f>
        <v>366.51</v>
      </c>
      <c r="J2" s="34"/>
      <c r="K2" s="57">
        <f t="shared" ref="K2:K12" si="6">SUMIFS(U:U,S:S,A2)+SUMIFS(X:X,V:V,A2)+SUMIFS(AA:AA,Y:Y,A2)+SUMIFS(AD:AD,AB:AB,A2)</f>
        <v>2</v>
      </c>
      <c r="L2" s="30">
        <f t="shared" ref="L2:L12" si="7">H2/N2*P2</f>
        <v>64.193674999999999</v>
      </c>
      <c r="M2" s="59">
        <v>480</v>
      </c>
      <c r="N2" s="47">
        <f t="shared" ref="N2:N12" si="8">ROUNDDOWN(M2,1)</f>
        <v>480</v>
      </c>
      <c r="O2" s="61">
        <v>36.4</v>
      </c>
      <c r="P2" s="60">
        <f t="shared" ref="P2:P12" si="9">N2/M2*O2</f>
        <v>36.4</v>
      </c>
      <c r="Q2" s="47">
        <v>3</v>
      </c>
      <c r="S2">
        <f>Q2*M2+T2</f>
        <v>1440</v>
      </c>
      <c r="AF2" s="3">
        <f>SUM(AF$15:AF$72)</f>
        <v>845.95726495726501</v>
      </c>
    </row>
    <row r="3" spans="1:42" x14ac:dyDescent="0.25">
      <c r="A3" t="s">
        <v>18</v>
      </c>
      <c r="D3" s="47">
        <f t="shared" si="0"/>
        <v>369.1</v>
      </c>
      <c r="E3" s="47">
        <f t="shared" si="1"/>
        <v>369.1</v>
      </c>
      <c r="F3" s="32">
        <f t="shared" si="2"/>
        <v>1</v>
      </c>
      <c r="G3" s="32">
        <f t="shared" si="3"/>
        <v>1</v>
      </c>
      <c r="H3" s="55">
        <f t="shared" si="4"/>
        <v>369.1</v>
      </c>
      <c r="I3" s="55">
        <f t="shared" si="5"/>
        <v>369.1</v>
      </c>
      <c r="J3" s="34"/>
      <c r="K3" s="57">
        <f t="shared" si="6"/>
        <v>1</v>
      </c>
      <c r="L3" s="30">
        <f t="shared" si="7"/>
        <v>27.990083333333335</v>
      </c>
      <c r="M3" s="59">
        <v>480</v>
      </c>
      <c r="N3" s="47">
        <f t="shared" si="8"/>
        <v>480</v>
      </c>
      <c r="O3" s="61">
        <v>36.4</v>
      </c>
      <c r="P3" s="60">
        <f t="shared" si="9"/>
        <v>36.4</v>
      </c>
      <c r="Q3" s="47" t="s">
        <v>227</v>
      </c>
      <c r="S3">
        <v>480</v>
      </c>
      <c r="AG3" s="3">
        <f>SUM(AG$15:AG$72)</f>
        <v>369.00000000000006</v>
      </c>
    </row>
    <row r="4" spans="1:42" x14ac:dyDescent="0.25">
      <c r="A4" t="s">
        <v>19</v>
      </c>
      <c r="D4" s="47">
        <f t="shared" si="0"/>
        <v>1017.42</v>
      </c>
      <c r="E4" s="47">
        <f t="shared" si="1"/>
        <v>1017.42</v>
      </c>
      <c r="F4" s="32">
        <f t="shared" si="2"/>
        <v>1</v>
      </c>
      <c r="G4" s="32">
        <f t="shared" si="3"/>
        <v>3</v>
      </c>
      <c r="H4" s="55">
        <f t="shared" si="4"/>
        <v>1017.42</v>
      </c>
      <c r="I4" s="55">
        <f t="shared" si="5"/>
        <v>57.419999999999959</v>
      </c>
      <c r="J4" s="34"/>
      <c r="K4" s="57">
        <f t="shared" si="6"/>
        <v>3</v>
      </c>
      <c r="L4" s="30">
        <f t="shared" si="7"/>
        <v>77.154349999999994</v>
      </c>
      <c r="M4" s="59">
        <v>480</v>
      </c>
      <c r="N4" s="47">
        <f t="shared" si="8"/>
        <v>480</v>
      </c>
      <c r="O4" s="61">
        <v>36.4</v>
      </c>
      <c r="P4" s="60">
        <f t="shared" si="9"/>
        <v>36.4</v>
      </c>
      <c r="Q4" s="47">
        <v>2</v>
      </c>
      <c r="S4">
        <f>Q4*M4+T4</f>
        <v>1200</v>
      </c>
      <c r="T4" s="3">
        <v>240</v>
      </c>
      <c r="AH4" s="3">
        <f>SUM(AH$15:AH$72)</f>
        <v>1017</v>
      </c>
    </row>
    <row r="5" spans="1:42" x14ac:dyDescent="0.25">
      <c r="A5" t="s">
        <v>20</v>
      </c>
      <c r="D5" s="47">
        <f t="shared" si="0"/>
        <v>638.74</v>
      </c>
      <c r="E5" s="47">
        <f t="shared" si="1"/>
        <v>638.74</v>
      </c>
      <c r="F5" s="32">
        <f t="shared" si="2"/>
        <v>1</v>
      </c>
      <c r="G5" s="32">
        <f t="shared" si="3"/>
        <v>2</v>
      </c>
      <c r="H5" s="55">
        <f t="shared" si="4"/>
        <v>638.74</v>
      </c>
      <c r="I5" s="55">
        <f t="shared" si="5"/>
        <v>158.74</v>
      </c>
      <c r="J5" s="34"/>
      <c r="K5" s="57">
        <f t="shared" si="6"/>
        <v>2</v>
      </c>
      <c r="L5" s="30">
        <f t="shared" si="7"/>
        <v>48.437783333333336</v>
      </c>
      <c r="M5" s="59">
        <v>480</v>
      </c>
      <c r="N5" s="47">
        <f t="shared" si="8"/>
        <v>480</v>
      </c>
      <c r="O5" s="61">
        <v>36.4</v>
      </c>
      <c r="P5" s="60">
        <f t="shared" si="9"/>
        <v>36.4</v>
      </c>
      <c r="Q5" s="47">
        <v>2</v>
      </c>
      <c r="S5">
        <f>Q5*M5+T5</f>
        <v>960</v>
      </c>
      <c r="AI5" s="3">
        <f>SUM(AI$15:AI$72)+T81</f>
        <v>638.45726495726512</v>
      </c>
    </row>
    <row r="6" spans="1:42" x14ac:dyDescent="0.25">
      <c r="A6" t="s">
        <v>21</v>
      </c>
      <c r="D6" s="47">
        <f t="shared" si="0"/>
        <v>478.71</v>
      </c>
      <c r="E6" s="47">
        <f t="shared" si="1"/>
        <v>478.71</v>
      </c>
      <c r="F6" s="32">
        <f t="shared" si="2"/>
        <v>1</v>
      </c>
      <c r="G6" s="32">
        <f t="shared" si="3"/>
        <v>1</v>
      </c>
      <c r="H6" s="55">
        <f t="shared" si="4"/>
        <v>478.71</v>
      </c>
      <c r="I6" s="55">
        <f t="shared" si="5"/>
        <v>478.71</v>
      </c>
      <c r="J6" s="34"/>
      <c r="K6" s="57">
        <f t="shared" si="6"/>
        <v>1</v>
      </c>
      <c r="L6" s="30">
        <f t="shared" si="7"/>
        <v>36.302174999999998</v>
      </c>
      <c r="M6" s="59">
        <v>480</v>
      </c>
      <c r="N6" s="47">
        <f t="shared" si="8"/>
        <v>480</v>
      </c>
      <c r="O6" s="61">
        <v>36.4</v>
      </c>
      <c r="P6" s="60">
        <f t="shared" si="9"/>
        <v>36.4</v>
      </c>
      <c r="Q6" s="47" t="s">
        <v>226</v>
      </c>
      <c r="S6">
        <v>960</v>
      </c>
      <c r="AJ6" s="3">
        <f>SUM(AJ$15:AJ$72)</f>
        <v>478.45000000000005</v>
      </c>
    </row>
    <row r="7" spans="1:42" x14ac:dyDescent="0.25">
      <c r="A7" t="s">
        <v>22</v>
      </c>
      <c r="D7" s="47">
        <f t="shared" si="0"/>
        <v>123.53333333333333</v>
      </c>
      <c r="E7" s="47">
        <f t="shared" si="1"/>
        <v>123.53333333333333</v>
      </c>
      <c r="F7" s="32">
        <f t="shared" si="2"/>
        <v>2</v>
      </c>
      <c r="G7" s="32">
        <f t="shared" si="3"/>
        <v>1</v>
      </c>
      <c r="H7" s="55">
        <f t="shared" si="4"/>
        <v>123.54</v>
      </c>
      <c r="I7" s="55">
        <f t="shared" si="5"/>
        <v>123.54</v>
      </c>
      <c r="J7" s="34"/>
      <c r="K7" s="57">
        <f t="shared" si="6"/>
        <v>2</v>
      </c>
      <c r="L7" s="30">
        <f t="shared" si="7"/>
        <v>9.3684500000000011</v>
      </c>
      <c r="M7" s="59">
        <v>480</v>
      </c>
      <c r="N7" s="47">
        <f t="shared" si="8"/>
        <v>480</v>
      </c>
      <c r="O7" s="61">
        <v>36.4</v>
      </c>
      <c r="P7" s="60">
        <f t="shared" si="9"/>
        <v>36.4</v>
      </c>
      <c r="Q7" s="47" t="s">
        <v>229</v>
      </c>
      <c r="S7">
        <v>240</v>
      </c>
      <c r="AK7" s="3">
        <f>SUM(AK$15:AK$72)</f>
        <v>123.36666666666665</v>
      </c>
    </row>
    <row r="8" spans="1:42" x14ac:dyDescent="0.25">
      <c r="A8" t="s">
        <v>23</v>
      </c>
      <c r="D8" s="47">
        <f t="shared" si="0"/>
        <v>0</v>
      </c>
      <c r="E8" s="47">
        <f t="shared" si="1"/>
        <v>0</v>
      </c>
      <c r="F8" s="32">
        <f t="shared" si="2"/>
        <v>0</v>
      </c>
      <c r="G8" s="32">
        <f t="shared" si="3"/>
        <v>0</v>
      </c>
      <c r="H8" s="55">
        <f t="shared" si="4"/>
        <v>0</v>
      </c>
      <c r="I8" s="55">
        <f t="shared" si="5"/>
        <v>0</v>
      </c>
      <c r="J8" s="34"/>
      <c r="K8" s="57">
        <f t="shared" si="6"/>
        <v>0</v>
      </c>
      <c r="L8" s="30">
        <f t="shared" si="7"/>
        <v>0</v>
      </c>
      <c r="M8" s="59">
        <v>480</v>
      </c>
      <c r="N8" s="47">
        <f t="shared" si="8"/>
        <v>480</v>
      </c>
      <c r="O8" s="61">
        <v>36.4</v>
      </c>
      <c r="P8" s="60">
        <f t="shared" si="9"/>
        <v>36.4</v>
      </c>
      <c r="Q8" s="47" t="s">
        <v>313</v>
      </c>
      <c r="AL8" s="3">
        <f>SUM(AL$15:AL$72)</f>
        <v>0</v>
      </c>
    </row>
    <row r="9" spans="1:42" x14ac:dyDescent="0.25">
      <c r="A9" t="s">
        <v>24</v>
      </c>
      <c r="D9" s="47">
        <f t="shared" si="0"/>
        <v>0</v>
      </c>
      <c r="E9" s="47">
        <f t="shared" si="1"/>
        <v>0</v>
      </c>
      <c r="F9" s="32">
        <f t="shared" si="2"/>
        <v>0</v>
      </c>
      <c r="G9" s="32">
        <f t="shared" si="3"/>
        <v>0</v>
      </c>
      <c r="H9" s="55">
        <f t="shared" si="4"/>
        <v>0</v>
      </c>
      <c r="I9" s="55">
        <f t="shared" si="5"/>
        <v>0</v>
      </c>
      <c r="J9" s="34"/>
      <c r="K9" s="57">
        <f t="shared" si="6"/>
        <v>0</v>
      </c>
      <c r="L9" s="30">
        <f t="shared" si="7"/>
        <v>0</v>
      </c>
      <c r="M9" s="59">
        <v>480</v>
      </c>
      <c r="N9" s="47">
        <f t="shared" si="8"/>
        <v>480</v>
      </c>
      <c r="O9" s="61">
        <v>36.4</v>
      </c>
      <c r="P9" s="60">
        <f t="shared" si="9"/>
        <v>36.4</v>
      </c>
      <c r="AM9" s="3">
        <f>SUM(AM$15:AM$72)</f>
        <v>0</v>
      </c>
    </row>
    <row r="10" spans="1:42" x14ac:dyDescent="0.25">
      <c r="A10" t="s">
        <v>25</v>
      </c>
      <c r="D10" s="47">
        <f t="shared" si="0"/>
        <v>0</v>
      </c>
      <c r="E10" s="47">
        <f t="shared" si="1"/>
        <v>0</v>
      </c>
      <c r="F10" s="32">
        <f t="shared" si="2"/>
        <v>0</v>
      </c>
      <c r="G10" s="32">
        <f t="shared" si="3"/>
        <v>0</v>
      </c>
      <c r="H10" s="55">
        <f t="shared" si="4"/>
        <v>0</v>
      </c>
      <c r="I10" s="55">
        <f t="shared" si="5"/>
        <v>0</v>
      </c>
      <c r="J10" s="34"/>
      <c r="K10" s="57">
        <f t="shared" si="6"/>
        <v>0</v>
      </c>
      <c r="L10" s="30">
        <f t="shared" si="7"/>
        <v>0</v>
      </c>
      <c r="M10" s="59">
        <v>480</v>
      </c>
      <c r="N10" s="47">
        <f t="shared" si="8"/>
        <v>480</v>
      </c>
      <c r="O10" s="61">
        <v>36.4</v>
      </c>
      <c r="P10" s="60">
        <f t="shared" si="9"/>
        <v>36.4</v>
      </c>
      <c r="AN10" s="3">
        <f>SUM(AN$15:AN$72)</f>
        <v>0</v>
      </c>
    </row>
    <row r="11" spans="1:42" x14ac:dyDescent="0.25">
      <c r="A11" t="s">
        <v>26</v>
      </c>
      <c r="D11" s="47">
        <f t="shared" si="0"/>
        <v>0</v>
      </c>
      <c r="E11" s="47">
        <f t="shared" si="1"/>
        <v>0</v>
      </c>
      <c r="F11" s="32">
        <f t="shared" si="2"/>
        <v>0</v>
      </c>
      <c r="G11" s="32">
        <f t="shared" si="3"/>
        <v>0</v>
      </c>
      <c r="H11" s="55">
        <f t="shared" si="4"/>
        <v>0</v>
      </c>
      <c r="I11" s="55">
        <f t="shared" si="5"/>
        <v>0</v>
      </c>
      <c r="J11" s="34"/>
      <c r="K11" s="57">
        <f t="shared" si="6"/>
        <v>0</v>
      </c>
      <c r="L11" s="30">
        <f t="shared" si="7"/>
        <v>0</v>
      </c>
      <c r="M11" s="59">
        <v>120</v>
      </c>
      <c r="N11" s="47">
        <f t="shared" si="8"/>
        <v>120</v>
      </c>
      <c r="O11" s="61">
        <v>20</v>
      </c>
      <c r="P11" s="60">
        <f t="shared" si="9"/>
        <v>20</v>
      </c>
      <c r="AO11" s="3">
        <f>SUM(AO$15:AO$72)+W81</f>
        <v>0</v>
      </c>
    </row>
    <row r="12" spans="1:42" x14ac:dyDescent="0.25">
      <c r="A12" t="s">
        <v>29</v>
      </c>
      <c r="D12" s="47">
        <f t="shared" si="0"/>
        <v>1583.1749999999997</v>
      </c>
      <c r="E12" s="47">
        <f t="shared" si="1"/>
        <v>1583.1749999999997</v>
      </c>
      <c r="F12" s="32">
        <f t="shared" si="2"/>
        <v>4</v>
      </c>
      <c r="G12" s="32">
        <f t="shared" si="3"/>
        <v>3</v>
      </c>
      <c r="H12" s="55">
        <f t="shared" si="4"/>
        <v>1583.18</v>
      </c>
      <c r="I12" s="55">
        <f t="shared" si="5"/>
        <v>383.18000000000006</v>
      </c>
      <c r="J12" s="34"/>
      <c r="K12" s="57">
        <f t="shared" si="6"/>
        <v>6</v>
      </c>
      <c r="L12" s="30">
        <f t="shared" si="7"/>
        <v>354.39484300000004</v>
      </c>
      <c r="M12" s="59">
        <v>600</v>
      </c>
      <c r="N12" s="47">
        <f t="shared" si="8"/>
        <v>600</v>
      </c>
      <c r="O12" s="61">
        <v>134.31</v>
      </c>
      <c r="P12" s="60">
        <f t="shared" si="9"/>
        <v>134.31</v>
      </c>
      <c r="AP12" s="3">
        <f>SUM(AP$15:AP$72)</f>
        <v>1365.5625</v>
      </c>
    </row>
    <row r="13" spans="1:42" x14ac:dyDescent="0.25">
      <c r="D13" s="2"/>
      <c r="E13" s="47"/>
      <c r="G13" s="32">
        <v>10.6</v>
      </c>
      <c r="I13" s="55">
        <v>9.57</v>
      </c>
      <c r="J13" s="34"/>
      <c r="K13" s="57"/>
      <c r="M13" s="51"/>
      <c r="N13" s="47"/>
      <c r="T13"/>
      <c r="W13"/>
      <c r="X13" s="4"/>
      <c r="Z13"/>
      <c r="AA13" s="4"/>
      <c r="AC13"/>
    </row>
    <row r="14" spans="1:42" x14ac:dyDescent="0.25">
      <c r="A14" s="6" t="s">
        <v>64</v>
      </c>
      <c r="D14" s="47">
        <f>SUMIFS(T:T,S:S,A14)+SUMIFS(W:W,V:V,A14)+SUMIFS(Z:Z,Y:Y,A14)+SUMIFS(AC:AC,AB:AB,A14)</f>
        <v>159.5675</v>
      </c>
      <c r="E14" s="47">
        <f>D14+C14</f>
        <v>159.5675</v>
      </c>
      <c r="F14" s="32">
        <f>COUNTIFS(S:S,A14,T:T,"&gt;0")+COUNTIFS(V:V,A14,W:W,"&gt;0")+COUNTIFS(Y:Y,A14,Z:Z,"&gt;0")+COUNTIFS(AB:AB,A14,AC:AC,"&gt;0")</f>
        <v>2</v>
      </c>
      <c r="G14" s="63">
        <f>H14/N14</f>
        <v>10.638</v>
      </c>
      <c r="H14" s="55">
        <f t="shared" ref="H14:H32" si="10">ROUNDUP(E14,2)</f>
        <v>159.57</v>
      </c>
      <c r="I14" s="55">
        <f>H14-INT(G14)*N14</f>
        <v>9.5699999999999932</v>
      </c>
      <c r="J14" s="34" t="str">
        <f>VLOOKUP($A14&amp;"Total",Rezepte!$D:$Z,19,FALSE)</f>
        <v>smelter</v>
      </c>
      <c r="K14" s="57">
        <f>SUMIFS(U:U,S:S,A14)+SUMIFS(X:X,V:V,A14)+SUMIFS(AA:AA,Y:Y,A14)+SUMIFS(AD:AD,AB:AB,A14)</f>
        <v>2</v>
      </c>
      <c r="L14" s="30">
        <f>H14/N14*P14</f>
        <v>42.552</v>
      </c>
      <c r="M14" s="51">
        <f>VLOOKUP($A14&amp;"Total",Rezepte!$D:$Z,21,FALSE)</f>
        <v>15</v>
      </c>
      <c r="N14" s="47">
        <f>ROUNDDOWN(M14,2)</f>
        <v>15</v>
      </c>
      <c r="O14" s="60">
        <f>VLOOKUP($A14&amp;"Total",Rezepte!$D:$Z,20,FALSE)</f>
        <v>4</v>
      </c>
      <c r="P14" s="60">
        <f>N14/M14*O14</f>
        <v>4</v>
      </c>
      <c r="Q14" s="47">
        <v>166.5</v>
      </c>
      <c r="S14" t="str">
        <f>VLOOKUP($A14&amp;"Total",Rezepte!$D:$Z,4,FALSE)</f>
        <v>caterium ore</v>
      </c>
      <c r="T14" s="3">
        <f>VLOOKUP($A14&amp;"Total",Rezepte!$D:$Z,5,FALSE)*H14/N14</f>
        <v>478.71</v>
      </c>
      <c r="U14" s="32">
        <f>ROUNDUP(T14/$S$78,0)</f>
        <v>1</v>
      </c>
      <c r="V14" t="str">
        <f>VLOOKUP($A14&amp;"Total",Rezepte!$D:$Z,7,FALSE)</f>
        <v>nothing</v>
      </c>
      <c r="W14" s="3">
        <f>VLOOKUP($A14&amp;"Total",Rezepte!$D:$Z,8,FALSE)*H14/N14</f>
        <v>0</v>
      </c>
      <c r="X14" s="32">
        <f>ROUNDUP(W14/$S$78,0)</f>
        <v>0</v>
      </c>
      <c r="Y14" t="str">
        <f>VLOOKUP($A14&amp;"Total",Rezepte!$D:$Z,10,FALSE)</f>
        <v>nothing</v>
      </c>
      <c r="Z14" s="3">
        <f>VLOOKUP($A14&amp;"Total",Rezepte!$D:$Z,11,FALSE)*H14/N14</f>
        <v>0</v>
      </c>
      <c r="AA14" s="32">
        <f>ROUNDUP(Z14/$S$78,0)</f>
        <v>0</v>
      </c>
      <c r="AB14" t="str">
        <f>VLOOKUP($A14&amp;"Total",Rezepte!$D:$Z,13,FALSE)</f>
        <v>nothing</v>
      </c>
      <c r="AC14" s="3">
        <f>VLOOKUP($A14&amp;"Total",Rezepte!$D:$Z,14,FALSE)*H14/N14</f>
        <v>0</v>
      </c>
      <c r="AD14" s="32">
        <f>ROUNDUP(AC14/$S$78,0)</f>
        <v>0</v>
      </c>
      <c r="AF14" s="3">
        <f>VLOOKUP($A14&amp;"Total",Rezepte!$D:$AK,24,FALSE)/100*$C14</f>
        <v>0</v>
      </c>
      <c r="AG14" s="3">
        <f>VLOOKUP($A14&amp;"Total",Rezepte!$D:$AK,25,FALSE)/100*$C14</f>
        <v>0</v>
      </c>
      <c r="AH14" s="3">
        <f>VLOOKUP($A14&amp;"Total",Rezepte!$D:$AK,26,FALSE)/100*$C14</f>
        <v>0</v>
      </c>
      <c r="AI14" s="3">
        <f>VLOOKUP($A14&amp;"Total",Rezepte!$D:$AK,27,FALSE)/100*$C14</f>
        <v>0</v>
      </c>
      <c r="AJ14" s="3">
        <f>VLOOKUP($A14&amp;"Total",Rezepte!$D:$AK,28,FALSE)/100*$C14</f>
        <v>0</v>
      </c>
      <c r="AK14" s="3">
        <f>VLOOKUP($A14&amp;"Total",Rezepte!$D:$AK,29,FALSE)/100*$C14</f>
        <v>0</v>
      </c>
      <c r="AL14" s="3">
        <f>VLOOKUP($A14&amp;"Total",Rezepte!$D:$AK,30,FALSE)/100*$C14</f>
        <v>0</v>
      </c>
      <c r="AM14" s="3">
        <f>VLOOKUP($A14&amp;"Total",Rezepte!$D:$AK,31,FALSE)/100*$C14</f>
        <v>0</v>
      </c>
      <c r="AN14" s="3">
        <f>VLOOKUP($A14&amp;"Total",Rezepte!$D:$AK,32,FALSE)/100*$C14</f>
        <v>0</v>
      </c>
      <c r="AO14" s="3">
        <f>VLOOKUP($A14&amp;"Total",Rezepte!$D:$AK,33,FALSE)/100*$C14</f>
        <v>0</v>
      </c>
      <c r="AP14" s="3">
        <f>VLOOKUP($A14&amp;"Total",Rezepte!$D:$AK,34,FALSE)/100*$C14</f>
        <v>0</v>
      </c>
    </row>
    <row r="15" spans="1:42" x14ac:dyDescent="0.25">
      <c r="D15" s="47"/>
      <c r="E15" s="47"/>
      <c r="G15" s="63"/>
      <c r="J15" s="34"/>
      <c r="K15" s="57"/>
      <c r="M15" s="51"/>
      <c r="N15" s="47"/>
    </row>
    <row r="16" spans="1:42" x14ac:dyDescent="0.25">
      <c r="A16" t="s">
        <v>74</v>
      </c>
      <c r="C16">
        <v>5</v>
      </c>
      <c r="D16" s="47">
        <f>SUMIFS(T:T,S:S,A16)+SUMIFS(W:W,V:V,A16)+SUMIFS(Z:Z,Y:Y,A16)+SUMIFS(AC:AC,AB:AB,A16)</f>
        <v>35.093582887700535</v>
      </c>
      <c r="E16" s="47">
        <f>D16+C16</f>
        <v>40.093582887700535</v>
      </c>
      <c r="F16" s="32">
        <f>COUNTIFS(S:S,A16,T:T,"&gt;0")+COUNTIFS(V:V,A16,W:W,"&gt;0")+COUNTIFS(Y:Y,A16,Z:Z,"&gt;0")+COUNTIFS(AB:AB,A16,AC:AC,"&gt;0")</f>
        <v>1</v>
      </c>
      <c r="G16" s="63">
        <f>H16/N16</f>
        <v>1.7822222222222224</v>
      </c>
      <c r="H16" s="55">
        <f t="shared" si="10"/>
        <v>40.1</v>
      </c>
      <c r="I16" s="55">
        <f>MOD(H16,N16)</f>
        <v>17.600000000000001</v>
      </c>
      <c r="J16" s="34" t="str">
        <f>VLOOKUP($A16&amp;"Total",Rezepte!$D:$Z,19,FALSE)</f>
        <v>constructor</v>
      </c>
      <c r="K16" s="57">
        <f>SUMIFS(U:U,S:S,A16)+SUMIFS(X:X,V:V,A16)+SUMIFS(AA:AA,Y:Y,A16)+SUMIFS(AD:AD,AB:AB,A16)</f>
        <v>1</v>
      </c>
      <c r="L16" s="30">
        <f>H16/N16*P16</f>
        <v>7.1288888888888895</v>
      </c>
      <c r="M16" s="51">
        <f>VLOOKUP($A16&amp;"Total",Rezepte!$D:$Z,21,FALSE)</f>
        <v>22.5</v>
      </c>
      <c r="N16" s="47">
        <f>ROUNDDOWN(M16,2)</f>
        <v>22.5</v>
      </c>
      <c r="O16" s="60">
        <f>VLOOKUP($A16&amp;"Total",Rezepte!$D:$Z,20,FALSE)</f>
        <v>4</v>
      </c>
      <c r="P16" s="60">
        <f>N16/M16*O16</f>
        <v>4</v>
      </c>
      <c r="Q16" s="47">
        <v>42.75</v>
      </c>
      <c r="S16" t="str">
        <f>VLOOKUP($A16&amp;"Total",Rezepte!$D:$Z,4,FALSE)</f>
        <v>raw quartz</v>
      </c>
      <c r="T16" s="3">
        <f>VLOOKUP($A16&amp;"Total",Rezepte!$D:$Z,5,FALSE)*H16/N16</f>
        <v>66.833333333333329</v>
      </c>
      <c r="U16" s="32">
        <f>ROUNDUP(T16/$S$78,0)</f>
        <v>1</v>
      </c>
      <c r="V16" t="str">
        <f>VLOOKUP($A16&amp;"Total",Rezepte!$D:$Z,7,FALSE)</f>
        <v>nothing</v>
      </c>
      <c r="W16" s="3">
        <f>VLOOKUP($A16&amp;"Total",Rezepte!$D:$Z,8,FALSE)*H16/N16</f>
        <v>0</v>
      </c>
      <c r="X16" s="32">
        <f>ROUNDUP(W16/$S$78,0)</f>
        <v>0</v>
      </c>
      <c r="Y16" t="str">
        <f>VLOOKUP($A16&amp;"Total",Rezepte!$D:$Z,10,FALSE)</f>
        <v>nothing</v>
      </c>
      <c r="Z16" s="3">
        <f>VLOOKUP($A16&amp;"Total",Rezepte!$D:$Z,11,FALSE)*H16/N16</f>
        <v>0</v>
      </c>
      <c r="AA16" s="32">
        <f>ROUNDUP(Z16/$S$78,0)</f>
        <v>0</v>
      </c>
      <c r="AB16" t="str">
        <f>VLOOKUP($A16&amp;"Total",Rezepte!$D:$Z,13,FALSE)</f>
        <v>nothing</v>
      </c>
      <c r="AC16" s="3">
        <f>VLOOKUP($A16&amp;"Total",Rezepte!$D:$Z,14,FALSE)*H16/N16</f>
        <v>0</v>
      </c>
      <c r="AD16" s="32">
        <f>ROUNDUP(AC16/$S$78,0)</f>
        <v>0</v>
      </c>
      <c r="AF16" s="3">
        <f>VLOOKUP($A16&amp;"Total",Rezepte!$D:$AK,24,FALSE)/100*$C16</f>
        <v>0</v>
      </c>
      <c r="AG16" s="3">
        <f>VLOOKUP($A16&amp;"Total",Rezepte!$D:$AK,25,FALSE)/100*$C16</f>
        <v>0</v>
      </c>
      <c r="AH16" s="3">
        <f>VLOOKUP($A16&amp;"Total",Rezepte!$D:$AK,26,FALSE)/100*$C16</f>
        <v>0</v>
      </c>
      <c r="AI16" s="3">
        <f>VLOOKUP($A16&amp;"Total",Rezepte!$D:$AK,27,FALSE)/100*$C16</f>
        <v>0</v>
      </c>
      <c r="AJ16" s="3">
        <f>VLOOKUP($A16&amp;"Total",Rezepte!$D:$AK,28,FALSE)/100*$C16</f>
        <v>0</v>
      </c>
      <c r="AK16" s="3">
        <f>VLOOKUP($A16&amp;"Total",Rezepte!$D:$AK,29,FALSE)/100*$C16</f>
        <v>8.3333333333333321</v>
      </c>
      <c r="AL16" s="3">
        <f>VLOOKUP($A16&amp;"Total",Rezepte!$D:$AK,30,FALSE)/100*$C16</f>
        <v>0</v>
      </c>
      <c r="AM16" s="3">
        <f>VLOOKUP($A16&amp;"Total",Rezepte!$D:$AK,31,FALSE)/100*$C16</f>
        <v>0</v>
      </c>
      <c r="AN16" s="3">
        <f>VLOOKUP($A16&amp;"Total",Rezepte!$D:$AK,32,FALSE)/100*$C16</f>
        <v>0</v>
      </c>
      <c r="AO16" s="3">
        <f>VLOOKUP($A16&amp;"Total",Rezepte!$D:$AK,33,FALSE)/100*$C16</f>
        <v>0</v>
      </c>
      <c r="AP16" s="3">
        <f>VLOOKUP($A16&amp;"Total",Rezepte!$D:$AK,34,FALSE)/100*$C16</f>
        <v>0</v>
      </c>
    </row>
    <row r="17" spans="1:42" x14ac:dyDescent="0.25">
      <c r="A17" t="s">
        <v>69</v>
      </c>
      <c r="C17">
        <v>5</v>
      </c>
      <c r="D17" s="47">
        <f>SUMIFS(T:T,S:S,A17)+SUMIFS(W:W,V:V,A17)+SUMIFS(Z:Z,Y:Y,A17)+SUMIFS(AC:AC,AB:AB,A17)</f>
        <v>89.5</v>
      </c>
      <c r="E17" s="47">
        <f>D17+C17</f>
        <v>94.5</v>
      </c>
      <c r="F17" s="32">
        <f>COUNTIFS(S:S,A17,T:T,"&gt;0")+COUNTIFS(V:V,A17,W:W,"&gt;0")+COUNTIFS(Y:Y,A17,Z:Z,"&gt;0")+COUNTIFS(AB:AB,A17,AC:AC,"&gt;0")</f>
        <v>2</v>
      </c>
      <c r="G17" s="63">
        <f>H17/N17</f>
        <v>2.52</v>
      </c>
      <c r="H17" s="55">
        <f t="shared" si="10"/>
        <v>94.5</v>
      </c>
      <c r="I17" s="55">
        <f>MOD(H17,N17)</f>
        <v>19.5</v>
      </c>
      <c r="J17" s="34" t="str">
        <f>VLOOKUP($A17&amp;"Total",Rezepte!$D:$Z,19,FALSE)</f>
        <v>constructor</v>
      </c>
      <c r="K17" s="57">
        <f>SUMIFS(U:U,S:S,A17)+SUMIFS(X:X,V:V,A17)+SUMIFS(AA:AA,Y:Y,A17)+SUMIFS(AD:AD,AB:AB,A17)</f>
        <v>2</v>
      </c>
      <c r="L17" s="30">
        <f>H17/N17*P17</f>
        <v>10.08</v>
      </c>
      <c r="M17" s="51">
        <f>VLOOKUP($A17&amp;"Total",Rezepte!$D:$Z,21,FALSE)</f>
        <v>37.5</v>
      </c>
      <c r="N17" s="47">
        <f>ROUNDDOWN(M17,2)</f>
        <v>37.5</v>
      </c>
      <c r="O17" s="60">
        <f>VLOOKUP($A17&amp;"Total",Rezepte!$D:$Z,20,FALSE)</f>
        <v>4</v>
      </c>
      <c r="P17" s="60">
        <f>N17/M17*O17</f>
        <v>4</v>
      </c>
      <c r="Q17" s="47">
        <v>101.25</v>
      </c>
      <c r="S17" t="str">
        <f>VLOOKUP($A17&amp;"Total",Rezepte!$D:$Z,4,FALSE)</f>
        <v>raw quartz</v>
      </c>
      <c r="T17" s="3">
        <f>VLOOKUP($A17&amp;"Total",Rezepte!$D:$Z,5,FALSE)*H17/N17</f>
        <v>56.7</v>
      </c>
      <c r="U17" s="32">
        <f>ROUNDUP(T17/$S$78,0)</f>
        <v>1</v>
      </c>
      <c r="V17" t="str">
        <f>VLOOKUP($A17&amp;"Total",Rezepte!$D:$Z,7,FALSE)</f>
        <v>nothing</v>
      </c>
      <c r="W17" s="3">
        <f>VLOOKUP($A17&amp;"Total",Rezepte!$D:$Z,8,FALSE)*H17/N17</f>
        <v>0</v>
      </c>
      <c r="X17" s="32">
        <f>ROUNDUP(W17/$S$78,0)</f>
        <v>0</v>
      </c>
      <c r="Y17" t="str">
        <f>VLOOKUP($A17&amp;"Total",Rezepte!$D:$Z,10,FALSE)</f>
        <v>nothing</v>
      </c>
      <c r="Z17" s="3">
        <f>VLOOKUP($A17&amp;"Total",Rezepte!$D:$Z,11,FALSE)*H17/N17</f>
        <v>0</v>
      </c>
      <c r="AA17" s="32">
        <f>ROUNDUP(Z17/$S$78,0)</f>
        <v>0</v>
      </c>
      <c r="AB17" t="str">
        <f>VLOOKUP($A17&amp;"Total",Rezepte!$D:$Z,13,FALSE)</f>
        <v>nothing</v>
      </c>
      <c r="AC17" s="3">
        <f>VLOOKUP($A17&amp;"Total",Rezepte!$D:$Z,14,FALSE)*H17/N17</f>
        <v>0</v>
      </c>
      <c r="AD17" s="32">
        <f>ROUNDUP(AC17/$S$78,0)</f>
        <v>0</v>
      </c>
      <c r="AF17" s="3">
        <f>VLOOKUP($A17&amp;"Total",Rezepte!$D:$AK,24,FALSE)/100*$C17</f>
        <v>0</v>
      </c>
      <c r="AG17" s="3">
        <f>VLOOKUP($A17&amp;"Total",Rezepte!$D:$AK,25,FALSE)/100*$C17</f>
        <v>0</v>
      </c>
      <c r="AH17" s="3">
        <f>VLOOKUP($A17&amp;"Total",Rezepte!$D:$AK,26,FALSE)/100*$C17</f>
        <v>0</v>
      </c>
      <c r="AI17" s="3">
        <f>VLOOKUP($A17&amp;"Total",Rezepte!$D:$AK,27,FALSE)/100*$C17</f>
        <v>0</v>
      </c>
      <c r="AJ17" s="3">
        <f>VLOOKUP($A17&amp;"Total",Rezepte!$D:$AK,28,FALSE)/100*$C17</f>
        <v>0</v>
      </c>
      <c r="AK17" s="3">
        <f>VLOOKUP($A17&amp;"Total",Rezepte!$D:$AK,29,FALSE)/100*$C17</f>
        <v>3</v>
      </c>
      <c r="AL17" s="3">
        <f>VLOOKUP($A17&amp;"Total",Rezepte!$D:$AK,30,FALSE)/100*$C17</f>
        <v>0</v>
      </c>
      <c r="AM17" s="3">
        <f>VLOOKUP($A17&amp;"Total",Rezepte!$D:$AK,31,FALSE)/100*$C17</f>
        <v>0</v>
      </c>
      <c r="AN17" s="3">
        <f>VLOOKUP($A17&amp;"Total",Rezepte!$D:$AK,32,FALSE)/100*$C17</f>
        <v>0</v>
      </c>
      <c r="AO17" s="3">
        <f>VLOOKUP($A17&amp;"Total",Rezepte!$D:$AK,33,FALSE)/100*$C17</f>
        <v>0</v>
      </c>
      <c r="AP17" s="3">
        <f>VLOOKUP($A17&amp;"Total",Rezepte!$D:$AK,34,FALSE)/100*$C17</f>
        <v>0</v>
      </c>
    </row>
    <row r="18" spans="1:42" x14ac:dyDescent="0.25">
      <c r="A18" t="s">
        <v>102</v>
      </c>
      <c r="C18">
        <v>5</v>
      </c>
      <c r="D18" s="47">
        <f>SUMIFS(T:T,S:S,A18)+SUMIFS(W:W,V:V,A18)+SUMIFS(Z:Z,Y:Y,A18)+SUMIFS(AC:AC,AB:AB,A18)</f>
        <v>432.2</v>
      </c>
      <c r="E18" s="47">
        <f>D18+C18</f>
        <v>437.2</v>
      </c>
      <c r="F18" s="32">
        <f>COUNTIFS(S:S,A18,T:T,"&gt;0")+COUNTIFS(V:V,A18,W:W,"&gt;0")+COUNTIFS(Y:Y,A18,Z:Z,"&gt;0")+COUNTIFS(AB:AB,A18,AC:AC,"&gt;0")</f>
        <v>4</v>
      </c>
      <c r="G18" s="63">
        <f>H18/N18</f>
        <v>7.2866666666666662</v>
      </c>
      <c r="H18" s="55">
        <f t="shared" si="10"/>
        <v>437.2</v>
      </c>
      <c r="I18" s="55">
        <f>MOD(H18,N18)</f>
        <v>17.199999999999989</v>
      </c>
      <c r="J18" s="34" t="str">
        <f>VLOOKUP($A18&amp;"Total",Rezepte!$D:$Z,19,FALSE)</f>
        <v>constructor</v>
      </c>
      <c r="K18" s="57">
        <f>SUMIFS(U:U,S:S,A18)+SUMIFS(X:X,V:V,A18)+SUMIFS(AA:AA,Y:Y,A18)+SUMIFS(AD:AD,AB:AB,A18)</f>
        <v>4</v>
      </c>
      <c r="L18" s="30">
        <f>H18/N18*P18</f>
        <v>29.146666666666665</v>
      </c>
      <c r="M18" s="51">
        <f>VLOOKUP($A18&amp;"Total",Rezepte!$D:$Z,21,FALSE)</f>
        <v>60</v>
      </c>
      <c r="N18" s="47">
        <f>ROUNDDOWN(M18,2)</f>
        <v>60</v>
      </c>
      <c r="O18" s="60">
        <f>VLOOKUP($A18&amp;"Total",Rezepte!$D:$Z,20,FALSE)</f>
        <v>4</v>
      </c>
      <c r="P18" s="60">
        <f>N18/M18*O18</f>
        <v>4</v>
      </c>
      <c r="Q18" s="47">
        <v>462</v>
      </c>
      <c r="S18" t="str">
        <f>VLOOKUP($A18&amp;"Total",Rezepte!$D:$Z,4,FALSE)</f>
        <v>Caterium Ingot</v>
      </c>
      <c r="T18" s="3">
        <f>VLOOKUP($A18&amp;"Total",Rezepte!$D:$Z,5,FALSE)*H18/N18</f>
        <v>87.44</v>
      </c>
      <c r="U18" s="32">
        <f>ROUNDUP(T18/$S$78,0)</f>
        <v>1</v>
      </c>
      <c r="V18" t="str">
        <f>VLOOKUP($A18&amp;"Total",Rezepte!$D:$Z,7,FALSE)</f>
        <v>nothing</v>
      </c>
      <c r="W18" s="3">
        <f>VLOOKUP($A18&amp;"Total",Rezepte!$D:$Z,8,FALSE)*H18/N18</f>
        <v>0</v>
      </c>
      <c r="X18" s="32">
        <f>ROUNDUP(W18/$S$78,0)</f>
        <v>0</v>
      </c>
      <c r="Y18" t="str">
        <f>VLOOKUP($A18&amp;"Total",Rezepte!$D:$Z,10,FALSE)</f>
        <v>nothing</v>
      </c>
      <c r="Z18" s="3">
        <f>VLOOKUP($A18&amp;"Total",Rezepte!$D:$Z,11,FALSE)*H18/N18</f>
        <v>0</v>
      </c>
      <c r="AA18" s="32">
        <f>ROUNDUP(Z18/$S$78,0)</f>
        <v>0</v>
      </c>
      <c r="AB18" t="str">
        <f>VLOOKUP($A18&amp;"Total",Rezepte!$D:$Z,13,FALSE)</f>
        <v>nothing</v>
      </c>
      <c r="AC18" s="3">
        <f>VLOOKUP($A18&amp;"Total",Rezepte!$D:$Z,14,FALSE)*H18/N18</f>
        <v>0</v>
      </c>
      <c r="AD18" s="32">
        <f>ROUNDUP(AC18/$S$78,0)</f>
        <v>0</v>
      </c>
      <c r="AF18" s="3">
        <f>VLOOKUP($A18&amp;"Total",Rezepte!$D:$AK,24,FALSE)/100*$C18</f>
        <v>0</v>
      </c>
      <c r="AG18" s="3">
        <f>VLOOKUP($A18&amp;"Total",Rezepte!$D:$AK,25,FALSE)/100*$C18</f>
        <v>0</v>
      </c>
      <c r="AH18" s="3">
        <f>VLOOKUP($A18&amp;"Total",Rezepte!$D:$AK,26,FALSE)/100*$C18</f>
        <v>0</v>
      </c>
      <c r="AI18" s="3">
        <f>VLOOKUP($A18&amp;"Total",Rezepte!$D:$AK,27,FALSE)/100*$C18</f>
        <v>0</v>
      </c>
      <c r="AJ18" s="3">
        <f>VLOOKUP($A18&amp;"Total",Rezepte!$D:$AK,28,FALSE)/100*$C18</f>
        <v>3</v>
      </c>
      <c r="AK18" s="3">
        <f>VLOOKUP($A18&amp;"Total",Rezepte!$D:$AK,29,FALSE)/100*$C18</f>
        <v>0</v>
      </c>
      <c r="AL18" s="3">
        <f>VLOOKUP($A18&amp;"Total",Rezepte!$D:$AK,30,FALSE)/100*$C18</f>
        <v>0</v>
      </c>
      <c r="AM18" s="3">
        <f>VLOOKUP($A18&amp;"Total",Rezepte!$D:$AK,31,FALSE)/100*$C18</f>
        <v>0</v>
      </c>
      <c r="AN18" s="3">
        <f>VLOOKUP($A18&amp;"Total",Rezepte!$D:$AK,32,FALSE)/100*$C18</f>
        <v>0</v>
      </c>
      <c r="AO18" s="3">
        <f>VLOOKUP($A18&amp;"Total",Rezepte!$D:$AK,33,FALSE)/100*$C18</f>
        <v>0</v>
      </c>
      <c r="AP18" s="3">
        <f>VLOOKUP($A18&amp;"Total",Rezepte!$D:$AK,34,FALSE)/100*$C18</f>
        <v>0</v>
      </c>
    </row>
    <row r="19" spans="1:42" x14ac:dyDescent="0.25">
      <c r="A19" t="s">
        <v>91</v>
      </c>
      <c r="C19">
        <v>10</v>
      </c>
      <c r="D19" s="47">
        <f>SUMIFS(T:T,S:S,A19)+SUMIFS(W:W,V:V,A19)+SUMIFS(Z:Z,Y:Y,A19)+SUMIFS(AC:AC,AB:AB,A19)</f>
        <v>567.01957295373654</v>
      </c>
      <c r="E19" s="47">
        <f>D19+C19</f>
        <v>577.01957295373654</v>
      </c>
      <c r="F19" s="32">
        <f>COUNTIFS(S:S,A19,T:T,"&gt;0")+COUNTIFS(V:V,A19,W:W,"&gt;0")+COUNTIFS(Y:Y,A19,Z:Z,"&gt;0")+COUNTIFS(AB:AB,A19,AC:AC,"&gt;0")</f>
        <v>2</v>
      </c>
      <c r="G19" s="63">
        <f>H19/N19</f>
        <v>4.8084999999999996</v>
      </c>
      <c r="H19" s="55">
        <f t="shared" si="10"/>
        <v>577.02</v>
      </c>
      <c r="I19" s="55">
        <f>MOD(H19,N19)</f>
        <v>97.019999999999982</v>
      </c>
      <c r="J19" s="34" t="str">
        <f>VLOOKUP($A19&amp;"Total",Rezepte!$D:$Z,19,FALSE)</f>
        <v>constructor</v>
      </c>
      <c r="K19" s="57">
        <f>SUMIFS(U:U,S:S,A19)+SUMIFS(X:X,V:V,A19)+SUMIFS(AA:AA,Y:Y,A19)+SUMIFS(AD:AD,AB:AB,A19)</f>
        <v>2</v>
      </c>
      <c r="L19" s="30">
        <f>H19/N19*P19</f>
        <v>19.233999999999998</v>
      </c>
      <c r="M19" s="51">
        <f>VLOOKUP($A19&amp;"Total",Rezepte!$D:$Z,21,FALSE)</f>
        <v>120</v>
      </c>
      <c r="N19" s="47">
        <f>ROUNDDOWN(M19,2)</f>
        <v>120</v>
      </c>
      <c r="O19" s="60">
        <f>VLOOKUP($A19&amp;"Total",Rezepte!$D:$Z,20,FALSE)</f>
        <v>4</v>
      </c>
      <c r="P19" s="60">
        <f>N19/M19*O19</f>
        <v>4</v>
      </c>
      <c r="Q19" s="47">
        <v>588</v>
      </c>
      <c r="S19" t="str">
        <f>VLOOKUP($A19&amp;"Total",Rezepte!$D:$Z,4,FALSE)</f>
        <v>Caterium Ingot</v>
      </c>
      <c r="T19" s="3">
        <f>VLOOKUP($A19&amp;"Total",Rezepte!$D:$Z,5,FALSE)*H19/N19</f>
        <v>72.127499999999998</v>
      </c>
      <c r="U19" s="32">
        <f>ROUNDUP(T19/$S$78,0)</f>
        <v>1</v>
      </c>
      <c r="V19" t="str">
        <f>VLOOKUP($A19&amp;"Total",Rezepte!$D:$Z,7,FALSE)</f>
        <v>nothing</v>
      </c>
      <c r="W19" s="3">
        <f>VLOOKUP($A19&amp;"Total",Rezepte!$D:$Z,8,FALSE)*H19/N19</f>
        <v>0</v>
      </c>
      <c r="X19" s="32">
        <f>ROUNDUP(W19/$S$78,0)</f>
        <v>0</v>
      </c>
      <c r="Y19" t="str">
        <f>VLOOKUP($A19&amp;"Total",Rezepte!$D:$Z,10,FALSE)</f>
        <v>nothing</v>
      </c>
      <c r="Z19" s="3">
        <f>VLOOKUP($A19&amp;"Total",Rezepte!$D:$Z,11,FALSE)*H19/N19</f>
        <v>0</v>
      </c>
      <c r="AA19" s="32">
        <f>ROUNDUP(Z19/$S$78,0)</f>
        <v>0</v>
      </c>
      <c r="AB19" t="str">
        <f>VLOOKUP($A19&amp;"Total",Rezepte!$D:$Z,13,FALSE)</f>
        <v>nothing</v>
      </c>
      <c r="AC19" s="3">
        <f>VLOOKUP($A19&amp;"Total",Rezepte!$D:$Z,14,FALSE)*H19/N19</f>
        <v>0</v>
      </c>
      <c r="AD19" s="32">
        <f>ROUNDUP(AC19/$S$78,0)</f>
        <v>0</v>
      </c>
      <c r="AF19" s="3">
        <f>VLOOKUP($A19&amp;"Total",Rezepte!$D:$AK,24,FALSE)/100*$C19</f>
        <v>0</v>
      </c>
      <c r="AG19" s="3">
        <f>VLOOKUP($A19&amp;"Total",Rezepte!$D:$AK,25,FALSE)/100*$C19</f>
        <v>0</v>
      </c>
      <c r="AH19" s="3">
        <f>VLOOKUP($A19&amp;"Total",Rezepte!$D:$AK,26,FALSE)/100*$C19</f>
        <v>0</v>
      </c>
      <c r="AI19" s="3">
        <f>VLOOKUP($A19&amp;"Total",Rezepte!$D:$AK,27,FALSE)/100*$C19</f>
        <v>0</v>
      </c>
      <c r="AJ19" s="3">
        <f>VLOOKUP($A19&amp;"Total",Rezepte!$D:$AK,28,FALSE)/100*$C19</f>
        <v>3.75</v>
      </c>
      <c r="AK19" s="3">
        <f>VLOOKUP($A19&amp;"Total",Rezepte!$D:$AK,29,FALSE)/100*$C19</f>
        <v>0</v>
      </c>
      <c r="AL19" s="3">
        <f>VLOOKUP($A19&amp;"Total",Rezepte!$D:$AK,30,FALSE)/100*$C19</f>
        <v>0</v>
      </c>
      <c r="AM19" s="3">
        <f>VLOOKUP($A19&amp;"Total",Rezepte!$D:$AK,31,FALSE)/100*$C19</f>
        <v>0</v>
      </c>
      <c r="AN19" s="3">
        <f>VLOOKUP($A19&amp;"Total",Rezepte!$D:$AK,32,FALSE)/100*$C19</f>
        <v>0</v>
      </c>
      <c r="AO19" s="3">
        <f>VLOOKUP($A19&amp;"Total",Rezepte!$D:$AK,33,FALSE)/100*$C19</f>
        <v>0</v>
      </c>
      <c r="AP19" s="3">
        <f>VLOOKUP($A19&amp;"Total",Rezepte!$D:$AK,34,FALSE)/100*$C19</f>
        <v>0</v>
      </c>
    </row>
    <row r="20" spans="1:42" x14ac:dyDescent="0.25">
      <c r="A20" t="s">
        <v>97</v>
      </c>
      <c r="C20">
        <v>10</v>
      </c>
      <c r="D20" s="47">
        <f>SUMIFS(T:T,S:S,A20)+SUMIFS(W:W,V:V,A20)+SUMIFS(Z:Z,Y:Y,A20)+SUMIFS(AC:AC,AB:AB,A20)</f>
        <v>150</v>
      </c>
      <c r="E20" s="47">
        <f>D20+C20</f>
        <v>160</v>
      </c>
      <c r="F20" s="32">
        <f>COUNTIFS(S:S,A20,T:T,"&gt;0")+COUNTIFS(V:V,A20,W:W,"&gt;0")+COUNTIFS(Y:Y,A20,Z:Z,"&gt;0")+COUNTIFS(AB:AB,A20,AC:AC,"&gt;0")</f>
        <v>1</v>
      </c>
      <c r="G20" s="63">
        <f>H20/N20</f>
        <v>5.333333333333333</v>
      </c>
      <c r="H20" s="55">
        <f t="shared" si="10"/>
        <v>160</v>
      </c>
      <c r="I20" s="55">
        <f>MOD(H20,N20)</f>
        <v>10</v>
      </c>
      <c r="J20" s="34" t="str">
        <f>VLOOKUP($A20&amp;"Total",Rezepte!$D:$Z,19,FALSE)</f>
        <v>constructor</v>
      </c>
      <c r="K20" s="57">
        <f>SUMIFS(U:U,S:S,A20)+SUMIFS(X:X,V:V,A20)+SUMIFS(AA:AA,Y:Y,A20)+SUMIFS(AD:AD,AB:AB,A20)</f>
        <v>1</v>
      </c>
      <c r="L20" s="30">
        <f>H20/N20*P20</f>
        <v>21.333333333333332</v>
      </c>
      <c r="M20" s="51">
        <f>VLOOKUP($A20&amp;"Total",Rezepte!$D:$Z,21,FALSE)</f>
        <v>30</v>
      </c>
      <c r="N20" s="47">
        <f>ROUNDDOWN(M20,2)</f>
        <v>30</v>
      </c>
      <c r="O20" s="60">
        <f>VLOOKUP($A20&amp;"Total",Rezepte!$D:$Z,20,FALSE)</f>
        <v>4</v>
      </c>
      <c r="P20" s="60">
        <f>N20/M20*O20</f>
        <v>4</v>
      </c>
      <c r="Q20" s="47">
        <v>162</v>
      </c>
      <c r="S20" t="str">
        <f>VLOOKUP($A20&amp;"Total",Rezepte!$D:$Z,4,FALSE)</f>
        <v>Wire</v>
      </c>
      <c r="T20" s="3">
        <f>VLOOKUP($A20&amp;"Total",Rezepte!$D:$Z,5,FALSE)*H20/N20</f>
        <v>320</v>
      </c>
      <c r="U20" s="32">
        <f>ROUNDUP(T20/$S$78,0)</f>
        <v>1</v>
      </c>
      <c r="V20" t="str">
        <f>VLOOKUP($A20&amp;"Total",Rezepte!$D:$Z,7,FALSE)</f>
        <v>nothing</v>
      </c>
      <c r="W20" s="3">
        <f>VLOOKUP($A20&amp;"Total",Rezepte!$D:$Z,8,FALSE)*H20/N20</f>
        <v>0</v>
      </c>
      <c r="X20" s="32">
        <f>ROUNDUP(W20/$S$78,0)</f>
        <v>0</v>
      </c>
      <c r="Y20" t="str">
        <f>VLOOKUP($A20&amp;"Total",Rezepte!$D:$Z,10,FALSE)</f>
        <v>nothing</v>
      </c>
      <c r="Z20" s="3">
        <f>VLOOKUP($A20&amp;"Total",Rezepte!$D:$Z,11,FALSE)*H20/N20</f>
        <v>0</v>
      </c>
      <c r="AA20" s="32">
        <f>ROUNDUP(Z20/$S$78,0)</f>
        <v>0</v>
      </c>
      <c r="AB20" t="str">
        <f>VLOOKUP($A20&amp;"Total",Rezepte!$D:$Z,13,FALSE)</f>
        <v>nothing</v>
      </c>
      <c r="AC20" s="3">
        <f>VLOOKUP($A20&amp;"Total",Rezepte!$D:$Z,14,FALSE)*H20/N20</f>
        <v>0</v>
      </c>
      <c r="AD20" s="32">
        <f>ROUNDUP(AC20/$S$78,0)</f>
        <v>0</v>
      </c>
      <c r="AF20" s="3">
        <f>VLOOKUP($A20&amp;"Total",Rezepte!$D:$AK,24,FALSE)/100*$C20</f>
        <v>0</v>
      </c>
      <c r="AG20" s="3">
        <f>VLOOKUP($A20&amp;"Total",Rezepte!$D:$AK,25,FALSE)/100*$C20</f>
        <v>0</v>
      </c>
      <c r="AH20" s="3">
        <f>VLOOKUP($A20&amp;"Total",Rezepte!$D:$AK,26,FALSE)/100*$C20</f>
        <v>0</v>
      </c>
      <c r="AI20" s="3">
        <f>VLOOKUP($A20&amp;"Total",Rezepte!$D:$AK,27,FALSE)/100*$C20</f>
        <v>0</v>
      </c>
      <c r="AJ20" s="3">
        <f>VLOOKUP($A20&amp;"Total",Rezepte!$D:$AK,28,FALSE)/100*$C20</f>
        <v>7.5</v>
      </c>
      <c r="AK20" s="3">
        <f>VLOOKUP($A20&amp;"Total",Rezepte!$D:$AK,29,FALSE)/100*$C20</f>
        <v>0</v>
      </c>
      <c r="AL20" s="3">
        <f>VLOOKUP($A20&amp;"Total",Rezepte!$D:$AK,30,FALSE)/100*$C20</f>
        <v>0</v>
      </c>
      <c r="AM20" s="3">
        <f>VLOOKUP($A20&amp;"Total",Rezepte!$D:$AK,31,FALSE)/100*$C20</f>
        <v>0</v>
      </c>
      <c r="AN20" s="3">
        <f>VLOOKUP($A20&amp;"Total",Rezepte!$D:$AK,32,FALSE)/100*$C20</f>
        <v>0</v>
      </c>
      <c r="AO20" s="3">
        <f>VLOOKUP($A20&amp;"Total",Rezepte!$D:$AK,33,FALSE)/100*$C20</f>
        <v>0</v>
      </c>
      <c r="AP20" s="3">
        <f>VLOOKUP($A20&amp;"Total",Rezepte!$D:$AK,34,FALSE)/100*$C20</f>
        <v>0</v>
      </c>
    </row>
    <row r="21" spans="1:42" x14ac:dyDescent="0.25">
      <c r="D21" s="47"/>
      <c r="E21" s="47"/>
      <c r="J21" s="34"/>
      <c r="K21" s="57"/>
      <c r="M21" s="51"/>
      <c r="N21" s="47"/>
      <c r="X21" s="32"/>
      <c r="AA21" s="32"/>
      <c r="AD21" s="32"/>
    </row>
    <row r="22" spans="1:42" x14ac:dyDescent="0.25">
      <c r="D22" s="47"/>
      <c r="E22" s="47"/>
      <c r="J22" s="34"/>
      <c r="K22" s="57"/>
      <c r="M22" s="51"/>
      <c r="N22" s="47"/>
    </row>
    <row r="23" spans="1:42" x14ac:dyDescent="0.25">
      <c r="A23" t="s">
        <v>54</v>
      </c>
      <c r="D23" s="47">
        <f>SUMIFS(T:T,S:S,A23)+SUMIFS(W:W,V:V,A23)+SUMIFS(Z:Z,Y:Y,A23)+SUMIFS(AC:AC,AB:AB,A23)</f>
        <v>846.505</v>
      </c>
      <c r="E23" s="47">
        <f>D23+C23</f>
        <v>846.505</v>
      </c>
      <c r="F23" s="32">
        <f>COUNTIFS(S:S,A23,T:T,"&gt;0")+COUNTIFS(V:V,A23,W:W,"&gt;0")+COUNTIFS(Y:Y,A23,Z:Z,"&gt;0")+COUNTIFS(AB:AB,A23,AC:AC,"&gt;0")</f>
        <v>2</v>
      </c>
      <c r="G23" s="32">
        <f>ROUNDUP(H23/N23,0)</f>
        <v>29</v>
      </c>
      <c r="H23" s="55">
        <f t="shared" si="10"/>
        <v>846.51</v>
      </c>
      <c r="I23" s="55">
        <f>MOD(H23,N23)</f>
        <v>6.5099999999999909</v>
      </c>
      <c r="J23" s="34" t="str">
        <f>VLOOKUP($A23&amp;"Total",Rezepte!$D:$Z,19,FALSE)</f>
        <v>smelter</v>
      </c>
      <c r="K23" s="57">
        <f>SUMIFS(U:U,S:S,A23)+SUMIFS(X:X,V:V,A23)+SUMIFS(AA:AA,Y:Y,A23)+SUMIFS(AD:AD,AB:AB,A23)</f>
        <v>3</v>
      </c>
      <c r="L23" s="30">
        <f>H23/N23*P23</f>
        <v>112.86799999999999</v>
      </c>
      <c r="M23" s="51">
        <f>VLOOKUP($A23&amp;"Total",Rezepte!$D:$Z,21,FALSE)</f>
        <v>30</v>
      </c>
      <c r="N23" s="47">
        <f>ROUNDDOWN(M23,2)</f>
        <v>30</v>
      </c>
      <c r="O23" s="60">
        <f>VLOOKUP($A23&amp;"Total",Rezepte!$D:$Z,20,FALSE)</f>
        <v>4</v>
      </c>
      <c r="P23" s="60">
        <f>N23/M23*O23</f>
        <v>4</v>
      </c>
      <c r="Q23" s="47">
        <v>846.51</v>
      </c>
      <c r="S23" t="str">
        <f>VLOOKUP($A23&amp;"Total",Rezepte!$D:$Z,4,FALSE)</f>
        <v>Iron Ore</v>
      </c>
      <c r="T23" s="2">
        <f>VLOOKUP($A23&amp;"Total",Rezepte!$D:$Z,5,FALSE)*H23/N23</f>
        <v>846.51</v>
      </c>
      <c r="U23" s="32">
        <f>ROUNDUP(T23/$S$78,0)</f>
        <v>2</v>
      </c>
      <c r="V23" t="str">
        <f>VLOOKUP($A23&amp;"Total",Rezepte!$D:$Z,7,FALSE)</f>
        <v>nothing</v>
      </c>
      <c r="W23" s="3">
        <f>VLOOKUP($A23&amp;"Total",Rezepte!$D:$Z,8,FALSE)*H23/N23</f>
        <v>0</v>
      </c>
      <c r="X23" s="32">
        <f>ROUNDUP(W23/$S$78,0)</f>
        <v>0</v>
      </c>
      <c r="Y23" t="str">
        <f>VLOOKUP($A23&amp;"Total",Rezepte!$D:$Z,10,FALSE)</f>
        <v>nothing</v>
      </c>
      <c r="Z23" s="3">
        <f>VLOOKUP($A23&amp;"Total",Rezepte!$D:$Z,11,FALSE)*H23/N23</f>
        <v>0</v>
      </c>
      <c r="AA23" s="32">
        <f>ROUNDUP(Z23/$S$78,0)</f>
        <v>0</v>
      </c>
      <c r="AB23" t="str">
        <f>VLOOKUP($A23&amp;"Total",Rezepte!$D:$Z,13,FALSE)</f>
        <v>nothing</v>
      </c>
      <c r="AC23" s="3">
        <f>VLOOKUP($A23&amp;"Total",Rezepte!$D:$Z,14,FALSE)*H23/N23</f>
        <v>0</v>
      </c>
      <c r="AD23" s="32">
        <f>ROUNDUP(AC23/$S$78,0)</f>
        <v>0</v>
      </c>
      <c r="AF23" s="3">
        <f>VLOOKUP($A23&amp;"Total",Rezepte!$D:$AK,24,FALSE)/100*$C23</f>
        <v>0</v>
      </c>
      <c r="AG23" s="3">
        <f>VLOOKUP($A23&amp;"Total",Rezepte!$D:$AK,25,FALSE)/100*$C23</f>
        <v>0</v>
      </c>
      <c r="AH23" s="3">
        <f>VLOOKUP($A23&amp;"Total",Rezepte!$D:$AK,26,FALSE)/100*$C23</f>
        <v>0</v>
      </c>
      <c r="AI23" s="3">
        <f>VLOOKUP($A23&amp;"Total",Rezepte!$D:$AK,27,FALSE)/100*$C23</f>
        <v>0</v>
      </c>
      <c r="AJ23" s="3">
        <f>VLOOKUP($A23&amp;"Total",Rezepte!$D:$AK,28,FALSE)/100*$C23</f>
        <v>0</v>
      </c>
      <c r="AK23" s="3">
        <f>VLOOKUP($A23&amp;"Total",Rezepte!$D:$AK,29,FALSE)/100*$C23</f>
        <v>0</v>
      </c>
      <c r="AL23" s="3">
        <f>VLOOKUP($A23&amp;"Total",Rezepte!$D:$AK,30,FALSE)/100*$C23</f>
        <v>0</v>
      </c>
      <c r="AM23" s="3">
        <f>VLOOKUP($A23&amp;"Total",Rezepte!$D:$AK,31,FALSE)/100*$C23</f>
        <v>0</v>
      </c>
      <c r="AN23" s="3">
        <f>VLOOKUP($A23&amp;"Total",Rezepte!$D:$AK,32,FALSE)/100*$C23</f>
        <v>0</v>
      </c>
      <c r="AO23" s="3">
        <f>VLOOKUP($A23&amp;"Total",Rezepte!$D:$AK,33,FALSE)/100*$C23</f>
        <v>0</v>
      </c>
      <c r="AP23" s="3">
        <f>VLOOKUP($A23&amp;"Total",Rezepte!$D:$AK,34,FALSE)/100*$C23</f>
        <v>0</v>
      </c>
    </row>
    <row r="24" spans="1:42" x14ac:dyDescent="0.25">
      <c r="D24" s="47"/>
      <c r="E24" s="47"/>
      <c r="J24" s="34"/>
      <c r="K24" s="57"/>
      <c r="M24" s="51"/>
      <c r="N24" s="47"/>
    </row>
    <row r="25" spans="1:42" x14ac:dyDescent="0.25">
      <c r="A25" t="s">
        <v>80</v>
      </c>
      <c r="C25">
        <v>15</v>
      </c>
      <c r="D25" s="47">
        <f t="shared" ref="D25:D37" si="11">SUMIFS(T:T,S:S,A25)+SUMIFS(W:W,V:V,A25)+SUMIFS(Z:Z,Y:Y,A25)+SUMIFS(AC:AC,AB:AB,A25)</f>
        <v>123.5097864768683</v>
      </c>
      <c r="E25" s="47">
        <f t="shared" ref="E25:E37" si="12">D25+C25</f>
        <v>138.5097864768683</v>
      </c>
      <c r="F25" s="32">
        <f t="shared" ref="F25:F37" si="13">COUNTIFS(S:S,A25,T:T,"&gt;0")+COUNTIFS(V:V,A25,W:W,"&gt;0")+COUNTIFS(Y:Y,A25,Z:Z,"&gt;0")+COUNTIFS(AB:AB,A25,AC:AC,"&gt;0")</f>
        <v>1</v>
      </c>
      <c r="G25" s="32">
        <f t="shared" ref="G25:G37" si="14">ROUNDUP(H25/N25,0)</f>
        <v>7</v>
      </c>
      <c r="H25" s="55">
        <f t="shared" si="10"/>
        <v>138.51</v>
      </c>
      <c r="I25" s="55">
        <f t="shared" ref="I25:I37" si="15">MOD(H25,N25)</f>
        <v>18.509999999999991</v>
      </c>
      <c r="J25" s="34" t="str">
        <f>VLOOKUP($A25&amp;"Total",Rezepte!$D:$Z,19,FALSE)</f>
        <v>constructor</v>
      </c>
      <c r="K25" s="57">
        <f t="shared" ref="K25:K37" si="16">SUMIFS(U:U,S:S,A25)+SUMIFS(X:X,V:V,A25)+SUMIFS(AA:AA,Y:Y,A25)+SUMIFS(AD:AD,AB:AB,A25)</f>
        <v>1</v>
      </c>
      <c r="L25" s="30">
        <f t="shared" ref="L25:L37" si="17">H25/N25*P25</f>
        <v>27.701999999999998</v>
      </c>
      <c r="M25" s="51">
        <f>VLOOKUP($A25&amp;"Total",Rezepte!$D:$Z,21,FALSE)</f>
        <v>20</v>
      </c>
      <c r="N25" s="47">
        <f t="shared" ref="N25:N37" si="18">ROUNDDOWN(M25,2)</f>
        <v>20</v>
      </c>
      <c r="O25" s="60">
        <f>VLOOKUP($A25&amp;"Total",Rezepte!$D:$Z,20,FALSE)</f>
        <v>4</v>
      </c>
      <c r="P25" s="60">
        <f t="shared" ref="P25:P37" si="19">N25/M25*O25</f>
        <v>4</v>
      </c>
      <c r="Q25" s="47">
        <v>138.51</v>
      </c>
      <c r="S25" t="str">
        <f>VLOOKUP($A25&amp;"Total",Rezepte!$D:$Z,4,FALSE)</f>
        <v>Iron Ingot</v>
      </c>
      <c r="T25" s="49">
        <f>VLOOKUP($A25&amp;"Total",Rezepte!$D:$Z,5,FALSE)*H25/N25</f>
        <v>207.76499999999996</v>
      </c>
      <c r="U25" s="32">
        <f t="shared" ref="U25:U37" si="20">ROUNDUP(T25/$S$78,0)</f>
        <v>1</v>
      </c>
      <c r="V25" t="str">
        <f>VLOOKUP($A25&amp;"Total",Rezepte!$D:$Z,7,FALSE)</f>
        <v>nothing</v>
      </c>
      <c r="W25" s="3">
        <f>VLOOKUP($A25&amp;"Total",Rezepte!$D:$Z,8,FALSE)*H25/N25</f>
        <v>0</v>
      </c>
      <c r="X25" s="32">
        <f t="shared" ref="X25:X37" si="21">ROUNDUP(W25/$S$78,0)</f>
        <v>0</v>
      </c>
      <c r="Y25" t="str">
        <f>VLOOKUP($A25&amp;"Total",Rezepte!$D:$Z,10,FALSE)</f>
        <v>nothing</v>
      </c>
      <c r="Z25" s="3">
        <f>VLOOKUP($A25&amp;"Total",Rezepte!$D:$Z,11,FALSE)*H25/N25</f>
        <v>0</v>
      </c>
      <c r="AA25" s="32">
        <f t="shared" ref="AA25:AA37" si="22">ROUNDUP(Z25/$S$78,0)</f>
        <v>0</v>
      </c>
      <c r="AB25" t="str">
        <f>VLOOKUP($A25&amp;"Total",Rezepte!$D:$Z,13,FALSE)</f>
        <v>nothing</v>
      </c>
      <c r="AC25" s="3">
        <f>VLOOKUP($A25&amp;"Total",Rezepte!$D:$Z,14,FALSE)*H25/N25</f>
        <v>0</v>
      </c>
      <c r="AD25" s="32">
        <f t="shared" ref="AD25:AD37" si="23">ROUNDUP(AC25/$S$78,0)</f>
        <v>0</v>
      </c>
      <c r="AF25" s="3">
        <f>VLOOKUP($A25&amp;"Total",Rezepte!$D:$AK,24,FALSE)/100*$C25</f>
        <v>22.5</v>
      </c>
      <c r="AG25" s="3">
        <f>VLOOKUP($A25&amp;"Total",Rezepte!$D:$AK,25,FALSE)/100*$C25</f>
        <v>0</v>
      </c>
      <c r="AH25" s="3">
        <f>VLOOKUP($A25&amp;"Total",Rezepte!$D:$AK,26,FALSE)/100*$C25</f>
        <v>0</v>
      </c>
      <c r="AI25" s="3">
        <f>VLOOKUP($A25&amp;"Total",Rezepte!$D:$AK,27,FALSE)/100*$C25</f>
        <v>0</v>
      </c>
      <c r="AJ25" s="3">
        <f>VLOOKUP($A25&amp;"Total",Rezepte!$D:$AK,28,FALSE)/100*$C25</f>
        <v>0</v>
      </c>
      <c r="AK25" s="3">
        <f>VLOOKUP($A25&amp;"Total",Rezepte!$D:$AK,29,FALSE)/100*$C25</f>
        <v>0</v>
      </c>
      <c r="AL25" s="3">
        <f>VLOOKUP($A25&amp;"Total",Rezepte!$D:$AK,30,FALSE)/100*$C25</f>
        <v>0</v>
      </c>
      <c r="AM25" s="3">
        <f>VLOOKUP($A25&amp;"Total",Rezepte!$D:$AK,31,FALSE)/100*$C25</f>
        <v>0</v>
      </c>
      <c r="AN25" s="3">
        <f>VLOOKUP($A25&amp;"Total",Rezepte!$D:$AK,32,FALSE)/100*$C25</f>
        <v>0</v>
      </c>
      <c r="AO25" s="3">
        <f>VLOOKUP($A25&amp;"Total",Rezepte!$D:$AK,33,FALSE)/100*$C25</f>
        <v>0</v>
      </c>
      <c r="AP25" s="3">
        <f>VLOOKUP($A25&amp;"Total",Rezepte!$D:$AK,34,FALSE)/100*$C25</f>
        <v>0</v>
      </c>
    </row>
    <row r="26" spans="1:42" x14ac:dyDescent="0.25">
      <c r="A26" t="s">
        <v>84</v>
      </c>
      <c r="D26" s="47">
        <f t="shared" si="11"/>
        <v>958.1099999999999</v>
      </c>
      <c r="E26" s="47">
        <f t="shared" si="12"/>
        <v>958.1099999999999</v>
      </c>
      <c r="F26" s="32">
        <f t="shared" si="13"/>
        <v>3</v>
      </c>
      <c r="G26" s="32">
        <f t="shared" si="14"/>
        <v>16</v>
      </c>
      <c r="H26" s="55">
        <f t="shared" si="10"/>
        <v>958.11</v>
      </c>
      <c r="I26" s="55">
        <f t="shared" si="15"/>
        <v>58.110000000000014</v>
      </c>
      <c r="J26" s="34" t="str">
        <f>VLOOKUP($A26&amp;"Total",Rezepte!$D:$Z,19,FALSE)</f>
        <v>foundry</v>
      </c>
      <c r="K26" s="57">
        <f t="shared" si="16"/>
        <v>4</v>
      </c>
      <c r="L26" s="30">
        <f t="shared" si="17"/>
        <v>255.49600000000001</v>
      </c>
      <c r="M26" s="51">
        <f>VLOOKUP($A26&amp;"Total",Rezepte!$D:$Z,21,FALSE)</f>
        <v>60</v>
      </c>
      <c r="N26" s="47">
        <f t="shared" si="18"/>
        <v>60</v>
      </c>
      <c r="O26" s="60">
        <f>VLOOKUP($A26&amp;"Total",Rezepte!$D:$Z,20,FALSE)</f>
        <v>16</v>
      </c>
      <c r="P26" s="60">
        <f t="shared" si="19"/>
        <v>16</v>
      </c>
      <c r="Q26" s="47">
        <v>958.11</v>
      </c>
      <c r="S26" t="str">
        <f>VLOOKUP($A26&amp;"Total",Rezepte!$D:$Z,4,FALSE)</f>
        <v>Iron Ingot</v>
      </c>
      <c r="T26" s="49">
        <f>VLOOKUP($A26&amp;"Total",Rezepte!$D:$Z,5,FALSE)*H26/N26</f>
        <v>638.74</v>
      </c>
      <c r="U26" s="32">
        <f t="shared" si="20"/>
        <v>2</v>
      </c>
      <c r="V26" t="str">
        <f>VLOOKUP($A26&amp;"Total",Rezepte!$D:$Z,7,FALSE)</f>
        <v>coal</v>
      </c>
      <c r="W26" s="3">
        <f>VLOOKUP($A26&amp;"Total",Rezepte!$D:$Z,8,FALSE)*H26/N26</f>
        <v>638.74</v>
      </c>
      <c r="X26" s="32">
        <f t="shared" si="21"/>
        <v>2</v>
      </c>
      <c r="Y26" t="str">
        <f>VLOOKUP($A26&amp;"Total",Rezepte!$D:$Z,10,FALSE)</f>
        <v>nothing</v>
      </c>
      <c r="Z26" s="3">
        <f>VLOOKUP($A26&amp;"Total",Rezepte!$D:$Z,11,FALSE)*H26/N26</f>
        <v>0</v>
      </c>
      <c r="AA26" s="32">
        <f t="shared" si="22"/>
        <v>0</v>
      </c>
      <c r="AB26" t="str">
        <f>VLOOKUP($A26&amp;"Total",Rezepte!$D:$Z,13,FALSE)</f>
        <v>nothing</v>
      </c>
      <c r="AC26" s="3">
        <f>VLOOKUP($A26&amp;"Total",Rezepte!$D:$Z,14,FALSE)*H26/N26</f>
        <v>0</v>
      </c>
      <c r="AD26" s="32">
        <f t="shared" si="23"/>
        <v>0</v>
      </c>
      <c r="AF26" s="3">
        <f>VLOOKUP($A26&amp;"Total",Rezepte!$D:$AK,24,FALSE)/100*$C26</f>
        <v>0</v>
      </c>
      <c r="AG26" s="3">
        <f>VLOOKUP($A26&amp;"Total",Rezepte!$D:$AK,25,FALSE)/100*$C26</f>
        <v>0</v>
      </c>
      <c r="AH26" s="3">
        <f>VLOOKUP($A26&amp;"Total",Rezepte!$D:$AK,26,FALSE)/100*$C26</f>
        <v>0</v>
      </c>
      <c r="AI26" s="3">
        <f>VLOOKUP($A26&amp;"Total",Rezepte!$D:$AK,27,FALSE)/100*$C26</f>
        <v>0</v>
      </c>
      <c r="AJ26" s="3">
        <f>VLOOKUP($A26&amp;"Total",Rezepte!$D:$AK,28,FALSE)/100*$C26</f>
        <v>0</v>
      </c>
      <c r="AK26" s="3">
        <f>VLOOKUP($A26&amp;"Total",Rezepte!$D:$AK,29,FALSE)/100*$C26</f>
        <v>0</v>
      </c>
      <c r="AL26" s="3">
        <f>VLOOKUP($A26&amp;"Total",Rezepte!$D:$AK,30,FALSE)/100*$C26</f>
        <v>0</v>
      </c>
      <c r="AM26" s="3">
        <f>VLOOKUP($A26&amp;"Total",Rezepte!$D:$AK,31,FALSE)/100*$C26</f>
        <v>0</v>
      </c>
      <c r="AN26" s="3">
        <f>VLOOKUP($A26&amp;"Total",Rezepte!$D:$AK,32,FALSE)/100*$C26</f>
        <v>0</v>
      </c>
      <c r="AO26" s="3">
        <f>VLOOKUP($A26&amp;"Total",Rezepte!$D:$AK,33,FALSE)/100*$C26</f>
        <v>0</v>
      </c>
      <c r="AP26" s="3">
        <f>VLOOKUP($A26&amp;"Total",Rezepte!$D:$AK,34,FALSE)/100*$C26</f>
        <v>0</v>
      </c>
    </row>
    <row r="27" spans="1:42" x14ac:dyDescent="0.25">
      <c r="A27" t="s">
        <v>85</v>
      </c>
      <c r="C27">
        <v>15</v>
      </c>
      <c r="D27" s="47">
        <f t="shared" si="11"/>
        <v>0</v>
      </c>
      <c r="E27" s="47">
        <f t="shared" si="12"/>
        <v>15</v>
      </c>
      <c r="F27" s="32">
        <f t="shared" si="13"/>
        <v>0</v>
      </c>
      <c r="G27" s="32">
        <f t="shared" si="14"/>
        <v>1</v>
      </c>
      <c r="H27" s="55">
        <f t="shared" si="10"/>
        <v>15</v>
      </c>
      <c r="I27" s="55">
        <f t="shared" si="15"/>
        <v>15</v>
      </c>
      <c r="J27" s="34" t="str">
        <f>VLOOKUP($A27&amp;"Total",Rezepte!$D:$Z,19,FALSE)</f>
        <v>constructor</v>
      </c>
      <c r="K27" s="57">
        <f t="shared" si="16"/>
        <v>0</v>
      </c>
      <c r="L27" s="30">
        <f t="shared" si="17"/>
        <v>1.25</v>
      </c>
      <c r="M27" s="51">
        <f>VLOOKUP($A27&amp;"Total",Rezepte!$D:$Z,21,FALSE)</f>
        <v>48</v>
      </c>
      <c r="N27" s="47">
        <f t="shared" si="18"/>
        <v>48</v>
      </c>
      <c r="O27" s="60">
        <f>VLOOKUP($A27&amp;"Total",Rezepte!$D:$Z,20,FALSE)</f>
        <v>4</v>
      </c>
      <c r="P27" s="60">
        <f t="shared" si="19"/>
        <v>4</v>
      </c>
      <c r="Q27" s="47">
        <v>15</v>
      </c>
      <c r="S27" t="str">
        <f>VLOOKUP($A27&amp;"Total",Rezepte!$D:$Z,4,FALSE)</f>
        <v>Steel Ingot</v>
      </c>
      <c r="T27" s="3">
        <f>VLOOKUP($A27&amp;"Total",Rezepte!$D:$Z,5,FALSE)*H27/N27</f>
        <v>3.75</v>
      </c>
      <c r="U27" s="32">
        <f t="shared" si="20"/>
        <v>1</v>
      </c>
      <c r="V27" t="str">
        <f>VLOOKUP($A27&amp;"Total",Rezepte!$D:$Z,7,FALSE)</f>
        <v>nothing</v>
      </c>
      <c r="W27" s="3">
        <f>VLOOKUP($A27&amp;"Total",Rezepte!$D:$Z,8,FALSE)*H27/N27</f>
        <v>0</v>
      </c>
      <c r="X27" s="32">
        <f t="shared" si="21"/>
        <v>0</v>
      </c>
      <c r="Y27" t="str">
        <f>VLOOKUP($A27&amp;"Total",Rezepte!$D:$Z,10,FALSE)</f>
        <v>nothing</v>
      </c>
      <c r="Z27" s="3">
        <f>VLOOKUP($A27&amp;"Total",Rezepte!$D:$Z,11,FALSE)*H27/N27</f>
        <v>0</v>
      </c>
      <c r="AA27" s="32">
        <f t="shared" si="22"/>
        <v>0</v>
      </c>
      <c r="AB27" t="str">
        <f>VLOOKUP($A27&amp;"Total",Rezepte!$D:$Z,13,FALSE)</f>
        <v>nothing</v>
      </c>
      <c r="AC27" s="3">
        <f>VLOOKUP($A27&amp;"Total",Rezepte!$D:$Z,14,FALSE)*H27/N27</f>
        <v>0</v>
      </c>
      <c r="AD27" s="32">
        <f t="shared" si="23"/>
        <v>0</v>
      </c>
      <c r="AF27" s="3">
        <f>VLOOKUP($A27&amp;"Total",Rezepte!$D:$AK,24,FALSE)/100*$C27</f>
        <v>2.5000000000000004</v>
      </c>
      <c r="AG27" s="3">
        <f>VLOOKUP($A27&amp;"Total",Rezepte!$D:$AK,25,FALSE)/100*$C27</f>
        <v>0</v>
      </c>
      <c r="AH27" s="3">
        <f>VLOOKUP($A27&amp;"Total",Rezepte!$D:$AK,26,FALSE)/100*$C27</f>
        <v>0</v>
      </c>
      <c r="AI27" s="3">
        <f>VLOOKUP($A27&amp;"Total",Rezepte!$D:$AK,27,FALSE)/100*$C27</f>
        <v>2.5000000000000004</v>
      </c>
      <c r="AJ27" s="3">
        <f>VLOOKUP($A27&amp;"Total",Rezepte!$D:$AK,28,FALSE)/100*$C27</f>
        <v>0</v>
      </c>
      <c r="AK27" s="3">
        <f>VLOOKUP($A27&amp;"Total",Rezepte!$D:$AK,29,FALSE)/100*$C27</f>
        <v>0</v>
      </c>
      <c r="AL27" s="3">
        <f>VLOOKUP($A27&amp;"Total",Rezepte!$D:$AK,30,FALSE)/100*$C27</f>
        <v>0</v>
      </c>
      <c r="AM27" s="3">
        <f>VLOOKUP($A27&amp;"Total",Rezepte!$D:$AK,31,FALSE)/100*$C27</f>
        <v>0</v>
      </c>
      <c r="AN27" s="3">
        <f>VLOOKUP($A27&amp;"Total",Rezepte!$D:$AK,32,FALSE)/100*$C27</f>
        <v>0</v>
      </c>
      <c r="AO27" s="3">
        <f>VLOOKUP($A27&amp;"Total",Rezepte!$D:$AK,33,FALSE)/100*$C27</f>
        <v>0</v>
      </c>
      <c r="AP27" s="3">
        <f>VLOOKUP($A27&amp;"Total",Rezepte!$D:$AK,34,FALSE)/100*$C27</f>
        <v>0</v>
      </c>
    </row>
    <row r="28" spans="1:42" x14ac:dyDescent="0.25">
      <c r="A28" t="s">
        <v>90</v>
      </c>
      <c r="C28">
        <v>15</v>
      </c>
      <c r="D28" s="47">
        <f t="shared" si="11"/>
        <v>9.3590384615384608</v>
      </c>
      <c r="E28" s="47">
        <f t="shared" si="12"/>
        <v>24.359038461538461</v>
      </c>
      <c r="F28" s="32">
        <f t="shared" si="13"/>
        <v>1</v>
      </c>
      <c r="G28" s="32">
        <f t="shared" si="14"/>
        <v>2</v>
      </c>
      <c r="H28" s="55">
        <f t="shared" si="10"/>
        <v>24.360000000000003</v>
      </c>
      <c r="I28" s="55">
        <f t="shared" si="15"/>
        <v>9.360000000000003</v>
      </c>
      <c r="J28" s="34" t="str">
        <f>VLOOKUP($A28&amp;"Total",Rezepte!$D:$Z,19,FALSE)</f>
        <v>constructor</v>
      </c>
      <c r="K28" s="57">
        <f t="shared" si="16"/>
        <v>1</v>
      </c>
      <c r="L28" s="30">
        <f t="shared" si="17"/>
        <v>6.4960000000000004</v>
      </c>
      <c r="M28" s="51">
        <f>VLOOKUP($A28&amp;"Total",Rezepte!$D:$Z,21,FALSE)</f>
        <v>15</v>
      </c>
      <c r="N28" s="47">
        <f t="shared" si="18"/>
        <v>15</v>
      </c>
      <c r="O28" s="60">
        <f>VLOOKUP($A28&amp;"Total",Rezepte!$D:$Z,20,FALSE)</f>
        <v>4</v>
      </c>
      <c r="P28" s="60">
        <f t="shared" si="19"/>
        <v>4</v>
      </c>
      <c r="Q28" s="47">
        <v>24.36</v>
      </c>
      <c r="S28" t="str">
        <f>VLOOKUP($A28&amp;"Total",Rezepte!$D:$Z,4,FALSE)</f>
        <v>Steel Ingot</v>
      </c>
      <c r="T28" s="3">
        <f>VLOOKUP($A28&amp;"Total",Rezepte!$D:$Z,5,FALSE)*H28/N28</f>
        <v>97.440000000000012</v>
      </c>
      <c r="U28" s="32">
        <f t="shared" si="20"/>
        <v>1</v>
      </c>
      <c r="V28" t="str">
        <f>VLOOKUP($A28&amp;"Total",Rezepte!$D:$Z,7,FALSE)</f>
        <v>nothing</v>
      </c>
      <c r="W28" s="3">
        <f>VLOOKUP($A28&amp;"Total",Rezepte!$D:$Z,8,FALSE)*H28/N28</f>
        <v>0</v>
      </c>
      <c r="X28" s="32">
        <f t="shared" si="21"/>
        <v>0</v>
      </c>
      <c r="Y28" t="str">
        <f>VLOOKUP($A28&amp;"Total",Rezepte!$D:$Z,10,FALSE)</f>
        <v>nothing</v>
      </c>
      <c r="Z28" s="3">
        <f>VLOOKUP($A28&amp;"Total",Rezepte!$D:$Z,11,FALSE)*H28/N28</f>
        <v>0</v>
      </c>
      <c r="AA28" s="32">
        <f t="shared" si="22"/>
        <v>0</v>
      </c>
      <c r="AB28" t="str">
        <f>VLOOKUP($A28&amp;"Total",Rezepte!$D:$Z,13,FALSE)</f>
        <v>nothing</v>
      </c>
      <c r="AC28" s="3">
        <f>VLOOKUP($A28&amp;"Total",Rezepte!$D:$Z,14,FALSE)*H28/N28</f>
        <v>0</v>
      </c>
      <c r="AD28" s="32">
        <f t="shared" si="23"/>
        <v>0</v>
      </c>
      <c r="AF28" s="3">
        <f>VLOOKUP($A28&amp;"Total",Rezepte!$D:$AK,24,FALSE)/100*$C28</f>
        <v>40.000000000000007</v>
      </c>
      <c r="AG28" s="3">
        <f>VLOOKUP($A28&amp;"Total",Rezepte!$D:$AK,25,FALSE)/100*$C28</f>
        <v>0</v>
      </c>
      <c r="AH28" s="3">
        <f>VLOOKUP($A28&amp;"Total",Rezepte!$D:$AK,26,FALSE)/100*$C28</f>
        <v>0</v>
      </c>
      <c r="AI28" s="3">
        <f>VLOOKUP($A28&amp;"Total",Rezepte!$D:$AK,27,FALSE)/100*$C28</f>
        <v>40.000000000000007</v>
      </c>
      <c r="AJ28" s="3">
        <f>VLOOKUP($A28&amp;"Total",Rezepte!$D:$AK,28,FALSE)/100*$C28</f>
        <v>0</v>
      </c>
      <c r="AK28" s="3">
        <f>VLOOKUP($A28&amp;"Total",Rezepte!$D:$AK,29,FALSE)/100*$C28</f>
        <v>0</v>
      </c>
      <c r="AL28" s="3">
        <f>VLOOKUP($A28&amp;"Total",Rezepte!$D:$AK,30,FALSE)/100*$C28</f>
        <v>0</v>
      </c>
      <c r="AM28" s="3">
        <f>VLOOKUP($A28&amp;"Total",Rezepte!$D:$AK,31,FALSE)/100*$C28</f>
        <v>0</v>
      </c>
      <c r="AN28" s="3">
        <f>VLOOKUP($A28&amp;"Total",Rezepte!$D:$AK,32,FALSE)/100*$C28</f>
        <v>0</v>
      </c>
      <c r="AO28" s="3">
        <f>VLOOKUP($A28&amp;"Total",Rezepte!$D:$AK,33,FALSE)/100*$C28</f>
        <v>0</v>
      </c>
      <c r="AP28" s="3">
        <f>VLOOKUP($A28&amp;"Total",Rezepte!$D:$AK,34,FALSE)/100*$C28</f>
        <v>0</v>
      </c>
    </row>
    <row r="29" spans="1:42" x14ac:dyDescent="0.25">
      <c r="A29" t="s">
        <v>87</v>
      </c>
      <c r="C29">
        <v>10</v>
      </c>
      <c r="D29" s="47">
        <f t="shared" si="11"/>
        <v>476.66666666666669</v>
      </c>
      <c r="E29" s="47">
        <f t="shared" si="12"/>
        <v>486.66666666666669</v>
      </c>
      <c r="F29" s="32">
        <f t="shared" si="13"/>
        <v>1</v>
      </c>
      <c r="G29" s="32">
        <f t="shared" si="14"/>
        <v>2</v>
      </c>
      <c r="H29" s="55">
        <f t="shared" si="10"/>
        <v>486.67</v>
      </c>
      <c r="I29" s="55">
        <f t="shared" si="15"/>
        <v>226.67000000000002</v>
      </c>
      <c r="J29" s="34" t="str">
        <f>VLOOKUP($A29&amp;"Total",Rezepte!$D:$Z,19,FALSE)</f>
        <v>constructor</v>
      </c>
      <c r="K29" s="57">
        <f t="shared" si="16"/>
        <v>1</v>
      </c>
      <c r="L29" s="30">
        <f t="shared" si="17"/>
        <v>7.4872307692307691</v>
      </c>
      <c r="M29" s="51">
        <f>VLOOKUP($A29&amp;"Total",Rezepte!$D:$Z,21,FALSE)</f>
        <v>260</v>
      </c>
      <c r="N29" s="47">
        <f t="shared" si="18"/>
        <v>260</v>
      </c>
      <c r="O29" s="60">
        <f>VLOOKUP($A29&amp;"Total",Rezepte!$D:$Z,20,FALSE)</f>
        <v>4</v>
      </c>
      <c r="P29" s="60">
        <f t="shared" si="19"/>
        <v>4</v>
      </c>
      <c r="Q29" s="47">
        <v>486.67</v>
      </c>
      <c r="S29" t="str">
        <f>VLOOKUP($A29&amp;"Total",Rezepte!$D:$Z,4,FALSE)</f>
        <v>Steel Beam</v>
      </c>
      <c r="T29" s="3">
        <f>VLOOKUP($A29&amp;"Total",Rezepte!$D:$Z,5,FALSE)*H29/N29</f>
        <v>9.3590384615384608</v>
      </c>
      <c r="U29" s="32">
        <f t="shared" si="20"/>
        <v>1</v>
      </c>
      <c r="V29" t="str">
        <f>VLOOKUP($A29&amp;"Total",Rezepte!$D:$Z,7,FALSE)</f>
        <v>nothing</v>
      </c>
      <c r="W29" s="3">
        <f>VLOOKUP($A29&amp;"Total",Rezepte!$D:$Z,8,FALSE)*H29/N29</f>
        <v>0</v>
      </c>
      <c r="X29" s="32">
        <f t="shared" si="21"/>
        <v>0</v>
      </c>
      <c r="Y29" t="str">
        <f>VLOOKUP($A29&amp;"Total",Rezepte!$D:$Z,10,FALSE)</f>
        <v>nothing</v>
      </c>
      <c r="Z29" s="3">
        <f>VLOOKUP($A29&amp;"Total",Rezepte!$D:$Z,11,FALSE)*H29/N29</f>
        <v>0</v>
      </c>
      <c r="AA29" s="32">
        <f t="shared" si="22"/>
        <v>0</v>
      </c>
      <c r="AB29" t="str">
        <f>VLOOKUP($A29&amp;"Total",Rezepte!$D:$Z,13,FALSE)</f>
        <v>nothing</v>
      </c>
      <c r="AC29" s="3">
        <f>VLOOKUP($A29&amp;"Total",Rezepte!$D:$Z,14,FALSE)*H29/N29</f>
        <v>0</v>
      </c>
      <c r="AD29" s="32">
        <f t="shared" si="23"/>
        <v>0</v>
      </c>
      <c r="AF29" s="3">
        <f>VLOOKUP($A29&amp;"Total",Rezepte!$D:$AK,24,FALSE)/100*$C29</f>
        <v>0.51282051282051277</v>
      </c>
      <c r="AG29" s="3">
        <f>VLOOKUP($A29&amp;"Total",Rezepte!$D:$AK,25,FALSE)/100*$C29</f>
        <v>0</v>
      </c>
      <c r="AH29" s="3">
        <f>VLOOKUP($A29&amp;"Total",Rezepte!$D:$AK,26,FALSE)/100*$C29</f>
        <v>0</v>
      </c>
      <c r="AI29" s="3">
        <f>VLOOKUP($A29&amp;"Total",Rezepte!$D:$AK,27,FALSE)/100*$C29</f>
        <v>0.51282051282051277</v>
      </c>
      <c r="AJ29" s="3">
        <f>VLOOKUP($A29&amp;"Total",Rezepte!$D:$AK,28,FALSE)/100*$C29</f>
        <v>0</v>
      </c>
      <c r="AK29" s="3">
        <f>VLOOKUP($A29&amp;"Total",Rezepte!$D:$AK,29,FALSE)/100*$C29</f>
        <v>0</v>
      </c>
      <c r="AL29" s="3">
        <f>VLOOKUP($A29&amp;"Total",Rezepte!$D:$AK,30,FALSE)/100*$C29</f>
        <v>0</v>
      </c>
      <c r="AM29" s="3">
        <f>VLOOKUP($A29&amp;"Total",Rezepte!$D:$AK,31,FALSE)/100*$C29</f>
        <v>0</v>
      </c>
      <c r="AN29" s="3">
        <f>VLOOKUP($A29&amp;"Total",Rezepte!$D:$AK,32,FALSE)/100*$C29</f>
        <v>0</v>
      </c>
      <c r="AO29" s="3">
        <f>VLOOKUP($A29&amp;"Total",Rezepte!$D:$AK,33,FALSE)/100*$C29</f>
        <v>0</v>
      </c>
      <c r="AP29" s="3">
        <f>VLOOKUP($A29&amp;"Total",Rezepte!$D:$AK,34,FALSE)/100*$C29</f>
        <v>0</v>
      </c>
    </row>
    <row r="30" spans="1:42" x14ac:dyDescent="0.25">
      <c r="A30" t="s">
        <v>128</v>
      </c>
      <c r="C30">
        <v>15</v>
      </c>
      <c r="D30" s="47">
        <f t="shared" si="11"/>
        <v>556.27072360616842</v>
      </c>
      <c r="E30" s="47">
        <f t="shared" si="12"/>
        <v>571.27072360616842</v>
      </c>
      <c r="F30" s="32">
        <f t="shared" si="13"/>
        <v>4</v>
      </c>
      <c r="G30" s="32">
        <f t="shared" si="14"/>
        <v>29</v>
      </c>
      <c r="H30" s="55">
        <f t="shared" si="10"/>
        <v>571.28</v>
      </c>
      <c r="I30" s="55">
        <f t="shared" si="15"/>
        <v>11.279999999999973</v>
      </c>
      <c r="J30" s="34" t="str">
        <f>VLOOKUP($A30&amp;"Total",Rezepte!$D:$Z,19,FALSE)</f>
        <v>constructor</v>
      </c>
      <c r="K30" s="57">
        <f t="shared" si="16"/>
        <v>4</v>
      </c>
      <c r="L30" s="30">
        <f t="shared" si="17"/>
        <v>114.256</v>
      </c>
      <c r="M30" s="51">
        <f>VLOOKUP($A30&amp;"Total",Rezepte!$D:$Z,21,FALSE)</f>
        <v>20</v>
      </c>
      <c r="N30" s="47">
        <f t="shared" si="18"/>
        <v>20</v>
      </c>
      <c r="O30" s="60">
        <f>VLOOKUP($A30&amp;"Total",Rezepte!$D:$Z,20,FALSE)</f>
        <v>4</v>
      </c>
      <c r="P30" s="60">
        <f t="shared" si="19"/>
        <v>4</v>
      </c>
      <c r="Q30" s="47">
        <v>571.28</v>
      </c>
      <c r="S30" t="str">
        <f>VLOOKUP($A30&amp;"Total",Rezepte!$D:$Z,4,FALSE)</f>
        <v>Steel Ingot</v>
      </c>
      <c r="T30" s="3">
        <f>VLOOKUP($A30&amp;"Total",Rezepte!$D:$Z,5,FALSE)*H30/N30</f>
        <v>856.91999999999985</v>
      </c>
      <c r="U30" s="32">
        <f t="shared" si="20"/>
        <v>2</v>
      </c>
      <c r="V30" t="str">
        <f>VLOOKUP($A30&amp;"Total",Rezepte!$D:$Z,7,FALSE)</f>
        <v>nothing</v>
      </c>
      <c r="W30" s="3">
        <f>VLOOKUP($A30&amp;"Total",Rezepte!$D:$Z,8,FALSE)*H30/N30</f>
        <v>0</v>
      </c>
      <c r="X30" s="32">
        <f t="shared" si="21"/>
        <v>0</v>
      </c>
      <c r="Y30" t="str">
        <f>VLOOKUP($A30&amp;"Total",Rezepte!$D:$Z,10,FALSE)</f>
        <v>nothing</v>
      </c>
      <c r="Z30" s="3">
        <f>VLOOKUP($A30&amp;"Total",Rezepte!$D:$Z,11,FALSE)*H30/N30</f>
        <v>0</v>
      </c>
      <c r="AA30" s="32">
        <f t="shared" si="22"/>
        <v>0</v>
      </c>
      <c r="AB30" t="str">
        <f>VLOOKUP($A30&amp;"Total",Rezepte!$D:$Z,13,FALSE)</f>
        <v>nothing</v>
      </c>
      <c r="AC30" s="3">
        <f>VLOOKUP($A30&amp;"Total",Rezepte!$D:$Z,14,FALSE)*H30/N30</f>
        <v>0</v>
      </c>
      <c r="AD30" s="32">
        <f t="shared" si="23"/>
        <v>0</v>
      </c>
      <c r="AF30" s="3">
        <f>VLOOKUP($A30&amp;"Total",Rezepte!$D:$AK,24,FALSE)/100*$C30</f>
        <v>15</v>
      </c>
      <c r="AG30" s="3">
        <f>VLOOKUP($A30&amp;"Total",Rezepte!$D:$AK,25,FALSE)/100*$C30</f>
        <v>0</v>
      </c>
      <c r="AH30" s="3">
        <f>VLOOKUP($A30&amp;"Total",Rezepte!$D:$AK,26,FALSE)/100*$C30</f>
        <v>0</v>
      </c>
      <c r="AI30" s="3">
        <f>VLOOKUP($A30&amp;"Total",Rezepte!$D:$AK,27,FALSE)/100*$C30</f>
        <v>15</v>
      </c>
      <c r="AJ30" s="3">
        <f>VLOOKUP($A30&amp;"Total",Rezepte!$D:$AK,28,FALSE)/100*$C30</f>
        <v>0</v>
      </c>
      <c r="AK30" s="3">
        <f>VLOOKUP($A30&amp;"Total",Rezepte!$D:$AK,29,FALSE)/100*$C30</f>
        <v>0</v>
      </c>
      <c r="AL30" s="3">
        <f>VLOOKUP($A30&amp;"Total",Rezepte!$D:$AK,30,FALSE)/100*$C30</f>
        <v>0</v>
      </c>
      <c r="AM30" s="3">
        <f>VLOOKUP($A30&amp;"Total",Rezepte!$D:$AK,31,FALSE)/100*$C30</f>
        <v>0</v>
      </c>
      <c r="AN30" s="3">
        <f>VLOOKUP($A30&amp;"Total",Rezepte!$D:$AK,32,FALSE)/100*$C30</f>
        <v>0</v>
      </c>
      <c r="AO30" s="3">
        <f>VLOOKUP($A30&amp;"Total",Rezepte!$D:$AK,33,FALSE)/100*$C30</f>
        <v>0</v>
      </c>
      <c r="AP30" s="3">
        <f>VLOOKUP($A30&amp;"Total",Rezepte!$D:$AK,34,FALSE)/100*$C30</f>
        <v>0</v>
      </c>
    </row>
    <row r="31" spans="1:42" x14ac:dyDescent="0.25">
      <c r="A31" t="s">
        <v>66</v>
      </c>
      <c r="C31">
        <v>15</v>
      </c>
      <c r="D31" s="47">
        <f t="shared" si="11"/>
        <v>324.13914590747328</v>
      </c>
      <c r="E31" s="47">
        <f t="shared" si="12"/>
        <v>339.13914590747328</v>
      </c>
      <c r="F31" s="32">
        <f t="shared" si="13"/>
        <v>2</v>
      </c>
      <c r="G31" s="32">
        <f t="shared" si="14"/>
        <v>23</v>
      </c>
      <c r="H31" s="55">
        <f t="shared" si="10"/>
        <v>339.14</v>
      </c>
      <c r="I31" s="55">
        <f t="shared" si="15"/>
        <v>9.1399999999999864</v>
      </c>
      <c r="J31" s="34" t="str">
        <f>VLOOKUP($A31&amp;"Total",Rezepte!$D:$Z,19,FALSE)</f>
        <v>constructor</v>
      </c>
      <c r="K31" s="57">
        <f t="shared" si="16"/>
        <v>2</v>
      </c>
      <c r="L31" s="30">
        <f t="shared" si="17"/>
        <v>90.437333333333328</v>
      </c>
      <c r="M31" s="51">
        <f>VLOOKUP($A31&amp;"Total",Rezepte!$D:$Z,21,FALSE)</f>
        <v>15</v>
      </c>
      <c r="N31" s="47">
        <f t="shared" si="18"/>
        <v>15</v>
      </c>
      <c r="O31" s="60">
        <f>VLOOKUP($A31&amp;"Total",Rezepte!$D:$Z,20,FALSE)</f>
        <v>4</v>
      </c>
      <c r="P31" s="60">
        <f t="shared" si="19"/>
        <v>4</v>
      </c>
      <c r="Q31" s="47">
        <v>339.14</v>
      </c>
      <c r="S31" t="str">
        <f>VLOOKUP($A31&amp;"Total",Rezepte!$D:$Z,4,FALSE)</f>
        <v>Limestone</v>
      </c>
      <c r="T31" s="3">
        <f>VLOOKUP($A31&amp;"Total",Rezepte!$D:$Z,5,FALSE)*H31/N31</f>
        <v>1017.42</v>
      </c>
      <c r="U31" s="32">
        <f t="shared" si="20"/>
        <v>3</v>
      </c>
      <c r="V31" t="str">
        <f>VLOOKUP($A31&amp;"Total",Rezepte!$D:$Z,7,FALSE)</f>
        <v>nothing</v>
      </c>
      <c r="W31" s="3">
        <f>VLOOKUP($A31&amp;"Total",Rezepte!$D:$Z,8,FALSE)*H31/N31</f>
        <v>0</v>
      </c>
      <c r="X31" s="32">
        <f t="shared" si="21"/>
        <v>0</v>
      </c>
      <c r="Y31" t="str">
        <f>VLOOKUP($A31&amp;"Total",Rezepte!$D:$Z,10,FALSE)</f>
        <v>nothing</v>
      </c>
      <c r="Z31" s="3">
        <f>VLOOKUP($A31&amp;"Total",Rezepte!$D:$Z,11,FALSE)*H31/N31</f>
        <v>0</v>
      </c>
      <c r="AA31" s="32">
        <f t="shared" si="22"/>
        <v>0</v>
      </c>
      <c r="AB31" t="str">
        <f>VLOOKUP($A31&amp;"Total",Rezepte!$D:$Z,13,FALSE)</f>
        <v>nothing</v>
      </c>
      <c r="AC31" s="3">
        <f>VLOOKUP($A31&amp;"Total",Rezepte!$D:$Z,14,FALSE)*H31/N31</f>
        <v>0</v>
      </c>
      <c r="AD31" s="32">
        <f t="shared" si="23"/>
        <v>0</v>
      </c>
      <c r="AF31" s="3">
        <f>VLOOKUP($A31&amp;"Total",Rezepte!$D:$AK,24,FALSE)/100*$C31</f>
        <v>0</v>
      </c>
      <c r="AG31" s="3">
        <f>VLOOKUP($A31&amp;"Total",Rezepte!$D:$AK,25,FALSE)/100*$C31</f>
        <v>0</v>
      </c>
      <c r="AH31" s="3">
        <f>VLOOKUP($A31&amp;"Total",Rezepte!$D:$AK,26,FALSE)/100*$C31</f>
        <v>45</v>
      </c>
      <c r="AI31" s="3">
        <f>VLOOKUP($A31&amp;"Total",Rezepte!$D:$AK,27,FALSE)/100*$C31</f>
        <v>0</v>
      </c>
      <c r="AJ31" s="3">
        <f>VLOOKUP($A31&amp;"Total",Rezepte!$D:$AK,28,FALSE)/100*$C31</f>
        <v>0</v>
      </c>
      <c r="AK31" s="3">
        <f>VLOOKUP($A31&amp;"Total",Rezepte!$D:$AK,29,FALSE)/100*$C31</f>
        <v>0</v>
      </c>
      <c r="AL31" s="3">
        <f>VLOOKUP($A31&amp;"Total",Rezepte!$D:$AK,30,FALSE)/100*$C31</f>
        <v>0</v>
      </c>
      <c r="AM31" s="3">
        <f>VLOOKUP($A31&amp;"Total",Rezepte!$D:$AK,31,FALSE)/100*$C31</f>
        <v>0</v>
      </c>
      <c r="AN31" s="3">
        <f>VLOOKUP($A31&amp;"Total",Rezepte!$D:$AK,32,FALSE)/100*$C31</f>
        <v>0</v>
      </c>
      <c r="AO31" s="3">
        <f>VLOOKUP($A31&amp;"Total",Rezepte!$D:$AK,33,FALSE)/100*$C31</f>
        <v>0</v>
      </c>
      <c r="AP31" s="3">
        <f>VLOOKUP($A31&amp;"Total",Rezepte!$D:$AK,34,FALSE)/100*$C31</f>
        <v>0</v>
      </c>
    </row>
    <row r="32" spans="1:42" x14ac:dyDescent="0.25">
      <c r="A32" t="s">
        <v>126</v>
      </c>
      <c r="C32">
        <v>36</v>
      </c>
      <c r="D32" s="47">
        <f t="shared" si="11"/>
        <v>20.017793594306049</v>
      </c>
      <c r="E32" s="47">
        <f t="shared" si="12"/>
        <v>56.017793594306049</v>
      </c>
      <c r="F32" s="32">
        <f t="shared" si="13"/>
        <v>1</v>
      </c>
      <c r="G32" s="32">
        <f t="shared" si="14"/>
        <v>15</v>
      </c>
      <c r="H32" s="55">
        <f t="shared" si="10"/>
        <v>56.019999999999996</v>
      </c>
      <c r="I32" s="55">
        <f t="shared" si="15"/>
        <v>1.9999999999996021E-2</v>
      </c>
      <c r="J32" s="34" t="str">
        <f>VLOOKUP($A32&amp;"Total",Rezepte!$D:$Z,19,FALSE)</f>
        <v>Assembler</v>
      </c>
      <c r="K32" s="57">
        <f t="shared" si="16"/>
        <v>1</v>
      </c>
      <c r="L32" s="30">
        <f t="shared" si="17"/>
        <v>210.07499999999999</v>
      </c>
      <c r="M32" s="51">
        <f>VLOOKUP($A32&amp;"Total",Rezepte!$D:$Z,21,FALSE)</f>
        <v>4</v>
      </c>
      <c r="N32" s="47">
        <f t="shared" si="18"/>
        <v>4</v>
      </c>
      <c r="O32" s="60">
        <f>VLOOKUP($A32&amp;"Total",Rezepte!$D:$Z,20,FALSE)</f>
        <v>15</v>
      </c>
      <c r="P32" s="60">
        <f t="shared" si="19"/>
        <v>15</v>
      </c>
      <c r="Q32" s="47">
        <v>56.02</v>
      </c>
      <c r="R32" s="65" t="s">
        <v>280</v>
      </c>
      <c r="S32" t="str">
        <f>VLOOKUP($A32&amp;"Total",Rezepte!$D:$Z,4,FALSE)</f>
        <v>Steel Pipe</v>
      </c>
      <c r="T32" s="3">
        <f>VLOOKUP($A32&amp;"Total",Rezepte!$D:$Z,5,FALSE)*H32/N32</f>
        <v>392.14</v>
      </c>
      <c r="U32" s="32">
        <f t="shared" si="20"/>
        <v>1</v>
      </c>
      <c r="V32" t="str">
        <f>VLOOKUP($A32&amp;"Total",Rezepte!$D:$Z,7,FALSE)</f>
        <v>Concrete</v>
      </c>
      <c r="W32" s="3">
        <f>VLOOKUP($A32&amp;"Total",Rezepte!$D:$Z,8,FALSE)*H32/N32</f>
        <v>280.09999999999997</v>
      </c>
      <c r="X32" s="32">
        <f t="shared" si="21"/>
        <v>1</v>
      </c>
      <c r="Y32" t="str">
        <f>VLOOKUP($A32&amp;"Total",Rezepte!$D:$Z,10,FALSE)</f>
        <v>nothing</v>
      </c>
      <c r="Z32" s="3">
        <f>VLOOKUP($A32&amp;"Total",Rezepte!$D:$Z,11,FALSE)*H32/N32</f>
        <v>0</v>
      </c>
      <c r="AA32" s="32">
        <f t="shared" si="22"/>
        <v>0</v>
      </c>
      <c r="AB32" t="str">
        <f>VLOOKUP($A32&amp;"Total",Rezepte!$D:$Z,13,FALSE)</f>
        <v>nothing</v>
      </c>
      <c r="AC32" s="3">
        <f>VLOOKUP($A32&amp;"Total",Rezepte!$D:$Z,14,FALSE)*H32/N32</f>
        <v>0</v>
      </c>
      <c r="AD32" s="32">
        <f t="shared" si="23"/>
        <v>0</v>
      </c>
      <c r="AF32" s="3">
        <f>VLOOKUP($A32&amp;"Total",Rezepte!$D:$AK,24,FALSE)/100*$C32</f>
        <v>252</v>
      </c>
      <c r="AG32" s="3">
        <f>VLOOKUP($A32&amp;"Total",Rezepte!$D:$AK,25,FALSE)/100*$C32</f>
        <v>0</v>
      </c>
      <c r="AH32" s="3">
        <f>VLOOKUP($A32&amp;"Total",Rezepte!$D:$AK,26,FALSE)/100*$C32</f>
        <v>540</v>
      </c>
      <c r="AI32" s="3">
        <f>VLOOKUP($A32&amp;"Total",Rezepte!$D:$AK,27,FALSE)/100*$C32</f>
        <v>252</v>
      </c>
      <c r="AJ32" s="3">
        <f>VLOOKUP($A32&amp;"Total",Rezepte!$D:$AK,28,FALSE)/100*$C32</f>
        <v>0</v>
      </c>
      <c r="AK32" s="3">
        <f>VLOOKUP($A32&amp;"Total",Rezepte!$D:$AK,29,FALSE)/100*$C32</f>
        <v>0</v>
      </c>
      <c r="AL32" s="3">
        <f>VLOOKUP($A32&amp;"Total",Rezepte!$D:$AK,30,FALSE)/100*$C32</f>
        <v>0</v>
      </c>
      <c r="AM32" s="3">
        <f>VLOOKUP($A32&amp;"Total",Rezepte!$D:$AK,31,FALSE)/100*$C32</f>
        <v>0</v>
      </c>
      <c r="AN32" s="3">
        <f>VLOOKUP($A32&amp;"Total",Rezepte!$D:$AK,32,FALSE)/100*$C32</f>
        <v>0</v>
      </c>
      <c r="AO32" s="3">
        <f>VLOOKUP($A32&amp;"Total",Rezepte!$D:$AK,33,FALSE)/100*$C32</f>
        <v>0</v>
      </c>
      <c r="AP32" s="3">
        <f>VLOOKUP($A32&amp;"Total",Rezepte!$D:$AK,34,FALSE)/100*$C32</f>
        <v>0</v>
      </c>
    </row>
    <row r="33" spans="1:42" x14ac:dyDescent="0.25">
      <c r="A33" t="s">
        <v>114</v>
      </c>
      <c r="C33">
        <v>15</v>
      </c>
      <c r="D33" s="47">
        <f t="shared" si="11"/>
        <v>22.013333333333335</v>
      </c>
      <c r="E33" s="51">
        <f t="shared" si="12"/>
        <v>37.013333333333335</v>
      </c>
      <c r="F33" s="32">
        <f t="shared" si="13"/>
        <v>2</v>
      </c>
      <c r="G33" s="32">
        <f t="shared" si="14"/>
        <v>7</v>
      </c>
      <c r="H33" s="55">
        <f>ROUNDUP(E33,2)</f>
        <v>37.019999999999996</v>
      </c>
      <c r="I33" s="55">
        <f t="shared" si="15"/>
        <v>3.2999999999999954</v>
      </c>
      <c r="J33" s="34" t="str">
        <f>VLOOKUP($A33&amp;"Total",Rezepte!$D:$Z,19,FALSE)</f>
        <v>Assembler</v>
      </c>
      <c r="K33" s="57">
        <f t="shared" si="16"/>
        <v>2</v>
      </c>
      <c r="L33" s="30">
        <f t="shared" si="17"/>
        <v>98.72</v>
      </c>
      <c r="M33" s="51">
        <f>VLOOKUP($A33&amp;"Total",Rezepte!$D:$Z,21,FALSE)</f>
        <v>5.625</v>
      </c>
      <c r="N33" s="47">
        <f t="shared" si="18"/>
        <v>5.62</v>
      </c>
      <c r="O33" s="60">
        <f>VLOOKUP($A33&amp;"Total",Rezepte!$D:$Z,20,FALSE)</f>
        <v>15</v>
      </c>
      <c r="P33" s="47">
        <f t="shared" si="19"/>
        <v>14.986666666666668</v>
      </c>
      <c r="Q33" s="47">
        <v>37.020000000000003</v>
      </c>
      <c r="S33" t="str">
        <f>VLOOKUP($A33&amp;"Total",Rezepte!$D:$Z,4,FALSE)</f>
        <v>Iron Plate</v>
      </c>
      <c r="T33" s="3">
        <f>VLOOKUP($A33&amp;"Total",Rezepte!$D:$Z,5,FALSE)*H33/N33</f>
        <v>123.5097864768683</v>
      </c>
      <c r="U33" s="32">
        <f t="shared" si="20"/>
        <v>1</v>
      </c>
      <c r="V33" t="str">
        <f>VLOOKUP($A33&amp;"Total",Rezepte!$D:$Z,7,FALSE)</f>
        <v>Wire</v>
      </c>
      <c r="W33" s="3">
        <f>VLOOKUP($A33&amp;"Total",Rezepte!$D:$Z,8,FALSE)*H33/N33</f>
        <v>247.0195729537366</v>
      </c>
      <c r="X33" s="32">
        <f t="shared" si="21"/>
        <v>1</v>
      </c>
      <c r="Y33" t="str">
        <f>VLOOKUP($A33&amp;"Total",Rezepte!$D:$Z,10,FALSE)</f>
        <v>nothing</v>
      </c>
      <c r="Z33" s="3">
        <f>VLOOKUP($A33&amp;"Total",Rezepte!$D:$Z,11,FALSE)*H33/N33</f>
        <v>0</v>
      </c>
      <c r="AA33" s="32">
        <f t="shared" si="22"/>
        <v>0</v>
      </c>
      <c r="AB33" t="str">
        <f>VLOOKUP($A33&amp;"Total",Rezepte!$D:$Z,13,FALSE)</f>
        <v>nothing</v>
      </c>
      <c r="AC33" s="3">
        <f>VLOOKUP($A33&amp;"Total",Rezepte!$D:$Z,14,FALSE)*H33/N33</f>
        <v>0</v>
      </c>
      <c r="AD33" s="32">
        <f t="shared" si="23"/>
        <v>0</v>
      </c>
      <c r="AF33" s="3">
        <f>VLOOKUP($A33&amp;"Total",Rezepte!$D:$AK,24,FALSE)/100*$C33</f>
        <v>75.000000000000014</v>
      </c>
      <c r="AG33" s="3">
        <f>VLOOKUP($A33&amp;"Total",Rezepte!$D:$AK,25,FALSE)/100*$C33</f>
        <v>0</v>
      </c>
      <c r="AH33" s="3">
        <f>VLOOKUP($A33&amp;"Total",Rezepte!$D:$AK,26,FALSE)/100*$C33</f>
        <v>0</v>
      </c>
      <c r="AI33" s="3">
        <f>VLOOKUP($A33&amp;"Total",Rezepte!$D:$AK,27,FALSE)/100*$C33</f>
        <v>0</v>
      </c>
      <c r="AJ33" s="3">
        <f>VLOOKUP($A33&amp;"Total",Rezepte!$D:$AK,28,FALSE)/100*$C33</f>
        <v>37.500000000000007</v>
      </c>
      <c r="AK33" s="3">
        <f>VLOOKUP($A33&amp;"Total",Rezepte!$D:$AK,29,FALSE)/100*$C33</f>
        <v>0</v>
      </c>
      <c r="AL33" s="3">
        <f>VLOOKUP($A33&amp;"Total",Rezepte!$D:$AK,30,FALSE)/100*$C33</f>
        <v>0</v>
      </c>
      <c r="AM33" s="3">
        <f>VLOOKUP($A33&amp;"Total",Rezepte!$D:$AK,31,FALSE)/100*$C33</f>
        <v>0</v>
      </c>
      <c r="AN33" s="3">
        <f>VLOOKUP($A33&amp;"Total",Rezepte!$D:$AK,32,FALSE)/100*$C33</f>
        <v>0</v>
      </c>
      <c r="AO33" s="3">
        <f>VLOOKUP($A33&amp;"Total",Rezepte!$D:$AK,33,FALSE)/100*$C33</f>
        <v>0</v>
      </c>
      <c r="AP33" s="3">
        <f>VLOOKUP($A33&amp;"Total",Rezepte!$D:$AK,34,FALSE)/100*$C33</f>
        <v>0</v>
      </c>
    </row>
    <row r="34" spans="1:42" x14ac:dyDescent="0.25">
      <c r="A34" t="s">
        <v>132</v>
      </c>
      <c r="C34">
        <v>2</v>
      </c>
      <c r="D34" s="47">
        <f t="shared" si="11"/>
        <v>16.014234875444838</v>
      </c>
      <c r="E34" s="47">
        <f t="shared" si="12"/>
        <v>18.014234875444838</v>
      </c>
      <c r="F34" s="32">
        <f t="shared" si="13"/>
        <v>1</v>
      </c>
      <c r="G34" s="32">
        <f t="shared" si="14"/>
        <v>7</v>
      </c>
      <c r="H34" s="55">
        <f t="shared" ref="H34:H61" si="24">ROUNDUP(E34,2)</f>
        <v>18.020000000000003</v>
      </c>
      <c r="I34" s="55">
        <f t="shared" si="15"/>
        <v>2.0000000000003126E-2</v>
      </c>
      <c r="J34" s="34" t="str">
        <f>VLOOKUP($A34&amp;"Total",Rezepte!$D:$Z,19,FALSE)</f>
        <v>Assembler</v>
      </c>
      <c r="K34" s="57">
        <f t="shared" si="16"/>
        <v>1</v>
      </c>
      <c r="L34" s="30">
        <f t="shared" si="17"/>
        <v>90.100000000000023</v>
      </c>
      <c r="M34" s="51">
        <f>VLOOKUP($A34&amp;"Total",Rezepte!$D:$Z,21,FALSE)</f>
        <v>3</v>
      </c>
      <c r="N34" s="47">
        <f t="shared" si="18"/>
        <v>3</v>
      </c>
      <c r="O34" s="60">
        <f>VLOOKUP($A34&amp;"Total",Rezepte!$D:$Z,20,FALSE)</f>
        <v>15</v>
      </c>
      <c r="P34" s="60">
        <f t="shared" si="19"/>
        <v>15</v>
      </c>
      <c r="Q34" s="47">
        <v>18.02</v>
      </c>
      <c r="R34" s="65" t="s">
        <v>280</v>
      </c>
      <c r="S34" t="str">
        <f>VLOOKUP($A34&amp;"Total",Rezepte!$D:$Z,4,FALSE)</f>
        <v>reinforced Plate</v>
      </c>
      <c r="T34" s="3">
        <f>VLOOKUP($A34&amp;"Total",Rezepte!$D:$Z,5,FALSE)*H34/N34</f>
        <v>12.013333333333335</v>
      </c>
      <c r="U34" s="32">
        <f t="shared" si="20"/>
        <v>1</v>
      </c>
      <c r="V34" t="str">
        <f>VLOOKUP($A34&amp;"Total",Rezepte!$D:$Z,7,FALSE)</f>
        <v>Steel Pipe</v>
      </c>
      <c r="W34" s="3">
        <f>VLOOKUP($A34&amp;"Total",Rezepte!$D:$Z,8,FALSE)*H34/N34</f>
        <v>60.066666666666684</v>
      </c>
      <c r="X34" s="32">
        <f t="shared" si="21"/>
        <v>1</v>
      </c>
      <c r="Y34" t="str">
        <f>VLOOKUP($A34&amp;"Total",Rezepte!$D:$Z,10,FALSE)</f>
        <v>nothing</v>
      </c>
      <c r="Z34" s="3">
        <f>VLOOKUP($A34&amp;"Total",Rezepte!$D:$Z,11,FALSE)*H34/N34</f>
        <v>0</v>
      </c>
      <c r="AA34" s="32">
        <f t="shared" si="22"/>
        <v>0</v>
      </c>
      <c r="AB34" t="str">
        <f>VLOOKUP($A34&amp;"Total",Rezepte!$D:$Z,13,FALSE)</f>
        <v>nothing</v>
      </c>
      <c r="AC34" s="3">
        <f>VLOOKUP($A34&amp;"Total",Rezepte!$D:$Z,14,FALSE)*H34/N34</f>
        <v>0</v>
      </c>
      <c r="AD34" s="32">
        <f t="shared" si="23"/>
        <v>0</v>
      </c>
      <c r="AF34" s="3">
        <f>VLOOKUP($A34&amp;"Total",Rezepte!$D:$AK,24,FALSE)/100*$C34</f>
        <v>13.333333333333336</v>
      </c>
      <c r="AG34" s="3">
        <f>VLOOKUP($A34&amp;"Total",Rezepte!$D:$AK,25,FALSE)/100*$C34</f>
        <v>0</v>
      </c>
      <c r="AH34" s="3">
        <f>VLOOKUP($A34&amp;"Total",Rezepte!$D:$AK,26,FALSE)/100*$C34</f>
        <v>0</v>
      </c>
      <c r="AI34" s="3">
        <f>VLOOKUP($A34&amp;"Total",Rezepte!$D:$AK,27,FALSE)/100*$C34</f>
        <v>6.6666666666666679</v>
      </c>
      <c r="AJ34" s="3">
        <f>VLOOKUP($A34&amp;"Total",Rezepte!$D:$AK,28,FALSE)/100*$C34</f>
        <v>3.3333333333333344</v>
      </c>
      <c r="AK34" s="3">
        <f>VLOOKUP($A34&amp;"Total",Rezepte!$D:$AK,29,FALSE)/100*$C34</f>
        <v>0</v>
      </c>
      <c r="AL34" s="3">
        <f>VLOOKUP($A34&amp;"Total",Rezepte!$D:$AK,30,FALSE)/100*$C34</f>
        <v>0</v>
      </c>
      <c r="AM34" s="3">
        <f>VLOOKUP($A34&amp;"Total",Rezepte!$D:$AK,31,FALSE)/100*$C34</f>
        <v>0</v>
      </c>
      <c r="AN34" s="3">
        <f>VLOOKUP($A34&amp;"Total",Rezepte!$D:$AK,32,FALSE)/100*$C34</f>
        <v>0</v>
      </c>
      <c r="AO34" s="3">
        <f>VLOOKUP($A34&amp;"Total",Rezepte!$D:$AK,33,FALSE)/100*$C34</f>
        <v>0</v>
      </c>
      <c r="AP34" s="3">
        <f>VLOOKUP($A34&amp;"Total",Rezepte!$D:$AK,34,FALSE)/100*$C34</f>
        <v>0</v>
      </c>
    </row>
    <row r="35" spans="1:42" x14ac:dyDescent="0.25">
      <c r="A35" t="s">
        <v>136</v>
      </c>
      <c r="C35">
        <v>5</v>
      </c>
      <c r="D35" s="47">
        <f t="shared" si="11"/>
        <v>1</v>
      </c>
      <c r="E35" s="47">
        <f t="shared" si="12"/>
        <v>6</v>
      </c>
      <c r="F35" s="32">
        <f t="shared" si="13"/>
        <v>1</v>
      </c>
      <c r="G35" s="32">
        <f t="shared" si="14"/>
        <v>3</v>
      </c>
      <c r="H35" s="55">
        <f t="shared" si="24"/>
        <v>6</v>
      </c>
      <c r="I35" s="55">
        <f t="shared" si="15"/>
        <v>0.37999999999999989</v>
      </c>
      <c r="J35" s="34" t="str">
        <f>VLOOKUP($A35&amp;"Total",Rezepte!$D:$Z,19,FALSE)</f>
        <v>Manufactirer</v>
      </c>
      <c r="K35" s="57">
        <f t="shared" si="16"/>
        <v>1</v>
      </c>
      <c r="L35" s="30">
        <f t="shared" si="17"/>
        <v>117.33333333333333</v>
      </c>
      <c r="M35" s="51">
        <f>VLOOKUP($A35&amp;"Total",Rezepte!$D:$Z,21,FALSE)</f>
        <v>2.8125</v>
      </c>
      <c r="N35" s="47">
        <f t="shared" si="18"/>
        <v>2.81</v>
      </c>
      <c r="O35" s="60">
        <f>VLOOKUP($A35&amp;"Total",Rezepte!$D:$Z,20,FALSE)</f>
        <v>55</v>
      </c>
      <c r="P35" s="60">
        <f t="shared" si="19"/>
        <v>54.951111111111118</v>
      </c>
      <c r="Q35" s="47">
        <v>6</v>
      </c>
      <c r="S35" t="str">
        <f>VLOOKUP($A35&amp;"Total",Rezepte!$D:$Z,4,FALSE)</f>
        <v>Modular Frame</v>
      </c>
      <c r="T35" s="3">
        <f>VLOOKUP($A35&amp;"Total",Rezepte!$D:$Z,5,FALSE)*H35/N35</f>
        <v>16.014234875444838</v>
      </c>
      <c r="U35" s="32">
        <f t="shared" si="20"/>
        <v>1</v>
      </c>
      <c r="V35" t="str">
        <f>VLOOKUP($A35&amp;"Total",Rezepte!$D:$Z,7,FALSE)</f>
        <v>Encased Industrial Beam</v>
      </c>
      <c r="W35" s="3">
        <f>VLOOKUP($A35&amp;"Total",Rezepte!$D:$Z,8,FALSE)*H35/N35</f>
        <v>20.017793594306049</v>
      </c>
      <c r="X35" s="32">
        <f t="shared" si="21"/>
        <v>1</v>
      </c>
      <c r="Y35" t="str">
        <f>VLOOKUP($A35&amp;"Total",Rezepte!$D:$Z,10,FALSE)</f>
        <v>Steel Pipe</v>
      </c>
      <c r="Z35" s="3">
        <f>VLOOKUP($A35&amp;"Total",Rezepte!$D:$Z,11,FALSE)*H35/N35</f>
        <v>72.064056939501782</v>
      </c>
      <c r="AA35" s="32">
        <f t="shared" si="22"/>
        <v>1</v>
      </c>
      <c r="AB35" t="str">
        <f>VLOOKUP($A35&amp;"Total",Rezepte!$D:$Z,13,FALSE)</f>
        <v>Concrete</v>
      </c>
      <c r="AC35" s="3">
        <f>VLOOKUP($A35&amp;"Total",Rezepte!$D:$Z,14,FALSE)*H35/N35</f>
        <v>44.039145907473312</v>
      </c>
      <c r="AD35" s="32">
        <f t="shared" si="23"/>
        <v>1</v>
      </c>
      <c r="AF35" s="3">
        <f>VLOOKUP($A35&amp;"Total",Rezepte!$D:$AK,24,FALSE)/100*$C35</f>
        <v>265.5555555555556</v>
      </c>
      <c r="AG35" s="3">
        <f>VLOOKUP($A35&amp;"Total",Rezepte!$D:$AK,25,FALSE)/100*$C35</f>
        <v>0</v>
      </c>
      <c r="AH35" s="3">
        <f>VLOOKUP($A35&amp;"Total",Rezepte!$D:$AK,26,FALSE)/100*$C35</f>
        <v>360.00000000000006</v>
      </c>
      <c r="AI35" s="3">
        <f>VLOOKUP($A35&amp;"Total",Rezepte!$D:$AK,27,FALSE)/100*$C35</f>
        <v>221.11111111111114</v>
      </c>
      <c r="AJ35" s="3">
        <f>VLOOKUP($A35&amp;"Total",Rezepte!$D:$AK,28,FALSE)/100*$C35</f>
        <v>22.222222222222229</v>
      </c>
      <c r="AK35" s="3">
        <f>VLOOKUP($A35&amp;"Total",Rezepte!$D:$AK,29,FALSE)/100*$C35</f>
        <v>0</v>
      </c>
      <c r="AL35" s="3">
        <f>VLOOKUP($A35&amp;"Total",Rezepte!$D:$AK,30,FALSE)/100*$C35</f>
        <v>0</v>
      </c>
      <c r="AM35" s="3">
        <f>VLOOKUP($A35&amp;"Total",Rezepte!$D:$AK,31,FALSE)/100*$C35</f>
        <v>0</v>
      </c>
      <c r="AN35" s="3">
        <f>VLOOKUP($A35&amp;"Total",Rezepte!$D:$AK,32,FALSE)/100*$C35</f>
        <v>0</v>
      </c>
      <c r="AO35" s="3">
        <f>VLOOKUP($A35&amp;"Total",Rezepte!$D:$AK,33,FALSE)/100*$C35</f>
        <v>0</v>
      </c>
      <c r="AP35" s="3">
        <f>VLOOKUP($A35&amp;"Total",Rezepte!$D:$AK,34,FALSE)/100*$C35</f>
        <v>0</v>
      </c>
    </row>
    <row r="36" spans="1:42" x14ac:dyDescent="0.25">
      <c r="A36" t="s">
        <v>139</v>
      </c>
      <c r="C36">
        <v>10</v>
      </c>
      <c r="D36" s="47">
        <f t="shared" si="11"/>
        <v>17.5</v>
      </c>
      <c r="E36" s="47">
        <f t="shared" si="12"/>
        <v>27.5</v>
      </c>
      <c r="F36" s="32">
        <f t="shared" si="13"/>
        <v>2</v>
      </c>
      <c r="G36" s="32">
        <f t="shared" si="14"/>
        <v>3</v>
      </c>
      <c r="H36" s="55">
        <f t="shared" si="24"/>
        <v>27.5</v>
      </c>
      <c r="I36" s="55">
        <f t="shared" si="15"/>
        <v>5</v>
      </c>
      <c r="J36" s="34" t="str">
        <f>VLOOKUP($A36&amp;"Total",Rezepte!$D:$Z,19,FALSE)</f>
        <v>Assembler</v>
      </c>
      <c r="K36" s="57">
        <f t="shared" si="16"/>
        <v>2</v>
      </c>
      <c r="L36" s="30">
        <f t="shared" si="17"/>
        <v>36.666666666666671</v>
      </c>
      <c r="M36" s="51">
        <f>VLOOKUP($A36&amp;"Total",Rezepte!$D:$Z,21,FALSE)</f>
        <v>11.25</v>
      </c>
      <c r="N36" s="47">
        <f t="shared" si="18"/>
        <v>11.25</v>
      </c>
      <c r="O36" s="60">
        <f>VLOOKUP($A36&amp;"Total",Rezepte!$D:$Z,20,FALSE)</f>
        <v>15</v>
      </c>
      <c r="P36" s="60">
        <f t="shared" si="19"/>
        <v>15</v>
      </c>
      <c r="Q36" s="47">
        <v>27.5</v>
      </c>
      <c r="S36" t="str">
        <f>VLOOKUP($A36&amp;"Total",Rezepte!$D:$Z,4,FALSE)</f>
        <v>Copper Sheet</v>
      </c>
      <c r="T36" s="3">
        <f>VLOOKUP($A36&amp;"Total",Rezepte!$D:$Z,5,FALSE)*H36/N36</f>
        <v>55</v>
      </c>
      <c r="U36" s="32">
        <f t="shared" si="20"/>
        <v>1</v>
      </c>
      <c r="V36" t="str">
        <f>VLOOKUP($A36&amp;"Total",Rezepte!$D:$Z,7,FALSE)</f>
        <v>Screw</v>
      </c>
      <c r="W36" s="3">
        <f>VLOOKUP($A36&amp;"Total",Rezepte!$D:$Z,8,FALSE)*H36/N36</f>
        <v>476.66666666666669</v>
      </c>
      <c r="X36" s="32">
        <f t="shared" si="21"/>
        <v>1</v>
      </c>
      <c r="Y36" t="str">
        <f>VLOOKUP($A36&amp;"Total",Rezepte!$D:$Z,10,FALSE)</f>
        <v>nothing</v>
      </c>
      <c r="Z36" s="3">
        <f>VLOOKUP($A36&amp;"Total",Rezepte!$D:$Z,11,FALSE)*H36/N36</f>
        <v>0</v>
      </c>
      <c r="AA36" s="32">
        <f t="shared" si="22"/>
        <v>0</v>
      </c>
      <c r="AB36" t="str">
        <f>VLOOKUP($A36&amp;"Total",Rezepte!$D:$Z,13,FALSE)</f>
        <v>nothing</v>
      </c>
      <c r="AC36" s="3">
        <f>VLOOKUP($A36&amp;"Total",Rezepte!$D:$Z,14,FALSE)*H36/N36</f>
        <v>0</v>
      </c>
      <c r="AD36" s="32">
        <f t="shared" si="23"/>
        <v>0</v>
      </c>
      <c r="AF36" s="3">
        <f>VLOOKUP($A36&amp;"Total",Rezepte!$D:$AK,24,FALSE)/100*$C36</f>
        <v>8.8888888888888893</v>
      </c>
      <c r="AG36" s="3">
        <f>VLOOKUP($A36&amp;"Total",Rezepte!$D:$AK,25,FALSE)/100*$C36</f>
        <v>40</v>
      </c>
      <c r="AH36" s="3">
        <f>VLOOKUP($A36&amp;"Total",Rezepte!$D:$AK,26,FALSE)/100*$C36</f>
        <v>0</v>
      </c>
      <c r="AI36" s="3">
        <f>VLOOKUP($A36&amp;"Total",Rezepte!$D:$AK,27,FALSE)/100*$C36</f>
        <v>8.8888888888888893</v>
      </c>
      <c r="AJ36" s="3">
        <f>VLOOKUP($A36&amp;"Total",Rezepte!$D:$AK,28,FALSE)/100*$C36</f>
        <v>0</v>
      </c>
      <c r="AK36" s="3">
        <f>VLOOKUP($A36&amp;"Total",Rezepte!$D:$AK,29,FALSE)/100*$C36</f>
        <v>0</v>
      </c>
      <c r="AL36" s="3">
        <f>VLOOKUP($A36&amp;"Total",Rezepte!$D:$AK,30,FALSE)/100*$C36</f>
        <v>0</v>
      </c>
      <c r="AM36" s="3">
        <f>VLOOKUP($A36&amp;"Total",Rezepte!$D:$AK,31,FALSE)/100*$C36</f>
        <v>0</v>
      </c>
      <c r="AN36" s="3">
        <f>VLOOKUP($A36&amp;"Total",Rezepte!$D:$AK,32,FALSE)/100*$C36</f>
        <v>0</v>
      </c>
      <c r="AO36" s="3">
        <f>VLOOKUP($A36&amp;"Total",Rezepte!$D:$AK,33,FALSE)/100*$C36</f>
        <v>0</v>
      </c>
      <c r="AP36" s="3">
        <f>VLOOKUP($A36&amp;"Total",Rezepte!$D:$AK,34,FALSE)/100*$C36</f>
        <v>0</v>
      </c>
    </row>
    <row r="37" spans="1:42" x14ac:dyDescent="0.25">
      <c r="A37" t="s">
        <v>117</v>
      </c>
      <c r="C37">
        <v>1</v>
      </c>
      <c r="D37" s="47">
        <f t="shared" si="11"/>
        <v>15</v>
      </c>
      <c r="E37" s="47">
        <f t="shared" si="12"/>
        <v>16</v>
      </c>
      <c r="F37" s="32">
        <f t="shared" si="13"/>
        <v>2</v>
      </c>
      <c r="G37" s="32">
        <f t="shared" si="14"/>
        <v>2</v>
      </c>
      <c r="H37" s="55">
        <f t="shared" si="24"/>
        <v>16</v>
      </c>
      <c r="I37" s="55">
        <f t="shared" si="15"/>
        <v>0</v>
      </c>
      <c r="J37" s="34" t="str">
        <f>VLOOKUP($A37&amp;"Total",Rezepte!$D:$Z,19,FALSE)</f>
        <v>Assembler</v>
      </c>
      <c r="K37" s="57">
        <f t="shared" si="16"/>
        <v>2</v>
      </c>
      <c r="L37" s="30">
        <f t="shared" si="17"/>
        <v>30</v>
      </c>
      <c r="M37" s="51">
        <f>VLOOKUP($A37&amp;"Total",Rezepte!$D:$Z,21,FALSE)</f>
        <v>8</v>
      </c>
      <c r="N37" s="47">
        <f t="shared" si="18"/>
        <v>8</v>
      </c>
      <c r="O37" s="60">
        <f>VLOOKUP($A37&amp;"Total",Rezepte!$D:$Z,20,FALSE)</f>
        <v>15</v>
      </c>
      <c r="P37" s="60">
        <f t="shared" si="19"/>
        <v>15</v>
      </c>
      <c r="Q37" s="47">
        <v>16</v>
      </c>
      <c r="S37" t="str">
        <f>VLOOKUP($A37&amp;"Total",Rezepte!$D:$Z,4,FALSE)</f>
        <v>Steel Pipe</v>
      </c>
      <c r="T37" s="3">
        <f>VLOOKUP($A37&amp;"Total",Rezepte!$D:$Z,5,FALSE)*H37/N37</f>
        <v>32</v>
      </c>
      <c r="U37" s="32">
        <f t="shared" si="20"/>
        <v>1</v>
      </c>
      <c r="V37" t="str">
        <f>VLOOKUP($A37&amp;"Total",Rezepte!$D:$Z,7,FALSE)</f>
        <v>Quickwire</v>
      </c>
      <c r="W37" s="3">
        <f>VLOOKUP($A37&amp;"Total",Rezepte!$D:$Z,8,FALSE)*H37/N37</f>
        <v>120</v>
      </c>
      <c r="X37" s="32">
        <f t="shared" si="21"/>
        <v>1</v>
      </c>
      <c r="Y37" t="str">
        <f>VLOOKUP($A37&amp;"Total",Rezepte!$D:$Z,10,FALSE)</f>
        <v>nothing</v>
      </c>
      <c r="Z37" s="3">
        <f>VLOOKUP($A37&amp;"Total",Rezepte!$D:$Z,11,FALSE)*H37/N37</f>
        <v>0</v>
      </c>
      <c r="AA37" s="32">
        <f t="shared" si="22"/>
        <v>0</v>
      </c>
      <c r="AB37" t="str">
        <f>VLOOKUP($A37&amp;"Total",Rezepte!$D:$Z,13,FALSE)</f>
        <v>nothing</v>
      </c>
      <c r="AC37" s="3">
        <f>VLOOKUP($A37&amp;"Total",Rezepte!$D:$Z,14,FALSE)*H37/N37</f>
        <v>0</v>
      </c>
      <c r="AD37" s="32">
        <f t="shared" si="23"/>
        <v>0</v>
      </c>
      <c r="AF37" s="3">
        <f>VLOOKUP($A37&amp;"Total",Rezepte!$D:$AK,24,FALSE)/100*$C37</f>
        <v>2</v>
      </c>
      <c r="AG37" s="3">
        <f>VLOOKUP($A37&amp;"Total",Rezepte!$D:$AK,25,FALSE)/100*$C37</f>
        <v>0</v>
      </c>
      <c r="AH37" s="3">
        <f>VLOOKUP($A37&amp;"Total",Rezepte!$D:$AK,26,FALSE)/100*$C37</f>
        <v>0</v>
      </c>
      <c r="AI37" s="3">
        <f>VLOOKUP($A37&amp;"Total",Rezepte!$D:$AK,27,FALSE)/100*$C37</f>
        <v>2</v>
      </c>
      <c r="AJ37" s="3">
        <f>VLOOKUP($A37&amp;"Total",Rezepte!$D:$AK,28,FALSE)/100*$C37</f>
        <v>4.5</v>
      </c>
      <c r="AK37" s="3">
        <f>VLOOKUP($A37&amp;"Total",Rezepte!$D:$AK,29,FALSE)/100*$C37</f>
        <v>0</v>
      </c>
      <c r="AL37" s="3">
        <f>VLOOKUP($A37&amp;"Total",Rezepte!$D:$AK,30,FALSE)/100*$C37</f>
        <v>0</v>
      </c>
      <c r="AM37" s="3">
        <f>VLOOKUP($A37&amp;"Total",Rezepte!$D:$AK,31,FALSE)/100*$C37</f>
        <v>0</v>
      </c>
      <c r="AN37" s="3">
        <f>VLOOKUP($A37&amp;"Total",Rezepte!$D:$AK,32,FALSE)/100*$C37</f>
        <v>0</v>
      </c>
      <c r="AO37" s="3">
        <f>VLOOKUP($A37&amp;"Total",Rezepte!$D:$AK,33,FALSE)/100*$C37</f>
        <v>0</v>
      </c>
      <c r="AP37" s="3">
        <f>VLOOKUP($A37&amp;"Total",Rezepte!$D:$AK,34,FALSE)/100*$C37</f>
        <v>0</v>
      </c>
    </row>
    <row r="38" spans="1:42" x14ac:dyDescent="0.25">
      <c r="D38" s="47"/>
      <c r="E38" s="47"/>
      <c r="J38" s="33"/>
      <c r="K38" s="57"/>
      <c r="M38" s="51"/>
      <c r="N38" s="47"/>
      <c r="X38" s="32"/>
      <c r="AA38" s="32"/>
      <c r="AD38" s="32"/>
    </row>
    <row r="39" spans="1:42" x14ac:dyDescent="0.25">
      <c r="D39" s="47"/>
      <c r="E39" s="47"/>
      <c r="J39" s="34"/>
      <c r="K39" s="57"/>
      <c r="M39" s="51"/>
      <c r="N39" s="47"/>
      <c r="X39" s="32"/>
      <c r="AA39" s="32"/>
      <c r="AD39" s="32"/>
    </row>
    <row r="40" spans="1:42" x14ac:dyDescent="0.25">
      <c r="A40" t="s">
        <v>61</v>
      </c>
      <c r="D40" s="47">
        <f t="shared" ref="D40:D46" si="25">SUMIFS(T:T,S:S,A40)+SUMIFS(W:W,V:V,A40)+SUMIFS(Z:Z,Y:Y,A40)+SUMIFS(AC:AC,AB:AB,A40)</f>
        <v>369.1</v>
      </c>
      <c r="E40" s="47">
        <f t="shared" ref="E40:E46" si="26">D40+C40</f>
        <v>369.1</v>
      </c>
      <c r="F40" s="32">
        <f t="shared" ref="F40:F46" si="27">COUNTIFS(S:S,A40,T:T,"&gt;0")+COUNTIFS(V:V,A40,W:W,"&gt;0")+COUNTIFS(Y:Y,A40,Z:Z,"&gt;0")+COUNTIFS(AB:AB,A40,AC:AC,"&gt;0")</f>
        <v>1</v>
      </c>
      <c r="G40" s="32">
        <f t="shared" ref="G40:G46" si="28">ROUNDUP(H40/N40,0)</f>
        <v>13</v>
      </c>
      <c r="H40" s="55">
        <f t="shared" si="24"/>
        <v>369.1</v>
      </c>
      <c r="I40" s="55">
        <f t="shared" ref="I40:I46" si="29">MOD(H40,N40)</f>
        <v>9.1000000000000227</v>
      </c>
      <c r="J40" s="34" t="str">
        <f>VLOOKUP($A40&amp;"Total",Rezepte!$D:$Z,19,FALSE)</f>
        <v>smelter</v>
      </c>
      <c r="K40" s="57">
        <f t="shared" ref="K40:K46" si="30">SUMIFS(U:U,S:S,A40)+SUMIFS(X:X,V:V,A40)+SUMIFS(AA:AA,Y:Y,A40)+SUMIFS(AD:AD,AB:AB,A40)</f>
        <v>1</v>
      </c>
      <c r="L40" s="30">
        <f t="shared" ref="L40:L46" si="31">H40/N40*P40</f>
        <v>49.213333333333338</v>
      </c>
      <c r="M40" s="51">
        <f>VLOOKUP($A40&amp;"Total",Rezepte!$D:$Z,21,FALSE)</f>
        <v>30</v>
      </c>
      <c r="N40" s="47">
        <f t="shared" ref="N40:N46" si="32">ROUNDDOWN(M40,2)</f>
        <v>30</v>
      </c>
      <c r="O40" s="60">
        <f>VLOOKUP($A40&amp;"Total",Rezepte!$D:$Z,20,FALSE)</f>
        <v>4</v>
      </c>
      <c r="P40" s="60">
        <f t="shared" ref="P40:P46" si="33">N40/M40*O40</f>
        <v>4</v>
      </c>
      <c r="Q40" s="47">
        <v>369.1</v>
      </c>
      <c r="S40" t="str">
        <f>VLOOKUP($A40&amp;"Total",Rezepte!$D:$Z,4,FALSE)</f>
        <v>Copper Ore</v>
      </c>
      <c r="T40" s="3">
        <f>VLOOKUP($A40&amp;"Total",Rezepte!$D:$Z,5,FALSE)*H40/N40</f>
        <v>369.1</v>
      </c>
      <c r="U40" s="32">
        <f t="shared" ref="U40:U46" si="34">ROUNDUP(T40/$S$78,0)</f>
        <v>1</v>
      </c>
      <c r="V40" t="str">
        <f>VLOOKUP($A40&amp;"Total",Rezepte!$D:$Z,7,FALSE)</f>
        <v>nothing</v>
      </c>
      <c r="W40" s="3">
        <f>VLOOKUP($A40&amp;"Total",Rezepte!$D:$Z,8,FALSE)*H40/N40</f>
        <v>0</v>
      </c>
      <c r="X40" s="32">
        <f t="shared" ref="X40:X46" si="35">ROUNDUP(W40/$S$78,0)</f>
        <v>0</v>
      </c>
      <c r="Y40" t="str">
        <f>VLOOKUP($A40&amp;"Total",Rezepte!$D:$Z,10,FALSE)</f>
        <v>nothing</v>
      </c>
      <c r="Z40" s="3">
        <f>VLOOKUP($A40&amp;"Total",Rezepte!$D:$Z,11,FALSE)*H40/N40</f>
        <v>0</v>
      </c>
      <c r="AA40" s="32">
        <f t="shared" ref="AA40:AA46" si="36">ROUNDUP(Z40/$S$78,0)</f>
        <v>0</v>
      </c>
      <c r="AB40" t="str">
        <f>VLOOKUP($A40&amp;"Total",Rezepte!$D:$Z,13,FALSE)</f>
        <v>nothing</v>
      </c>
      <c r="AC40" s="3">
        <f>VLOOKUP($A40&amp;"Total",Rezepte!$D:$Z,14,FALSE)*H40/N40</f>
        <v>0</v>
      </c>
      <c r="AD40" s="32">
        <f t="shared" ref="AD40:AD46" si="37">ROUNDUP(AC40/$S$78,0)</f>
        <v>0</v>
      </c>
      <c r="AF40" s="3">
        <f>VLOOKUP($A40&amp;"Total",Rezepte!$D:$AK,24,FALSE)/100*$C40</f>
        <v>0</v>
      </c>
      <c r="AG40" s="3">
        <f>VLOOKUP($A40&amp;"Total",Rezepte!$D:$AK,25,FALSE)/100*$C40</f>
        <v>0</v>
      </c>
      <c r="AH40" s="3">
        <f>VLOOKUP($A40&amp;"Total",Rezepte!$D:$AK,26,FALSE)/100*$C40</f>
        <v>0</v>
      </c>
      <c r="AI40" s="3">
        <f>VLOOKUP($A40&amp;"Total",Rezepte!$D:$AK,27,FALSE)/100*$C40</f>
        <v>0</v>
      </c>
      <c r="AJ40" s="3">
        <f>VLOOKUP($A40&amp;"Total",Rezepte!$D:$AK,28,FALSE)/100*$C40</f>
        <v>0</v>
      </c>
      <c r="AK40" s="3">
        <f>VLOOKUP($A40&amp;"Total",Rezepte!$D:$AK,29,FALSE)/100*$C40</f>
        <v>0</v>
      </c>
      <c r="AL40" s="3">
        <f>VLOOKUP($A40&amp;"Total",Rezepte!$D:$AK,30,FALSE)/100*$C40</f>
        <v>0</v>
      </c>
      <c r="AM40" s="3">
        <f>VLOOKUP($A40&amp;"Total",Rezepte!$D:$AK,31,FALSE)/100*$C40</f>
        <v>0</v>
      </c>
      <c r="AN40" s="3">
        <f>VLOOKUP($A40&amp;"Total",Rezepte!$D:$AK,32,FALSE)/100*$C40</f>
        <v>0</v>
      </c>
      <c r="AO40" s="3">
        <f>VLOOKUP($A40&amp;"Total",Rezepte!$D:$AK,33,FALSE)/100*$C40</f>
        <v>0</v>
      </c>
      <c r="AP40" s="3">
        <f>VLOOKUP($A40&amp;"Total",Rezepte!$D:$AK,34,FALSE)/100*$C40</f>
        <v>0</v>
      </c>
    </row>
    <row r="41" spans="1:42" x14ac:dyDescent="0.25">
      <c r="A41" t="s">
        <v>95</v>
      </c>
      <c r="C41">
        <v>10</v>
      </c>
      <c r="D41" s="47">
        <f t="shared" si="25"/>
        <v>174.55</v>
      </c>
      <c r="E41" s="47">
        <f t="shared" si="26"/>
        <v>184.55</v>
      </c>
      <c r="F41" s="32">
        <f t="shared" si="27"/>
        <v>3</v>
      </c>
      <c r="G41" s="32">
        <f t="shared" si="28"/>
        <v>19</v>
      </c>
      <c r="H41" s="55">
        <f t="shared" si="24"/>
        <v>184.55</v>
      </c>
      <c r="I41" s="55">
        <f t="shared" si="29"/>
        <v>4.5500000000000114</v>
      </c>
      <c r="J41" s="34" t="str">
        <f>VLOOKUP($A41&amp;"Total",Rezepte!$D:$Z,19,FALSE)</f>
        <v>constructor</v>
      </c>
      <c r="K41" s="57">
        <f t="shared" si="30"/>
        <v>3</v>
      </c>
      <c r="L41" s="30">
        <f t="shared" si="31"/>
        <v>73.820000000000007</v>
      </c>
      <c r="M41" s="51">
        <f>VLOOKUP($A41&amp;"Total",Rezepte!$D:$Z,21,FALSE)</f>
        <v>10</v>
      </c>
      <c r="N41" s="47">
        <f t="shared" si="32"/>
        <v>10</v>
      </c>
      <c r="O41" s="60">
        <f>VLOOKUP($A41&amp;"Total",Rezepte!$D:$Z,20,FALSE)</f>
        <v>4</v>
      </c>
      <c r="P41" s="60">
        <f t="shared" si="33"/>
        <v>4</v>
      </c>
      <c r="Q41" s="47">
        <v>184.55</v>
      </c>
      <c r="S41" t="str">
        <f>VLOOKUP($A41&amp;"Total",Rezepte!$D:$Z,4,FALSE)</f>
        <v>Copper Ingot</v>
      </c>
      <c r="T41" s="3">
        <f>VLOOKUP($A41&amp;"Total",Rezepte!$D:$Z,5,FALSE)*H41/N41</f>
        <v>369.1</v>
      </c>
      <c r="U41" s="32">
        <f t="shared" si="34"/>
        <v>1</v>
      </c>
      <c r="V41" t="str">
        <f>VLOOKUP($A41&amp;"Total",Rezepte!$D:$Z,7,FALSE)</f>
        <v>nothing</v>
      </c>
      <c r="W41" s="3">
        <f>VLOOKUP($A41&amp;"Total",Rezepte!$D:$Z,8,FALSE)*H41/N41</f>
        <v>0</v>
      </c>
      <c r="X41" s="32">
        <f t="shared" si="35"/>
        <v>0</v>
      </c>
      <c r="Y41" t="str">
        <f>VLOOKUP($A41&amp;"Total",Rezepte!$D:$Z,10,FALSE)</f>
        <v>nothing</v>
      </c>
      <c r="Z41" s="3">
        <f>VLOOKUP($A41&amp;"Total",Rezepte!$D:$Z,11,FALSE)*H41/N41</f>
        <v>0</v>
      </c>
      <c r="AA41" s="32">
        <f t="shared" si="36"/>
        <v>0</v>
      </c>
      <c r="AB41" t="str">
        <f>VLOOKUP($A41&amp;"Total",Rezepte!$D:$Z,13,FALSE)</f>
        <v>nothing</v>
      </c>
      <c r="AC41" s="3">
        <f>VLOOKUP($A41&amp;"Total",Rezepte!$D:$Z,14,FALSE)*H41/N41</f>
        <v>0</v>
      </c>
      <c r="AD41" s="32">
        <f t="shared" si="37"/>
        <v>0</v>
      </c>
      <c r="AF41" s="3">
        <f>VLOOKUP($A41&amp;"Total",Rezepte!$D:$AK,24,FALSE)/100*$C41</f>
        <v>0</v>
      </c>
      <c r="AG41" s="3">
        <f>VLOOKUP($A41&amp;"Total",Rezepte!$D:$AK,25,FALSE)/100*$C41</f>
        <v>20</v>
      </c>
      <c r="AH41" s="3">
        <f>VLOOKUP($A41&amp;"Total",Rezepte!$D:$AK,26,FALSE)/100*$C41</f>
        <v>0</v>
      </c>
      <c r="AI41" s="3">
        <f>VLOOKUP($A41&amp;"Total",Rezepte!$D:$AK,27,FALSE)/100*$C41</f>
        <v>0</v>
      </c>
      <c r="AJ41" s="3">
        <f>VLOOKUP($A41&amp;"Total",Rezepte!$D:$AK,28,FALSE)/100*$C41</f>
        <v>0</v>
      </c>
      <c r="AK41" s="3">
        <f>VLOOKUP($A41&amp;"Total",Rezepte!$D:$AK,29,FALSE)/100*$C41</f>
        <v>0</v>
      </c>
      <c r="AL41" s="3">
        <f>VLOOKUP($A41&amp;"Total",Rezepte!$D:$AK,30,FALSE)/100*$C41</f>
        <v>0</v>
      </c>
      <c r="AM41" s="3">
        <f>VLOOKUP($A41&amp;"Total",Rezepte!$D:$AK,31,FALSE)/100*$C41</f>
        <v>0</v>
      </c>
      <c r="AN41" s="3">
        <f>VLOOKUP($A41&amp;"Total",Rezepte!$D:$AK,32,FALSE)/100*$C41</f>
        <v>0</v>
      </c>
      <c r="AO41" s="3">
        <f>VLOOKUP($A41&amp;"Total",Rezepte!$D:$AK,33,FALSE)/100*$C41</f>
        <v>0</v>
      </c>
      <c r="AP41" s="3">
        <f>VLOOKUP($A41&amp;"Total",Rezepte!$D:$AK,34,FALSE)/100*$C41</f>
        <v>0</v>
      </c>
    </row>
    <row r="42" spans="1:42" x14ac:dyDescent="0.25">
      <c r="A42" t="s">
        <v>105</v>
      </c>
      <c r="C42">
        <v>1</v>
      </c>
      <c r="D42" s="47">
        <f t="shared" si="25"/>
        <v>34</v>
      </c>
      <c r="E42" s="47">
        <f t="shared" si="26"/>
        <v>35</v>
      </c>
      <c r="F42" s="32">
        <f t="shared" si="27"/>
        <v>3</v>
      </c>
      <c r="G42" s="32">
        <f t="shared" si="28"/>
        <v>3</v>
      </c>
      <c r="H42" s="55">
        <f t="shared" si="24"/>
        <v>35</v>
      </c>
      <c r="I42" s="55">
        <f t="shared" si="29"/>
        <v>10</v>
      </c>
      <c r="J42" s="34" t="str">
        <f>VLOOKUP($A42&amp;"Total",Rezepte!$D:$Z,19,FALSE)</f>
        <v>Assembler</v>
      </c>
      <c r="K42" s="57">
        <f t="shared" si="30"/>
        <v>3</v>
      </c>
      <c r="L42" s="30">
        <f t="shared" si="31"/>
        <v>42</v>
      </c>
      <c r="M42" s="51">
        <f>VLOOKUP($A42&amp;"Total",Rezepte!$D:$Z,21,FALSE)</f>
        <v>12.5</v>
      </c>
      <c r="N42" s="47">
        <f t="shared" si="32"/>
        <v>12.5</v>
      </c>
      <c r="O42" s="60">
        <f>VLOOKUP($A42&amp;"Total",Rezepte!$D:$Z,20,FALSE)</f>
        <v>15</v>
      </c>
      <c r="P42" s="60">
        <f t="shared" si="33"/>
        <v>15</v>
      </c>
      <c r="Q42" s="47">
        <v>35</v>
      </c>
      <c r="S42" t="str">
        <f>VLOOKUP($A42&amp;"Total",Rezepte!$D:$Z,4,FALSE)</f>
        <v>Copper Sheet</v>
      </c>
      <c r="T42" s="3">
        <f>VLOOKUP($A42&amp;"Total",Rezepte!$D:$Z,5,FALSE)*H42/N42</f>
        <v>77</v>
      </c>
      <c r="U42" s="32">
        <f t="shared" si="34"/>
        <v>1</v>
      </c>
      <c r="V42" t="str">
        <f>VLOOKUP($A42&amp;"Total",Rezepte!$D:$Z,7,FALSE)</f>
        <v>Silicia</v>
      </c>
      <c r="W42" s="3">
        <f>VLOOKUP($A42&amp;"Total",Rezepte!$D:$Z,8,FALSE)*H42/N42</f>
        <v>77</v>
      </c>
      <c r="X42" s="32">
        <f t="shared" si="35"/>
        <v>1</v>
      </c>
      <c r="Y42" t="str">
        <f>VLOOKUP($A42&amp;"Total",Rezepte!$D:$Z,10,FALSE)</f>
        <v>nothing</v>
      </c>
      <c r="Z42" s="3">
        <f>VLOOKUP($A42&amp;"Total",Rezepte!$D:$Z,11,FALSE)*H42/N42</f>
        <v>0</v>
      </c>
      <c r="AA42" s="32">
        <f t="shared" si="36"/>
        <v>0</v>
      </c>
      <c r="AB42" t="str">
        <f>VLOOKUP($A42&amp;"Total",Rezepte!$D:$Z,13,FALSE)</f>
        <v>nothing</v>
      </c>
      <c r="AC42" s="3">
        <f>VLOOKUP($A42&amp;"Total",Rezepte!$D:$Z,14,FALSE)*H42/N42</f>
        <v>0</v>
      </c>
      <c r="AD42" s="32">
        <f t="shared" si="37"/>
        <v>0</v>
      </c>
      <c r="AF42" s="3">
        <f>VLOOKUP($A42&amp;"Total",Rezepte!$D:$AK,24,FALSE)/100*$C42</f>
        <v>0</v>
      </c>
      <c r="AG42" s="3">
        <f>VLOOKUP($A42&amp;"Total",Rezepte!$D:$AK,25,FALSE)/100*$C42</f>
        <v>4.4000000000000004</v>
      </c>
      <c r="AH42" s="3">
        <f>VLOOKUP($A42&amp;"Total",Rezepte!$D:$AK,26,FALSE)/100*$C42</f>
        <v>0</v>
      </c>
      <c r="AI42" s="3">
        <f>VLOOKUP($A42&amp;"Total",Rezepte!$D:$AK,27,FALSE)/100*$C42</f>
        <v>0</v>
      </c>
      <c r="AJ42" s="3">
        <f>VLOOKUP($A42&amp;"Total",Rezepte!$D:$AK,28,FALSE)/100*$C42</f>
        <v>0</v>
      </c>
      <c r="AK42" s="3">
        <f>VLOOKUP($A42&amp;"Total",Rezepte!$D:$AK,29,FALSE)/100*$C42</f>
        <v>1.32</v>
      </c>
      <c r="AL42" s="3">
        <f>VLOOKUP($A42&amp;"Total",Rezepte!$D:$AK,30,FALSE)/100*$C42</f>
        <v>0</v>
      </c>
      <c r="AM42" s="3">
        <f>VLOOKUP($A42&amp;"Total",Rezepte!$D:$AK,31,FALSE)/100*$C42</f>
        <v>0</v>
      </c>
      <c r="AN42" s="3">
        <f>VLOOKUP($A42&amp;"Total",Rezepte!$D:$AK,32,FALSE)/100*$C42</f>
        <v>0</v>
      </c>
      <c r="AO42" s="3">
        <f>VLOOKUP($A42&amp;"Total",Rezepte!$D:$AK,33,FALSE)/100*$C42</f>
        <v>0</v>
      </c>
      <c r="AP42" s="3">
        <f>VLOOKUP($A42&amp;"Total",Rezepte!$D:$AK,34,FALSE)/100*$C42</f>
        <v>0</v>
      </c>
    </row>
    <row r="43" spans="1:42" x14ac:dyDescent="0.25">
      <c r="A43" t="s">
        <v>110</v>
      </c>
      <c r="C43">
        <v>1</v>
      </c>
      <c r="D43" s="47">
        <f t="shared" si="25"/>
        <v>0</v>
      </c>
      <c r="E43" s="47">
        <f t="shared" si="26"/>
        <v>1</v>
      </c>
      <c r="F43" s="32">
        <f t="shared" si="27"/>
        <v>0</v>
      </c>
      <c r="G43" s="32">
        <f t="shared" si="28"/>
        <v>1</v>
      </c>
      <c r="H43" s="55">
        <f t="shared" si="24"/>
        <v>1</v>
      </c>
      <c r="I43" s="55">
        <f t="shared" si="29"/>
        <v>1</v>
      </c>
      <c r="J43" s="34" t="str">
        <f>VLOOKUP($A43&amp;"Total",Rezepte!$D:$Z,19,FALSE)</f>
        <v>Manufactirer</v>
      </c>
      <c r="K43" s="57">
        <f t="shared" si="30"/>
        <v>0</v>
      </c>
      <c r="L43" s="30">
        <f t="shared" si="31"/>
        <v>18.333333333333332</v>
      </c>
      <c r="M43" s="51">
        <f>VLOOKUP($A43&amp;"Total",Rezepte!$D:$Z,21,FALSE)</f>
        <v>3</v>
      </c>
      <c r="N43" s="47">
        <f t="shared" si="32"/>
        <v>3</v>
      </c>
      <c r="O43" s="60">
        <f>VLOOKUP($A43&amp;"Total",Rezepte!$D:$Z,20,FALSE)</f>
        <v>55</v>
      </c>
      <c r="P43" s="60">
        <f t="shared" si="33"/>
        <v>55</v>
      </c>
      <c r="Q43" s="47">
        <v>1</v>
      </c>
      <c r="S43" t="str">
        <f>VLOOKUP($A43&amp;"Total",Rezepte!$D:$Z,4,FALSE)</f>
        <v>Quickwire</v>
      </c>
      <c r="T43" s="3">
        <f>VLOOKUP($A43&amp;"Total",Rezepte!$D:$Z,5,FALSE)*H43/N43</f>
        <v>30</v>
      </c>
      <c r="U43" s="32">
        <f t="shared" si="34"/>
        <v>1</v>
      </c>
      <c r="V43" t="str">
        <f>VLOOKUP($A43&amp;"Total",Rezepte!$D:$Z,7,FALSE)</f>
        <v>Silicia</v>
      </c>
      <c r="W43" s="3">
        <f>VLOOKUP($A43&amp;"Total",Rezepte!$D:$Z,8,FALSE)*H43/N43</f>
        <v>12.5</v>
      </c>
      <c r="X43" s="32">
        <f t="shared" si="35"/>
        <v>1</v>
      </c>
      <c r="Y43" t="str">
        <f>VLOOKUP($A43&amp;"Total",Rezepte!$D:$Z,10,FALSE)</f>
        <v>Circuit Board</v>
      </c>
      <c r="Z43" s="3">
        <f>VLOOKUP($A43&amp;"Total",Rezepte!$D:$Z,11,FALSE)*H43/N43</f>
        <v>1</v>
      </c>
      <c r="AA43" s="32">
        <f t="shared" si="36"/>
        <v>1</v>
      </c>
      <c r="AB43" t="str">
        <f>VLOOKUP($A43&amp;"Total",Rezepte!$D:$Z,13,FALSE)</f>
        <v>nothing</v>
      </c>
      <c r="AC43" s="3">
        <f>VLOOKUP($A43&amp;"Total",Rezepte!$D:$Z,14,FALSE)*H43/N43</f>
        <v>0</v>
      </c>
      <c r="AD43" s="32">
        <f t="shared" si="37"/>
        <v>0</v>
      </c>
      <c r="AF43" s="3">
        <f>VLOOKUP($A43&amp;"Total",Rezepte!$D:$AK,24,FALSE)/100*$C43</f>
        <v>0</v>
      </c>
      <c r="AG43" s="3">
        <f>VLOOKUP($A43&amp;"Total",Rezepte!$D:$AK,25,FALSE)/100*$C43</f>
        <v>4.4000000000000004</v>
      </c>
      <c r="AH43" s="3">
        <f>VLOOKUP($A43&amp;"Total",Rezepte!$D:$AK,26,FALSE)/100*$C43</f>
        <v>0</v>
      </c>
      <c r="AI43" s="3">
        <f>VLOOKUP($A43&amp;"Total",Rezepte!$D:$AK,27,FALSE)/100*$C43</f>
        <v>0</v>
      </c>
      <c r="AJ43" s="3">
        <f>VLOOKUP($A43&amp;"Total",Rezepte!$D:$AK,28,FALSE)/100*$C43</f>
        <v>18</v>
      </c>
      <c r="AK43" s="3">
        <f>VLOOKUP($A43&amp;"Total",Rezepte!$D:$AK,29,FALSE)/100*$C43</f>
        <v>8.82</v>
      </c>
      <c r="AL43" s="3">
        <f>VLOOKUP($A43&amp;"Total",Rezepte!$D:$AK,30,FALSE)/100*$C43</f>
        <v>0</v>
      </c>
      <c r="AM43" s="3">
        <f>VLOOKUP($A43&amp;"Total",Rezepte!$D:$AK,31,FALSE)/100*$C43</f>
        <v>0</v>
      </c>
      <c r="AN43" s="3">
        <f>VLOOKUP($A43&amp;"Total",Rezepte!$D:$AK,32,FALSE)/100*$C43</f>
        <v>0</v>
      </c>
      <c r="AO43" s="3">
        <f>VLOOKUP($A43&amp;"Total",Rezepte!$D:$AK,33,FALSE)/100*$C43</f>
        <v>0</v>
      </c>
      <c r="AP43" s="3">
        <f>VLOOKUP($A43&amp;"Total",Rezepte!$D:$AK,34,FALSE)/100*$C43</f>
        <v>0</v>
      </c>
    </row>
    <row r="44" spans="1:42" x14ac:dyDescent="0.25">
      <c r="A44" t="s">
        <v>119</v>
      </c>
      <c r="C44">
        <v>3</v>
      </c>
      <c r="D44" s="47">
        <f t="shared" si="25"/>
        <v>1</v>
      </c>
      <c r="E44" s="47">
        <f t="shared" si="26"/>
        <v>4</v>
      </c>
      <c r="F44" s="32">
        <f t="shared" si="27"/>
        <v>1</v>
      </c>
      <c r="G44" s="32">
        <f t="shared" si="28"/>
        <v>2</v>
      </c>
      <c r="H44" s="55">
        <f t="shared" si="24"/>
        <v>4</v>
      </c>
      <c r="I44" s="55">
        <f t="shared" si="29"/>
        <v>0.25</v>
      </c>
      <c r="J44" s="34" t="str">
        <f>VLOOKUP($A44&amp;"Total",Rezepte!$D:$Z,19,FALSE)</f>
        <v>Manufactirer</v>
      </c>
      <c r="K44" s="57">
        <f t="shared" si="30"/>
        <v>1</v>
      </c>
      <c r="L44" s="30">
        <f t="shared" si="31"/>
        <v>58.666666666666664</v>
      </c>
      <c r="M44" s="51">
        <f>VLOOKUP($A44&amp;"Total",Rezepte!$D:$Z,21,FALSE)</f>
        <v>3.75</v>
      </c>
      <c r="N44" s="47">
        <f t="shared" si="32"/>
        <v>3.75</v>
      </c>
      <c r="O44" s="60">
        <f>VLOOKUP($A44&amp;"Total",Rezepte!$D:$Z,20,FALSE)</f>
        <v>55</v>
      </c>
      <c r="P44" s="60">
        <f t="shared" si="33"/>
        <v>55</v>
      </c>
      <c r="Q44" s="47">
        <v>4</v>
      </c>
      <c r="S44" t="str">
        <f>VLOOKUP($A44&amp;"Total",Rezepte!$D:$Z,4,FALSE)</f>
        <v>Circuit Board</v>
      </c>
      <c r="T44" s="3">
        <f>VLOOKUP($A44&amp;"Total",Rezepte!$D:$Z,5,FALSE)*H44/N44</f>
        <v>28</v>
      </c>
      <c r="U44" s="32">
        <f t="shared" si="34"/>
        <v>1</v>
      </c>
      <c r="V44" t="str">
        <f>VLOOKUP($A44&amp;"Total",Rezepte!$D:$Z,7,FALSE)</f>
        <v>Quickwire</v>
      </c>
      <c r="W44" s="3">
        <f>VLOOKUP($A44&amp;"Total",Rezepte!$D:$Z,8,FALSE)*H44/N44</f>
        <v>112</v>
      </c>
      <c r="X44" s="32">
        <f t="shared" si="35"/>
        <v>1</v>
      </c>
      <c r="Y44" t="str">
        <f>VLOOKUP($A44&amp;"Total",Rezepte!$D:$Z,10,FALSE)</f>
        <v>Rubber</v>
      </c>
      <c r="Z44" s="3">
        <f>VLOOKUP($A44&amp;"Total",Rezepte!$D:$Z,11,FALSE)*H44/N44</f>
        <v>48</v>
      </c>
      <c r="AA44" s="32">
        <f t="shared" si="36"/>
        <v>1</v>
      </c>
      <c r="AB44" t="str">
        <f>VLOOKUP($A44&amp;"Total",Rezepte!$D:$Z,13,FALSE)</f>
        <v>nothing</v>
      </c>
      <c r="AC44" s="3">
        <f>VLOOKUP($A44&amp;"Total",Rezepte!$D:$Z,14,FALSE)*H44/N44</f>
        <v>0</v>
      </c>
      <c r="AD44" s="32">
        <f t="shared" si="37"/>
        <v>0</v>
      </c>
      <c r="AF44" s="3">
        <f>VLOOKUP($A44&amp;"Total",Rezepte!$D:$AK,24,FALSE)/100*$C44</f>
        <v>0</v>
      </c>
      <c r="AG44" s="3">
        <f>VLOOKUP($A44&amp;"Total",Rezepte!$D:$AK,25,FALSE)/100*$C44</f>
        <v>92.4</v>
      </c>
      <c r="AH44" s="3">
        <f>VLOOKUP($A44&amp;"Total",Rezepte!$D:$AK,26,FALSE)/100*$C44</f>
        <v>0</v>
      </c>
      <c r="AI44" s="3">
        <f>VLOOKUP($A44&amp;"Total",Rezepte!$D:$AK,27,FALSE)/100*$C44</f>
        <v>0</v>
      </c>
      <c r="AJ44" s="3">
        <f>VLOOKUP($A44&amp;"Total",Rezepte!$D:$AK,28,FALSE)/100*$C44</f>
        <v>50.400000000000006</v>
      </c>
      <c r="AK44" s="3">
        <f>VLOOKUP($A44&amp;"Total",Rezepte!$D:$AK,29,FALSE)/100*$C44</f>
        <v>27.72</v>
      </c>
      <c r="AL44" s="3">
        <f>VLOOKUP($A44&amp;"Total",Rezepte!$D:$AK,30,FALSE)/100*$C44</f>
        <v>0</v>
      </c>
      <c r="AM44" s="3">
        <f>VLOOKUP($A44&amp;"Total",Rezepte!$D:$AK,31,FALSE)/100*$C44</f>
        <v>0</v>
      </c>
      <c r="AN44" s="3">
        <f>VLOOKUP($A44&amp;"Total",Rezepte!$D:$AK,32,FALSE)/100*$C44</f>
        <v>0</v>
      </c>
      <c r="AO44" s="3">
        <f>VLOOKUP($A44&amp;"Total",Rezepte!$D:$AK,33,FALSE)/100*$C44</f>
        <v>0</v>
      </c>
      <c r="AP44" s="3">
        <f>VLOOKUP($A44&amp;"Total",Rezepte!$D:$AK,34,FALSE)/100*$C44</f>
        <v>54</v>
      </c>
    </row>
    <row r="45" spans="1:42" x14ac:dyDescent="0.25">
      <c r="A45" t="s">
        <v>104</v>
      </c>
      <c r="C45">
        <v>5</v>
      </c>
      <c r="D45" s="47">
        <f t="shared" si="25"/>
        <v>3.5093582887700534</v>
      </c>
      <c r="E45" s="47">
        <f t="shared" si="26"/>
        <v>8.5093582887700538</v>
      </c>
      <c r="F45" s="32">
        <f t="shared" si="27"/>
        <v>1</v>
      </c>
      <c r="G45" s="32">
        <f t="shared" si="28"/>
        <v>2</v>
      </c>
      <c r="H45" s="55">
        <f t="shared" si="24"/>
        <v>8.51</v>
      </c>
      <c r="I45" s="55">
        <f t="shared" si="29"/>
        <v>3.51</v>
      </c>
      <c r="J45" s="34" t="str">
        <f>VLOOKUP($A45&amp;"Total",Rezepte!$D:$Z,19,FALSE)</f>
        <v>Assembler</v>
      </c>
      <c r="K45" s="57">
        <f t="shared" si="30"/>
        <v>1</v>
      </c>
      <c r="L45" s="30">
        <f t="shared" si="31"/>
        <v>25.53</v>
      </c>
      <c r="M45" s="51">
        <f>VLOOKUP($A45&amp;"Total",Rezepte!$D:$Z,21,FALSE)</f>
        <v>5</v>
      </c>
      <c r="N45" s="47">
        <f t="shared" si="32"/>
        <v>5</v>
      </c>
      <c r="O45" s="60">
        <f>VLOOKUP($A45&amp;"Total",Rezepte!$D:$Z,20,FALSE)</f>
        <v>15</v>
      </c>
      <c r="P45" s="60">
        <f t="shared" si="33"/>
        <v>15</v>
      </c>
      <c r="Q45" s="47">
        <v>8.51</v>
      </c>
      <c r="S45" t="str">
        <f>VLOOKUP($A45&amp;"Total",Rezepte!$D:$Z,4,FALSE)</f>
        <v>Copper Sheet</v>
      </c>
      <c r="T45" s="3">
        <f>VLOOKUP($A45&amp;"Total",Rezepte!$D:$Z,5,FALSE)*H45/N45</f>
        <v>42.55</v>
      </c>
      <c r="U45" s="32">
        <f t="shared" si="34"/>
        <v>1</v>
      </c>
      <c r="V45" t="str">
        <f>VLOOKUP($A45&amp;"Total",Rezepte!$D:$Z,7,FALSE)</f>
        <v>Quickwire</v>
      </c>
      <c r="W45" s="3">
        <f>VLOOKUP($A45&amp;"Total",Rezepte!$D:$Z,8,FALSE)*H45/N45</f>
        <v>170.2</v>
      </c>
      <c r="X45" s="32">
        <f t="shared" si="35"/>
        <v>1</v>
      </c>
      <c r="Y45" t="str">
        <f>VLOOKUP($A45&amp;"Total",Rezepte!$D:$Z,10,FALSE)</f>
        <v>nothing</v>
      </c>
      <c r="Z45" s="3">
        <f>VLOOKUP($A45&amp;"Total",Rezepte!$D:$Z,11,FALSE)*H45/N45</f>
        <v>0</v>
      </c>
      <c r="AA45" s="32">
        <f t="shared" si="36"/>
        <v>0</v>
      </c>
      <c r="AB45" t="str">
        <f>VLOOKUP($A45&amp;"Total",Rezepte!$D:$Z,13,FALSE)</f>
        <v>nothing</v>
      </c>
      <c r="AC45" s="3">
        <f>VLOOKUP($A45&amp;"Total",Rezepte!$D:$Z,14,FALSE)*H45/N45</f>
        <v>0</v>
      </c>
      <c r="AD45" s="32">
        <f t="shared" si="37"/>
        <v>0</v>
      </c>
      <c r="AF45" s="3">
        <f>VLOOKUP($A45&amp;"Total",Rezepte!$D:$AK,24,FALSE)/100*$C45</f>
        <v>0</v>
      </c>
      <c r="AG45" s="3">
        <f>VLOOKUP($A45&amp;"Total",Rezepte!$D:$AK,25,FALSE)/100*$C45</f>
        <v>50</v>
      </c>
      <c r="AH45" s="3">
        <f>VLOOKUP($A45&amp;"Total",Rezepte!$D:$AK,26,FALSE)/100*$C45</f>
        <v>0</v>
      </c>
      <c r="AI45" s="3">
        <f>VLOOKUP($A45&amp;"Total",Rezepte!$D:$AK,27,FALSE)/100*$C45</f>
        <v>0</v>
      </c>
      <c r="AJ45" s="3">
        <f>VLOOKUP($A45&amp;"Total",Rezepte!$D:$AK,28,FALSE)/100*$C45</f>
        <v>60</v>
      </c>
      <c r="AK45" s="3">
        <f>VLOOKUP($A45&amp;"Total",Rezepte!$D:$AK,29,FALSE)/100*$C45</f>
        <v>0</v>
      </c>
      <c r="AL45" s="3">
        <f>VLOOKUP($A45&amp;"Total",Rezepte!$D:$AK,30,FALSE)/100*$C45</f>
        <v>0</v>
      </c>
      <c r="AM45" s="3">
        <f>VLOOKUP($A45&amp;"Total",Rezepte!$D:$AK,31,FALSE)/100*$C45</f>
        <v>0</v>
      </c>
      <c r="AN45" s="3">
        <f>VLOOKUP($A45&amp;"Total",Rezepte!$D:$AK,32,FALSE)/100*$C45</f>
        <v>0</v>
      </c>
      <c r="AO45" s="3">
        <f>VLOOKUP($A45&amp;"Total",Rezepte!$D:$AK,33,FALSE)/100*$C45</f>
        <v>0</v>
      </c>
      <c r="AP45" s="3">
        <f>VLOOKUP($A45&amp;"Total",Rezepte!$D:$AK,34,FALSE)/100*$C45</f>
        <v>0</v>
      </c>
    </row>
    <row r="46" spans="1:42" x14ac:dyDescent="0.25">
      <c r="A46" t="s">
        <v>113</v>
      </c>
      <c r="C46">
        <v>1</v>
      </c>
      <c r="D46" s="47">
        <f t="shared" si="25"/>
        <v>2.5</v>
      </c>
      <c r="E46" s="47">
        <f t="shared" si="26"/>
        <v>3.5</v>
      </c>
      <c r="F46" s="32">
        <f t="shared" si="27"/>
        <v>1</v>
      </c>
      <c r="G46" s="32">
        <f t="shared" si="28"/>
        <v>2</v>
      </c>
      <c r="H46" s="55">
        <f t="shared" si="24"/>
        <v>3.5</v>
      </c>
      <c r="I46" s="55">
        <f t="shared" si="29"/>
        <v>1.63</v>
      </c>
      <c r="J46" s="34" t="str">
        <f>VLOOKUP($A46&amp;"Total",Rezepte!$D:$Z,19,FALSE)</f>
        <v>Manufactirer</v>
      </c>
      <c r="K46" s="57">
        <f t="shared" si="30"/>
        <v>1</v>
      </c>
      <c r="L46" s="30">
        <f t="shared" si="31"/>
        <v>102.66666666666667</v>
      </c>
      <c r="M46" s="51">
        <f>VLOOKUP($A46&amp;"Total",Rezepte!$D:$Z,21,FALSE)</f>
        <v>1.875</v>
      </c>
      <c r="N46" s="47">
        <f t="shared" si="32"/>
        <v>1.87</v>
      </c>
      <c r="O46" s="60">
        <f>VLOOKUP($A46&amp;"Total",Rezepte!$D:$Z,20,FALSE)</f>
        <v>55</v>
      </c>
      <c r="P46" s="60">
        <f t="shared" si="33"/>
        <v>54.853333333333339</v>
      </c>
      <c r="Q46" s="47">
        <v>3.5</v>
      </c>
      <c r="S46" t="str">
        <f>VLOOKUP($A46&amp;"Total",Rezepte!$D:$Z,4,FALSE)</f>
        <v>Quartz Crystal</v>
      </c>
      <c r="T46" s="3">
        <f>VLOOKUP($A46&amp;"Total",Rezepte!$D:$Z,5,FALSE)*H46/N46</f>
        <v>35.093582887700535</v>
      </c>
      <c r="U46" s="32">
        <f t="shared" si="34"/>
        <v>1</v>
      </c>
      <c r="V46" t="str">
        <f>VLOOKUP($A46&amp;"Total",Rezepte!$D:$Z,7,FALSE)</f>
        <v>Rubber</v>
      </c>
      <c r="W46" s="3">
        <f>VLOOKUP($A46&amp;"Total",Rezepte!$D:$Z,8,FALSE)*H46/N46</f>
        <v>24.565508021390372</v>
      </c>
      <c r="X46" s="32">
        <f t="shared" si="35"/>
        <v>1</v>
      </c>
      <c r="Y46" t="str">
        <f>VLOOKUP($A46&amp;"Total",Rezepte!$D:$Z,10,FALSE)</f>
        <v>AI Limiter</v>
      </c>
      <c r="Z46" s="3">
        <f>VLOOKUP($A46&amp;"Total",Rezepte!$D:$Z,11,FALSE)*H46/N46</f>
        <v>3.5093582887700534</v>
      </c>
      <c r="AA46" s="32">
        <f t="shared" si="36"/>
        <v>1</v>
      </c>
      <c r="AB46" t="str">
        <f>VLOOKUP($A46&amp;"Total",Rezepte!$D:$Z,13,FALSE)</f>
        <v>nothing</v>
      </c>
      <c r="AC46" s="3">
        <f>VLOOKUP($A46&amp;"Total",Rezepte!$D:$Z,14,FALSE)*H46/N46</f>
        <v>0</v>
      </c>
      <c r="AD46" s="32">
        <f t="shared" si="37"/>
        <v>0</v>
      </c>
      <c r="AF46" s="3">
        <f>VLOOKUP($A46&amp;"Total",Rezepte!$D:$AK,24,FALSE)/100*$C46</f>
        <v>0</v>
      </c>
      <c r="AG46" s="3">
        <f>VLOOKUP($A46&amp;"Total",Rezepte!$D:$AK,25,FALSE)/100*$C46</f>
        <v>10</v>
      </c>
      <c r="AH46" s="3">
        <f>VLOOKUP($A46&amp;"Total",Rezepte!$D:$AK,26,FALSE)/100*$C46</f>
        <v>0</v>
      </c>
      <c r="AI46" s="3">
        <f>VLOOKUP($A46&amp;"Total",Rezepte!$D:$AK,27,FALSE)/100*$C46</f>
        <v>0</v>
      </c>
      <c r="AJ46" s="3">
        <f>VLOOKUP($A46&amp;"Total",Rezepte!$D:$AK,28,FALSE)/100*$C46</f>
        <v>12</v>
      </c>
      <c r="AK46" s="3">
        <f>VLOOKUP($A46&amp;"Total",Rezepte!$D:$AK,29,FALSE)/100*$C46</f>
        <v>16.666666666666664</v>
      </c>
      <c r="AL46" s="3">
        <f>VLOOKUP($A46&amp;"Total",Rezepte!$D:$AK,30,FALSE)/100*$C46</f>
        <v>0</v>
      </c>
      <c r="AM46" s="3">
        <f>VLOOKUP($A46&amp;"Total",Rezepte!$D:$AK,31,FALSE)/100*$C46</f>
        <v>0</v>
      </c>
      <c r="AN46" s="3">
        <f>VLOOKUP($A46&amp;"Total",Rezepte!$D:$AK,32,FALSE)/100*$C46</f>
        <v>0</v>
      </c>
      <c r="AO46" s="3">
        <f>VLOOKUP($A46&amp;"Total",Rezepte!$D:$AK,33,FALSE)/100*$C46</f>
        <v>0</v>
      </c>
      <c r="AP46" s="3">
        <f>VLOOKUP($A46&amp;"Total",Rezepte!$D:$AK,34,FALSE)/100*$C46</f>
        <v>10.5</v>
      </c>
    </row>
    <row r="47" spans="1:42" x14ac:dyDescent="0.25">
      <c r="D47" s="47"/>
      <c r="E47" s="47"/>
      <c r="J47" s="34"/>
      <c r="K47" s="57"/>
      <c r="M47" s="51"/>
      <c r="N47" s="47"/>
    </row>
    <row r="48" spans="1:42" x14ac:dyDescent="0.25">
      <c r="A48" t="s">
        <v>149</v>
      </c>
      <c r="C48">
        <v>5</v>
      </c>
      <c r="D48" s="47">
        <f>SUMIFS(T:T,S:S,A48)+SUMIFS(W:W,V:V,A48)+SUMIFS(Z:Z,Y:Y,A48)+SUMIFS(AC:AC,AB:AB,A48)</f>
        <v>10</v>
      </c>
      <c r="E48" s="47">
        <f>D48+C48</f>
        <v>15</v>
      </c>
      <c r="F48" s="32">
        <f>COUNTIFS(S:S,A48,T:T,"&gt;0")+COUNTIFS(V:V,A48,W:W,"&gt;0")+COUNTIFS(Y:Y,A48,Z:Z,"&gt;0")+COUNTIFS(AB:AB,A48,AC:AC,"&gt;0")</f>
        <v>1</v>
      </c>
      <c r="G48" s="32">
        <f>ROUNDUP(H48/N48,0)</f>
        <v>2</v>
      </c>
      <c r="H48" s="55">
        <f t="shared" si="24"/>
        <v>15</v>
      </c>
      <c r="I48" s="55">
        <f>MOD(H48,N48)</f>
        <v>0</v>
      </c>
      <c r="J48" s="34" t="str">
        <f>VLOOKUP($A48&amp;"Total",Rezepte!$D:$Z,19,FALSE)</f>
        <v>Manufactirer</v>
      </c>
      <c r="K48" s="57">
        <f>SUMIFS(U:U,S:S,A48)+SUMIFS(X:X,V:V,A48)+SUMIFS(AA:AA,Y:Y,A48)+SUMIFS(AD:AD,AB:AB,A48)</f>
        <v>1</v>
      </c>
      <c r="L48" s="30">
        <f>H48/N48*P48</f>
        <v>110</v>
      </c>
      <c r="M48" s="51">
        <f>VLOOKUP($A48&amp;"Total",Rezepte!$D:$Z,21,FALSE)</f>
        <v>7.5</v>
      </c>
      <c r="N48" s="47">
        <f>ROUNDDOWN(M48,2)</f>
        <v>7.5</v>
      </c>
      <c r="O48" s="60">
        <f>VLOOKUP($A48&amp;"Total",Rezepte!$D:$Z,20,FALSE)</f>
        <v>55</v>
      </c>
      <c r="P48" s="60">
        <f>N48/M48*O48</f>
        <v>55</v>
      </c>
      <c r="Q48" s="47">
        <v>15</v>
      </c>
      <c r="S48" t="str">
        <f>VLOOKUP($A48&amp;"Total",Rezepte!$D:$Z,4,FALSE)</f>
        <v>Rotor</v>
      </c>
      <c r="T48" s="3">
        <f>VLOOKUP($A48&amp;"Total",Rezepte!$D:$Z,5,FALSE)*H48/N48</f>
        <v>7.5</v>
      </c>
      <c r="U48" s="32">
        <f>ROUNDUP(T48/$S$78,0)</f>
        <v>1</v>
      </c>
      <c r="V48" t="str">
        <f>VLOOKUP($A48&amp;"Total",Rezepte!$D:$Z,7,FALSE)</f>
        <v>Stator</v>
      </c>
      <c r="W48" s="3">
        <f>VLOOKUP($A48&amp;"Total",Rezepte!$D:$Z,8,FALSE)*H48/N48</f>
        <v>7.5</v>
      </c>
      <c r="X48" s="32">
        <f>ROUNDUP(W48/$S$78,0)</f>
        <v>1</v>
      </c>
      <c r="Y48" t="str">
        <f>VLOOKUP($A48&amp;"Total",Rezepte!$D:$Z,10,FALSE)</f>
        <v>Crystal Oscillator</v>
      </c>
      <c r="Z48" s="3">
        <f>VLOOKUP($A48&amp;"Total",Rezepte!$D:$Z,11,FALSE)*H48/N48</f>
        <v>2.5</v>
      </c>
      <c r="AA48" s="32">
        <f>ROUNDUP(Z48/$S$78,0)</f>
        <v>1</v>
      </c>
      <c r="AB48" t="str">
        <f>VLOOKUP($A48&amp;"Total",Rezepte!$D:$Z,13,FALSE)</f>
        <v>nothing</v>
      </c>
      <c r="AC48" s="3">
        <f>VLOOKUP($A48&amp;"Total",Rezepte!$D:$Z,14,FALSE)*H48/N48</f>
        <v>0</v>
      </c>
      <c r="AD48" s="32">
        <f>ROUNDUP(AC48/$S$78,0)</f>
        <v>0</v>
      </c>
      <c r="AF48" s="3">
        <f>VLOOKUP($A48&amp;"Total",Rezepte!$D:$AK,24,FALSE)/100*$C48</f>
        <v>7.2222222222222232</v>
      </c>
      <c r="AG48" s="3">
        <f>VLOOKUP($A48&amp;"Total",Rezepte!$D:$AK,25,FALSE)/100*$C48</f>
        <v>18.333333333333336</v>
      </c>
      <c r="AH48" s="3">
        <f>VLOOKUP($A48&amp;"Total",Rezepte!$D:$AK,26,FALSE)/100*$C48</f>
        <v>0</v>
      </c>
      <c r="AI48" s="3">
        <f>VLOOKUP($A48&amp;"Total",Rezepte!$D:$AK,27,FALSE)/100*$C48</f>
        <v>7.2222222222222232</v>
      </c>
      <c r="AJ48" s="3">
        <f>VLOOKUP($A48&amp;"Total",Rezepte!$D:$AK,28,FALSE)/100*$C48</f>
        <v>21.25</v>
      </c>
      <c r="AK48" s="3">
        <f>VLOOKUP($A48&amp;"Total",Rezepte!$D:$AK,29,FALSE)/100*$C48</f>
        <v>13.888888888888889</v>
      </c>
      <c r="AL48" s="3">
        <f>VLOOKUP($A48&amp;"Total",Rezepte!$D:$AK,30,FALSE)/100*$C48</f>
        <v>0</v>
      </c>
      <c r="AM48" s="3">
        <f>VLOOKUP($A48&amp;"Total",Rezepte!$D:$AK,31,FALSE)/100*$C48</f>
        <v>0</v>
      </c>
      <c r="AN48" s="3">
        <f>VLOOKUP($A48&amp;"Total",Rezepte!$D:$AK,32,FALSE)/100*$C48</f>
        <v>0</v>
      </c>
      <c r="AO48" s="3">
        <f>VLOOKUP($A48&amp;"Total",Rezepte!$D:$AK,33,FALSE)/100*$C48</f>
        <v>0</v>
      </c>
      <c r="AP48" s="3">
        <f>VLOOKUP($A48&amp;"Total",Rezepte!$D:$AK,34,FALSE)/100*$C48</f>
        <v>8.75</v>
      </c>
    </row>
    <row r="49" spans="1:42" x14ac:dyDescent="0.25">
      <c r="D49" s="47"/>
      <c r="E49" s="47"/>
      <c r="J49" s="34"/>
      <c r="K49" s="57"/>
      <c r="M49" s="51"/>
      <c r="N49" s="47"/>
    </row>
    <row r="50" spans="1:42" x14ac:dyDescent="0.25">
      <c r="D50" s="47"/>
      <c r="E50" s="47"/>
      <c r="J50" s="34"/>
      <c r="K50" s="57"/>
      <c r="M50" s="51"/>
      <c r="N50" s="47"/>
    </row>
    <row r="51" spans="1:42" x14ac:dyDescent="0.25">
      <c r="D51" s="47"/>
      <c r="E51" s="47"/>
      <c r="J51" s="34"/>
      <c r="K51" s="57"/>
      <c r="M51" s="51"/>
      <c r="N51" s="47"/>
    </row>
    <row r="52" spans="1:42" x14ac:dyDescent="0.25">
      <c r="D52" s="47"/>
      <c r="E52" s="47"/>
      <c r="J52" s="34"/>
      <c r="K52" s="57"/>
      <c r="M52" s="51"/>
      <c r="N52" s="47"/>
    </row>
    <row r="53" spans="1:42" x14ac:dyDescent="0.25">
      <c r="A53" t="s">
        <v>143</v>
      </c>
      <c r="D53" s="47">
        <f>SUMIFS(T:T,S:S,A53)+SUMIFS(W:W,V:V,A53)+SUMIFS(Z:Z,Y:Y,A53)+SUMIFS(AC:AC,AB:AB,A53)</f>
        <v>10</v>
      </c>
      <c r="E53" s="47">
        <f>D53+C53</f>
        <v>10</v>
      </c>
      <c r="F53" s="32">
        <f>COUNTIFS(S:S,A53,T:T,"&gt;0")+COUNTIFS(V:V,A53,W:W,"&gt;0")+COUNTIFS(Y:Y,A53,Z:Z,"&gt;0")+COUNTIFS(AB:AB,A53,AC:AC,"&gt;0")</f>
        <v>1</v>
      </c>
      <c r="G53" s="32">
        <f>ROUNDUP(H53/N53,0)</f>
        <v>5</v>
      </c>
      <c r="H53" s="55">
        <f t="shared" si="24"/>
        <v>10</v>
      </c>
      <c r="I53" s="55">
        <f>MOD(H53,N53)</f>
        <v>0</v>
      </c>
      <c r="J53" s="34" t="str">
        <f>VLOOKUP($A53&amp;"Total",Rezepte!$D:$Z,19,FALSE)</f>
        <v>Assembler</v>
      </c>
      <c r="K53" s="57">
        <f>SUMIFS(U:U,S:S,A53)+SUMIFS(X:X,V:V,A53)+SUMIFS(AA:AA,Y:Y,A53)+SUMIFS(AD:AD,AB:AB,A53)</f>
        <v>1</v>
      </c>
      <c r="L53" s="30">
        <f>H53/N53*P53</f>
        <v>75</v>
      </c>
      <c r="M53" s="51">
        <f>VLOOKUP($A53&amp;"Total",Rezepte!$D:$Z,21,FALSE)</f>
        <v>2</v>
      </c>
      <c r="N53" s="47">
        <f>ROUNDDOWN(M53,2)</f>
        <v>2</v>
      </c>
      <c r="O53" s="60">
        <f>VLOOKUP($A53&amp;"Total",Rezepte!$D:$Z,20,FALSE)</f>
        <v>15</v>
      </c>
      <c r="P53" s="60">
        <f>N53/M53*O53</f>
        <v>15</v>
      </c>
      <c r="Q53" s="47">
        <v>10</v>
      </c>
      <c r="S53" t="str">
        <f>VLOOKUP($A53&amp;"Total",Rezepte!$D:$Z,4,FALSE)</f>
        <v>reinforced Plate</v>
      </c>
      <c r="T53" s="3">
        <f>VLOOKUP($A53&amp;"Total",Rezepte!$D:$Z,5,FALSE)*H53/N53</f>
        <v>10</v>
      </c>
      <c r="U53" s="32">
        <f>ROUNDUP(T53/$S$78,0)</f>
        <v>1</v>
      </c>
      <c r="V53" t="str">
        <f>VLOOKUP($A53&amp;"Total",Rezepte!$D:$Z,7,FALSE)</f>
        <v>Rotor</v>
      </c>
      <c r="W53" s="3">
        <f>VLOOKUP($A53&amp;"Total",Rezepte!$D:$Z,8,FALSE)*H53/N53</f>
        <v>10</v>
      </c>
      <c r="X53" s="32">
        <f>ROUNDUP(W53/$S$78,0)</f>
        <v>1</v>
      </c>
      <c r="Y53" t="str">
        <f>VLOOKUP($A53&amp;"Total",Rezepte!$D:$Z,10,FALSE)</f>
        <v>nothing</v>
      </c>
      <c r="Z53" s="3">
        <f>VLOOKUP($A53&amp;"Total",Rezepte!$D:$Z,11,FALSE)*H53/N53</f>
        <v>0</v>
      </c>
      <c r="AA53" s="32">
        <f>ROUNDUP(Z53/$S$78,0)</f>
        <v>0</v>
      </c>
      <c r="AB53" t="str">
        <f>VLOOKUP($A53&amp;"Total",Rezepte!$D:$Z,13,FALSE)</f>
        <v>nothing</v>
      </c>
      <c r="AC53" s="3">
        <f>VLOOKUP($A53&amp;"Total",Rezepte!$D:$Z,14,FALSE)*H53/N53</f>
        <v>0</v>
      </c>
      <c r="AD53" s="32">
        <f>ROUNDUP(AC53/$S$78,0)</f>
        <v>0</v>
      </c>
      <c r="AF53" s="3">
        <f>VLOOKUP($A53&amp;"Total",Rezepte!$D:$AK,24,FALSE)/100*$C53</f>
        <v>0</v>
      </c>
      <c r="AG53" s="3">
        <f>VLOOKUP($A53&amp;"Total",Rezepte!$D:$AK,25,FALSE)/100*$C53</f>
        <v>0</v>
      </c>
      <c r="AH53" s="3">
        <f>VLOOKUP($A53&amp;"Total",Rezepte!$D:$AK,26,FALSE)/100*$C53</f>
        <v>0</v>
      </c>
      <c r="AI53" s="3">
        <f>VLOOKUP($A53&amp;"Total",Rezepte!$D:$AK,27,FALSE)/100*$C53</f>
        <v>0</v>
      </c>
      <c r="AJ53" s="3">
        <f>VLOOKUP($A53&amp;"Total",Rezepte!$D:$AK,28,FALSE)/100*$C53</f>
        <v>0</v>
      </c>
      <c r="AK53" s="3">
        <f>VLOOKUP($A53&amp;"Total",Rezepte!$D:$AK,29,FALSE)/100*$C53</f>
        <v>0</v>
      </c>
      <c r="AL53" s="3">
        <f>VLOOKUP($A53&amp;"Total",Rezepte!$D:$AK,30,FALSE)/100*$C53</f>
        <v>0</v>
      </c>
      <c r="AM53" s="3">
        <f>VLOOKUP($A53&amp;"Total",Rezepte!$D:$AK,31,FALSE)/100*$C53</f>
        <v>0</v>
      </c>
      <c r="AN53" s="3">
        <f>VLOOKUP($A53&amp;"Total",Rezepte!$D:$AK,32,FALSE)/100*$C53</f>
        <v>0</v>
      </c>
      <c r="AO53" s="3">
        <f>VLOOKUP($A53&amp;"Total",Rezepte!$D:$AK,33,FALSE)/100*$C53</f>
        <v>0</v>
      </c>
      <c r="AP53" s="3">
        <f>VLOOKUP($A53&amp;"Total",Rezepte!$D:$AK,34,FALSE)/100*$C53</f>
        <v>0</v>
      </c>
    </row>
    <row r="54" spans="1:42" x14ac:dyDescent="0.25">
      <c r="A54" t="s">
        <v>145</v>
      </c>
      <c r="B54">
        <v>5</v>
      </c>
      <c r="D54" s="47">
        <f>SUMIFS(T:T,S:S,A54)+SUMIFS(W:W,V:V,A54)+SUMIFS(Z:Z,Y:Y,A54)+SUMIFS(AC:AC,AB:AB,A54)</f>
        <v>0</v>
      </c>
      <c r="E54" s="47">
        <f>D54+C54</f>
        <v>0</v>
      </c>
      <c r="F54" s="32">
        <f>COUNTIFS(S:S,A54,T:T,"&gt;0")+COUNTIFS(V:V,A54,W:W,"&gt;0")+COUNTIFS(Y:Y,A54,Z:Z,"&gt;0")+COUNTIFS(AB:AB,A54,AC:AC,"&gt;0")</f>
        <v>0</v>
      </c>
      <c r="G54" s="32">
        <f>ROUNDUP(H54/N54,0)</f>
        <v>0</v>
      </c>
      <c r="H54" s="55">
        <f t="shared" si="24"/>
        <v>0</v>
      </c>
      <c r="I54" s="55">
        <f>MOD(H54,N54)</f>
        <v>0</v>
      </c>
      <c r="J54" s="34" t="str">
        <f>VLOOKUP($A54&amp;"Total",Rezepte!$D:$Z,19,FALSE)</f>
        <v>Assembler</v>
      </c>
      <c r="K54" s="57">
        <f>SUMIFS(U:U,S:S,A54)+SUMIFS(X:X,V:V,A54)+SUMIFS(AA:AA,Y:Y,A54)+SUMIFS(AD:AD,AB:AB,A54)</f>
        <v>0</v>
      </c>
      <c r="L54" s="30">
        <f>H54/N54*P54</f>
        <v>0</v>
      </c>
      <c r="M54" s="51">
        <f>VLOOKUP($A54&amp;"Total",Rezepte!$D:$Z,21,FALSE)</f>
        <v>5</v>
      </c>
      <c r="N54" s="47">
        <f>ROUNDDOWN(M54,2)</f>
        <v>5</v>
      </c>
      <c r="O54" s="60">
        <f>VLOOKUP($A54&amp;"Total",Rezepte!$D:$Z,20,FALSE)</f>
        <v>15</v>
      </c>
      <c r="P54" s="60">
        <f>N54/M54*O54</f>
        <v>15</v>
      </c>
      <c r="S54" t="str">
        <f>VLOOKUP($A54&amp;"Total",Rezepte!$D:$Z,4,FALSE)</f>
        <v>Modular Frame</v>
      </c>
      <c r="T54" s="3">
        <f>VLOOKUP($A54&amp;"Total",Rezepte!$D:$Z,5,FALSE)*H54/N54</f>
        <v>0</v>
      </c>
      <c r="U54" s="32">
        <f>ROUNDUP(T54/$S$78,0)</f>
        <v>0</v>
      </c>
      <c r="V54" t="str">
        <f>VLOOKUP($A54&amp;"Total",Rezepte!$D:$Z,7,FALSE)</f>
        <v>Steel Beam</v>
      </c>
      <c r="W54" s="3">
        <f>VLOOKUP($A54&amp;"Total",Rezepte!$D:$Z,8,FALSE)*H54/N54</f>
        <v>0</v>
      </c>
      <c r="X54" s="32">
        <f>ROUNDUP(W54/$S$78,0)</f>
        <v>0</v>
      </c>
      <c r="Y54" t="str">
        <f>VLOOKUP($A54&amp;"Total",Rezepte!$D:$Z,10,FALSE)</f>
        <v>nothing</v>
      </c>
      <c r="Z54" s="3">
        <f>VLOOKUP($A54&amp;"Total",Rezepte!$D:$Z,11,FALSE)*H54/N54</f>
        <v>0</v>
      </c>
      <c r="AA54" s="32">
        <f>ROUNDUP(Z54/$S$78,0)</f>
        <v>0</v>
      </c>
      <c r="AB54" t="str">
        <f>VLOOKUP($A54&amp;"Total",Rezepte!$D:$Z,13,FALSE)</f>
        <v>nothing</v>
      </c>
      <c r="AC54" s="3">
        <f>VLOOKUP($A54&amp;"Total",Rezepte!$D:$Z,14,FALSE)*H54/N54</f>
        <v>0</v>
      </c>
      <c r="AD54" s="32">
        <f>ROUNDUP(AC54/$S$78,0)</f>
        <v>0</v>
      </c>
      <c r="AF54" s="3">
        <f>VLOOKUP($A54&amp;"Total",Rezepte!$D:$AK,24,FALSE)/100*$C54</f>
        <v>0</v>
      </c>
      <c r="AG54" s="3">
        <f>VLOOKUP($A54&amp;"Total",Rezepte!$D:$AK,25,FALSE)/100*$C54</f>
        <v>0</v>
      </c>
      <c r="AH54" s="3">
        <f>VLOOKUP($A54&amp;"Total",Rezepte!$D:$AK,26,FALSE)/100*$C54</f>
        <v>0</v>
      </c>
      <c r="AI54" s="3">
        <f>VLOOKUP($A54&amp;"Total",Rezepte!$D:$AK,27,FALSE)/100*$C54</f>
        <v>0</v>
      </c>
      <c r="AJ54" s="3">
        <f>VLOOKUP($A54&amp;"Total",Rezepte!$D:$AK,28,FALSE)/100*$C54</f>
        <v>0</v>
      </c>
      <c r="AK54" s="3">
        <f>VLOOKUP($A54&amp;"Total",Rezepte!$D:$AK,29,FALSE)/100*$C54</f>
        <v>0</v>
      </c>
      <c r="AL54" s="3">
        <f>VLOOKUP($A54&amp;"Total",Rezepte!$D:$AK,30,FALSE)/100*$C54</f>
        <v>0</v>
      </c>
      <c r="AM54" s="3">
        <f>VLOOKUP($A54&amp;"Total",Rezepte!$D:$AK,31,FALSE)/100*$C54</f>
        <v>0</v>
      </c>
      <c r="AN54" s="3">
        <f>VLOOKUP($A54&amp;"Total",Rezepte!$D:$AK,32,FALSE)/100*$C54</f>
        <v>0</v>
      </c>
      <c r="AO54" s="3">
        <f>VLOOKUP($A54&amp;"Total",Rezepte!$D:$AK,33,FALSE)/100*$C54</f>
        <v>0</v>
      </c>
      <c r="AP54" s="3">
        <f>VLOOKUP($A54&amp;"Total",Rezepte!$D:$AK,34,FALSE)/100*$C54</f>
        <v>0</v>
      </c>
    </row>
    <row r="55" spans="1:42" x14ac:dyDescent="0.25">
      <c r="A55" t="s">
        <v>147</v>
      </c>
      <c r="D55" s="47">
        <f>SUMIFS(T:T,S:S,A55)+SUMIFS(W:W,V:V,A55)+SUMIFS(Z:Z,Y:Y,A55)+SUMIFS(AC:AC,AB:AB,A55)</f>
        <v>7.5</v>
      </c>
      <c r="E55" s="47">
        <f>D55+C55</f>
        <v>7.5</v>
      </c>
      <c r="F55" s="32">
        <f>COUNTIFS(S:S,A55,T:T,"&gt;0")+COUNTIFS(V:V,A55,W:W,"&gt;0")+COUNTIFS(Y:Y,A55,Z:Z,"&gt;0")+COUNTIFS(AB:AB,A55,AC:AC,"&gt;0")</f>
        <v>1</v>
      </c>
      <c r="G55" s="32">
        <f>ROUNDUP(H55/N55,0)</f>
        <v>3</v>
      </c>
      <c r="H55" s="55">
        <f t="shared" si="24"/>
        <v>7.5</v>
      </c>
      <c r="I55" s="55">
        <f>MOD(H55,N55)</f>
        <v>0</v>
      </c>
      <c r="J55" s="34" t="str">
        <f>VLOOKUP($A55&amp;"Total",Rezepte!$D:$Z,19,FALSE)</f>
        <v>Assembler</v>
      </c>
      <c r="K55" s="57">
        <f>SUMIFS(U:U,S:S,A55)+SUMIFS(X:X,V:V,A55)+SUMIFS(AA:AA,Y:Y,A55)+SUMIFS(AD:AD,AB:AB,A55)</f>
        <v>1</v>
      </c>
      <c r="L55" s="30">
        <f>H55/N55*P55</f>
        <v>45</v>
      </c>
      <c r="M55" s="51">
        <f>VLOOKUP($A55&amp;"Total",Rezepte!$D:$Z,21,FALSE)</f>
        <v>2.5</v>
      </c>
      <c r="N55" s="47">
        <f>ROUNDDOWN(M55,2)</f>
        <v>2.5</v>
      </c>
      <c r="O55" s="60">
        <f>VLOOKUP($A55&amp;"Total",Rezepte!$D:$Z,20,FALSE)</f>
        <v>15</v>
      </c>
      <c r="P55" s="60">
        <f>N55/M55*O55</f>
        <v>15</v>
      </c>
      <c r="Q55" s="47">
        <v>7.5</v>
      </c>
      <c r="S55" t="str">
        <f>VLOOKUP($A55&amp;"Total",Rezepte!$D:$Z,4,FALSE)</f>
        <v>Stator</v>
      </c>
      <c r="T55" s="3">
        <f>VLOOKUP($A55&amp;"Total",Rezepte!$D:$Z,5,FALSE)*H55/N55</f>
        <v>7.5</v>
      </c>
      <c r="U55" s="32">
        <f>ROUNDUP(T55/$S$78,0)</f>
        <v>1</v>
      </c>
      <c r="V55" t="str">
        <f>VLOOKUP($A55&amp;"Total",Rezepte!$D:$Z,7,FALSE)</f>
        <v>Cable</v>
      </c>
      <c r="W55" s="3">
        <f>VLOOKUP($A55&amp;"Total",Rezepte!$D:$Z,8,FALSE)*H55/N55</f>
        <v>150</v>
      </c>
      <c r="X55" s="32">
        <f>ROUNDUP(W55/$S$78,0)</f>
        <v>1</v>
      </c>
      <c r="Y55" t="str">
        <f>VLOOKUP($A55&amp;"Total",Rezepte!$D:$Z,10,FALSE)</f>
        <v>nothing</v>
      </c>
      <c r="Z55" s="3">
        <f>VLOOKUP($A55&amp;"Total",Rezepte!$D:$Z,11,FALSE)*H55/N55</f>
        <v>0</v>
      </c>
      <c r="AA55" s="32">
        <f>ROUNDUP(Z55/$S$78,0)</f>
        <v>0</v>
      </c>
      <c r="AB55" t="str">
        <f>VLOOKUP($A55&amp;"Total",Rezepte!$D:$Z,13,FALSE)</f>
        <v>nothing</v>
      </c>
      <c r="AC55" s="3">
        <f>VLOOKUP($A55&amp;"Total",Rezepte!$D:$Z,14,FALSE)*H55/N55</f>
        <v>0</v>
      </c>
      <c r="AD55" s="32">
        <f>ROUNDUP(AC55/$S$78,0)</f>
        <v>0</v>
      </c>
      <c r="AF55" s="3">
        <f>VLOOKUP($A55&amp;"Total",Rezepte!$D:$AK,24,FALSE)/100*$C55</f>
        <v>0</v>
      </c>
      <c r="AG55" s="3">
        <f>VLOOKUP($A55&amp;"Total",Rezepte!$D:$AK,25,FALSE)/100*$C55</f>
        <v>0</v>
      </c>
      <c r="AH55" s="3">
        <f>VLOOKUP($A55&amp;"Total",Rezepte!$D:$AK,26,FALSE)/100*$C55</f>
        <v>0</v>
      </c>
      <c r="AI55" s="3">
        <f>VLOOKUP($A55&amp;"Total",Rezepte!$D:$AK,27,FALSE)/100*$C55</f>
        <v>0</v>
      </c>
      <c r="AJ55" s="3">
        <f>VLOOKUP($A55&amp;"Total",Rezepte!$D:$AK,28,FALSE)/100*$C55</f>
        <v>0</v>
      </c>
      <c r="AK55" s="3">
        <f>VLOOKUP($A55&amp;"Total",Rezepte!$D:$AK,29,FALSE)/100*$C55</f>
        <v>0</v>
      </c>
      <c r="AL55" s="3">
        <f>VLOOKUP($A55&amp;"Total",Rezepte!$D:$AK,30,FALSE)/100*$C55</f>
        <v>0</v>
      </c>
      <c r="AM55" s="3">
        <f>VLOOKUP($A55&amp;"Total",Rezepte!$D:$AK,31,FALSE)/100*$C55</f>
        <v>0</v>
      </c>
      <c r="AN55" s="3">
        <f>VLOOKUP($A55&amp;"Total",Rezepte!$D:$AK,32,FALSE)/100*$C55</f>
        <v>0</v>
      </c>
      <c r="AO55" s="3">
        <f>VLOOKUP($A55&amp;"Total",Rezepte!$D:$AK,33,FALSE)/100*$C55</f>
        <v>0</v>
      </c>
      <c r="AP55" s="3">
        <f>VLOOKUP($A55&amp;"Total",Rezepte!$D:$AK,34,FALSE)/100*$C55</f>
        <v>0</v>
      </c>
    </row>
    <row r="56" spans="1:42" x14ac:dyDescent="0.25">
      <c r="D56" s="47"/>
      <c r="E56" s="47"/>
      <c r="J56" s="34"/>
      <c r="K56" s="57"/>
      <c r="M56" s="51"/>
      <c r="N56" s="47"/>
    </row>
    <row r="57" spans="1:42" x14ac:dyDescent="0.25">
      <c r="A57" t="s">
        <v>152</v>
      </c>
      <c r="B57">
        <v>5</v>
      </c>
      <c r="C57">
        <v>5</v>
      </c>
      <c r="D57" s="47">
        <f>SUMIFS(T:T,S:S,A57)+SUMIFS(W:W,V:V,A57)+SUMIFS(Z:Z,Y:Y,A57)+SUMIFS(AC:AC,AB:AB,A57)</f>
        <v>0</v>
      </c>
      <c r="E57" s="47">
        <f>D57+C57</f>
        <v>5</v>
      </c>
      <c r="F57" s="32">
        <f>COUNTIFS(S:S,A57,T:T,"&gt;0")+COUNTIFS(V:V,A57,W:W,"&gt;0")+COUNTIFS(Y:Y,A57,Z:Z,"&gt;0")+COUNTIFS(AB:AB,A57,AC:AC,"&gt;0")</f>
        <v>0</v>
      </c>
      <c r="G57" s="32">
        <f>ROUNDUP(H57/N57,0)</f>
        <v>5</v>
      </c>
      <c r="H57" s="55">
        <f t="shared" si="24"/>
        <v>5</v>
      </c>
      <c r="I57" s="55">
        <f>MOD(H57,N57)</f>
        <v>0</v>
      </c>
      <c r="J57" s="34" t="str">
        <f>VLOOKUP($A57&amp;"Total",Rezepte!$D:$Z,19,FALSE)</f>
        <v>Manufactirer</v>
      </c>
      <c r="K57" s="57">
        <f>SUMIFS(U:U,S:S,A57)+SUMIFS(X:X,V:V,A57)+SUMIFS(AA:AA,Y:Y,A57)+SUMIFS(AD:AD,AB:AB,A57)</f>
        <v>0</v>
      </c>
      <c r="L57" s="30">
        <f>H57/N57*P57</f>
        <v>275</v>
      </c>
      <c r="M57" s="51">
        <f>VLOOKUP($A57&amp;"Total",Rezepte!$D:$Z,21,FALSE)</f>
        <v>1</v>
      </c>
      <c r="N57" s="47">
        <f>ROUNDDOWN(M57,2)</f>
        <v>1</v>
      </c>
      <c r="O57" s="60">
        <f>VLOOKUP($A57&amp;"Total",Rezepte!$D:$Z,20,FALSE)</f>
        <v>55</v>
      </c>
      <c r="P57" s="60">
        <f>N57/M57*O57</f>
        <v>55</v>
      </c>
      <c r="Q57" s="47">
        <v>5</v>
      </c>
      <c r="S57" t="str">
        <f>VLOOKUP($A57&amp;"Total",Rezepte!$D:$Z,4,FALSE)</f>
        <v>Motor</v>
      </c>
      <c r="T57" s="3">
        <f>VLOOKUP($A57&amp;"Total",Rezepte!$D:$Z,5,FALSE)*H57/N57</f>
        <v>10</v>
      </c>
      <c r="U57" s="32">
        <f>ROUNDUP(T57/$S$78,0)</f>
        <v>1</v>
      </c>
      <c r="V57" t="str">
        <f>VLOOKUP($A57&amp;"Total",Rezepte!$D:$Z,7,FALSE)</f>
        <v>Rubber</v>
      </c>
      <c r="W57" s="3">
        <f>VLOOKUP($A57&amp;"Total",Rezepte!$D:$Z,8,FALSE)*H57/N57</f>
        <v>75</v>
      </c>
      <c r="X57" s="32">
        <f>ROUNDUP(W57/$S$78,0)</f>
        <v>1</v>
      </c>
      <c r="Y57" t="str">
        <f>VLOOKUP($A57&amp;"Total",Rezepte!$D:$Z,10,FALSE)</f>
        <v>Smart Plating</v>
      </c>
      <c r="Z57" s="3">
        <f>VLOOKUP($A57&amp;"Total",Rezepte!$D:$Z,11,FALSE)*H57/N57</f>
        <v>10</v>
      </c>
      <c r="AA57" s="32">
        <f>ROUNDUP(Z57/$S$78,0)</f>
        <v>1</v>
      </c>
      <c r="AB57" t="str">
        <f>VLOOKUP($A57&amp;"Total",Rezepte!$D:$Z,13,FALSE)</f>
        <v>nothing</v>
      </c>
      <c r="AC57" s="3">
        <f>VLOOKUP($A57&amp;"Total",Rezepte!$D:$Z,14,FALSE)*H57/N57</f>
        <v>0</v>
      </c>
      <c r="AD57" s="32">
        <f>ROUNDUP(AC57/$S$78,0)</f>
        <v>0</v>
      </c>
      <c r="AF57" s="3">
        <f>VLOOKUP($A57&amp;"Total",Rezepte!$D:$AK,24,FALSE)/100*$C57</f>
        <v>73.333333333333343</v>
      </c>
      <c r="AG57" s="3">
        <f>VLOOKUP($A57&amp;"Total",Rezepte!$D:$AK,25,FALSE)/100*$C57</f>
        <v>76.666666666666686</v>
      </c>
      <c r="AH57" s="3">
        <f>VLOOKUP($A57&amp;"Total",Rezepte!$D:$AK,26,FALSE)/100*$C57</f>
        <v>0</v>
      </c>
      <c r="AI57" s="3">
        <f>VLOOKUP($A57&amp;"Total",Rezepte!$D:$AK,27,FALSE)/100*$C57</f>
        <v>23.333333333333336</v>
      </c>
      <c r="AJ57" s="3">
        <f>VLOOKUP($A57&amp;"Total",Rezepte!$D:$AK,28,FALSE)/100*$C57</f>
        <v>67.5</v>
      </c>
      <c r="AK57" s="3">
        <f>VLOOKUP($A57&amp;"Total",Rezepte!$D:$AK,29,FALSE)/100*$C57</f>
        <v>27.777777777777779</v>
      </c>
      <c r="AL57" s="3">
        <f>VLOOKUP($A57&amp;"Total",Rezepte!$D:$AK,30,FALSE)/100*$C57</f>
        <v>0</v>
      </c>
      <c r="AM57" s="3">
        <f>VLOOKUP($A57&amp;"Total",Rezepte!$D:$AK,31,FALSE)/100*$C57</f>
        <v>0</v>
      </c>
      <c r="AN57" s="3">
        <f>VLOOKUP($A57&amp;"Total",Rezepte!$D:$AK,32,FALSE)/100*$C57</f>
        <v>0</v>
      </c>
      <c r="AO57" s="3">
        <f>VLOOKUP($A57&amp;"Total",Rezepte!$D:$AK,33,FALSE)/100*$C57</f>
        <v>0</v>
      </c>
      <c r="AP57" s="3">
        <f>VLOOKUP($A57&amp;"Total",Rezepte!$D:$AK,34,FALSE)/100*$C57</f>
        <v>130</v>
      </c>
    </row>
    <row r="58" spans="1:42" x14ac:dyDescent="0.25">
      <c r="A58" t="s">
        <v>153</v>
      </c>
      <c r="B58">
        <v>1</v>
      </c>
      <c r="C58">
        <v>1</v>
      </c>
      <c r="D58" s="47">
        <f>SUMIFS(T:T,S:S,A58)+SUMIFS(W:W,V:V,A58)+SUMIFS(Z:Z,Y:Y,A58)+SUMIFS(AC:AC,AB:AB,A58)</f>
        <v>0</v>
      </c>
      <c r="E58" s="47">
        <f>D58+C58</f>
        <v>1</v>
      </c>
      <c r="F58" s="32">
        <f>COUNTIFS(S:S,A58,T:T,"&gt;0")+COUNTIFS(V:V,A58,W:W,"&gt;0")+COUNTIFS(Y:Y,A58,Z:Z,"&gt;0")+COUNTIFS(AB:AB,A58,AC:AC,"&gt;0")</f>
        <v>0</v>
      </c>
      <c r="G58" s="32">
        <f>ROUNDUP(H58/N58,0)</f>
        <v>1</v>
      </c>
      <c r="H58" s="55">
        <f t="shared" si="24"/>
        <v>1</v>
      </c>
      <c r="I58" s="55">
        <f>MOD(H58,N58)</f>
        <v>0</v>
      </c>
      <c r="J58" s="34" t="str">
        <f>VLOOKUP($A58&amp;"Total",Rezepte!$D:$Z,19,FALSE)</f>
        <v>Manufactirer</v>
      </c>
      <c r="K58" s="57">
        <f>SUMIFS(U:U,S:S,A58)+SUMIFS(X:X,V:V,A58)+SUMIFS(AA:AA,Y:Y,A58)+SUMIFS(AD:AD,AB:AB,A58)</f>
        <v>0</v>
      </c>
      <c r="L58" s="30">
        <f>H58/N58*P58</f>
        <v>55</v>
      </c>
      <c r="M58" s="51">
        <f>VLOOKUP($A58&amp;"Total",Rezepte!$D:$Z,21,FALSE)</f>
        <v>1</v>
      </c>
      <c r="N58" s="47">
        <f>ROUNDDOWN(M58,2)</f>
        <v>1</v>
      </c>
      <c r="O58" s="60">
        <f>VLOOKUP($A58&amp;"Total",Rezepte!$D:$Z,20,FALSE)</f>
        <v>55</v>
      </c>
      <c r="P58" s="60">
        <f>N58/M58*O58</f>
        <v>55</v>
      </c>
      <c r="Q58" s="47">
        <v>1</v>
      </c>
      <c r="S58" t="str">
        <f>VLOOKUP($A58&amp;"Total",Rezepte!$D:$Z,4,FALSE)</f>
        <v>Automated Wiring</v>
      </c>
      <c r="T58" s="3">
        <f>VLOOKUP($A58&amp;"Total",Rezepte!$D:$Z,5,FALSE)*H58/N58</f>
        <v>7.5</v>
      </c>
      <c r="U58" s="32">
        <f>ROUNDUP(T58/$S$78,0)</f>
        <v>1</v>
      </c>
      <c r="V58" t="str">
        <f>VLOOKUP($A58&amp;"Total",Rezepte!$D:$Z,7,FALSE)</f>
        <v>Circuit Board</v>
      </c>
      <c r="W58" s="3">
        <f>VLOOKUP($A58&amp;"Total",Rezepte!$D:$Z,8,FALSE)*H58/N58</f>
        <v>5</v>
      </c>
      <c r="X58" s="32">
        <f>ROUNDUP(W58/$S$78,0)</f>
        <v>1</v>
      </c>
      <c r="Y58" t="str">
        <f>VLOOKUP($A58&amp;"Total",Rezepte!$D:$Z,10,FALSE)</f>
        <v>heavy modular frame</v>
      </c>
      <c r="Z58" s="3">
        <f>VLOOKUP($A58&amp;"Total",Rezepte!$D:$Z,11,FALSE)*H58/N58</f>
        <v>1</v>
      </c>
      <c r="AA58" s="32">
        <f>ROUNDUP(Z58/$S$78,0)</f>
        <v>1</v>
      </c>
      <c r="AB58" t="str">
        <f>VLOOKUP($A58&amp;"Total",Rezepte!$D:$Z,13,FALSE)</f>
        <v>Computer</v>
      </c>
      <c r="AC58" s="3">
        <f>VLOOKUP($A58&amp;"Total",Rezepte!$D:$Z,14,FALSE)*H58/N58</f>
        <v>1</v>
      </c>
      <c r="AD58" s="32">
        <f>ROUNDUP(AC58/$S$78,0)</f>
        <v>1</v>
      </c>
      <c r="AF58" s="3">
        <f>VLOOKUP($A58&amp;"Total",Rezepte!$D:$AK,24,FALSE)/100*$C58</f>
        <v>68.111111111111128</v>
      </c>
      <c r="AG58" s="3">
        <f>VLOOKUP($A58&amp;"Total",Rezepte!$D:$AK,25,FALSE)/100*$C58</f>
        <v>52.8</v>
      </c>
      <c r="AH58" s="3">
        <f>VLOOKUP($A58&amp;"Total",Rezepte!$D:$AK,26,FALSE)/100*$C58</f>
        <v>72.000000000000014</v>
      </c>
      <c r="AI58" s="3">
        <f>VLOOKUP($A58&amp;"Total",Rezepte!$D:$AK,27,FALSE)/100*$C58</f>
        <v>59.222222222222229</v>
      </c>
      <c r="AJ58" s="3">
        <f>VLOOKUP($A58&amp;"Total",Rezepte!$D:$AK,28,FALSE)/100*$C58</f>
        <v>167.49444444444444</v>
      </c>
      <c r="AK58" s="3">
        <f>VLOOKUP($A58&amp;"Total",Rezepte!$D:$AK,29,FALSE)/100*$C58</f>
        <v>15.84</v>
      </c>
      <c r="AL58" s="3">
        <f>VLOOKUP($A58&amp;"Total",Rezepte!$D:$AK,30,FALSE)/100*$C58</f>
        <v>0</v>
      </c>
      <c r="AM58" s="3">
        <f>VLOOKUP($A58&amp;"Total",Rezepte!$D:$AK,31,FALSE)/100*$C58</f>
        <v>0</v>
      </c>
      <c r="AN58" s="3">
        <f>VLOOKUP($A58&amp;"Total",Rezepte!$D:$AK,32,FALSE)/100*$C58</f>
        <v>0</v>
      </c>
      <c r="AO58" s="3">
        <f>VLOOKUP($A58&amp;"Total",Rezepte!$D:$AK,33,FALSE)/100*$C58</f>
        <v>0</v>
      </c>
      <c r="AP58" s="3">
        <f>VLOOKUP($A58&amp;"Total",Rezepte!$D:$AK,34,FALSE)/100*$C58</f>
        <v>18</v>
      </c>
    </row>
    <row r="59" spans="1:42" x14ac:dyDescent="0.25">
      <c r="D59" s="47"/>
      <c r="E59" s="47"/>
      <c r="J59" s="34"/>
      <c r="K59" s="57"/>
      <c r="M59" s="51"/>
      <c r="N59" s="47"/>
    </row>
    <row r="60" spans="1:42" x14ac:dyDescent="0.25">
      <c r="A60" t="s">
        <v>82</v>
      </c>
      <c r="C60">
        <v>8</v>
      </c>
      <c r="D60" s="47">
        <f>SUMIFS(T:T,S:S,A60)+SUMIFS(W:W,V:V,A60)+SUMIFS(Z:Z,Y:Y,A60)+SUMIFS(AC:AC,AB:AB,A60)</f>
        <v>60</v>
      </c>
      <c r="E60" s="47">
        <f>D60+C60</f>
        <v>68</v>
      </c>
      <c r="F60" s="32">
        <f>COUNTIFS(S:S,A60,T:T,"&gt;0")+COUNTIFS(V:V,A60,W:W,"&gt;0")+COUNTIFS(Y:Y,A60,Z:Z,"&gt;0")+COUNTIFS(AB:AB,A60,AC:AC,"&gt;0")</f>
        <v>1</v>
      </c>
      <c r="G60" s="32">
        <f>ROUNDUP(H60/N60,0)</f>
        <v>4</v>
      </c>
      <c r="H60" s="55">
        <f t="shared" si="24"/>
        <v>68</v>
      </c>
      <c r="I60" s="55">
        <f>MOD(H60,N60)</f>
        <v>8</v>
      </c>
      <c r="J60" s="34" t="str">
        <f>VLOOKUP($A60&amp;"Total",Rezepte!$D:$Z,19,FALSE)</f>
        <v>Refinery</v>
      </c>
      <c r="K60" s="57">
        <f>SUMIFS(U:U,S:S,A60)+SUMIFS(X:X,V:V,A60)+SUMIFS(AA:AA,Y:Y,A60)+SUMIFS(AD:AD,AB:AB,A60)</f>
        <v>20</v>
      </c>
      <c r="L60" s="30">
        <f>H60/N60*P60</f>
        <v>102</v>
      </c>
      <c r="M60" s="51">
        <f>VLOOKUP($A60&amp;"Total",Rezepte!$D:$Z,21,FALSE)</f>
        <v>20</v>
      </c>
      <c r="N60" s="47">
        <f>ROUNDDOWN(M60,2)</f>
        <v>20</v>
      </c>
      <c r="O60" s="60">
        <f>VLOOKUP($A60&amp;"Total",Rezepte!$D:$Z,20,FALSE)</f>
        <v>30</v>
      </c>
      <c r="P60" s="60">
        <f>N60/M60*O60</f>
        <v>30</v>
      </c>
      <c r="Q60" s="47">
        <v>8</v>
      </c>
      <c r="S60" t="str">
        <f>VLOOKUP($A60&amp;"Total",Rezepte!$D:$Z,4,FALSE)</f>
        <v>Oil</v>
      </c>
      <c r="T60" s="3">
        <f>VLOOKUP($A60&amp;"Total",Rezepte!$D:$Z,5,FALSE)*H60/N60</f>
        <v>102</v>
      </c>
      <c r="U60" s="32">
        <f>ROUNDUP(T60/$S$78,0)</f>
        <v>1</v>
      </c>
      <c r="V60" t="str">
        <f>VLOOKUP($A60&amp;"Total",Rezepte!$D:$Z,7,FALSE)</f>
        <v>nothing</v>
      </c>
      <c r="W60" s="3">
        <f>VLOOKUP($A60&amp;"Total",Rezepte!$D:$Z,8,FALSE)*H60/N60</f>
        <v>0</v>
      </c>
      <c r="X60" s="32">
        <f>ROUNDUP(W60/$S$78,0)</f>
        <v>0</v>
      </c>
      <c r="Y60" t="str">
        <f>VLOOKUP($A60&amp;"Total",Rezepte!$D:$Z,10,FALSE)</f>
        <v>nothing</v>
      </c>
      <c r="Z60" s="3">
        <f>VLOOKUP($A60&amp;"Total",Rezepte!$D:$Z,11,FALSE)*H60/N60</f>
        <v>0</v>
      </c>
      <c r="AA60" s="32">
        <f>ROUNDUP(Z60/$S$78,0)</f>
        <v>0</v>
      </c>
      <c r="AB60" t="str">
        <f>VLOOKUP($A60&amp;"Total",Rezepte!$D:$Z,13,FALSE)</f>
        <v>nothing</v>
      </c>
      <c r="AC60" s="3">
        <f>VLOOKUP($A60&amp;"Total",Rezepte!$D:$Z,14,FALSE)*H60/N60</f>
        <v>0</v>
      </c>
      <c r="AD60" s="32">
        <f>ROUNDUP(AC60/$S$78,0)</f>
        <v>0</v>
      </c>
      <c r="AF60" s="3">
        <f>VLOOKUP($A60&amp;"Total",Rezepte!$D:$AK,24,FALSE)/100*$C60</f>
        <v>0</v>
      </c>
      <c r="AG60" s="3">
        <f>VLOOKUP($A60&amp;"Total",Rezepte!$D:$AK,25,FALSE)/100*$C60</f>
        <v>0</v>
      </c>
      <c r="AH60" s="3">
        <f>VLOOKUP($A60&amp;"Total",Rezepte!$D:$AK,26,FALSE)/100*$C60</f>
        <v>0</v>
      </c>
      <c r="AI60" s="3">
        <f>VLOOKUP($A60&amp;"Total",Rezepte!$D:$AK,27,FALSE)/100*$C60</f>
        <v>0</v>
      </c>
      <c r="AJ60" s="3">
        <f>VLOOKUP($A60&amp;"Total",Rezepte!$D:$AK,28,FALSE)/100*$C60</f>
        <v>0</v>
      </c>
      <c r="AK60" s="3">
        <f>VLOOKUP($A60&amp;"Total",Rezepte!$D:$AK,29,FALSE)/100*$C60</f>
        <v>0</v>
      </c>
      <c r="AL60" s="3">
        <f>VLOOKUP($A60&amp;"Total",Rezepte!$D:$AK,30,FALSE)/100*$C60</f>
        <v>0</v>
      </c>
      <c r="AM60" s="3">
        <f>VLOOKUP($A60&amp;"Total",Rezepte!$D:$AK,31,FALSE)/100*$C60</f>
        <v>0</v>
      </c>
      <c r="AN60" s="3">
        <f>VLOOKUP($A60&amp;"Total",Rezepte!$D:$AK,32,FALSE)/100*$C60</f>
        <v>0</v>
      </c>
      <c r="AO60" s="3">
        <f>VLOOKUP($A60&amp;"Total",Rezepte!$D:$AK,33,FALSE)/100*$C60</f>
        <v>0</v>
      </c>
      <c r="AP60" s="3">
        <f>VLOOKUP($A60&amp;"Total",Rezepte!$D:$AK,34,FALSE)/100*$C60</f>
        <v>12</v>
      </c>
    </row>
    <row r="61" spans="1:42" x14ac:dyDescent="0.25">
      <c r="A61" t="s">
        <v>72</v>
      </c>
      <c r="D61" s="47">
        <f>SUMIFS(T:T,S:S,A61)+SUMIFS(W:W,V:V,A61)+SUMIFS(Z:Z,Y:Y,A61)+SUMIFS(AC:AC,AB:AB,A61)</f>
        <v>187.56550802139037</v>
      </c>
      <c r="E61" s="47">
        <f>D61+C61</f>
        <v>187.56550802139037</v>
      </c>
      <c r="F61" s="32">
        <f>COUNTIFS(S:S,A61,T:T,"&gt;0")+COUNTIFS(V:V,A61,W:W,"&gt;0")+COUNTIFS(Y:Y,A61,Z:Z,"&gt;0")+COUNTIFS(AB:AB,A61,AC:AC,"&gt;0")</f>
        <v>4</v>
      </c>
      <c r="G61" s="32">
        <f>ROUNDUP(H61/N61,0)</f>
        <v>10</v>
      </c>
      <c r="H61" s="55">
        <f t="shared" si="24"/>
        <v>187.57</v>
      </c>
      <c r="I61" s="55">
        <f>MOD(H61,N61)</f>
        <v>7.5699999999999932</v>
      </c>
      <c r="J61" s="34" t="str">
        <f>VLOOKUP($A61&amp;"Total",Rezepte!$D:$Z,19,FALSE)</f>
        <v>Refinery</v>
      </c>
      <c r="K61" s="57">
        <f>SUMIFS(U:U,S:S,A61)+SUMIFS(X:X,V:V,A61)+SUMIFS(AA:AA,Y:Y,A61)+SUMIFS(AD:AD,AB:AB,A61)</f>
        <v>23</v>
      </c>
      <c r="L61" s="30">
        <f>H61/N61*P61</f>
        <v>281.35499999999996</v>
      </c>
      <c r="M61" s="51">
        <f>VLOOKUP($A61&amp;"Total",Rezepte!$D:$Z,21,FALSE)</f>
        <v>20</v>
      </c>
      <c r="N61" s="47">
        <f>ROUNDDOWN(M61,2)</f>
        <v>20</v>
      </c>
      <c r="O61" s="60">
        <f>VLOOKUP($A61&amp;"Total",Rezepte!$D:$Z,20,FALSE)</f>
        <v>30</v>
      </c>
      <c r="P61" s="60">
        <f>N61/M61*O61</f>
        <v>30</v>
      </c>
      <c r="Q61" s="47">
        <v>156</v>
      </c>
      <c r="S61" t="str">
        <f>VLOOKUP($A61&amp;"Total",Rezepte!$D:$Z,4,FALSE)</f>
        <v>Oil</v>
      </c>
      <c r="T61" s="3">
        <f>VLOOKUP($A61&amp;"Total",Rezepte!$D:$Z,5,FALSE)*H61/N61</f>
        <v>281.35499999999996</v>
      </c>
      <c r="U61" s="32">
        <f>ROUNDUP(T61/$S$78,0)</f>
        <v>1</v>
      </c>
      <c r="V61" t="str">
        <f>VLOOKUP($A61&amp;"Total",Rezepte!$D:$Z,7,FALSE)</f>
        <v>nothing</v>
      </c>
      <c r="W61" s="3">
        <f>VLOOKUP($A61&amp;"Total",Rezepte!$D:$Z,8,FALSE)*H61/N61</f>
        <v>0</v>
      </c>
      <c r="X61" s="32">
        <f>ROUNDUP(W61/$S$78,0)</f>
        <v>0</v>
      </c>
      <c r="Y61" t="str">
        <f>VLOOKUP($A61&amp;"Total",Rezepte!$D:$Z,10,FALSE)</f>
        <v>nothing</v>
      </c>
      <c r="Z61" s="3">
        <f>VLOOKUP($A61&amp;"Total",Rezepte!$D:$Z,11,FALSE)*H61/N61</f>
        <v>0</v>
      </c>
      <c r="AA61" s="32">
        <f>ROUNDUP(Z61/$S$78,0)</f>
        <v>0</v>
      </c>
      <c r="AB61" t="str">
        <f>VLOOKUP($A61&amp;"Total",Rezepte!$D:$Z,13,FALSE)</f>
        <v>nothing</v>
      </c>
      <c r="AC61" s="3">
        <f>VLOOKUP($A61&amp;"Total",Rezepte!$D:$Z,14,FALSE)*H61/N61</f>
        <v>0</v>
      </c>
      <c r="AD61" s="32">
        <f>ROUNDUP(AC61/$S$78,0)</f>
        <v>0</v>
      </c>
      <c r="AF61" s="3">
        <f>VLOOKUP($A61&amp;"Total",Rezepte!$D:$AK,24,FALSE)/100*$C61</f>
        <v>0</v>
      </c>
      <c r="AG61" s="3">
        <f>VLOOKUP($A61&amp;"Total",Rezepte!$D:$AK,25,FALSE)/100*$C61</f>
        <v>0</v>
      </c>
      <c r="AH61" s="3">
        <f>VLOOKUP($A61&amp;"Total",Rezepte!$D:$AK,26,FALSE)/100*$C61</f>
        <v>0</v>
      </c>
      <c r="AI61" s="3">
        <f>VLOOKUP($A61&amp;"Total",Rezepte!$D:$AK,27,FALSE)/100*$C61</f>
        <v>0</v>
      </c>
      <c r="AJ61" s="3">
        <f>VLOOKUP($A61&amp;"Total",Rezepte!$D:$AK,28,FALSE)/100*$C61</f>
        <v>0</v>
      </c>
      <c r="AK61" s="3">
        <f>VLOOKUP($A61&amp;"Total",Rezepte!$D:$AK,29,FALSE)/100*$C61</f>
        <v>0</v>
      </c>
      <c r="AL61" s="3">
        <f>VLOOKUP($A61&amp;"Total",Rezepte!$D:$AK,30,FALSE)/100*$C61</f>
        <v>0</v>
      </c>
      <c r="AM61" s="3">
        <f>VLOOKUP($A61&amp;"Total",Rezepte!$D:$AK,31,FALSE)/100*$C61</f>
        <v>0</v>
      </c>
      <c r="AN61" s="3">
        <f>VLOOKUP($A61&amp;"Total",Rezepte!$D:$AK,32,FALSE)/100*$C61</f>
        <v>0</v>
      </c>
      <c r="AO61" s="3">
        <f>VLOOKUP($A61&amp;"Total",Rezepte!$D:$AK,33,FALSE)/100*$C61</f>
        <v>0</v>
      </c>
      <c r="AP61" s="3">
        <f>VLOOKUP($A61&amp;"Total",Rezepte!$D:$AK,34,FALSE)/100*$C61</f>
        <v>0</v>
      </c>
    </row>
    <row r="62" spans="1:42" x14ac:dyDescent="0.25">
      <c r="D62" s="47"/>
      <c r="G62" s="33"/>
    </row>
    <row r="63" spans="1:42" x14ac:dyDescent="0.25">
      <c r="D63" s="47"/>
      <c r="G63" s="33"/>
    </row>
    <row r="64" spans="1:42" ht="14.25" customHeight="1" x14ac:dyDescent="0.25">
      <c r="A64" t="s">
        <v>108</v>
      </c>
      <c r="D64" s="47">
        <f>SUMIFS(T:T,S:S,A64)+SUMIFS(W:W,V:V,A64)+SUMIFS(Z:Z,Y:Y,A64)+SUMIFS(AC:AC,AB:AB,A64)</f>
        <v>513.25</v>
      </c>
      <c r="E64" s="47">
        <f>D64+C64</f>
        <v>513.25</v>
      </c>
      <c r="F64" s="32">
        <f>COUNTIFS(S:S,A64,T:T,"&gt;0")+COUNTIFS(V:V,A64,W:W,"&gt;0")+COUNTIFS(Y:Y,A64,Z:Z,"&gt;0")+COUNTIFS(AB:AB,A64,AC:AC,"&gt;0")</f>
        <v>1</v>
      </c>
      <c r="G64" s="32">
        <f>ROUNDUP(H64/N64,0)</f>
        <v>5</v>
      </c>
      <c r="H64" s="55">
        <f t="shared" ref="H64" si="38">ROUNDUP(E64,2)</f>
        <v>513.25</v>
      </c>
      <c r="I64" s="55">
        <f>MOD(H64,N64)</f>
        <v>33.25</v>
      </c>
      <c r="J64" s="34" t="str">
        <f>VLOOKUP($A64&amp;"Total",Rezepte!$D:$Z,19,FALSE)</f>
        <v>Refinery</v>
      </c>
      <c r="K64" s="57">
        <f>SUMIFS(U:U,S:S,A64)+SUMIFS(X:X,V:V,A64)+SUMIFS(AA:AA,Y:Y,A64)+SUMIFS(AD:AD,AB:AB,A64)</f>
        <v>2</v>
      </c>
      <c r="L64" s="30">
        <f>H64/N64*P64</f>
        <v>128.3125</v>
      </c>
      <c r="M64" s="51">
        <f>VLOOKUP($A64&amp;"Total",Rezepte!$D:$Z,21,FALSE)</f>
        <v>120</v>
      </c>
      <c r="N64" s="47">
        <f>ROUNDDOWN(M64,2)</f>
        <v>120</v>
      </c>
      <c r="O64" s="60">
        <f>VLOOKUP($A64&amp;"Total",Rezepte!$D:$Z,20,FALSE)</f>
        <v>30</v>
      </c>
      <c r="P64" s="60">
        <f>N64/M64*O64</f>
        <v>30</v>
      </c>
      <c r="Q64" s="47">
        <v>0</v>
      </c>
      <c r="S64" t="str">
        <f>VLOOKUP($A64&amp;"Total",Rezepte!$D:$Z,4,FALSE)</f>
        <v>Heavy Oil Residue</v>
      </c>
      <c r="T64" s="3">
        <f>VLOOKUP($A64&amp;"Total",Rezepte!$D:$Z,5,FALSE)*H64/N64</f>
        <v>171.08333333333334</v>
      </c>
      <c r="U64" s="32">
        <f>ROUNDUP(T64/$S$78,0)</f>
        <v>1</v>
      </c>
      <c r="V64" t="str">
        <f>VLOOKUP($A64&amp;"Total",Rezepte!$D:$Z,7,FALSE)</f>
        <v>nothing</v>
      </c>
      <c r="W64" s="3">
        <f>VLOOKUP($A64&amp;"Total",Rezepte!$D:$Z,8,FALSE)*H64/N64</f>
        <v>0</v>
      </c>
      <c r="X64" s="32">
        <f>ROUNDUP(W64/$S$78,0)</f>
        <v>0</v>
      </c>
      <c r="Y64" t="str">
        <f>VLOOKUP($A64&amp;"Total",Rezepte!$D:$Z,10,FALSE)</f>
        <v>nothing</v>
      </c>
      <c r="Z64" s="3">
        <f>VLOOKUP($A64&amp;"Total",Rezepte!$D:$Z,11,FALSE)*H64/N64</f>
        <v>0</v>
      </c>
      <c r="AA64" s="32">
        <f>ROUNDUP(Z64/$S$78,0)</f>
        <v>0</v>
      </c>
      <c r="AB64" t="str">
        <f>VLOOKUP($A64&amp;"Total",Rezepte!$D:$Z,13,FALSE)</f>
        <v>nothing</v>
      </c>
      <c r="AC64" s="3">
        <f>VLOOKUP($A64&amp;"Total",Rezepte!$D:$Z,14,FALSE)*H64/N64</f>
        <v>0</v>
      </c>
      <c r="AD64" s="32">
        <f>ROUNDUP(AC64/$S$78,0)</f>
        <v>0</v>
      </c>
      <c r="AF64" s="3">
        <f>VLOOKUP($A64&amp;"Total",Rezepte!$D:$AK,24,FALSE)/100*$C64</f>
        <v>0</v>
      </c>
      <c r="AG64" s="3">
        <f>VLOOKUP($A64&amp;"Total",Rezepte!$D:$AK,25,FALSE)/100*$C64</f>
        <v>0</v>
      </c>
      <c r="AH64" s="3">
        <f>VLOOKUP($A64&amp;"Total",Rezepte!$D:$AK,26,FALSE)/100*$C64</f>
        <v>0</v>
      </c>
      <c r="AI64" s="3">
        <f>VLOOKUP($A64&amp;"Total",Rezepte!$D:$AK,27,FALSE)/100*$C64</f>
        <v>0</v>
      </c>
      <c r="AJ64" s="3">
        <f>VLOOKUP($A64&amp;"Total",Rezepte!$D:$AK,28,FALSE)/100*$C64</f>
        <v>0</v>
      </c>
      <c r="AK64" s="3">
        <f>VLOOKUP($A64&amp;"Total",Rezepte!$D:$AK,29,FALSE)/100*$C64</f>
        <v>0</v>
      </c>
      <c r="AL64" s="3">
        <f>VLOOKUP($A64&amp;"Total",Rezepte!$D:$AK,30,FALSE)/100*$C64</f>
        <v>0</v>
      </c>
      <c r="AM64" s="3">
        <f>VLOOKUP($A64&amp;"Total",Rezepte!$D:$AK,31,FALSE)/100*$C64</f>
        <v>0</v>
      </c>
      <c r="AN64" s="3">
        <f>VLOOKUP($A64&amp;"Total",Rezepte!$D:$AK,32,FALSE)/100*$C64</f>
        <v>0</v>
      </c>
      <c r="AO64" s="3">
        <f>VLOOKUP($A64&amp;"Total",Rezepte!$D:$AK,33,FALSE)/100*$C64</f>
        <v>0</v>
      </c>
      <c r="AP64" s="3">
        <f>VLOOKUP($A64&amp;"Total",Rezepte!$D:$AK,34,FALSE)/100*$C64</f>
        <v>0</v>
      </c>
    </row>
    <row r="65" spans="1:42" x14ac:dyDescent="0.25">
      <c r="A65" t="s">
        <v>99</v>
      </c>
      <c r="D65" s="47">
        <f>SUMIFS(T:T,S:S,A65)+SUMIFS(W:W,V:V,A65)+SUMIFS(Z:Z,Y:Y,A65)+SUMIFS(AC:AC,AB:AB,A65)</f>
        <v>855.41666666666674</v>
      </c>
      <c r="E65" s="47">
        <f>D65+C65</f>
        <v>855.41666666666674</v>
      </c>
      <c r="F65" s="32">
        <f>COUNTIFS(S:S,A65,T:T,"&gt;0")+COUNTIFS(V:V,A65,W:W,"&gt;0")+COUNTIFS(Y:Y,A65,Z:Z,"&gt;0")+COUNTIFS(AB:AB,A65,AC:AC,"&gt;0")</f>
        <v>2</v>
      </c>
      <c r="G65" s="32">
        <f>ROUNDUP(H65/N65,0)</f>
        <v>22</v>
      </c>
      <c r="H65" s="55">
        <f t="shared" ref="H65" si="39">ROUNDUP(E65,2)</f>
        <v>855.42</v>
      </c>
      <c r="I65" s="55">
        <f>MOD(H65,N65)</f>
        <v>15.419999999999959</v>
      </c>
      <c r="J65" s="34" t="str">
        <f>VLOOKUP($A65&amp;"Total",Rezepte!$D:$Z,19,FALSE)</f>
        <v>Refinery</v>
      </c>
      <c r="K65" s="57">
        <f>SUMIFS(U:U,S:S,A65)+SUMIFS(X:X,V:V,A65)+SUMIFS(AA:AA,Y:Y,A65)+SUMIFS(AD:AD,AB:AB,A65)</f>
        <v>3</v>
      </c>
      <c r="L65" s="30">
        <f>H65/N65*P65</f>
        <v>641.56500000000005</v>
      </c>
      <c r="M65" s="51">
        <f>VLOOKUP($A65&amp;"Total",Rezepte!$D:$Z,21,FALSE)</f>
        <v>40</v>
      </c>
      <c r="N65" s="47">
        <f>ROUNDDOWN(M65,2)</f>
        <v>40</v>
      </c>
      <c r="O65" s="60">
        <f>VLOOKUP($A65&amp;"Total",Rezepte!$D:$Z,20,FALSE)</f>
        <v>30</v>
      </c>
      <c r="P65" s="60">
        <f>N65/M65*O65</f>
        <v>30</v>
      </c>
      <c r="Q65" s="47">
        <v>0</v>
      </c>
      <c r="S65" t="str">
        <f>VLOOKUP($A65&amp;"Total",Rezepte!$D:$Z,4,FALSE)</f>
        <v>Oil</v>
      </c>
      <c r="T65" s="3">
        <f>VLOOKUP($A65&amp;"Total",Rezepte!$D:$Z,5,FALSE)*H65/N65</f>
        <v>641.56499999999994</v>
      </c>
      <c r="U65" s="32">
        <f>ROUNDUP(T65/$S$78,0)</f>
        <v>2</v>
      </c>
      <c r="V65" t="str">
        <f>VLOOKUP($A65&amp;"Total",Rezepte!$D:$Z,7,FALSE)</f>
        <v>nothing</v>
      </c>
      <c r="W65" s="3">
        <f>VLOOKUP($A65&amp;"Total",Rezepte!$D:$Z,8,FALSE)*H65/N65</f>
        <v>0</v>
      </c>
      <c r="X65" s="32">
        <f>ROUNDUP(W65/$S$78,0)</f>
        <v>0</v>
      </c>
      <c r="Y65" t="str">
        <f>VLOOKUP($A65&amp;"Total",Rezepte!$D:$Z,10,FALSE)</f>
        <v>nothing</v>
      </c>
      <c r="Z65" s="3">
        <f>VLOOKUP($A65&amp;"Total",Rezepte!$D:$Z,11,FALSE)*H65/N65</f>
        <v>0</v>
      </c>
      <c r="AA65" s="32">
        <f>ROUNDUP(Z65/$S$78,0)</f>
        <v>0</v>
      </c>
      <c r="AB65" t="str">
        <f>VLOOKUP($A65&amp;"Total",Rezepte!$D:$Z,13,FALSE)</f>
        <v>nothing</v>
      </c>
      <c r="AC65" s="3">
        <f>VLOOKUP($A65&amp;"Total",Rezepte!$D:$Z,14,FALSE)*H65/N65</f>
        <v>0</v>
      </c>
      <c r="AD65" s="32">
        <f>ROUNDUP(AC65/$S$78,0)</f>
        <v>0</v>
      </c>
      <c r="AF65" s="3">
        <f>VLOOKUP($A65&amp;"Total",Rezepte!$D:$AK,24,FALSE)/100*$C65</f>
        <v>0</v>
      </c>
      <c r="AG65" s="3">
        <f>VLOOKUP($A65&amp;"Total",Rezepte!$D:$AK,25,FALSE)/100*$C65</f>
        <v>0</v>
      </c>
      <c r="AH65" s="3">
        <f>VLOOKUP($A65&amp;"Total",Rezepte!$D:$AK,26,FALSE)/100*$C65</f>
        <v>0</v>
      </c>
      <c r="AI65" s="3">
        <f>VLOOKUP($A65&amp;"Total",Rezepte!$D:$AK,27,FALSE)/100*$C65</f>
        <v>0</v>
      </c>
      <c r="AJ65" s="3">
        <f>VLOOKUP($A65&amp;"Total",Rezepte!$D:$AK,28,FALSE)/100*$C65</f>
        <v>0</v>
      </c>
      <c r="AK65" s="3">
        <f>VLOOKUP($A65&amp;"Total",Rezepte!$D:$AK,29,FALSE)/100*$C65</f>
        <v>0</v>
      </c>
      <c r="AL65" s="3">
        <f>VLOOKUP($A65&amp;"Total",Rezepte!$D:$AK,30,FALSE)/100*$C65</f>
        <v>0</v>
      </c>
      <c r="AM65" s="3">
        <f>VLOOKUP($A65&amp;"Total",Rezepte!$D:$AK,31,FALSE)/100*$C65</f>
        <v>0</v>
      </c>
      <c r="AN65" s="3">
        <f>VLOOKUP($A65&amp;"Total",Rezepte!$D:$AK,32,FALSE)/100*$C65</f>
        <v>0</v>
      </c>
      <c r="AO65" s="3">
        <f>VLOOKUP($A65&amp;"Total",Rezepte!$D:$AK,33,FALSE)/100*$C65</f>
        <v>0</v>
      </c>
      <c r="AP65" s="3">
        <f>VLOOKUP($A65&amp;"Total",Rezepte!$D:$AK,34,FALSE)/100*$C65</f>
        <v>0</v>
      </c>
    </row>
    <row r="66" spans="1:42" x14ac:dyDescent="0.25">
      <c r="A66" t="s">
        <v>157</v>
      </c>
      <c r="D66" s="47">
        <f>SUMIFS(T:T,S:S,A66)+SUMIFS(W:W,V:V,A66)+SUMIFS(Z:Z,Y:Y,A66)+SUMIFS(AC:AC,AB:AB,A66)</f>
        <v>372.16666666666669</v>
      </c>
      <c r="E66" s="47">
        <f>D66+C66</f>
        <v>372.16666666666669</v>
      </c>
      <c r="F66" s="32">
        <f>COUNTIFS(S:S,A66,T:T,"&gt;0")+COUNTIFS(V:V,A66,W:W,"&gt;0")+COUNTIFS(Y:Y,A66,Z:Z,"&gt;0")+COUNTIFS(AB:AB,A66,AC:AC,"&gt;0")</f>
        <v>2</v>
      </c>
      <c r="G66" s="32">
        <f>ROUNDUP(H66/N66,0)</f>
        <v>10</v>
      </c>
      <c r="H66" s="55">
        <f t="shared" ref="H66" si="40">ROUNDUP(E66,2)</f>
        <v>372.17</v>
      </c>
      <c r="I66" s="55">
        <f>MOD(H66,N66)</f>
        <v>12.170000000000016</v>
      </c>
      <c r="J66" s="34" t="str">
        <f>VLOOKUP($A66&amp;"Total",Rezepte!$D:$Z,19,FALSE)</f>
        <v>Refinery</v>
      </c>
      <c r="K66" s="57">
        <f>SUMIFS(U:U,S:S,A66)+SUMIFS(X:X,V:V,A66)+SUMIFS(AA:AA,Y:Y,A66)+SUMIFS(AD:AD,AB:AB,A66)</f>
        <v>10.304166666666667</v>
      </c>
      <c r="L66" s="30">
        <f>H66/N66*P66</f>
        <v>279.1275</v>
      </c>
      <c r="M66" s="51">
        <f>VLOOKUP($A66&amp;"Total",Rezepte!$D:$Z,21,FALSE)</f>
        <v>40</v>
      </c>
      <c r="N66" s="47">
        <f>ROUNDDOWN(M66,2)</f>
        <v>40</v>
      </c>
      <c r="O66" s="60">
        <f>VLOOKUP($A66&amp;"Total",Rezepte!$D:$Z,20,FALSE)</f>
        <v>30</v>
      </c>
      <c r="P66" s="60">
        <f>N66/M66*O66</f>
        <v>30</v>
      </c>
      <c r="Q66" s="47">
        <v>0</v>
      </c>
      <c r="S66" t="str">
        <f>VLOOKUP($A66&amp;"Total",Rezepte!$D:$Z,4,FALSE)</f>
        <v>Oil</v>
      </c>
      <c r="T66" s="3">
        <f>VLOOKUP($A66&amp;"Total",Rezepte!$D:$Z,5,FALSE)*H66/N66</f>
        <v>558.255</v>
      </c>
      <c r="U66" s="32">
        <f>ROUNDUP(T66/$S$78,0)</f>
        <v>2</v>
      </c>
      <c r="V66" t="str">
        <f>VLOOKUP($A66&amp;"Total",Rezepte!$D:$Z,7,FALSE)</f>
        <v>nothing</v>
      </c>
      <c r="W66" s="3">
        <f>VLOOKUP($A66&amp;"Total",Rezepte!$D:$Z,8,FALSE)*H66/N66</f>
        <v>0</v>
      </c>
      <c r="X66" s="32">
        <f>ROUNDUP(W66/$S$78,0)</f>
        <v>0</v>
      </c>
      <c r="Y66" t="str">
        <f>VLOOKUP($A66&amp;"Total",Rezepte!$D:$Z,10,FALSE)</f>
        <v>nothing</v>
      </c>
      <c r="Z66" s="3">
        <f>VLOOKUP($A66&amp;"Total",Rezepte!$D:$Z,11,FALSE)*H66/N66</f>
        <v>0</v>
      </c>
      <c r="AA66" s="32">
        <f>ROUNDUP(Z66/$S$78,0)</f>
        <v>0</v>
      </c>
      <c r="AB66" t="str">
        <f>VLOOKUP($A66&amp;"Total",Rezepte!$D:$Z,13,FALSE)</f>
        <v>nothing</v>
      </c>
      <c r="AC66" s="3">
        <f>VLOOKUP($A66&amp;"Total",Rezepte!$D:$Z,14,FALSE)*H66/N66</f>
        <v>0</v>
      </c>
      <c r="AD66" s="32">
        <f>ROUNDUP(AC66/$S$78,0)</f>
        <v>0</v>
      </c>
      <c r="AF66" s="3">
        <f>VLOOKUP($A66&amp;"Total",Rezepte!$D:$AK,24,FALSE)/100*$C66</f>
        <v>0</v>
      </c>
      <c r="AG66" s="3">
        <f>VLOOKUP($A66&amp;"Total",Rezepte!$D:$AK,25,FALSE)/100*$C66</f>
        <v>0</v>
      </c>
      <c r="AH66" s="3">
        <f>VLOOKUP($A66&amp;"Total",Rezepte!$D:$AK,26,FALSE)/100*$C66</f>
        <v>0</v>
      </c>
      <c r="AI66" s="3">
        <f>VLOOKUP($A66&amp;"Total",Rezepte!$D:$AK,27,FALSE)/100*$C66</f>
        <v>0</v>
      </c>
      <c r="AJ66" s="3">
        <f>VLOOKUP($A66&amp;"Total",Rezepte!$D:$AK,28,FALSE)/100*$C66</f>
        <v>0</v>
      </c>
      <c r="AK66" s="3">
        <f>VLOOKUP($A66&amp;"Total",Rezepte!$D:$AK,29,FALSE)/100*$C66</f>
        <v>0</v>
      </c>
      <c r="AL66" s="3">
        <f>VLOOKUP($A66&amp;"Total",Rezepte!$D:$AK,30,FALSE)/100*$C66</f>
        <v>0</v>
      </c>
      <c r="AM66" s="3">
        <f>VLOOKUP($A66&amp;"Total",Rezepte!$D:$AK,31,FALSE)/100*$C66</f>
        <v>0</v>
      </c>
      <c r="AN66" s="3">
        <f>VLOOKUP($A66&amp;"Total",Rezepte!$D:$AK,32,FALSE)/100*$C66</f>
        <v>0</v>
      </c>
      <c r="AO66" s="3">
        <f>VLOOKUP($A66&amp;"Total",Rezepte!$D:$AK,33,FALSE)/100*$C66</f>
        <v>0</v>
      </c>
      <c r="AP66" s="3">
        <f>VLOOKUP($A66&amp;"Total",Rezepte!$D:$AK,34,FALSE)/100*$C66</f>
        <v>0</v>
      </c>
    </row>
    <row r="67" spans="1:42" x14ac:dyDescent="0.25">
      <c r="A67" t="s">
        <v>168</v>
      </c>
      <c r="C67">
        <v>1006.5</v>
      </c>
      <c r="D67" s="47">
        <f>SUMIFS(T:T,S:S,A67)+SUMIFS(W:W,V:V,A67)+SUMIFS(Z:Z,Y:Y,A67)+SUMIFS(AC:AC,AB:AB,A67)</f>
        <v>20</v>
      </c>
      <c r="E67" s="47">
        <f>D67+C67</f>
        <v>1026.5</v>
      </c>
      <c r="F67" s="32">
        <f>COUNTIFS(S:S,A67,T:T,"&gt;0")+COUNTIFS(V:V,A67,W:W,"&gt;0")+COUNTIFS(Y:Y,A67,Z:Z,"&gt;0")+COUNTIFS(AB:AB,A67,AC:AC,"&gt;0")</f>
        <v>1</v>
      </c>
      <c r="G67" s="32">
        <f>ROUNDUP(H67/N67,0)</f>
        <v>23</v>
      </c>
      <c r="H67" s="55">
        <f t="shared" ref="H67" si="41">ROUNDUP(E67,2)</f>
        <v>1026.5</v>
      </c>
      <c r="I67" s="55">
        <f>MOD(H67,N67)</f>
        <v>36.5</v>
      </c>
      <c r="J67" s="34" t="str">
        <f>VLOOKUP($A67&amp;"Total",Rezepte!$D:$Z,19,FALSE)</f>
        <v>Blender</v>
      </c>
      <c r="K67" s="57">
        <f>SUMIFS(U:U,S:S,A67)+SUMIFS(X:X,V:V,A67)+SUMIFS(AA:AA,Y:Y,A67)+SUMIFS(AD:AD,AB:AB,A67)</f>
        <v>1</v>
      </c>
      <c r="L67" s="30">
        <f>H67/N67*P67</f>
        <v>1710.8333333333333</v>
      </c>
      <c r="M67" s="51">
        <f>VLOOKUP($A67&amp;"Total",Rezepte!$D:$Z,21,FALSE)</f>
        <v>45</v>
      </c>
      <c r="N67" s="47">
        <f>ROUNDDOWN(M67,2)</f>
        <v>45</v>
      </c>
      <c r="O67" s="60">
        <f>VLOOKUP($A67&amp;"Total",Rezepte!$D:$Z,20,FALSE)</f>
        <v>75</v>
      </c>
      <c r="P67" s="60">
        <f>N67/M67*O67</f>
        <v>75</v>
      </c>
      <c r="Q67" s="47">
        <v>0</v>
      </c>
      <c r="S67" t="str">
        <f>VLOOKUP($A67&amp;"Total",Rezepte!$D:$Z,4,FALSE)</f>
        <v>Fuel</v>
      </c>
      <c r="T67" s="3">
        <f>VLOOKUP($A67&amp;"Total",Rezepte!$D:$Z,5,FALSE)*H67/N67</f>
        <v>342.16666666666669</v>
      </c>
      <c r="U67" s="32">
        <f>ROUNDUP(T67/$S$78,0)</f>
        <v>1</v>
      </c>
      <c r="V67" t="str">
        <f>VLOOKUP($A67&amp;"Total",Rezepte!$D:$Z,7,FALSE)</f>
        <v>Heavy Oil Residue</v>
      </c>
      <c r="W67" s="3">
        <f>VLOOKUP($A67&amp;"Total",Rezepte!$D:$Z,8,FALSE)*H67/N67</f>
        <v>684.33333333333337</v>
      </c>
      <c r="X67" s="32">
        <f>ROUNDUP(W67/$S$78,0)</f>
        <v>2</v>
      </c>
      <c r="Y67" t="str">
        <f>VLOOKUP($A67&amp;"Total",Rezepte!$D:$Z,10,FALSE)</f>
        <v>sulfur</v>
      </c>
      <c r="Z67" s="3">
        <f>VLOOKUP($A67&amp;"Total",Rezepte!$D:$Z,11,FALSE)*H67/N67</f>
        <v>513.25</v>
      </c>
      <c r="AA67" s="32">
        <f>ROUNDUP(Z67/$S$78,0)</f>
        <v>2</v>
      </c>
      <c r="AB67" t="str">
        <f>VLOOKUP($A67&amp;"Total",Rezepte!$D:$Z,13,FALSE)</f>
        <v>Petroleum Coke</v>
      </c>
      <c r="AC67" s="3">
        <f>VLOOKUP($A67&amp;"Total",Rezepte!$D:$Z,14,FALSE)*H67/N67</f>
        <v>513.25</v>
      </c>
      <c r="AD67" s="32">
        <f>ROUNDUP(AC67/$S$78,0)</f>
        <v>2</v>
      </c>
      <c r="AF67" s="3">
        <f>VLOOKUP($A67&amp;"Total",Rezepte!$D:$AK,24,FALSE)/100*$C67</f>
        <v>0</v>
      </c>
      <c r="AG67" s="3">
        <f>VLOOKUP($A67&amp;"Total",Rezepte!$D:$AK,25,FALSE)/100*$C67</f>
        <v>0</v>
      </c>
      <c r="AH67" s="3">
        <f>VLOOKUP($A67&amp;"Total",Rezepte!$D:$AK,26,FALSE)/100*$C67</f>
        <v>0</v>
      </c>
      <c r="AI67" s="3">
        <f>VLOOKUP($A67&amp;"Total",Rezepte!$D:$AK,27,FALSE)/100*$C67</f>
        <v>0</v>
      </c>
      <c r="AJ67" s="3">
        <f>VLOOKUP($A67&amp;"Total",Rezepte!$D:$AK,28,FALSE)/100*$C67</f>
        <v>0</v>
      </c>
      <c r="AK67" s="3">
        <f>VLOOKUP($A67&amp;"Total",Rezepte!$D:$AK,29,FALSE)/100*$C67</f>
        <v>0</v>
      </c>
      <c r="AL67" s="3">
        <f>VLOOKUP($A67&amp;"Total",Rezepte!$D:$AK,30,FALSE)/100*$C67</f>
        <v>0</v>
      </c>
      <c r="AM67" s="3">
        <f>VLOOKUP($A67&amp;"Total",Rezepte!$D:$AK,31,FALSE)/100*$C67</f>
        <v>0</v>
      </c>
      <c r="AN67" s="3">
        <f>VLOOKUP($A67&amp;"Total",Rezepte!$D:$AK,32,FALSE)/100*$C67</f>
        <v>0</v>
      </c>
      <c r="AO67" s="3">
        <f>VLOOKUP($A67&amp;"Total",Rezepte!$D:$AK,33,FALSE)/100*$C67</f>
        <v>0</v>
      </c>
      <c r="AP67" s="3">
        <f>VLOOKUP($A67&amp;"Total",Rezepte!$D:$AK,34,FALSE)/100*$C67</f>
        <v>1132.3125</v>
      </c>
    </row>
    <row r="68" spans="1:42" x14ac:dyDescent="0.25">
      <c r="C68">
        <v>3</v>
      </c>
      <c r="D68" s="47"/>
      <c r="J68" s="34"/>
      <c r="K68" s="57"/>
      <c r="X68" s="32"/>
      <c r="AA68" s="32"/>
      <c r="AD68" s="32"/>
    </row>
    <row r="69" spans="1:42" x14ac:dyDescent="0.25">
      <c r="A69" t="s">
        <v>302</v>
      </c>
      <c r="B69">
        <v>5</v>
      </c>
      <c r="C69">
        <v>20</v>
      </c>
      <c r="D69" s="47">
        <f>SUMIFS(T:T,S:S,A69)+SUMIFS(W:W,V:V,A69)+SUMIFS(Z:Z,Y:Y,A69)+SUMIFS(AC:AC,AB:AB,A69)</f>
        <v>0</v>
      </c>
      <c r="E69" s="47">
        <f>D69+C69</f>
        <v>20</v>
      </c>
      <c r="F69" s="32">
        <f>COUNTIFS(S:S,A69,T:T,"&gt;0")+COUNTIFS(V:V,A69,W:W,"&gt;0")+COUNTIFS(Y:Y,A69,Z:Z,"&gt;0")+COUNTIFS(AB:AB,A69,AC:AC,"&gt;0")</f>
        <v>0</v>
      </c>
      <c r="G69" s="32">
        <f>ROUNDUP(H69/N69,0)</f>
        <v>1</v>
      </c>
      <c r="H69" s="55">
        <f t="shared" ref="H69" si="42">ROUNDUP(E69,2)</f>
        <v>20</v>
      </c>
      <c r="I69" s="55">
        <f>MOD(H69,N69)</f>
        <v>0</v>
      </c>
      <c r="J69" s="34" t="str">
        <f>VLOOKUP($A69&amp;"Total",Rezepte!$D:$Z,19,FALSE)</f>
        <v>Packager</v>
      </c>
      <c r="K69" s="57">
        <f>SUMIFS(U:U,S:S,A69)+SUMIFS(X:X,V:V,A69)+SUMIFS(AA:AA,Y:Y,A69)+SUMIFS(AD:AD,AB:AB,A69)</f>
        <v>0</v>
      </c>
      <c r="L69" s="30">
        <f>H69/N69*P69</f>
        <v>10</v>
      </c>
      <c r="M69" s="51">
        <f>VLOOKUP($A69&amp;"Total",Rezepte!$D:$Z,21,FALSE)</f>
        <v>20</v>
      </c>
      <c r="N69" s="47">
        <f>ROUNDDOWN(M69,2)</f>
        <v>20</v>
      </c>
      <c r="O69" s="60">
        <f>VLOOKUP($A69&amp;"Total",Rezepte!$D:$Z,20,FALSE)</f>
        <v>10</v>
      </c>
      <c r="P69" s="60">
        <f>N69/M69*O69</f>
        <v>10</v>
      </c>
      <c r="Q69" s="47">
        <v>0</v>
      </c>
      <c r="S69" t="str">
        <f>VLOOKUP($A69&amp;"Total",Rezepte!$D:$Z,4,FALSE)</f>
        <v>Turbofuel</v>
      </c>
      <c r="T69" s="3">
        <f>VLOOKUP($A69&amp;"Total",Rezepte!$D:$Z,5,FALSE)*H69/N69</f>
        <v>20</v>
      </c>
      <c r="U69" s="32">
        <f>ROUNDUP(T69/$S$78,0)</f>
        <v>1</v>
      </c>
      <c r="V69" t="str">
        <f>VLOOKUP($A69&amp;"Total",Rezepte!$D:$Z,7,FALSE)</f>
        <v>Canister</v>
      </c>
      <c r="W69" s="3">
        <f>VLOOKUP($A69&amp;"Total",Rezepte!$D:$Z,8,FALSE)*H69/N69</f>
        <v>20</v>
      </c>
      <c r="X69" s="32">
        <f>ROUNDUP(W69/$S$78,0)</f>
        <v>1</v>
      </c>
      <c r="Y69" t="str">
        <f>VLOOKUP($A69&amp;"Total",Rezepte!$D:$Z,10,FALSE)</f>
        <v>nothing</v>
      </c>
      <c r="Z69" s="3">
        <f>VLOOKUP($A69&amp;"Total",Rezepte!$D:$Z,11,FALSE)*H69/N69</f>
        <v>0</v>
      </c>
      <c r="AA69" s="32">
        <f>ROUNDUP(Z69/$S$78,0)</f>
        <v>0</v>
      </c>
      <c r="AB69" t="str">
        <f>VLOOKUP($A69&amp;"Total",Rezepte!$D:$Z,10,FALSE)</f>
        <v>nothing</v>
      </c>
      <c r="AC69" s="3">
        <f>VLOOKUP($A69&amp;"Total",Rezepte!$D:$Z,14,FALSE)*H69/N69</f>
        <v>0</v>
      </c>
      <c r="AD69" s="32">
        <f>ROUNDUP(AC69/$S$78,0)</f>
        <v>0</v>
      </c>
      <c r="AF69" s="3">
        <f>VLOOKUP($A69&amp;"Total",Rezepte!$D:$AK,24,FALSE)/100*$C69</f>
        <v>0</v>
      </c>
      <c r="AG69" s="3">
        <f>VLOOKUP($A69&amp;"Total",Rezepte!$D:$AK,25,FALSE)/100*$C69</f>
        <v>0</v>
      </c>
      <c r="AH69" s="3">
        <f>VLOOKUP($A69&amp;"Total",Rezepte!$D:$AK,26,FALSE)/100*$C69</f>
        <v>0</v>
      </c>
      <c r="AI69" s="3">
        <f>VLOOKUP($A69&amp;"Total",Rezepte!$D:$AK,27,FALSE)/100*$C69</f>
        <v>0</v>
      </c>
      <c r="AJ69" s="3">
        <f>VLOOKUP($A69&amp;"Total",Rezepte!$D:$AK,28,FALSE)/100*$C69</f>
        <v>0</v>
      </c>
      <c r="AK69" s="3">
        <f>VLOOKUP($A69&amp;"Total",Rezepte!$D:$AK,29,FALSE)/100*$C69</f>
        <v>0</v>
      </c>
      <c r="AL69" s="3">
        <f>VLOOKUP($A69&amp;"Total",Rezepte!$D:$AK,30,FALSE)/100*$C69</f>
        <v>0</v>
      </c>
      <c r="AM69" s="3">
        <f>VLOOKUP($A69&amp;"Total",Rezepte!$D:$AK,31,FALSE)/100*$C69</f>
        <v>0</v>
      </c>
      <c r="AN69" s="3">
        <f>VLOOKUP($A69&amp;"Total",Rezepte!$D:$AK,32,FALSE)/100*$C69</f>
        <v>0</v>
      </c>
      <c r="AO69" s="3">
        <f>VLOOKUP($A69&amp;"Total",Rezepte!$D:$AK,33,FALSE)/100*$C69</f>
        <v>0</v>
      </c>
      <c r="AP69" s="3">
        <f>VLOOKUP($A69&amp;"Total",Rezepte!$D:$AK,34,FALSE)/100*$C69</f>
        <v>0</v>
      </c>
    </row>
    <row r="70" spans="1:42" x14ac:dyDescent="0.25">
      <c r="D70" s="47"/>
      <c r="J70" s="34"/>
      <c r="K70" s="57"/>
      <c r="X70" s="32"/>
      <c r="AA70" s="32"/>
      <c r="AD70" s="32"/>
    </row>
    <row r="71" spans="1:42" x14ac:dyDescent="0.25">
      <c r="B71">
        <v>800</v>
      </c>
      <c r="D71" s="47"/>
      <c r="J71" s="34"/>
      <c r="K71" s="57"/>
      <c r="V71" s="3"/>
      <c r="X71" s="32"/>
      <c r="AA71" s="32"/>
      <c r="AD71" s="32"/>
    </row>
    <row r="72" spans="1:42" x14ac:dyDescent="0.25">
      <c r="D72" s="47"/>
      <c r="J72" s="34"/>
      <c r="K72" s="57"/>
      <c r="V72" s="3"/>
      <c r="X72" s="32"/>
      <c r="AA72" s="32"/>
      <c r="AC72" s="3" t="s">
        <v>314</v>
      </c>
      <c r="AD72" s="32"/>
    </row>
    <row r="73" spans="1:42" x14ac:dyDescent="0.25">
      <c r="T73" s="67"/>
      <c r="V73" s="3">
        <v>177.8</v>
      </c>
      <c r="W73" s="3">
        <v>40</v>
      </c>
      <c r="X73" s="27">
        <f>V73/W73</f>
        <v>4.4450000000000003</v>
      </c>
      <c r="AB73" t="s">
        <v>315</v>
      </c>
      <c r="AC73" s="3">
        <v>20</v>
      </c>
      <c r="AD73" s="4">
        <f>E65/M65</f>
        <v>21.385416666666668</v>
      </c>
      <c r="AE73">
        <f>AD73*AC73</f>
        <v>427.70833333333337</v>
      </c>
    </row>
    <row r="74" spans="1:42" x14ac:dyDescent="0.25">
      <c r="V74">
        <v>711</v>
      </c>
      <c r="W74" s="3">
        <v>40</v>
      </c>
      <c r="X74" s="27">
        <f>V74/W74</f>
        <v>17.774999999999999</v>
      </c>
      <c r="Y74" s="3">
        <f>X74+X73</f>
        <v>22.22</v>
      </c>
      <c r="AA74" s="27">
        <f>V74/W74*30</f>
        <v>533.25</v>
      </c>
      <c r="AB74" t="s">
        <v>157</v>
      </c>
      <c r="AC74" s="3">
        <v>30</v>
      </c>
      <c r="AD74" s="4">
        <f>E66/M66</f>
        <v>9.3041666666666671</v>
      </c>
      <c r="AE74">
        <f>AD74*AC74</f>
        <v>279.125</v>
      </c>
    </row>
    <row r="75" spans="1:42" x14ac:dyDescent="0.25">
      <c r="AE75">
        <f>SUM(AE73:AE74)</f>
        <v>706.83333333333337</v>
      </c>
    </row>
    <row r="76" spans="1:42" x14ac:dyDescent="0.25">
      <c r="G76" s="32" t="s">
        <v>230</v>
      </c>
      <c r="L76" s="30">
        <f>SUM(L2:L72)</f>
        <v>6029.6271459914533</v>
      </c>
      <c r="O76" s="60" t="s">
        <v>231</v>
      </c>
      <c r="S76">
        <v>480</v>
      </c>
    </row>
    <row r="77" spans="1:42" x14ac:dyDescent="0.25">
      <c r="G77" s="32" t="s">
        <v>232</v>
      </c>
      <c r="L77" s="62">
        <v>0.3</v>
      </c>
      <c r="O77" s="60" t="s">
        <v>233</v>
      </c>
      <c r="S77">
        <v>780</v>
      </c>
      <c r="AF77" s="3">
        <f>SUM(AF78:AF79)</f>
        <v>579.14</v>
      </c>
    </row>
    <row r="78" spans="1:42" x14ac:dyDescent="0.25">
      <c r="G78" s="32" t="s">
        <v>234</v>
      </c>
      <c r="L78" s="30">
        <f>L76*(L77+1)</f>
        <v>7838.5152897888893</v>
      </c>
      <c r="O78" s="60" t="s">
        <v>235</v>
      </c>
      <c r="S78">
        <f>S76</f>
        <v>480</v>
      </c>
      <c r="W78" s="3">
        <v>552</v>
      </c>
      <c r="AB78" t="s">
        <v>82</v>
      </c>
      <c r="AC78" s="3">
        <v>60</v>
      </c>
      <c r="AD78" s="4">
        <v>20</v>
      </c>
      <c r="AE78">
        <v>68</v>
      </c>
      <c r="AF78" s="3">
        <f>AE78/AD78*AC78</f>
        <v>204</v>
      </c>
    </row>
    <row r="79" spans="1:42" x14ac:dyDescent="0.25">
      <c r="W79" s="3">
        <v>800</v>
      </c>
      <c r="Y79" s="3">
        <f>W79-W78</f>
        <v>248</v>
      </c>
      <c r="Z79" s="3">
        <f>Y79/11.25</f>
        <v>22.044444444444444</v>
      </c>
      <c r="AB79" t="s">
        <v>316</v>
      </c>
      <c r="AC79" s="3">
        <v>40</v>
      </c>
      <c r="AD79" s="4">
        <v>20</v>
      </c>
      <c r="AE79">
        <v>187.57</v>
      </c>
      <c r="AF79" s="3">
        <f>AE79/AD79*AC79</f>
        <v>375.14</v>
      </c>
    </row>
    <row r="81" spans="1:11" x14ac:dyDescent="0.25">
      <c r="A81" s="19"/>
      <c r="B81" s="30"/>
      <c r="D81" s="33"/>
      <c r="E81" s="33"/>
      <c r="J81" s="34"/>
      <c r="K81" s="57"/>
    </row>
    <row r="82" spans="1:11" x14ac:dyDescent="0.25">
      <c r="B82" s="30"/>
      <c r="J82" s="34"/>
      <c r="K82" s="57"/>
    </row>
  </sheetData>
  <conditionalFormatting sqref="B64:Q66 S64:X67 Z64:AD67 AC72 S73:AB73 S74:AC1048576">
    <cfRule type="cellIs" dxfId="19" priority="2" operator="equal">
      <formula>"nothing"</formula>
    </cfRule>
  </conditionalFormatting>
  <conditionalFormatting sqref="N14:N61">
    <cfRule type="cellIs" dxfId="18" priority="14" operator="lessThan">
      <formula>$M14</formula>
    </cfRule>
  </conditionalFormatting>
  <conditionalFormatting sqref="N64:N67">
    <cfRule type="cellIs" dxfId="17" priority="4" operator="lessThan">
      <formula>$M64</formula>
    </cfRule>
  </conditionalFormatting>
  <conditionalFormatting sqref="N69">
    <cfRule type="cellIs" dxfId="16" priority="1" operator="lessThan">
      <formula>$M69</formula>
    </cfRule>
  </conditionalFormatting>
  <conditionalFormatting sqref="Q3:Q14 Q16:Q20 Q23 Q25:Q37 Q40:Q46 Q48 Q53:Q55 Q57:Q58 Q60:Q61 B67:Q67 A68:Q68 B69:Q70 A71:Q1048576 N3:N61 A1:Q1 S1:AD1 M2:Q2 S2:AC13 A2:F14 H2:L17 G2:G63 M3:M14 O3:O14 P3:P61 S14:AD14 T15:T61 W15:W61 Z15:Z61 AC15:AC61 A16:F21 M16:M21 O16:O21 S16:S21 U16:V21 X16:Y21 AA16:AB21 AD16:AD21 J18:L38 H18:I61 A23:F23 M23 O23 S23 U23:V23 X23:Y23 AA23:AB23 AD23 A25:F46 M25:M46 O25:O46 S25:S46 U25:V46 X25:Y46 AA25:AB46 AD25:AD46 J39:K39 J40:L61 A48:F48 M48 O48 S48 U48:V48 X48:Y48 AA48:AB48 AD48 A53:F55 M53:M55 O53:O55 S53:S55 U53:V55 X53:Y55 AA53:AB55 AD53:AD55 A57:F58 M57:M58 O57:O58 S57:S58 U57:V58 X57:Y58 AA57:AB58 AD57:AD58 A60:F61 M60:M61 O60:O61 S60:S61 U60:V61 X60:Y61 AA60:AB61 AD60:AD61 Y63:Y67 S68:AD69 S70 U70:AD70 S71:AD72">
    <cfRule type="cellIs" dxfId="15" priority="19" operator="equal">
      <formula>"nothing"</formula>
    </cfRule>
  </conditionalFormatting>
  <conditionalFormatting sqref="Q14 Q16:Q20 Q23 Q25:Q37 Q40:Q46 Q48 Q53:Q55 Q57:Q58 Q60:Q61 Q64:Q1048576">
    <cfRule type="cellIs" dxfId="14" priority="16" operator="lessThan">
      <formula>$H14</formula>
    </cfRule>
    <cfRule type="cellIs" dxfId="13" priority="18" operator="equal">
      <formula>$H14</formula>
    </cfRule>
  </conditionalFormatting>
  <conditionalFormatting sqref="Q64:Q1048576 Q14 Q16:Q20 Q23 Q25:Q37 Q40:Q46 Q48 Q53:Q55 Q57:Q58 Q60:Q61">
    <cfRule type="cellIs" dxfId="12" priority="15" operator="greaterThan">
      <formula>$H14</formula>
    </cfRule>
  </conditionalFormatting>
  <conditionalFormatting sqref="AF1:AP1">
    <cfRule type="cellIs" dxfId="11" priority="17" operator="equal">
      <formula>"nothing"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7530-54C9-462C-AEC2-10239C8FC725}">
  <dimension ref="E10:H12"/>
  <sheetViews>
    <sheetView workbookViewId="0">
      <selection activeCell="G12" sqref="F12:G12"/>
    </sheetView>
  </sheetViews>
  <sheetFormatPr baseColWidth="10" defaultRowHeight="15" x14ac:dyDescent="0.25"/>
  <sheetData>
    <row r="10" spans="5:8" x14ac:dyDescent="0.25">
      <c r="H10">
        <v>375</v>
      </c>
    </row>
    <row r="11" spans="5:8" x14ac:dyDescent="0.25">
      <c r="E11">
        <v>11.25</v>
      </c>
      <c r="F11">
        <v>49</v>
      </c>
      <c r="G11">
        <f>F11*$E$11</f>
        <v>551.25</v>
      </c>
      <c r="H11">
        <f>F11*$H$10</f>
        <v>18375</v>
      </c>
    </row>
    <row r="12" spans="5:8" x14ac:dyDescent="0.25">
      <c r="F12">
        <v>48</v>
      </c>
      <c r="G12">
        <f>F12*$E$11</f>
        <v>540</v>
      </c>
      <c r="H12">
        <f>F12*$H$10</f>
        <v>18000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4047-57EB-4002-B936-EA6999C3CB60}">
  <dimension ref="A3:AC68"/>
  <sheetViews>
    <sheetView topLeftCell="A4" workbookViewId="0">
      <selection activeCell="H25" sqref="H25"/>
    </sheetView>
  </sheetViews>
  <sheetFormatPr baseColWidth="10" defaultColWidth="11.42578125" defaultRowHeight="15" x14ac:dyDescent="0.25"/>
  <cols>
    <col min="4" max="4" width="18.7109375" customWidth="1"/>
  </cols>
  <sheetData>
    <row r="3" spans="1:4" x14ac:dyDescent="0.25">
      <c r="A3" t="s">
        <v>3</v>
      </c>
      <c r="C3" t="s">
        <v>4</v>
      </c>
    </row>
    <row r="4" spans="1:4" x14ac:dyDescent="0.25">
      <c r="A4" t="s">
        <v>13</v>
      </c>
      <c r="C4" t="s">
        <v>14</v>
      </c>
      <c r="D4" t="str">
        <f t="shared" ref="D4:D18" si="0">A4&amp;C4</f>
        <v>Iron OreImpure</v>
      </c>
    </row>
    <row r="5" spans="1:4" x14ac:dyDescent="0.25">
      <c r="A5" t="s">
        <v>13</v>
      </c>
      <c r="C5" t="s">
        <v>15</v>
      </c>
      <c r="D5" t="str">
        <f t="shared" si="0"/>
        <v>Iron OreNormal</v>
      </c>
    </row>
    <row r="6" spans="1:4" x14ac:dyDescent="0.25">
      <c r="A6" t="s">
        <v>13</v>
      </c>
      <c r="C6" t="s">
        <v>16</v>
      </c>
      <c r="D6" t="str">
        <f t="shared" si="0"/>
        <v>Iron OrePure</v>
      </c>
    </row>
    <row r="7" spans="1:4" x14ac:dyDescent="0.25">
      <c r="A7" t="s">
        <v>13</v>
      </c>
      <c r="C7" t="s">
        <v>17</v>
      </c>
      <c r="D7" t="str">
        <f t="shared" si="0"/>
        <v>Iron OreTotal</v>
      </c>
    </row>
    <row r="8" spans="1:4" x14ac:dyDescent="0.25">
      <c r="D8" t="str">
        <f t="shared" si="0"/>
        <v/>
      </c>
    </row>
    <row r="9" spans="1:4" x14ac:dyDescent="0.25">
      <c r="A9" t="s">
        <v>18</v>
      </c>
      <c r="C9" t="s">
        <v>14</v>
      </c>
      <c r="D9" t="str">
        <f t="shared" si="0"/>
        <v>Copper OreImpure</v>
      </c>
    </row>
    <row r="10" spans="1:4" x14ac:dyDescent="0.25">
      <c r="A10" t="s">
        <v>18</v>
      </c>
      <c r="C10" t="s">
        <v>15</v>
      </c>
      <c r="D10" t="str">
        <f t="shared" si="0"/>
        <v>Copper OreNormal</v>
      </c>
    </row>
    <row r="11" spans="1:4" x14ac:dyDescent="0.25">
      <c r="A11" t="s">
        <v>18</v>
      </c>
      <c r="C11" t="s">
        <v>16</v>
      </c>
      <c r="D11" t="str">
        <f t="shared" si="0"/>
        <v>Copper OrePure</v>
      </c>
    </row>
    <row r="12" spans="1:4" x14ac:dyDescent="0.25">
      <c r="A12" t="s">
        <v>18</v>
      </c>
      <c r="C12" t="s">
        <v>17</v>
      </c>
      <c r="D12" t="str">
        <f t="shared" si="0"/>
        <v>Copper OreTotal</v>
      </c>
    </row>
    <row r="13" spans="1:4" x14ac:dyDescent="0.25">
      <c r="D13" t="str">
        <f t="shared" si="0"/>
        <v/>
      </c>
    </row>
    <row r="14" spans="1:4" x14ac:dyDescent="0.25">
      <c r="A14" t="s">
        <v>19</v>
      </c>
      <c r="C14" t="s">
        <v>14</v>
      </c>
      <c r="D14" t="str">
        <f t="shared" si="0"/>
        <v>LimestoneImpure</v>
      </c>
    </row>
    <row r="15" spans="1:4" x14ac:dyDescent="0.25">
      <c r="A15" t="s">
        <v>19</v>
      </c>
      <c r="C15" t="s">
        <v>15</v>
      </c>
      <c r="D15" t="str">
        <f t="shared" si="0"/>
        <v>LimestoneNormal</v>
      </c>
    </row>
    <row r="16" spans="1:4" x14ac:dyDescent="0.25">
      <c r="A16" t="s">
        <v>19</v>
      </c>
      <c r="C16" t="s">
        <v>16</v>
      </c>
      <c r="D16" t="str">
        <f t="shared" si="0"/>
        <v>LimestonePure</v>
      </c>
    </row>
    <row r="17" spans="1:29" x14ac:dyDescent="0.25">
      <c r="A17" t="s">
        <v>19</v>
      </c>
      <c r="C17" t="s">
        <v>17</v>
      </c>
      <c r="D17" t="str">
        <f t="shared" si="0"/>
        <v>LimestoneTotal</v>
      </c>
    </row>
    <row r="18" spans="1:29" x14ac:dyDescent="0.25">
      <c r="D18" t="str">
        <f t="shared" si="0"/>
        <v/>
      </c>
    </row>
    <row r="19" spans="1:29" x14ac:dyDescent="0.25">
      <c r="E19" s="5" t="s">
        <v>236</v>
      </c>
      <c r="L19" s="5" t="s">
        <v>237</v>
      </c>
      <c r="S19" s="5" t="s">
        <v>237</v>
      </c>
    </row>
    <row r="20" spans="1:29" x14ac:dyDescent="0.25">
      <c r="E20" s="69" t="s">
        <v>1</v>
      </c>
      <c r="F20" s="69"/>
      <c r="G20" s="69"/>
      <c r="H20" s="69"/>
      <c r="I20" s="69" t="s">
        <v>2</v>
      </c>
      <c r="J20" s="69"/>
      <c r="L20" s="69" t="s">
        <v>1</v>
      </c>
      <c r="M20" s="69"/>
      <c r="N20" s="69"/>
      <c r="O20" s="69"/>
      <c r="P20" s="69" t="s">
        <v>2</v>
      </c>
      <c r="Q20" s="69"/>
      <c r="S20" s="69" t="s">
        <v>1</v>
      </c>
      <c r="T20" s="69"/>
      <c r="U20" s="69"/>
      <c r="V20" s="69"/>
      <c r="W20" s="69" t="s">
        <v>2</v>
      </c>
      <c r="X20" s="69"/>
    </row>
    <row r="21" spans="1:29" x14ac:dyDescent="0.25">
      <c r="A21" t="s">
        <v>3</v>
      </c>
      <c r="C21" t="s">
        <v>4</v>
      </c>
      <c r="E21" t="s">
        <v>8</v>
      </c>
      <c r="F21" t="s">
        <v>9</v>
      </c>
      <c r="G21" t="s">
        <v>10</v>
      </c>
      <c r="H21" t="s">
        <v>5</v>
      </c>
      <c r="I21" t="s">
        <v>11</v>
      </c>
      <c r="J21" t="s">
        <v>238</v>
      </c>
      <c r="K21" s="4" t="s">
        <v>7</v>
      </c>
      <c r="L21" t="s">
        <v>8</v>
      </c>
      <c r="M21" t="s">
        <v>9</v>
      </c>
      <c r="N21" t="s">
        <v>10</v>
      </c>
      <c r="O21" t="s">
        <v>5</v>
      </c>
      <c r="P21" t="s">
        <v>11</v>
      </c>
      <c r="Q21" t="s">
        <v>238</v>
      </c>
      <c r="R21" s="4" t="s">
        <v>7</v>
      </c>
      <c r="S21" t="s">
        <v>8</v>
      </c>
      <c r="T21" t="s">
        <v>9</v>
      </c>
      <c r="U21" t="s">
        <v>10</v>
      </c>
      <c r="V21" t="s">
        <v>5</v>
      </c>
      <c r="W21" t="s">
        <v>11</v>
      </c>
      <c r="X21" t="s">
        <v>238</v>
      </c>
      <c r="AA21" t="s">
        <v>239</v>
      </c>
      <c r="AB21" t="s">
        <v>240</v>
      </c>
      <c r="AC21" t="s">
        <v>241</v>
      </c>
    </row>
    <row r="22" spans="1:29" x14ac:dyDescent="0.25">
      <c r="A22" t="s">
        <v>13</v>
      </c>
      <c r="C22" t="s">
        <v>14</v>
      </c>
      <c r="D22" t="str">
        <f t="shared" ref="D22:D65" si="1">A22&amp;C22</f>
        <v>Iron OreImpure</v>
      </c>
      <c r="E22" s="6">
        <v>150</v>
      </c>
      <c r="F22" s="15">
        <f>E22/$AB23</f>
        <v>2.5</v>
      </c>
      <c r="G22" s="3">
        <f>$AB$22*(F22)^1.6</f>
        <v>51.985863236635986</v>
      </c>
      <c r="H22" s="8">
        <f>100/E22*G22</f>
        <v>34.657242157757324</v>
      </c>
      <c r="I22" s="6">
        <f>Rezepte!$G5*E22</f>
        <v>4950</v>
      </c>
      <c r="J22" s="16">
        <f>Rezepte!$G5*G22</f>
        <v>1715.5334868089876</v>
      </c>
      <c r="L22">
        <v>150</v>
      </c>
      <c r="M22" s="15">
        <f>L22/$AC23</f>
        <v>1.25</v>
      </c>
      <c r="N22" s="3">
        <f>$AC$22*(M22)^1.6</f>
        <v>42.872348618186848</v>
      </c>
      <c r="O22" s="3">
        <f>100/L22*N22</f>
        <v>28.581565745457898</v>
      </c>
      <c r="P22">
        <f>Rezepte!$G5*L22</f>
        <v>4950</v>
      </c>
      <c r="Q22" s="9">
        <f>Rezepte!$G5*N22</f>
        <v>1414.787504400166</v>
      </c>
      <c r="S22">
        <v>300</v>
      </c>
      <c r="T22" s="15">
        <f>S22/$AC23</f>
        <v>2.5</v>
      </c>
      <c r="U22" s="3">
        <f>$AC$22*(T22)^1.6</f>
        <v>129.96465809158997</v>
      </c>
      <c r="V22" s="3">
        <f>100/S22*U22</f>
        <v>43.321552697196651</v>
      </c>
      <c r="W22">
        <f>Rezepte!$G5*S22</f>
        <v>9900</v>
      </c>
      <c r="X22">
        <f>Rezepte!$G5*U22</f>
        <v>4288.8337170224686</v>
      </c>
      <c r="Z22" t="s">
        <v>242</v>
      </c>
      <c r="AA22">
        <v>5</v>
      </c>
      <c r="AB22">
        <v>12</v>
      </c>
      <c r="AC22">
        <v>30</v>
      </c>
    </row>
    <row r="23" spans="1:29" x14ac:dyDescent="0.25">
      <c r="A23" t="s">
        <v>13</v>
      </c>
      <c r="C23" t="s">
        <v>15</v>
      </c>
      <c r="D23" t="str">
        <f t="shared" si="1"/>
        <v>Iron OreNormal</v>
      </c>
      <c r="E23" s="6">
        <v>300</v>
      </c>
      <c r="F23" s="15">
        <f>E23/$AB24</f>
        <v>2.5</v>
      </c>
      <c r="G23" s="3">
        <f>$AB$22*(F23)^1.6</f>
        <v>51.985863236635986</v>
      </c>
      <c r="H23" s="8">
        <f>100/E23*G23</f>
        <v>17.328621078878662</v>
      </c>
      <c r="I23" s="6">
        <f>Rezepte!$G6*E23</f>
        <v>12300</v>
      </c>
      <c r="J23" s="16">
        <f>Rezepte!$G6*G23</f>
        <v>2131.4203927020753</v>
      </c>
      <c r="L23">
        <v>300</v>
      </c>
      <c r="M23" s="15">
        <f>L23/$AC24</f>
        <v>1.25</v>
      </c>
      <c r="N23" s="3">
        <f>$AC$22*(M23)^1.6</f>
        <v>42.872348618186848</v>
      </c>
      <c r="O23" s="3">
        <f>100/L23*N23</f>
        <v>14.290782872728949</v>
      </c>
      <c r="P23">
        <f>Rezepte!$G6*L23</f>
        <v>12300</v>
      </c>
      <c r="Q23" s="9">
        <f>Rezepte!$G6*N23</f>
        <v>1757.7662933456609</v>
      </c>
      <c r="S23">
        <v>600</v>
      </c>
      <c r="T23" s="15">
        <f>S23/$AC24</f>
        <v>2.5</v>
      </c>
      <c r="U23" s="3">
        <f>$AC$22*(T23)^1.6</f>
        <v>129.96465809158997</v>
      </c>
      <c r="V23" s="3">
        <f>100/S23*U23</f>
        <v>21.660776348598326</v>
      </c>
      <c r="W23">
        <f>Rezepte!$G6*S23</f>
        <v>24600</v>
      </c>
      <c r="X23">
        <f>Rezepte!$G6*U23</f>
        <v>5328.5509817551883</v>
      </c>
      <c r="Z23" t="s">
        <v>243</v>
      </c>
      <c r="AA23">
        <v>30</v>
      </c>
      <c r="AB23">
        <v>60</v>
      </c>
      <c r="AC23">
        <v>120</v>
      </c>
    </row>
    <row r="24" spans="1:29" x14ac:dyDescent="0.25">
      <c r="A24" t="s">
        <v>13</v>
      </c>
      <c r="C24" t="s">
        <v>16</v>
      </c>
      <c r="D24" t="str">
        <f t="shared" si="1"/>
        <v>Iron OrePure</v>
      </c>
      <c r="E24">
        <v>600</v>
      </c>
      <c r="F24" s="15">
        <f>E24/$AB25</f>
        <v>2.5</v>
      </c>
      <c r="G24" s="3">
        <f>$AB$22*(F24)^1.6</f>
        <v>51.985863236635986</v>
      </c>
      <c r="H24" s="3">
        <f>100/E24*G24</f>
        <v>8.6643105394393309</v>
      </c>
      <c r="I24">
        <f>Rezepte!$G7*E24</f>
        <v>27600</v>
      </c>
      <c r="J24" s="9">
        <f>Rezepte!$G7*G24</f>
        <v>2391.3497088852555</v>
      </c>
      <c r="L24">
        <v>600</v>
      </c>
      <c r="M24" s="15">
        <f>L24/$AC25</f>
        <v>1.25</v>
      </c>
      <c r="N24" s="3">
        <f>$AC$22*(M24)^1.6</f>
        <v>42.872348618186848</v>
      </c>
      <c r="O24" s="3">
        <f>100/L24*N24</f>
        <v>7.1453914363644744</v>
      </c>
      <c r="P24">
        <f>Rezepte!$G7*L24</f>
        <v>27600</v>
      </c>
      <c r="Q24" s="9">
        <f>Rezepte!$G7*N24</f>
        <v>1972.128036436595</v>
      </c>
      <c r="S24">
        <v>780</v>
      </c>
      <c r="T24" s="15">
        <f>S24/$AC25</f>
        <v>1.625</v>
      </c>
      <c r="U24" s="3">
        <f>$AC$22*(T24)^1.6</f>
        <v>65.235897130620359</v>
      </c>
      <c r="V24" s="3">
        <f>100/S24*U24</f>
        <v>8.3635765552077377</v>
      </c>
      <c r="W24">
        <f>Rezepte!$G7*S24</f>
        <v>35880</v>
      </c>
      <c r="X24">
        <f>Rezepte!$G7*U24</f>
        <v>3000.8512680085364</v>
      </c>
      <c r="Z24" t="s">
        <v>244</v>
      </c>
      <c r="AA24">
        <v>60</v>
      </c>
      <c r="AB24">
        <v>120</v>
      </c>
      <c r="AC24">
        <v>240</v>
      </c>
    </row>
    <row r="25" spans="1:29" x14ac:dyDescent="0.25">
      <c r="A25" t="s">
        <v>13</v>
      </c>
      <c r="C25" t="s">
        <v>17</v>
      </c>
      <c r="D25" t="str">
        <f t="shared" si="1"/>
        <v>Iron OreTotal</v>
      </c>
      <c r="E25" s="4" t="s">
        <v>7</v>
      </c>
      <c r="F25" s="4" t="s">
        <v>7</v>
      </c>
      <c r="G25" s="4" t="s">
        <v>7</v>
      </c>
      <c r="H25" s="3">
        <f>J25/I25*100</f>
        <v>13.909261066658457</v>
      </c>
      <c r="I25">
        <f>SUM(I22:I24)</f>
        <v>44850</v>
      </c>
      <c r="J25" s="9">
        <f>SUM(J22:J24)</f>
        <v>6238.3035883963184</v>
      </c>
      <c r="O25" s="3">
        <f>Q25/P25*100</f>
        <v>11.470862506538287</v>
      </c>
      <c r="P25">
        <f>SUM(P22:P24)</f>
        <v>44850</v>
      </c>
      <c r="Q25" s="9">
        <f>SUM(Q22:Q24)</f>
        <v>5144.6818341824219</v>
      </c>
      <c r="S25" s="4" t="s">
        <v>7</v>
      </c>
      <c r="T25" s="4" t="s">
        <v>7</v>
      </c>
      <c r="U25" s="4" t="s">
        <v>7</v>
      </c>
      <c r="V25" s="3">
        <f>X25/W25*100</f>
        <v>17.928724022145769</v>
      </c>
      <c r="W25">
        <f>SUM(W22:W24)</f>
        <v>70380</v>
      </c>
      <c r="X25">
        <f>SUM(X22:X24)</f>
        <v>12618.235966786193</v>
      </c>
      <c r="Z25" t="s">
        <v>245</v>
      </c>
      <c r="AA25">
        <v>120</v>
      </c>
      <c r="AB25">
        <v>240</v>
      </c>
      <c r="AC25">
        <v>480</v>
      </c>
    </row>
    <row r="26" spans="1:29" x14ac:dyDescent="0.25">
      <c r="D26" t="str">
        <f t="shared" si="1"/>
        <v/>
      </c>
      <c r="K26" s="3"/>
      <c r="R26" s="3"/>
    </row>
    <row r="27" spans="1:29" x14ac:dyDescent="0.25">
      <c r="A27" t="s">
        <v>18</v>
      </c>
      <c r="C27" t="s">
        <v>14</v>
      </c>
      <c r="D27" t="str">
        <f t="shared" si="1"/>
        <v>Copper OreImpure</v>
      </c>
      <c r="E27" s="6">
        <v>150</v>
      </c>
      <c r="F27" s="7">
        <v>2.5</v>
      </c>
      <c r="G27" s="6">
        <v>52</v>
      </c>
      <c r="H27" s="8">
        <f>100/E27*G27</f>
        <v>34.666666666666664</v>
      </c>
      <c r="I27" s="6">
        <f>Rezepte!$G10*E27</f>
        <v>1350</v>
      </c>
      <c r="J27" s="6">
        <f>Rezepte!$G10*G27</f>
        <v>468</v>
      </c>
      <c r="L27">
        <v>300</v>
      </c>
      <c r="M27" s="15">
        <f>L27/$AC$23</f>
        <v>2.5</v>
      </c>
      <c r="N27">
        <v>130</v>
      </c>
      <c r="O27" s="3">
        <f>100/L27*N27</f>
        <v>43.333333333333329</v>
      </c>
      <c r="P27">
        <f>Rezepte!$G10*L27</f>
        <v>2700</v>
      </c>
      <c r="Q27">
        <f>Rezepte!$G10*N27</f>
        <v>1170</v>
      </c>
    </row>
    <row r="28" spans="1:29" x14ac:dyDescent="0.25">
      <c r="A28" t="s">
        <v>18</v>
      </c>
      <c r="C28" t="s">
        <v>15</v>
      </c>
      <c r="D28" t="str">
        <f t="shared" si="1"/>
        <v>Copper OreNormal</v>
      </c>
      <c r="E28" s="6">
        <v>300</v>
      </c>
      <c r="F28" s="7">
        <v>2.5</v>
      </c>
      <c r="G28" s="6">
        <v>52</v>
      </c>
      <c r="H28" s="8">
        <f>100/E28*G28</f>
        <v>17.333333333333332</v>
      </c>
      <c r="I28" s="6">
        <f>Rezepte!$G11*E28</f>
        <v>8400</v>
      </c>
      <c r="J28" s="6">
        <f>Rezepte!$G11*G28</f>
        <v>1456</v>
      </c>
      <c r="L28">
        <v>600</v>
      </c>
      <c r="M28" s="15">
        <f>L28/$AC$24</f>
        <v>2.5</v>
      </c>
      <c r="N28">
        <v>130</v>
      </c>
      <c r="O28" s="3">
        <f>100/L28*N28</f>
        <v>21.666666666666664</v>
      </c>
      <c r="P28">
        <f>Rezepte!$G11*L28</f>
        <v>16800</v>
      </c>
      <c r="Q28">
        <f>Rezepte!$G11*N28</f>
        <v>3640</v>
      </c>
    </row>
    <row r="29" spans="1:29" x14ac:dyDescent="0.25">
      <c r="A29" t="s">
        <v>18</v>
      </c>
      <c r="C29" t="s">
        <v>16</v>
      </c>
      <c r="D29" t="str">
        <f t="shared" si="1"/>
        <v>Copper OrePure</v>
      </c>
      <c r="E29">
        <v>600</v>
      </c>
      <c r="F29" s="1">
        <v>2.5</v>
      </c>
      <c r="G29">
        <v>52</v>
      </c>
      <c r="H29" s="3">
        <f>100/E29*G29</f>
        <v>8.6666666666666661</v>
      </c>
      <c r="I29">
        <f>Rezepte!$G12*E29</f>
        <v>7200</v>
      </c>
      <c r="J29">
        <f>Rezepte!$G12*G29</f>
        <v>624</v>
      </c>
      <c r="L29">
        <v>780</v>
      </c>
      <c r="M29" s="15">
        <f>L29/$AC$25</f>
        <v>1.625</v>
      </c>
      <c r="N29">
        <v>90.9</v>
      </c>
      <c r="O29" s="3">
        <f>100/L29*N29</f>
        <v>11.653846153846153</v>
      </c>
      <c r="P29">
        <f>Rezepte!$G12*L29</f>
        <v>9360</v>
      </c>
      <c r="Q29">
        <f>Rezepte!$G12*N29</f>
        <v>1090.8000000000002</v>
      </c>
    </row>
    <row r="30" spans="1:29" x14ac:dyDescent="0.25">
      <c r="A30" t="s">
        <v>18</v>
      </c>
      <c r="C30" t="s">
        <v>17</v>
      </c>
      <c r="D30" t="str">
        <f t="shared" si="1"/>
        <v>Copper OreTotal</v>
      </c>
      <c r="E30" s="4" t="s">
        <v>7</v>
      </c>
      <c r="F30" s="4" t="s">
        <v>7</v>
      </c>
      <c r="G30" s="4" t="s">
        <v>7</v>
      </c>
      <c r="H30" s="3">
        <f>J30/I30*100</f>
        <v>15.032448377581121</v>
      </c>
      <c r="I30">
        <f>SUM(I27:I29)</f>
        <v>16950</v>
      </c>
      <c r="J30">
        <f>SUM(J27:J29)</f>
        <v>2548</v>
      </c>
      <c r="L30" s="4" t="s">
        <v>7</v>
      </c>
      <c r="M30" s="4" t="s">
        <v>7</v>
      </c>
      <c r="N30" s="4" t="s">
        <v>7</v>
      </c>
      <c r="O30" s="3">
        <f>Q30/P30*100</f>
        <v>20.446292446292446</v>
      </c>
      <c r="P30">
        <f>SUM(P27:P29)</f>
        <v>28860</v>
      </c>
      <c r="Q30">
        <f>SUM(Q27:Q29)</f>
        <v>5900.8</v>
      </c>
    </row>
    <row r="31" spans="1:29" x14ac:dyDescent="0.25">
      <c r="D31" t="str">
        <f t="shared" si="1"/>
        <v/>
      </c>
    </row>
    <row r="32" spans="1:29" x14ac:dyDescent="0.25">
      <c r="A32" t="s">
        <v>19</v>
      </c>
      <c r="C32" t="s">
        <v>14</v>
      </c>
      <c r="D32" t="str">
        <f t="shared" si="1"/>
        <v>LimestoneImpure</v>
      </c>
      <c r="E32" s="6">
        <v>150</v>
      </c>
      <c r="F32" s="7">
        <v>2.5</v>
      </c>
      <c r="G32" s="6">
        <v>52</v>
      </c>
      <c r="H32" s="8">
        <f>100/E32*G32</f>
        <v>34.666666666666664</v>
      </c>
      <c r="I32" s="6">
        <f>Rezepte!$G15*E32</f>
        <v>1800</v>
      </c>
      <c r="J32" s="6">
        <f>Rezepte!$G15*G32</f>
        <v>624</v>
      </c>
      <c r="L32">
        <v>300</v>
      </c>
      <c r="M32" s="15">
        <f>L32/$AC$23</f>
        <v>2.5</v>
      </c>
      <c r="N32">
        <v>130</v>
      </c>
      <c r="O32" s="3">
        <f>100/L32*N32</f>
        <v>43.333333333333329</v>
      </c>
      <c r="P32">
        <f>Rezepte!$G15*L32</f>
        <v>3600</v>
      </c>
      <c r="Q32">
        <f>Rezepte!$G15*N32</f>
        <v>1560</v>
      </c>
    </row>
    <row r="33" spans="1:17" x14ac:dyDescent="0.25">
      <c r="A33" t="s">
        <v>19</v>
      </c>
      <c r="C33" t="s">
        <v>15</v>
      </c>
      <c r="D33" t="str">
        <f t="shared" si="1"/>
        <v>LimestoneNormal</v>
      </c>
      <c r="E33" s="6">
        <v>300</v>
      </c>
      <c r="F33" s="7">
        <v>2.5</v>
      </c>
      <c r="G33" s="6">
        <v>52</v>
      </c>
      <c r="H33" s="8">
        <f>100/E33*G33</f>
        <v>17.333333333333332</v>
      </c>
      <c r="I33" s="6">
        <f>Rezepte!$G16*E33</f>
        <v>14100</v>
      </c>
      <c r="J33" s="6">
        <f>Rezepte!$G16*G33</f>
        <v>2444</v>
      </c>
      <c r="L33">
        <v>600</v>
      </c>
      <c r="M33" s="15">
        <f>L33/$AC$24</f>
        <v>2.5</v>
      </c>
      <c r="N33">
        <v>130</v>
      </c>
      <c r="O33" s="3">
        <f>100/L33*N33</f>
        <v>21.666666666666664</v>
      </c>
      <c r="P33">
        <f>Rezepte!$G16*L33</f>
        <v>28200</v>
      </c>
      <c r="Q33">
        <f>Rezepte!$G16*N33</f>
        <v>6110</v>
      </c>
    </row>
    <row r="34" spans="1:17" x14ac:dyDescent="0.25">
      <c r="A34" t="s">
        <v>19</v>
      </c>
      <c r="C34" t="s">
        <v>16</v>
      </c>
      <c r="D34" t="str">
        <f t="shared" si="1"/>
        <v>LimestonePure</v>
      </c>
      <c r="E34">
        <v>600</v>
      </c>
      <c r="F34" s="1">
        <v>2.5</v>
      </c>
      <c r="G34">
        <v>52</v>
      </c>
      <c r="H34" s="3">
        <f>100/E34*G34</f>
        <v>8.6666666666666661</v>
      </c>
      <c r="I34">
        <f>Rezepte!$G17*E34</f>
        <v>16200</v>
      </c>
      <c r="J34">
        <f>Rezepte!$G17*G34</f>
        <v>1404</v>
      </c>
      <c r="L34">
        <v>780</v>
      </c>
      <c r="M34" s="15">
        <f>L34/$AC$25</f>
        <v>1.625</v>
      </c>
      <c r="N34">
        <v>90.9</v>
      </c>
      <c r="O34" s="3">
        <f>100/L34*N34</f>
        <v>11.653846153846153</v>
      </c>
      <c r="P34">
        <f>Rezepte!$G17*L34</f>
        <v>21060</v>
      </c>
      <c r="Q34">
        <f>Rezepte!$G17*N34</f>
        <v>2454.3000000000002</v>
      </c>
    </row>
    <row r="35" spans="1:17" x14ac:dyDescent="0.25">
      <c r="A35" t="s">
        <v>19</v>
      </c>
      <c r="C35" t="s">
        <v>17</v>
      </c>
      <c r="D35" t="str">
        <f t="shared" si="1"/>
        <v>LimestoneTotal</v>
      </c>
      <c r="E35" s="4" t="s">
        <v>7</v>
      </c>
      <c r="F35" s="4" t="s">
        <v>7</v>
      </c>
      <c r="G35" s="4" t="s">
        <v>7</v>
      </c>
      <c r="H35" s="3">
        <f>J35/I35*100</f>
        <v>13.931464174454828</v>
      </c>
      <c r="I35">
        <f>SUM(I32:I34)</f>
        <v>32100</v>
      </c>
      <c r="J35">
        <f>SUM(J32:J34)</f>
        <v>4472</v>
      </c>
      <c r="L35" s="4" t="s">
        <v>7</v>
      </c>
      <c r="M35" s="4" t="s">
        <v>7</v>
      </c>
      <c r="N35" s="4" t="s">
        <v>7</v>
      </c>
      <c r="O35" s="3">
        <f>Q35/P35*100</f>
        <v>19.153045781309118</v>
      </c>
      <c r="P35">
        <f>SUM(P32:P34)</f>
        <v>52860</v>
      </c>
      <c r="Q35">
        <f>SUM(Q32:Q34)</f>
        <v>10124.299999999999</v>
      </c>
    </row>
    <row r="36" spans="1:17" x14ac:dyDescent="0.25">
      <c r="D36" t="str">
        <f t="shared" si="1"/>
        <v/>
      </c>
    </row>
    <row r="37" spans="1:17" x14ac:dyDescent="0.25">
      <c r="A37" t="s">
        <v>20</v>
      </c>
      <c r="C37" t="s">
        <v>14</v>
      </c>
      <c r="D37" t="str">
        <f t="shared" si="1"/>
        <v>coalImpure</v>
      </c>
      <c r="E37" s="6">
        <v>150</v>
      </c>
      <c r="F37" s="7">
        <v>2.5</v>
      </c>
      <c r="G37" s="6">
        <v>52</v>
      </c>
      <c r="H37" s="8">
        <f>100/E37*G37</f>
        <v>34.666666666666664</v>
      </c>
      <c r="I37" s="6">
        <f>Rezepte!$G20*E37</f>
        <v>900</v>
      </c>
      <c r="J37" s="6">
        <f>Rezepte!$G20*G37</f>
        <v>312</v>
      </c>
      <c r="L37">
        <v>300</v>
      </c>
      <c r="M37" s="15">
        <f>L37/$AC$23</f>
        <v>2.5</v>
      </c>
      <c r="N37">
        <v>130</v>
      </c>
      <c r="O37" s="3">
        <f>100/L37*N37</f>
        <v>43.333333333333329</v>
      </c>
      <c r="P37">
        <f>Rezepte!$G20*L37</f>
        <v>1800</v>
      </c>
      <c r="Q37">
        <f>Rezepte!$G20*N37</f>
        <v>780</v>
      </c>
    </row>
    <row r="38" spans="1:17" x14ac:dyDescent="0.25">
      <c r="A38" t="s">
        <v>20</v>
      </c>
      <c r="C38" t="s">
        <v>15</v>
      </c>
      <c r="D38" t="str">
        <f t="shared" si="1"/>
        <v>coalNormal</v>
      </c>
      <c r="E38" s="6">
        <v>300</v>
      </c>
      <c r="F38" s="7">
        <v>2.5</v>
      </c>
      <c r="G38" s="6">
        <v>52</v>
      </c>
      <c r="H38" s="8">
        <f>100/E38*G38</f>
        <v>17.333333333333332</v>
      </c>
      <c r="I38" s="6">
        <f>Rezepte!$G21*E38</f>
        <v>8700</v>
      </c>
      <c r="J38" s="6">
        <f>Rezepte!$G21*G38</f>
        <v>1508</v>
      </c>
      <c r="L38">
        <v>600</v>
      </c>
      <c r="M38" s="15">
        <f>L38/$AC$24</f>
        <v>2.5</v>
      </c>
      <c r="N38">
        <v>130</v>
      </c>
      <c r="O38" s="3">
        <f>100/L38*N38</f>
        <v>21.666666666666664</v>
      </c>
      <c r="P38">
        <f>Rezepte!$G21*L38</f>
        <v>17400</v>
      </c>
      <c r="Q38">
        <f>Rezepte!$G21*N38</f>
        <v>3770</v>
      </c>
    </row>
    <row r="39" spans="1:17" x14ac:dyDescent="0.25">
      <c r="A39" t="s">
        <v>20</v>
      </c>
      <c r="C39" t="s">
        <v>16</v>
      </c>
      <c r="D39" t="str">
        <f t="shared" si="1"/>
        <v>coalPure</v>
      </c>
      <c r="E39">
        <v>600</v>
      </c>
      <c r="F39" s="1">
        <v>2.5</v>
      </c>
      <c r="G39">
        <v>52</v>
      </c>
      <c r="H39" s="3">
        <f>100/E39*G39</f>
        <v>8.6666666666666661</v>
      </c>
      <c r="I39">
        <f>Rezepte!$G22*E39</f>
        <v>9000</v>
      </c>
      <c r="J39">
        <f>Rezepte!$G22*G39</f>
        <v>780</v>
      </c>
      <c r="L39">
        <v>780</v>
      </c>
      <c r="M39" s="15">
        <f>L39/$AC$25</f>
        <v>1.625</v>
      </c>
      <c r="N39">
        <v>90.9</v>
      </c>
      <c r="O39" s="3">
        <f>100/L39*N39</f>
        <v>11.653846153846153</v>
      </c>
      <c r="P39">
        <f>Rezepte!$G22*L39</f>
        <v>11700</v>
      </c>
      <c r="Q39">
        <f>Rezepte!$G22*N39</f>
        <v>1363.5</v>
      </c>
    </row>
    <row r="40" spans="1:17" x14ac:dyDescent="0.25">
      <c r="A40" t="s">
        <v>20</v>
      </c>
      <c r="C40" t="s">
        <v>17</v>
      </c>
      <c r="D40" t="str">
        <f t="shared" si="1"/>
        <v>coalTotal</v>
      </c>
      <c r="E40" s="4" t="s">
        <v>7</v>
      </c>
      <c r="F40" s="4" t="s">
        <v>7</v>
      </c>
      <c r="G40" s="4" t="s">
        <v>7</v>
      </c>
      <c r="H40" s="3">
        <f>J40/I40*100</f>
        <v>13.978494623655912</v>
      </c>
      <c r="I40">
        <f>SUM(I37:I39)</f>
        <v>18600</v>
      </c>
      <c r="J40">
        <f>SUM(J37:J39)</f>
        <v>2600</v>
      </c>
      <c r="L40" s="4" t="s">
        <v>7</v>
      </c>
      <c r="M40" s="4" t="s">
        <v>7</v>
      </c>
      <c r="N40" s="4" t="s">
        <v>7</v>
      </c>
      <c r="O40" s="3">
        <f>Q40/P40*100</f>
        <v>19.137540453074433</v>
      </c>
      <c r="P40">
        <f>SUM(P37:P39)</f>
        <v>30900</v>
      </c>
      <c r="Q40">
        <f>SUM(Q37:Q39)</f>
        <v>5913.5</v>
      </c>
    </row>
    <row r="41" spans="1:17" x14ac:dyDescent="0.25">
      <c r="D41" t="str">
        <f t="shared" si="1"/>
        <v/>
      </c>
    </row>
    <row r="42" spans="1:17" x14ac:dyDescent="0.25">
      <c r="A42" t="s">
        <v>21</v>
      </c>
      <c r="C42" t="s">
        <v>14</v>
      </c>
      <c r="D42" t="str">
        <f t="shared" si="1"/>
        <v>caterium oreImpure</v>
      </c>
      <c r="E42" s="6">
        <v>150</v>
      </c>
      <c r="F42" s="7">
        <v>2.5</v>
      </c>
      <c r="G42" s="6">
        <v>52</v>
      </c>
      <c r="H42" s="8">
        <f>100/E42*G42</f>
        <v>34.666666666666664</v>
      </c>
      <c r="I42" s="6">
        <f>Rezepte!$G25*E42</f>
        <v>0</v>
      </c>
      <c r="J42" s="6">
        <f>Rezepte!$G25*G42</f>
        <v>0</v>
      </c>
      <c r="L42">
        <v>300</v>
      </c>
      <c r="M42" s="15">
        <f>L42/$AC$23</f>
        <v>2.5</v>
      </c>
      <c r="N42">
        <v>130</v>
      </c>
      <c r="O42" s="3">
        <f>100/L42*N42</f>
        <v>43.333333333333329</v>
      </c>
      <c r="P42">
        <f>Rezepte!$G25*L42</f>
        <v>0</v>
      </c>
      <c r="Q42">
        <f>Rezepte!$G25*N42</f>
        <v>0</v>
      </c>
    </row>
    <row r="43" spans="1:17" x14ac:dyDescent="0.25">
      <c r="A43" t="s">
        <v>21</v>
      </c>
      <c r="C43" t="s">
        <v>15</v>
      </c>
      <c r="D43" t="str">
        <f t="shared" si="1"/>
        <v>caterium oreNormal</v>
      </c>
      <c r="E43" s="6">
        <v>300</v>
      </c>
      <c r="F43" s="7">
        <v>2.5</v>
      </c>
      <c r="G43" s="6">
        <v>52</v>
      </c>
      <c r="H43" s="8">
        <f>100/E43*G43</f>
        <v>17.333333333333332</v>
      </c>
      <c r="I43" s="6">
        <f>Rezepte!$G26*E43</f>
        <v>2400</v>
      </c>
      <c r="J43" s="6">
        <f>Rezepte!$G26*G43</f>
        <v>416</v>
      </c>
      <c r="L43">
        <v>600</v>
      </c>
      <c r="M43" s="15">
        <f>L43/$AC$24</f>
        <v>2.5</v>
      </c>
      <c r="N43">
        <v>130</v>
      </c>
      <c r="O43" s="3">
        <f>100/L43*N43</f>
        <v>21.666666666666664</v>
      </c>
      <c r="P43">
        <f>Rezepte!$G26*L43</f>
        <v>4800</v>
      </c>
      <c r="Q43">
        <f>Rezepte!$G26*N43</f>
        <v>1040</v>
      </c>
    </row>
    <row r="44" spans="1:17" x14ac:dyDescent="0.25">
      <c r="A44" t="s">
        <v>21</v>
      </c>
      <c r="C44" t="s">
        <v>16</v>
      </c>
      <c r="D44" t="str">
        <f t="shared" si="1"/>
        <v>caterium orePure</v>
      </c>
      <c r="E44">
        <v>600</v>
      </c>
      <c r="F44" s="1">
        <v>2.5</v>
      </c>
      <c r="G44">
        <v>52</v>
      </c>
      <c r="H44" s="3">
        <f>100/E44*G44</f>
        <v>8.6666666666666661</v>
      </c>
      <c r="I44">
        <f>Rezepte!$G27*E44</f>
        <v>4800</v>
      </c>
      <c r="J44">
        <f>Rezepte!$G27*G44</f>
        <v>416</v>
      </c>
      <c r="L44">
        <v>780</v>
      </c>
      <c r="M44" s="15">
        <f>L44/$AC$25</f>
        <v>1.625</v>
      </c>
      <c r="N44">
        <v>90.9</v>
      </c>
      <c r="O44" s="3">
        <f>100/L44*N44</f>
        <v>11.653846153846153</v>
      </c>
      <c r="P44">
        <f>Rezepte!$G27*L44</f>
        <v>6240</v>
      </c>
      <c r="Q44">
        <f>Rezepte!$G27*N44</f>
        <v>727.2</v>
      </c>
    </row>
    <row r="45" spans="1:17" x14ac:dyDescent="0.25">
      <c r="A45" t="s">
        <v>21</v>
      </c>
      <c r="C45" t="s">
        <v>17</v>
      </c>
      <c r="D45" t="str">
        <f t="shared" si="1"/>
        <v>caterium oreTotal</v>
      </c>
      <c r="E45" s="4" t="s">
        <v>7</v>
      </c>
      <c r="F45" s="4" t="s">
        <v>7</v>
      </c>
      <c r="G45" s="4" t="s">
        <v>7</v>
      </c>
      <c r="H45" s="3">
        <f>J45/I45*100</f>
        <v>11.555555555555555</v>
      </c>
      <c r="I45">
        <f>SUM(I42:I44)</f>
        <v>7200</v>
      </c>
      <c r="J45">
        <f>SUM(J42:J44)</f>
        <v>832</v>
      </c>
      <c r="L45" s="4" t="s">
        <v>7</v>
      </c>
      <c r="M45" s="4" t="s">
        <v>7</v>
      </c>
      <c r="N45" s="4" t="s">
        <v>7</v>
      </c>
      <c r="O45" s="3">
        <f>Q45/P45*100</f>
        <v>16.007246376811597</v>
      </c>
      <c r="P45">
        <f>SUM(P42:P44)</f>
        <v>11040</v>
      </c>
      <c r="Q45">
        <f>SUM(Q42:Q44)</f>
        <v>1767.2</v>
      </c>
    </row>
    <row r="46" spans="1:17" x14ac:dyDescent="0.25">
      <c r="D46" t="str">
        <f t="shared" si="1"/>
        <v/>
      </c>
    </row>
    <row r="47" spans="1:17" x14ac:dyDescent="0.25">
      <c r="A47" t="s">
        <v>22</v>
      </c>
      <c r="C47" t="s">
        <v>14</v>
      </c>
      <c r="D47" t="str">
        <f t="shared" si="1"/>
        <v>raw quartzImpure</v>
      </c>
      <c r="E47" s="6">
        <v>150</v>
      </c>
      <c r="F47" s="7">
        <v>2.5</v>
      </c>
      <c r="G47" s="6">
        <v>52</v>
      </c>
      <c r="H47" s="8">
        <f>100/E47*G47</f>
        <v>34.666666666666664</v>
      </c>
      <c r="I47" s="6">
        <f>Rezepte!$G30*E47</f>
        <v>0</v>
      </c>
      <c r="J47" s="6">
        <f>Rezepte!$G30*G47</f>
        <v>0</v>
      </c>
      <c r="L47">
        <v>300</v>
      </c>
      <c r="M47" s="15">
        <f>L47/$AC$23</f>
        <v>2.5</v>
      </c>
      <c r="N47">
        <v>130</v>
      </c>
      <c r="O47" s="3">
        <f>100/L47*N47</f>
        <v>43.333333333333329</v>
      </c>
      <c r="P47">
        <f>Rezepte!$G30*L47</f>
        <v>0</v>
      </c>
      <c r="Q47">
        <f>Rezepte!$G30*N47</f>
        <v>0</v>
      </c>
    </row>
    <row r="48" spans="1:17" x14ac:dyDescent="0.25">
      <c r="A48" t="s">
        <v>22</v>
      </c>
      <c r="C48" t="s">
        <v>15</v>
      </c>
      <c r="D48" t="str">
        <f t="shared" si="1"/>
        <v>raw quartzNormal</v>
      </c>
      <c r="E48" s="6">
        <v>300</v>
      </c>
      <c r="F48" s="7">
        <v>2.5</v>
      </c>
      <c r="G48" s="6">
        <v>52</v>
      </c>
      <c r="H48" s="8">
        <f>100/E48*G48</f>
        <v>17.333333333333332</v>
      </c>
      <c r="I48" s="6">
        <f>Rezepte!$G31*E48</f>
        <v>3300</v>
      </c>
      <c r="J48" s="6">
        <f>Rezepte!$G31*G48</f>
        <v>572</v>
      </c>
      <c r="L48">
        <v>600</v>
      </c>
      <c r="M48" s="15">
        <f>L48/$AC$24</f>
        <v>2.5</v>
      </c>
      <c r="N48">
        <v>130</v>
      </c>
      <c r="O48" s="3">
        <f>100/L48*N48</f>
        <v>21.666666666666664</v>
      </c>
      <c r="P48">
        <f>Rezepte!$G31*L48</f>
        <v>6600</v>
      </c>
      <c r="Q48">
        <f>Rezepte!$G31*N48</f>
        <v>1430</v>
      </c>
    </row>
    <row r="49" spans="1:17" x14ac:dyDescent="0.25">
      <c r="A49" t="s">
        <v>22</v>
      </c>
      <c r="C49" t="s">
        <v>16</v>
      </c>
      <c r="D49" t="str">
        <f t="shared" si="1"/>
        <v>raw quartzPure</v>
      </c>
      <c r="E49">
        <v>600</v>
      </c>
      <c r="F49" s="1">
        <v>2.5</v>
      </c>
      <c r="G49">
        <v>52</v>
      </c>
      <c r="H49" s="3">
        <f>100/E49*G49</f>
        <v>8.6666666666666661</v>
      </c>
      <c r="I49">
        <f>Rezepte!$G32*E49</f>
        <v>3000</v>
      </c>
      <c r="J49">
        <f>Rezepte!$G32*G49</f>
        <v>260</v>
      </c>
      <c r="L49">
        <v>780</v>
      </c>
      <c r="M49" s="15">
        <f>L49/$AC$25</f>
        <v>1.625</v>
      </c>
      <c r="N49">
        <v>90.9</v>
      </c>
      <c r="O49" s="3">
        <f>100/L49*N49</f>
        <v>11.653846153846153</v>
      </c>
      <c r="P49">
        <f>Rezepte!$G32*L49</f>
        <v>3900</v>
      </c>
      <c r="Q49">
        <f>Rezepte!$G32*N49</f>
        <v>454.5</v>
      </c>
    </row>
    <row r="50" spans="1:17" x14ac:dyDescent="0.25">
      <c r="A50" t="s">
        <v>22</v>
      </c>
      <c r="C50" t="s">
        <v>17</v>
      </c>
      <c r="D50" t="str">
        <f t="shared" si="1"/>
        <v>raw quartzTotal</v>
      </c>
      <c r="E50" s="4" t="s">
        <v>7</v>
      </c>
      <c r="F50" s="4" t="s">
        <v>7</v>
      </c>
      <c r="G50" s="4" t="s">
        <v>7</v>
      </c>
      <c r="H50" s="3">
        <f>J50/I50*100</f>
        <v>13.206349206349207</v>
      </c>
      <c r="I50">
        <f>SUM(I47:I49)</f>
        <v>6300</v>
      </c>
      <c r="J50">
        <f>SUM(J47:J49)</f>
        <v>832</v>
      </c>
      <c r="L50" s="4" t="s">
        <v>7</v>
      </c>
      <c r="M50" s="4" t="s">
        <v>7</v>
      </c>
      <c r="N50" s="4" t="s">
        <v>7</v>
      </c>
      <c r="O50" s="3">
        <f>Q50/P50*100</f>
        <v>17.94761904761905</v>
      </c>
      <c r="P50">
        <f>SUM(P47:P49)</f>
        <v>10500</v>
      </c>
      <c r="Q50">
        <f>SUM(Q47:Q49)</f>
        <v>1884.5</v>
      </c>
    </row>
    <row r="51" spans="1:17" x14ac:dyDescent="0.25">
      <c r="D51" t="str">
        <f t="shared" si="1"/>
        <v/>
      </c>
    </row>
    <row r="52" spans="1:17" x14ac:dyDescent="0.25">
      <c r="A52" t="s">
        <v>23</v>
      </c>
      <c r="C52" t="s">
        <v>14</v>
      </c>
      <c r="D52" t="str">
        <f t="shared" si="1"/>
        <v>sulfur Impure</v>
      </c>
      <c r="E52" s="6">
        <v>150</v>
      </c>
      <c r="F52" s="7">
        <v>2.5</v>
      </c>
      <c r="G52" s="6">
        <v>52</v>
      </c>
      <c r="H52" s="8">
        <f>100/E52*G52</f>
        <v>34.666666666666664</v>
      </c>
      <c r="I52" s="6">
        <f>Rezepte!$G35*E52</f>
        <v>150</v>
      </c>
      <c r="J52" s="6">
        <f>Rezepte!$G35*G52</f>
        <v>52</v>
      </c>
      <c r="L52">
        <v>300</v>
      </c>
      <c r="M52" s="15">
        <f>L52/$AC$23</f>
        <v>2.5</v>
      </c>
      <c r="N52">
        <v>130</v>
      </c>
      <c r="O52" s="3">
        <f>100/L52*N52</f>
        <v>43.333333333333329</v>
      </c>
      <c r="P52">
        <f>Rezepte!$G35*L52</f>
        <v>300</v>
      </c>
      <c r="Q52">
        <f>Rezepte!$G35*N52</f>
        <v>130</v>
      </c>
    </row>
    <row r="53" spans="1:17" x14ac:dyDescent="0.25">
      <c r="A53" t="s">
        <v>23</v>
      </c>
      <c r="C53" t="s">
        <v>15</v>
      </c>
      <c r="D53" t="str">
        <f t="shared" si="1"/>
        <v>sulfur Normal</v>
      </c>
      <c r="E53" s="6">
        <v>300</v>
      </c>
      <c r="F53" s="7">
        <v>2.5</v>
      </c>
      <c r="G53" s="6">
        <v>52</v>
      </c>
      <c r="H53" s="8">
        <f>100/E53*G53</f>
        <v>17.333333333333332</v>
      </c>
      <c r="I53" s="6">
        <f>Rezepte!$G36*E53</f>
        <v>2100</v>
      </c>
      <c r="J53" s="6">
        <f>Rezepte!$G36*G53</f>
        <v>364</v>
      </c>
      <c r="L53">
        <v>600</v>
      </c>
      <c r="M53" s="15">
        <f>L53/$AC$24</f>
        <v>2.5</v>
      </c>
      <c r="N53">
        <v>130</v>
      </c>
      <c r="O53" s="3">
        <f>100/L53*N53</f>
        <v>21.666666666666664</v>
      </c>
      <c r="P53">
        <f>Rezepte!$G36*L53</f>
        <v>4200</v>
      </c>
      <c r="Q53">
        <f>Rezepte!$G36*N53</f>
        <v>910</v>
      </c>
    </row>
    <row r="54" spans="1:17" x14ac:dyDescent="0.25">
      <c r="A54" t="s">
        <v>23</v>
      </c>
      <c r="C54" t="s">
        <v>16</v>
      </c>
      <c r="D54" t="str">
        <f t="shared" si="1"/>
        <v>sulfur Pure</v>
      </c>
      <c r="E54">
        <v>600</v>
      </c>
      <c r="F54" s="1">
        <v>2.5</v>
      </c>
      <c r="G54">
        <v>52</v>
      </c>
      <c r="H54" s="3">
        <f>100/E54*G54</f>
        <v>8.6666666666666661</v>
      </c>
      <c r="I54">
        <f>Rezepte!$G37*E54</f>
        <v>1800</v>
      </c>
      <c r="J54">
        <f>Rezepte!$G37*G54</f>
        <v>156</v>
      </c>
      <c r="L54">
        <v>780</v>
      </c>
      <c r="M54" s="15">
        <f>L54/$AC$25</f>
        <v>1.625</v>
      </c>
      <c r="N54">
        <v>90.9</v>
      </c>
      <c r="O54" s="3">
        <f>100/L54*N54</f>
        <v>11.653846153846153</v>
      </c>
      <c r="P54">
        <f>Rezepte!$G37*L54</f>
        <v>2340</v>
      </c>
      <c r="Q54">
        <f>Rezepte!$G37*N54</f>
        <v>272.70000000000005</v>
      </c>
    </row>
    <row r="55" spans="1:17" x14ac:dyDescent="0.25">
      <c r="A55" t="s">
        <v>23</v>
      </c>
      <c r="C55" t="s">
        <v>17</v>
      </c>
      <c r="D55" t="str">
        <f t="shared" si="1"/>
        <v>sulfur Total</v>
      </c>
      <c r="E55" s="4" t="s">
        <v>7</v>
      </c>
      <c r="F55" s="4" t="s">
        <v>7</v>
      </c>
      <c r="G55" s="4" t="s">
        <v>7</v>
      </c>
      <c r="H55" s="3">
        <f>J55/I55*100</f>
        <v>0.7142857142857143</v>
      </c>
      <c r="I55">
        <f>SUM(E52:E54)</f>
        <v>1050</v>
      </c>
      <c r="J55">
        <f>SUM(F52:F54)</f>
        <v>7.5</v>
      </c>
      <c r="L55" s="4" t="s">
        <v>7</v>
      </c>
      <c r="M55" s="4" t="s">
        <v>7</v>
      </c>
      <c r="N55" s="4" t="s">
        <v>7</v>
      </c>
      <c r="O55" s="3">
        <f>Q55/P55*100</f>
        <v>0.39434523809523808</v>
      </c>
      <c r="P55">
        <f>SUM(L52:L54)</f>
        <v>1680</v>
      </c>
      <c r="Q55">
        <f>SUM(M52:M54)</f>
        <v>6.625</v>
      </c>
    </row>
    <row r="56" spans="1:17" x14ac:dyDescent="0.25">
      <c r="D56" t="str">
        <f t="shared" si="1"/>
        <v/>
      </c>
    </row>
    <row r="57" spans="1:17" x14ac:dyDescent="0.25">
      <c r="A57" t="s">
        <v>24</v>
      </c>
      <c r="C57" t="s">
        <v>14</v>
      </c>
      <c r="D57" t="str">
        <f t="shared" si="1"/>
        <v>BauxiteImpure</v>
      </c>
      <c r="E57" s="6">
        <v>150</v>
      </c>
      <c r="F57" s="7">
        <v>2.5</v>
      </c>
      <c r="G57" s="6">
        <v>52</v>
      </c>
      <c r="H57" s="8">
        <f>100/E57*G57</f>
        <v>34.666666666666664</v>
      </c>
      <c r="I57" s="6">
        <f>Rezepte!$G40*E57</f>
        <v>750</v>
      </c>
      <c r="J57" s="6">
        <f>Rezepte!$G40*G57</f>
        <v>260</v>
      </c>
      <c r="L57">
        <v>300</v>
      </c>
      <c r="M57" s="15">
        <f>L57/$AC$23</f>
        <v>2.5</v>
      </c>
      <c r="N57">
        <v>130</v>
      </c>
      <c r="O57" s="3">
        <f>100/L57*N57</f>
        <v>43.333333333333329</v>
      </c>
      <c r="P57">
        <f>Rezepte!$G40*L57</f>
        <v>1500</v>
      </c>
      <c r="Q57">
        <f>Rezepte!$G40*N57</f>
        <v>650</v>
      </c>
    </row>
    <row r="58" spans="1:17" x14ac:dyDescent="0.25">
      <c r="A58" t="s">
        <v>24</v>
      </c>
      <c r="C58" t="s">
        <v>15</v>
      </c>
      <c r="D58" t="str">
        <f t="shared" si="1"/>
        <v>BauxiteNormal</v>
      </c>
      <c r="E58" s="6">
        <v>300</v>
      </c>
      <c r="F58" s="7">
        <v>2.5</v>
      </c>
      <c r="G58" s="6">
        <v>52</v>
      </c>
      <c r="H58" s="8">
        <f>100/E58*G58</f>
        <v>17.333333333333332</v>
      </c>
      <c r="I58" s="6">
        <f>Rezepte!$G41*E58</f>
        <v>1800</v>
      </c>
      <c r="J58" s="6">
        <f>Rezepte!$G41*G58</f>
        <v>312</v>
      </c>
      <c r="L58">
        <v>600</v>
      </c>
      <c r="M58" s="15">
        <f>L58/$AC$24</f>
        <v>2.5</v>
      </c>
      <c r="N58">
        <v>130</v>
      </c>
      <c r="O58" s="3">
        <f>100/L58*N58</f>
        <v>21.666666666666664</v>
      </c>
      <c r="P58">
        <f>Rezepte!$G41*L58</f>
        <v>3600</v>
      </c>
      <c r="Q58">
        <f>Rezepte!$G41*N58</f>
        <v>780</v>
      </c>
    </row>
    <row r="59" spans="1:17" x14ac:dyDescent="0.25">
      <c r="A59" t="s">
        <v>24</v>
      </c>
      <c r="C59" t="s">
        <v>16</v>
      </c>
      <c r="D59" t="str">
        <f t="shared" si="1"/>
        <v>BauxitePure</v>
      </c>
      <c r="E59">
        <v>600</v>
      </c>
      <c r="F59" s="1">
        <v>2.5</v>
      </c>
      <c r="G59">
        <v>52</v>
      </c>
      <c r="H59" s="3">
        <f>100/E59*G59</f>
        <v>8.6666666666666661</v>
      </c>
      <c r="I59">
        <f>Rezepte!$G42*E59</f>
        <v>3600</v>
      </c>
      <c r="J59">
        <f>Rezepte!$G42*G59</f>
        <v>312</v>
      </c>
      <c r="L59">
        <v>780</v>
      </c>
      <c r="M59" s="15">
        <f>L59/$AC$25</f>
        <v>1.625</v>
      </c>
      <c r="N59">
        <v>90.9</v>
      </c>
      <c r="O59" s="3">
        <f>100/L59*N59</f>
        <v>11.653846153846153</v>
      </c>
      <c r="P59">
        <f>Rezepte!$G42*L59</f>
        <v>4680</v>
      </c>
      <c r="Q59">
        <f>Rezepte!$G42*N59</f>
        <v>545.40000000000009</v>
      </c>
    </row>
    <row r="60" spans="1:17" x14ac:dyDescent="0.25">
      <c r="A60" t="s">
        <v>24</v>
      </c>
      <c r="C60" t="s">
        <v>17</v>
      </c>
      <c r="D60" t="str">
        <f t="shared" si="1"/>
        <v>BauxiteTotal</v>
      </c>
      <c r="E60" s="4" t="s">
        <v>7</v>
      </c>
      <c r="F60" s="4" t="s">
        <v>7</v>
      </c>
      <c r="G60" s="4" t="s">
        <v>7</v>
      </c>
      <c r="H60" s="3">
        <f>J60/I60*100</f>
        <v>14.373983739837398</v>
      </c>
      <c r="I60">
        <f>SUM(I57:I59)</f>
        <v>6150</v>
      </c>
      <c r="J60">
        <f>SUM(J57:J59)</f>
        <v>884</v>
      </c>
      <c r="L60" s="4" t="s">
        <v>7</v>
      </c>
      <c r="M60" s="4" t="s">
        <v>7</v>
      </c>
      <c r="N60" s="4" t="s">
        <v>7</v>
      </c>
      <c r="O60" s="3">
        <f>Q60/P60*100</f>
        <v>20.198364008179958</v>
      </c>
      <c r="P60">
        <f>SUM(P57:P59)</f>
        <v>9780</v>
      </c>
      <c r="Q60">
        <f>SUM(Q57:Q59)</f>
        <v>1975.4</v>
      </c>
    </row>
    <row r="61" spans="1:17" x14ac:dyDescent="0.25">
      <c r="D61" t="str">
        <f t="shared" si="1"/>
        <v/>
      </c>
    </row>
    <row r="62" spans="1:17" x14ac:dyDescent="0.25">
      <c r="A62" t="s">
        <v>25</v>
      </c>
      <c r="C62" t="s">
        <v>14</v>
      </c>
      <c r="D62" t="str">
        <f t="shared" si="1"/>
        <v>UraniumImpure</v>
      </c>
      <c r="E62" s="6">
        <v>150</v>
      </c>
      <c r="F62" s="7">
        <v>2.5</v>
      </c>
      <c r="G62" s="6">
        <v>52</v>
      </c>
      <c r="H62" s="8">
        <f>100/E62*G62</f>
        <v>34.666666666666664</v>
      </c>
      <c r="I62" s="6">
        <f>Rezepte!$G45*E62</f>
        <v>150</v>
      </c>
      <c r="J62" s="6">
        <f>Rezepte!$G45*G62</f>
        <v>52</v>
      </c>
      <c r="L62">
        <v>300</v>
      </c>
      <c r="M62" s="15">
        <f>L62/$AC$23</f>
        <v>2.5</v>
      </c>
      <c r="N62">
        <v>130</v>
      </c>
      <c r="O62" s="3">
        <f>100/L62*N62</f>
        <v>43.333333333333329</v>
      </c>
      <c r="P62">
        <f>Rezepte!$G45*L62</f>
        <v>300</v>
      </c>
      <c r="Q62">
        <f>Rezepte!$G45*N62</f>
        <v>130</v>
      </c>
    </row>
    <row r="63" spans="1:17" x14ac:dyDescent="0.25">
      <c r="A63" t="s">
        <v>25</v>
      </c>
      <c r="C63" t="s">
        <v>15</v>
      </c>
      <c r="D63" t="str">
        <f t="shared" si="1"/>
        <v>UraniumNormal</v>
      </c>
      <c r="E63" s="6">
        <v>300</v>
      </c>
      <c r="F63" s="7">
        <v>2.5</v>
      </c>
      <c r="G63" s="6">
        <v>52</v>
      </c>
      <c r="H63" s="8">
        <f>100/E63*G63</f>
        <v>17.333333333333332</v>
      </c>
      <c r="I63" s="6">
        <f>Rezepte!$G46*E63</f>
        <v>900</v>
      </c>
      <c r="J63" s="6">
        <f>Rezepte!$G46*G63</f>
        <v>156</v>
      </c>
      <c r="L63">
        <v>600</v>
      </c>
      <c r="M63" s="15">
        <f>L63/$AC$24</f>
        <v>2.5</v>
      </c>
      <c r="N63">
        <v>130</v>
      </c>
      <c r="O63" s="3">
        <f>100/L63*N63</f>
        <v>21.666666666666664</v>
      </c>
      <c r="P63">
        <f>Rezepte!$G46*L63</f>
        <v>1800</v>
      </c>
      <c r="Q63">
        <f>Rezepte!$G46*N63</f>
        <v>390</v>
      </c>
    </row>
    <row r="64" spans="1:17" x14ac:dyDescent="0.25">
      <c r="A64" t="s">
        <v>25</v>
      </c>
      <c r="C64" t="s">
        <v>16</v>
      </c>
      <c r="D64" t="str">
        <f t="shared" si="1"/>
        <v>UraniumPure</v>
      </c>
      <c r="E64">
        <v>600</v>
      </c>
      <c r="F64" s="1">
        <v>2.5</v>
      </c>
      <c r="G64">
        <v>52</v>
      </c>
      <c r="H64" s="3">
        <f>100/E64*G64</f>
        <v>8.6666666666666661</v>
      </c>
      <c r="I64">
        <f>Rezepte!$G47*E64</f>
        <v>0</v>
      </c>
      <c r="J64">
        <f>Rezepte!$G47*G64</f>
        <v>0</v>
      </c>
      <c r="L64">
        <v>780</v>
      </c>
      <c r="M64" s="15">
        <f>L64/$AC$25</f>
        <v>1.625</v>
      </c>
      <c r="N64">
        <v>90.9</v>
      </c>
      <c r="O64" s="3">
        <f>100/L64*N64</f>
        <v>11.653846153846153</v>
      </c>
      <c r="P64">
        <f>Rezepte!$G47*L64</f>
        <v>0</v>
      </c>
      <c r="Q64">
        <f>Rezepte!$G47*N64</f>
        <v>0</v>
      </c>
    </row>
    <row r="65" spans="1:17" x14ac:dyDescent="0.25">
      <c r="A65" t="s">
        <v>25</v>
      </c>
      <c r="C65" t="s">
        <v>17</v>
      </c>
      <c r="D65" t="str">
        <f t="shared" si="1"/>
        <v>UraniumTotal</v>
      </c>
      <c r="E65" s="4" t="s">
        <v>7</v>
      </c>
      <c r="F65" s="4" t="s">
        <v>7</v>
      </c>
      <c r="G65" s="4" t="s">
        <v>7</v>
      </c>
      <c r="H65" s="3">
        <f>J65/I65*100</f>
        <v>19.80952380952381</v>
      </c>
      <c r="I65">
        <f>SUM(I62:I64)</f>
        <v>1050</v>
      </c>
      <c r="J65">
        <f>SUM(J62:J64)</f>
        <v>208</v>
      </c>
      <c r="L65" s="4" t="s">
        <v>7</v>
      </c>
      <c r="M65" s="4" t="s">
        <v>7</v>
      </c>
      <c r="N65" s="4" t="s">
        <v>7</v>
      </c>
      <c r="O65" s="3">
        <f>Q65/P65*100</f>
        <v>24.761904761904763</v>
      </c>
      <c r="P65">
        <f>SUM(P62:P64)</f>
        <v>2100</v>
      </c>
      <c r="Q65">
        <f>SUM(Q62:Q64)</f>
        <v>520</v>
      </c>
    </row>
    <row r="66" spans="1:17" x14ac:dyDescent="0.25">
      <c r="E66" s="4"/>
      <c r="F66" s="4"/>
      <c r="G66" s="4"/>
      <c r="H66" s="3"/>
      <c r="L66" s="4"/>
      <c r="M66" s="4"/>
      <c r="N66" s="4"/>
      <c r="O66" s="3"/>
    </row>
    <row r="67" spans="1:17" x14ac:dyDescent="0.25">
      <c r="E67" s="4"/>
      <c r="F67" s="4"/>
      <c r="G67" s="4"/>
      <c r="H67" s="3"/>
      <c r="L67" s="4"/>
      <c r="M67" s="4"/>
      <c r="N67" s="4"/>
      <c r="O67" s="3"/>
    </row>
    <row r="68" spans="1:17" x14ac:dyDescent="0.25">
      <c r="A68" t="s">
        <v>26</v>
      </c>
      <c r="C68" t="s">
        <v>17</v>
      </c>
      <c r="D68" t="str">
        <f>A68&amp;C68</f>
        <v>WaterTotal</v>
      </c>
      <c r="E68">
        <v>120</v>
      </c>
      <c r="F68" s="1">
        <v>2.5</v>
      </c>
      <c r="G68">
        <v>67.5</v>
      </c>
      <c r="H68" s="3">
        <f>100/E68*G68</f>
        <v>56.25</v>
      </c>
      <c r="I68">
        <f>Rezepte!$G51*E68</f>
        <v>120</v>
      </c>
      <c r="J68">
        <f>Rezepte!$G51*G68</f>
        <v>67.5</v>
      </c>
    </row>
  </sheetData>
  <mergeCells count="6">
    <mergeCell ref="I20:J20"/>
    <mergeCell ref="L20:O20"/>
    <mergeCell ref="P20:Q20"/>
    <mergeCell ref="E20:H20"/>
    <mergeCell ref="W20:X20"/>
    <mergeCell ref="S20:V20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3EB0-F1F2-43D8-80D5-43E06C11A274}">
  <dimension ref="A2:X57"/>
  <sheetViews>
    <sheetView workbookViewId="0"/>
  </sheetViews>
  <sheetFormatPr baseColWidth="10" defaultColWidth="11.42578125" defaultRowHeight="15" x14ac:dyDescent="0.25"/>
  <sheetData>
    <row r="2" spans="1:24" x14ac:dyDescent="0.25">
      <c r="C2" t="s">
        <v>243</v>
      </c>
      <c r="D2">
        <v>150</v>
      </c>
    </row>
    <row r="3" spans="1:24" x14ac:dyDescent="0.25">
      <c r="C3" t="s">
        <v>244</v>
      </c>
      <c r="D3">
        <v>300</v>
      </c>
    </row>
    <row r="4" spans="1:24" x14ac:dyDescent="0.25">
      <c r="C4" t="s">
        <v>245</v>
      </c>
      <c r="D4">
        <v>480</v>
      </c>
    </row>
    <row r="6" spans="1:24" x14ac:dyDescent="0.25">
      <c r="A6" t="s">
        <v>246</v>
      </c>
      <c r="B6" t="s">
        <v>2</v>
      </c>
      <c r="C6">
        <v>10</v>
      </c>
      <c r="D6">
        <v>480</v>
      </c>
      <c r="E6">
        <f>C6*D6</f>
        <v>4800</v>
      </c>
    </row>
    <row r="7" spans="1:24" x14ac:dyDescent="0.25">
      <c r="A7" t="s">
        <v>55</v>
      </c>
      <c r="C7">
        <v>20</v>
      </c>
      <c r="D7">
        <v>30</v>
      </c>
      <c r="E7">
        <f>C7*D7</f>
        <v>600</v>
      </c>
    </row>
    <row r="8" spans="1:24" x14ac:dyDescent="0.25">
      <c r="F8" t="s">
        <v>247</v>
      </c>
      <c r="G8" t="s">
        <v>209</v>
      </c>
      <c r="N8" t="s">
        <v>247</v>
      </c>
      <c r="O8" t="s">
        <v>209</v>
      </c>
    </row>
    <row r="9" spans="1:24" x14ac:dyDescent="0.25">
      <c r="A9" t="s">
        <v>248</v>
      </c>
      <c r="B9" s="22">
        <v>1</v>
      </c>
      <c r="C9" t="s">
        <v>243</v>
      </c>
      <c r="D9">
        <v>1</v>
      </c>
      <c r="E9">
        <f>D9*VLOOKUP(C9,$C$2:$D$4,2,FALSE)</f>
        <v>150</v>
      </c>
      <c r="F9">
        <f>E9/$E$7</f>
        <v>0.25</v>
      </c>
      <c r="G9">
        <f t="shared" ref="G9:G10" si="0">E9/$D$6</f>
        <v>0.3125</v>
      </c>
      <c r="I9" t="s">
        <v>249</v>
      </c>
      <c r="J9" s="22">
        <v>1</v>
      </c>
      <c r="K9" t="s">
        <v>243</v>
      </c>
      <c r="L9">
        <v>0</v>
      </c>
      <c r="M9">
        <f>L9*VLOOKUP(K9,$C$2:$D$4,2,FALSE)</f>
        <v>0</v>
      </c>
      <c r="N9">
        <f>M9/$E$7</f>
        <v>0</v>
      </c>
      <c r="O9">
        <f t="shared" ref="O9:O10" si="1">M9/$D$6</f>
        <v>0</v>
      </c>
      <c r="P9" t="s">
        <v>250</v>
      </c>
      <c r="Q9" t="s">
        <v>251</v>
      </c>
      <c r="R9" s="22">
        <v>1</v>
      </c>
      <c r="S9" t="s">
        <v>243</v>
      </c>
      <c r="U9">
        <f>T9*VLOOKUP(S9,$C$2:$D$4,2,FALSE)</f>
        <v>0</v>
      </c>
      <c r="V9">
        <f>U9/$E$7</f>
        <v>0</v>
      </c>
      <c r="W9">
        <f t="shared" ref="W9:W10" si="2">U9/$D$6</f>
        <v>0</v>
      </c>
      <c r="X9" t="s">
        <v>252</v>
      </c>
    </row>
    <row r="10" spans="1:24" x14ac:dyDescent="0.25">
      <c r="B10" s="22"/>
      <c r="C10" t="s">
        <v>244</v>
      </c>
      <c r="D10">
        <v>5</v>
      </c>
      <c r="E10">
        <f t="shared" ref="E10:E11" si="3">D10*VLOOKUP(C10,$C$2:$D$4,2,FALSE)</f>
        <v>1500</v>
      </c>
      <c r="F10">
        <f>E10/$E$7</f>
        <v>2.5</v>
      </c>
      <c r="G10">
        <f t="shared" si="0"/>
        <v>3.125</v>
      </c>
      <c r="J10" s="22"/>
      <c r="K10" t="s">
        <v>244</v>
      </c>
      <c r="L10">
        <v>0</v>
      </c>
      <c r="M10">
        <f t="shared" ref="M10:M11" si="4">L10*VLOOKUP(K10,$C$2:$D$4,2,FALSE)</f>
        <v>0</v>
      </c>
      <c r="N10">
        <f>M10/$E$7</f>
        <v>0</v>
      </c>
      <c r="O10">
        <f t="shared" si="1"/>
        <v>0</v>
      </c>
      <c r="R10" s="22"/>
      <c r="S10" t="s">
        <v>244</v>
      </c>
      <c r="T10">
        <v>2</v>
      </c>
      <c r="U10">
        <f t="shared" ref="U10:U11" si="5">T10*VLOOKUP(S10,$C$2:$D$4,2,FALSE)</f>
        <v>600</v>
      </c>
      <c r="V10">
        <f>U10/$E$7</f>
        <v>1</v>
      </c>
      <c r="W10">
        <f t="shared" si="2"/>
        <v>1.25</v>
      </c>
    </row>
    <row r="11" spans="1:24" x14ac:dyDescent="0.25">
      <c r="B11" s="22"/>
      <c r="C11" t="s">
        <v>245</v>
      </c>
      <c r="D11">
        <v>4</v>
      </c>
      <c r="E11">
        <f t="shared" si="3"/>
        <v>1920</v>
      </c>
      <c r="F11">
        <f>E11/$E$7</f>
        <v>3.2</v>
      </c>
      <c r="G11">
        <f>E11/$D$6</f>
        <v>4</v>
      </c>
      <c r="J11" s="22"/>
      <c r="K11" t="s">
        <v>245</v>
      </c>
      <c r="L11">
        <v>9</v>
      </c>
      <c r="M11">
        <f t="shared" si="4"/>
        <v>4320</v>
      </c>
      <c r="N11">
        <f>M11/$E$7</f>
        <v>7.2</v>
      </c>
      <c r="O11">
        <f>M11/$D$6</f>
        <v>9</v>
      </c>
      <c r="R11" s="22"/>
      <c r="S11" t="s">
        <v>245</v>
      </c>
      <c r="T11">
        <v>5</v>
      </c>
      <c r="U11">
        <f t="shared" si="5"/>
        <v>2400</v>
      </c>
      <c r="V11">
        <f>U11/$E$7</f>
        <v>4</v>
      </c>
      <c r="W11">
        <f>U11/$D$6</f>
        <v>5</v>
      </c>
    </row>
    <row r="12" spans="1:24" x14ac:dyDescent="0.25">
      <c r="B12" s="22"/>
      <c r="C12" t="s">
        <v>253</v>
      </c>
      <c r="E12">
        <f>SUM(E9:E11)</f>
        <v>3570</v>
      </c>
      <c r="F12">
        <f>SUM(F9:F11)</f>
        <v>5.95</v>
      </c>
      <c r="G12">
        <f>SUM(G9:G11)</f>
        <v>7.4375</v>
      </c>
      <c r="J12" s="22"/>
      <c r="K12" t="s">
        <v>253</v>
      </c>
      <c r="M12">
        <f>SUM(M9:M11)</f>
        <v>4320</v>
      </c>
      <c r="N12">
        <f>SUM(N9:N11)</f>
        <v>7.2</v>
      </c>
      <c r="O12">
        <f>SUM(O9:O11)</f>
        <v>9</v>
      </c>
      <c r="R12" s="22"/>
      <c r="S12" t="s">
        <v>253</v>
      </c>
      <c r="U12">
        <f>SUM(U9:U11)</f>
        <v>3000</v>
      </c>
      <c r="V12">
        <f>SUM(V9:V11)</f>
        <v>5</v>
      </c>
      <c r="W12">
        <f>SUM(W9:W11)</f>
        <v>6.25</v>
      </c>
    </row>
    <row r="14" spans="1:24" x14ac:dyDescent="0.25">
      <c r="A14" t="s">
        <v>248</v>
      </c>
      <c r="B14">
        <v>2</v>
      </c>
      <c r="C14" t="s">
        <v>243</v>
      </c>
      <c r="D14">
        <v>1</v>
      </c>
      <c r="E14">
        <f>D14*VLOOKUP(C14,$C$2:$D$4,2,FALSE)</f>
        <v>150</v>
      </c>
      <c r="F14">
        <f>E14/$E$7</f>
        <v>0.25</v>
      </c>
      <c r="G14">
        <f t="shared" ref="G14:G15" si="6">E14/$D$6</f>
        <v>0.3125</v>
      </c>
      <c r="I14" t="s">
        <v>249</v>
      </c>
      <c r="J14">
        <v>2</v>
      </c>
      <c r="K14" t="s">
        <v>243</v>
      </c>
      <c r="M14">
        <f>L14*VLOOKUP(K14,$C$2:$D$4,2,FALSE)</f>
        <v>0</v>
      </c>
      <c r="N14">
        <f>M14/$E$7</f>
        <v>0</v>
      </c>
      <c r="O14">
        <f t="shared" ref="O14:O15" si="7">M14/$D$6</f>
        <v>0</v>
      </c>
      <c r="P14" t="s">
        <v>254</v>
      </c>
      <c r="Q14" t="s">
        <v>251</v>
      </c>
      <c r="R14">
        <v>2</v>
      </c>
      <c r="S14" t="s">
        <v>243</v>
      </c>
      <c r="U14">
        <f>T14*VLOOKUP(S14,$C$2:$D$4,2,FALSE)</f>
        <v>0</v>
      </c>
      <c r="V14">
        <f>U14/$E$7</f>
        <v>0</v>
      </c>
      <c r="W14">
        <f t="shared" ref="W14:W15" si="8">U14/$D$6</f>
        <v>0</v>
      </c>
      <c r="X14" t="s">
        <v>255</v>
      </c>
    </row>
    <row r="15" spans="1:24" x14ac:dyDescent="0.25">
      <c r="C15" t="s">
        <v>244</v>
      </c>
      <c r="D15">
        <v>6</v>
      </c>
      <c r="E15">
        <f t="shared" ref="E15:E16" si="9">D15*VLOOKUP(C15,$C$2:$D$4,2,FALSE)</f>
        <v>1800</v>
      </c>
      <c r="F15">
        <f>E15/$E$7</f>
        <v>3</v>
      </c>
      <c r="G15">
        <f t="shared" si="6"/>
        <v>3.75</v>
      </c>
      <c r="K15" t="s">
        <v>244</v>
      </c>
      <c r="M15">
        <f t="shared" ref="M15:M16" si="10">L15*VLOOKUP(K15,$C$2:$D$4,2,FALSE)</f>
        <v>0</v>
      </c>
      <c r="N15">
        <f>M15/$E$7</f>
        <v>0</v>
      </c>
      <c r="O15">
        <f t="shared" si="7"/>
        <v>0</v>
      </c>
      <c r="S15" t="s">
        <v>244</v>
      </c>
      <c r="T15">
        <v>6</v>
      </c>
      <c r="U15">
        <f t="shared" ref="U15:U16" si="11">T15*VLOOKUP(S15,$C$2:$D$4,2,FALSE)</f>
        <v>1800</v>
      </c>
      <c r="V15">
        <f>U15/$E$7</f>
        <v>3</v>
      </c>
      <c r="W15">
        <f t="shared" si="8"/>
        <v>3.75</v>
      </c>
    </row>
    <row r="16" spans="1:24" x14ac:dyDescent="0.25">
      <c r="C16" t="s">
        <v>245</v>
      </c>
      <c r="D16">
        <v>4</v>
      </c>
      <c r="E16">
        <f t="shared" si="9"/>
        <v>1920</v>
      </c>
      <c r="F16">
        <f>E16/$E$7</f>
        <v>3.2</v>
      </c>
      <c r="G16">
        <f>E16/$D$6</f>
        <v>4</v>
      </c>
      <c r="K16" t="s">
        <v>245</v>
      </c>
      <c r="L16">
        <v>10</v>
      </c>
      <c r="M16">
        <f t="shared" si="10"/>
        <v>4800</v>
      </c>
      <c r="N16">
        <f>M16/$E$7</f>
        <v>8</v>
      </c>
      <c r="O16">
        <f>M16/$D$6</f>
        <v>10</v>
      </c>
      <c r="S16" t="s">
        <v>245</v>
      </c>
      <c r="T16">
        <v>3</v>
      </c>
      <c r="U16">
        <f t="shared" si="11"/>
        <v>1440</v>
      </c>
      <c r="V16">
        <f>U16/$E$7</f>
        <v>2.4</v>
      </c>
      <c r="W16">
        <f>U16/$D$6</f>
        <v>3</v>
      </c>
    </row>
    <row r="17" spans="1:23" x14ac:dyDescent="0.25">
      <c r="C17" t="s">
        <v>253</v>
      </c>
      <c r="E17">
        <f>SUM(E14:E16)</f>
        <v>3870</v>
      </c>
      <c r="F17">
        <f>SUM(F14:F16)</f>
        <v>6.45</v>
      </c>
      <c r="G17">
        <f>SUM(G14:G16)</f>
        <v>8.0625</v>
      </c>
      <c r="K17" t="s">
        <v>253</v>
      </c>
      <c r="M17">
        <f>SUM(M14:M16)</f>
        <v>4800</v>
      </c>
      <c r="N17">
        <f>SUM(N14:N16)</f>
        <v>8</v>
      </c>
      <c r="O17">
        <f>SUM(O14:O16)</f>
        <v>10</v>
      </c>
      <c r="S17" t="s">
        <v>253</v>
      </c>
      <c r="U17">
        <f>SUM(U14:U16)</f>
        <v>3240</v>
      </c>
      <c r="V17">
        <f>SUM(V14:V16)</f>
        <v>5.4</v>
      </c>
      <c r="W17">
        <f>SUM(W14:W16)</f>
        <v>6.75</v>
      </c>
    </row>
    <row r="19" spans="1:23" x14ac:dyDescent="0.25">
      <c r="A19" t="s">
        <v>248</v>
      </c>
      <c r="B19">
        <v>3</v>
      </c>
      <c r="C19" t="s">
        <v>243</v>
      </c>
      <c r="D19">
        <v>4</v>
      </c>
      <c r="E19">
        <f>D19*VLOOKUP(C19,$C$2:$D$4,2,FALSE)</f>
        <v>600</v>
      </c>
      <c r="F19">
        <f>E19/$E$7</f>
        <v>1</v>
      </c>
      <c r="G19">
        <f t="shared" ref="G19:G20" si="12">E19/$D$6</f>
        <v>1.25</v>
      </c>
      <c r="I19" t="s">
        <v>249</v>
      </c>
      <c r="J19">
        <v>3</v>
      </c>
      <c r="K19" t="s">
        <v>243</v>
      </c>
      <c r="L19">
        <v>0</v>
      </c>
      <c r="M19">
        <f>L19*VLOOKUP(K19,$C$2:$D$4,2,FALSE)</f>
        <v>0</v>
      </c>
      <c r="N19">
        <f>M19/$E$7</f>
        <v>0</v>
      </c>
      <c r="O19">
        <f t="shared" ref="O19:O20" si="13">M19/$D$6</f>
        <v>0</v>
      </c>
      <c r="P19" t="s">
        <v>255</v>
      </c>
    </row>
    <row r="20" spans="1:23" x14ac:dyDescent="0.25">
      <c r="C20" t="s">
        <v>244</v>
      </c>
      <c r="D20">
        <v>9</v>
      </c>
      <c r="E20">
        <f t="shared" ref="E20:E21" si="14">D20*VLOOKUP(C20,$C$2:$D$4,2,FALSE)</f>
        <v>2700</v>
      </c>
      <c r="F20">
        <f>E20/$E$7</f>
        <v>4.5</v>
      </c>
      <c r="G20">
        <f t="shared" si="12"/>
        <v>5.625</v>
      </c>
      <c r="K20" t="s">
        <v>244</v>
      </c>
      <c r="L20">
        <v>0</v>
      </c>
      <c r="M20">
        <f t="shared" ref="M20:M21" si="15">L20*VLOOKUP(K20,$C$2:$D$4,2,FALSE)</f>
        <v>0</v>
      </c>
      <c r="N20">
        <f>M20/$E$7</f>
        <v>0</v>
      </c>
      <c r="O20">
        <f t="shared" si="13"/>
        <v>0</v>
      </c>
    </row>
    <row r="21" spans="1:23" x14ac:dyDescent="0.25">
      <c r="C21" t="s">
        <v>245</v>
      </c>
      <c r="D21">
        <v>3</v>
      </c>
      <c r="E21">
        <f t="shared" si="14"/>
        <v>1440</v>
      </c>
      <c r="F21">
        <f>E21/$E$7</f>
        <v>2.4</v>
      </c>
      <c r="G21">
        <f>E21/$D$6</f>
        <v>3</v>
      </c>
      <c r="K21" t="s">
        <v>245</v>
      </c>
      <c r="L21">
        <v>8</v>
      </c>
      <c r="M21">
        <f t="shared" si="15"/>
        <v>3840</v>
      </c>
      <c r="N21">
        <f>M21/$E$7</f>
        <v>6.4</v>
      </c>
      <c r="O21">
        <f>M21/$D$6</f>
        <v>8</v>
      </c>
    </row>
    <row r="22" spans="1:23" x14ac:dyDescent="0.25">
      <c r="C22" t="s">
        <v>253</v>
      </c>
      <c r="E22">
        <f>SUM(E19:E21)</f>
        <v>4740</v>
      </c>
      <c r="F22">
        <f>SUM(F19:F21)</f>
        <v>7.9</v>
      </c>
      <c r="G22">
        <f>SUM(G19:G21)</f>
        <v>9.875</v>
      </c>
      <c r="K22" t="s">
        <v>253</v>
      </c>
      <c r="M22">
        <f>SUM(M19:M21)</f>
        <v>3840</v>
      </c>
      <c r="N22">
        <f>SUM(N19:N21)</f>
        <v>6.4</v>
      </c>
      <c r="O22">
        <f>SUM(O19:O21)</f>
        <v>8</v>
      </c>
    </row>
    <row r="24" spans="1:23" x14ac:dyDescent="0.25">
      <c r="A24" t="s">
        <v>248</v>
      </c>
      <c r="B24">
        <v>4</v>
      </c>
      <c r="C24" t="s">
        <v>243</v>
      </c>
      <c r="D24">
        <v>4</v>
      </c>
      <c r="E24">
        <f>D24*VLOOKUP(C24,$C$2:$D$4,2,FALSE)</f>
        <v>600</v>
      </c>
      <c r="F24">
        <f>E24/$E$7</f>
        <v>1</v>
      </c>
      <c r="G24">
        <f t="shared" ref="G24:G25" si="16">E24/$D$6</f>
        <v>1.25</v>
      </c>
      <c r="I24" t="s">
        <v>249</v>
      </c>
      <c r="J24">
        <v>4</v>
      </c>
      <c r="K24" t="s">
        <v>243</v>
      </c>
      <c r="M24">
        <f>L24*VLOOKUP(K24,$C$2:$D$4,2,FALSE)</f>
        <v>0</v>
      </c>
      <c r="N24">
        <f>M24/$E$7</f>
        <v>0</v>
      </c>
      <c r="O24">
        <f t="shared" ref="O24:O25" si="17">M24/$D$6</f>
        <v>0</v>
      </c>
      <c r="P24" t="s">
        <v>256</v>
      </c>
    </row>
    <row r="25" spans="1:23" x14ac:dyDescent="0.25">
      <c r="C25" t="s">
        <v>244</v>
      </c>
      <c r="D25">
        <v>7</v>
      </c>
      <c r="E25">
        <f t="shared" ref="E25:E26" si="18">D25*VLOOKUP(C25,$C$2:$D$4,2,FALSE)</f>
        <v>2100</v>
      </c>
      <c r="F25">
        <f>E25/$E$7</f>
        <v>3.5</v>
      </c>
      <c r="G25">
        <f t="shared" si="16"/>
        <v>4.375</v>
      </c>
      <c r="K25" t="s">
        <v>244</v>
      </c>
      <c r="L25">
        <v>6</v>
      </c>
      <c r="M25">
        <f t="shared" ref="M25:M26" si="19">L25*VLOOKUP(K25,$C$2:$D$4,2,FALSE)</f>
        <v>1800</v>
      </c>
      <c r="N25">
        <f>M25/$E$7</f>
        <v>3</v>
      </c>
      <c r="O25">
        <f t="shared" si="17"/>
        <v>3.75</v>
      </c>
    </row>
    <row r="26" spans="1:23" x14ac:dyDescent="0.25">
      <c r="C26" t="s">
        <v>245</v>
      </c>
      <c r="D26">
        <v>1</v>
      </c>
      <c r="E26">
        <f t="shared" si="18"/>
        <v>480</v>
      </c>
      <c r="F26">
        <f>E26/$E$7</f>
        <v>0.8</v>
      </c>
      <c r="G26">
        <f>E26/$D$6</f>
        <v>1</v>
      </c>
      <c r="K26" t="s">
        <v>245</v>
      </c>
      <c r="L26">
        <v>6</v>
      </c>
      <c r="M26">
        <f t="shared" si="19"/>
        <v>2880</v>
      </c>
      <c r="N26">
        <f>M26/$E$7</f>
        <v>4.8</v>
      </c>
      <c r="O26">
        <f>M26/$D$6</f>
        <v>6</v>
      </c>
    </row>
    <row r="27" spans="1:23" x14ac:dyDescent="0.25">
      <c r="C27" t="s">
        <v>253</v>
      </c>
      <c r="E27">
        <f>SUM(E24:E26)</f>
        <v>3180</v>
      </c>
      <c r="F27">
        <f>SUM(F24:F26)</f>
        <v>5.3</v>
      </c>
      <c r="G27">
        <f>SUM(G24:G26)</f>
        <v>6.625</v>
      </c>
      <c r="K27" t="s">
        <v>253</v>
      </c>
      <c r="M27">
        <f>SUM(M24:M26)</f>
        <v>4680</v>
      </c>
      <c r="N27">
        <f>SUM(N24:N26)</f>
        <v>7.8</v>
      </c>
      <c r="O27">
        <f>SUM(O24:O26)</f>
        <v>9.75</v>
      </c>
    </row>
    <row r="29" spans="1:23" x14ac:dyDescent="0.25">
      <c r="I29" t="s">
        <v>249</v>
      </c>
      <c r="J29">
        <v>5</v>
      </c>
      <c r="K29" t="s">
        <v>243</v>
      </c>
      <c r="M29">
        <f>L29*VLOOKUP(K29,$C$2:$D$4,2,FALSE)</f>
        <v>0</v>
      </c>
      <c r="N29">
        <f>M29/$E$7</f>
        <v>0</v>
      </c>
      <c r="O29">
        <f t="shared" ref="O29:O30" si="20">M29/$D$6</f>
        <v>0</v>
      </c>
      <c r="P29" t="s">
        <v>257</v>
      </c>
    </row>
    <row r="30" spans="1:23" x14ac:dyDescent="0.25">
      <c r="K30" t="s">
        <v>244</v>
      </c>
      <c r="L30">
        <v>5</v>
      </c>
      <c r="M30">
        <f t="shared" ref="M30:M31" si="21">L30*VLOOKUP(K30,$C$2:$D$4,2,FALSE)</f>
        <v>1500</v>
      </c>
      <c r="N30">
        <f>M30/$E$7</f>
        <v>2.5</v>
      </c>
      <c r="O30">
        <f t="shared" si="20"/>
        <v>3.125</v>
      </c>
    </row>
    <row r="31" spans="1:23" x14ac:dyDescent="0.25">
      <c r="K31" t="s">
        <v>245</v>
      </c>
      <c r="L31">
        <v>6</v>
      </c>
      <c r="M31">
        <f t="shared" si="21"/>
        <v>2880</v>
      </c>
      <c r="N31">
        <f>M31/$E$7</f>
        <v>4.8</v>
      </c>
      <c r="O31">
        <f>M31/$D$6</f>
        <v>6</v>
      </c>
    </row>
    <row r="32" spans="1:23" x14ac:dyDescent="0.25">
      <c r="K32" t="s">
        <v>253</v>
      </c>
      <c r="M32">
        <f>SUM(M29:M31)</f>
        <v>4380</v>
      </c>
      <c r="N32">
        <f>SUM(N29:N31)</f>
        <v>7.3</v>
      </c>
      <c r="O32">
        <f>SUM(O29:O31)</f>
        <v>9.125</v>
      </c>
    </row>
    <row r="34" spans="9:16" x14ac:dyDescent="0.25">
      <c r="I34" t="s">
        <v>249</v>
      </c>
      <c r="J34">
        <v>6</v>
      </c>
      <c r="K34" t="s">
        <v>243</v>
      </c>
      <c r="L34">
        <v>0</v>
      </c>
      <c r="M34">
        <f>L34*VLOOKUP(K34,$C$2:$D$4,2,FALSE)</f>
        <v>0</v>
      </c>
      <c r="N34">
        <f>M34/$E$7</f>
        <v>0</v>
      </c>
      <c r="O34">
        <f t="shared" ref="O34:O35" si="22">M34/$D$6</f>
        <v>0</v>
      </c>
      <c r="P34" t="s">
        <v>252</v>
      </c>
    </row>
    <row r="35" spans="9:16" x14ac:dyDescent="0.25">
      <c r="K35" t="s">
        <v>244</v>
      </c>
      <c r="L35">
        <v>9</v>
      </c>
      <c r="M35">
        <f t="shared" ref="M35:M36" si="23">L35*VLOOKUP(K35,$C$2:$D$4,2,FALSE)</f>
        <v>2700</v>
      </c>
      <c r="N35">
        <f>M35/$E$7</f>
        <v>4.5</v>
      </c>
      <c r="O35">
        <f t="shared" si="22"/>
        <v>5.625</v>
      </c>
    </row>
    <row r="36" spans="9:16" x14ac:dyDescent="0.25">
      <c r="K36" t="s">
        <v>245</v>
      </c>
      <c r="L36">
        <v>4</v>
      </c>
      <c r="M36">
        <f t="shared" si="23"/>
        <v>1920</v>
      </c>
      <c r="N36">
        <f>M36/$E$7</f>
        <v>3.2</v>
      </c>
      <c r="O36">
        <f>M36/$D$6</f>
        <v>4</v>
      </c>
    </row>
    <row r="37" spans="9:16" x14ac:dyDescent="0.25">
      <c r="K37" t="s">
        <v>253</v>
      </c>
      <c r="M37">
        <f>SUM(M34:M36)</f>
        <v>4620</v>
      </c>
      <c r="N37">
        <f>SUM(N34:N36)</f>
        <v>7.7</v>
      </c>
      <c r="O37">
        <f>SUM(O34:O36)</f>
        <v>9.625</v>
      </c>
    </row>
    <row r="39" spans="9:16" x14ac:dyDescent="0.25">
      <c r="I39" t="s">
        <v>249</v>
      </c>
      <c r="J39">
        <v>7</v>
      </c>
      <c r="K39" t="s">
        <v>243</v>
      </c>
      <c r="M39">
        <f>L39*VLOOKUP(K39,$C$2:$D$4,2,FALSE)</f>
        <v>0</v>
      </c>
      <c r="N39">
        <f>M39/$E$7</f>
        <v>0</v>
      </c>
      <c r="O39">
        <f t="shared" ref="O39:O40" si="24">M39/$D$6</f>
        <v>0</v>
      </c>
      <c r="P39" t="s">
        <v>258</v>
      </c>
    </row>
    <row r="40" spans="9:16" x14ac:dyDescent="0.25">
      <c r="K40" t="s">
        <v>244</v>
      </c>
      <c r="L40">
        <v>11</v>
      </c>
      <c r="M40">
        <f t="shared" ref="M40:M41" si="25">L40*VLOOKUP(K40,$C$2:$D$4,2,FALSE)</f>
        <v>3300</v>
      </c>
      <c r="N40">
        <f>M40/$E$7</f>
        <v>5.5</v>
      </c>
      <c r="O40">
        <f t="shared" si="24"/>
        <v>6.875</v>
      </c>
    </row>
    <row r="41" spans="9:16" x14ac:dyDescent="0.25">
      <c r="K41" t="s">
        <v>245</v>
      </c>
      <c r="L41">
        <v>3</v>
      </c>
      <c r="M41">
        <f t="shared" si="25"/>
        <v>1440</v>
      </c>
      <c r="N41">
        <f>M41/$E$7</f>
        <v>2.4</v>
      </c>
      <c r="O41">
        <f>M41/$D$6</f>
        <v>3</v>
      </c>
    </row>
    <row r="42" spans="9:16" x14ac:dyDescent="0.25">
      <c r="K42" t="s">
        <v>253</v>
      </c>
      <c r="M42">
        <f>SUM(M39:M41)</f>
        <v>4740</v>
      </c>
      <c r="N42">
        <f>SUM(N39:N41)</f>
        <v>7.9</v>
      </c>
      <c r="O42">
        <f>SUM(O39:O41)</f>
        <v>9.875</v>
      </c>
    </row>
    <row r="44" spans="9:16" x14ac:dyDescent="0.25">
      <c r="I44" t="s">
        <v>249</v>
      </c>
      <c r="J44">
        <v>8</v>
      </c>
      <c r="K44" t="s">
        <v>243</v>
      </c>
      <c r="L44">
        <v>14</v>
      </c>
      <c r="M44">
        <f>L44*VLOOKUP(K44,$C$2:$D$4,2,FALSE)</f>
        <v>2100</v>
      </c>
      <c r="N44">
        <f>M44/$E$7</f>
        <v>3.5</v>
      </c>
      <c r="O44">
        <f t="shared" ref="O44:O45" si="26">M44/$D$6</f>
        <v>4.375</v>
      </c>
      <c r="P44" t="s">
        <v>259</v>
      </c>
    </row>
    <row r="45" spans="9:16" x14ac:dyDescent="0.25">
      <c r="K45" t="s">
        <v>244</v>
      </c>
      <c r="L45">
        <v>9</v>
      </c>
      <c r="M45">
        <f t="shared" ref="M45:M46" si="27">L45*VLOOKUP(K45,$C$2:$D$4,2,FALSE)</f>
        <v>2700</v>
      </c>
      <c r="N45">
        <f>M45/$E$7</f>
        <v>4.5</v>
      </c>
      <c r="O45">
        <f t="shared" si="26"/>
        <v>5.625</v>
      </c>
    </row>
    <row r="46" spans="9:16" x14ac:dyDescent="0.25">
      <c r="K46" t="s">
        <v>245</v>
      </c>
      <c r="M46">
        <f t="shared" si="27"/>
        <v>0</v>
      </c>
      <c r="N46">
        <f>M46/$E$7</f>
        <v>0</v>
      </c>
      <c r="O46">
        <f>M46/$D$6</f>
        <v>0</v>
      </c>
    </row>
    <row r="47" spans="9:16" x14ac:dyDescent="0.25">
      <c r="K47" t="s">
        <v>253</v>
      </c>
      <c r="M47">
        <f>SUM(M44:M46)</f>
        <v>4800</v>
      </c>
      <c r="N47">
        <f>SUM(N44:N46)</f>
        <v>8</v>
      </c>
      <c r="O47">
        <f>SUM(O44:O46)</f>
        <v>10</v>
      </c>
    </row>
    <row r="49" spans="9:16" x14ac:dyDescent="0.25">
      <c r="I49" t="s">
        <v>249</v>
      </c>
      <c r="J49">
        <v>9</v>
      </c>
      <c r="K49" t="s">
        <v>243</v>
      </c>
      <c r="L49">
        <v>9</v>
      </c>
      <c r="M49">
        <f>L49*VLOOKUP(K49,$C$2:$D$4,2,FALSE)</f>
        <v>1350</v>
      </c>
      <c r="N49">
        <f>M49/$E$7</f>
        <v>2.25</v>
      </c>
      <c r="O49">
        <f t="shared" ref="O49:O50" si="28">M49/$D$6</f>
        <v>2.8125</v>
      </c>
      <c r="P49" t="s">
        <v>260</v>
      </c>
    </row>
    <row r="50" spans="9:16" x14ac:dyDescent="0.25">
      <c r="K50" t="s">
        <v>244</v>
      </c>
      <c r="L50">
        <v>1</v>
      </c>
      <c r="M50">
        <f t="shared" ref="M50:M51" si="29">L50*VLOOKUP(K50,$C$2:$D$4,2,FALSE)</f>
        <v>300</v>
      </c>
      <c r="N50">
        <f>M50/$E$7</f>
        <v>0.5</v>
      </c>
      <c r="O50">
        <f t="shared" si="28"/>
        <v>0.625</v>
      </c>
    </row>
    <row r="51" spans="9:16" x14ac:dyDescent="0.25">
      <c r="K51" t="s">
        <v>245</v>
      </c>
      <c r="M51">
        <f t="shared" si="29"/>
        <v>0</v>
      </c>
      <c r="N51">
        <f>M51/$E$7</f>
        <v>0</v>
      </c>
      <c r="O51">
        <f>M51/$D$6</f>
        <v>0</v>
      </c>
    </row>
    <row r="52" spans="9:16" x14ac:dyDescent="0.25">
      <c r="K52" t="s">
        <v>253</v>
      </c>
      <c r="M52">
        <f>SUM(M49:M51)</f>
        <v>1650</v>
      </c>
      <c r="N52">
        <f>SUM(N49:N51)</f>
        <v>2.75</v>
      </c>
      <c r="O52">
        <f>SUM(O49:O51)</f>
        <v>3.4375</v>
      </c>
    </row>
    <row r="54" spans="9:16" x14ac:dyDescent="0.25">
      <c r="I54" t="s">
        <v>249</v>
      </c>
      <c r="J54">
        <v>10</v>
      </c>
      <c r="K54" t="s">
        <v>243</v>
      </c>
      <c r="L54">
        <v>10</v>
      </c>
      <c r="M54">
        <f>L54*VLOOKUP(K54,$C$2:$D$4,2,FALSE)</f>
        <v>1500</v>
      </c>
      <c r="N54">
        <f>M54/$E$7</f>
        <v>2.5</v>
      </c>
      <c r="O54">
        <f t="shared" ref="O54:O55" si="30">M54/$D$6</f>
        <v>3.125</v>
      </c>
      <c r="P54" t="s">
        <v>261</v>
      </c>
    </row>
    <row r="55" spans="9:16" x14ac:dyDescent="0.25">
      <c r="K55" t="s">
        <v>244</v>
      </c>
      <c r="M55">
        <f t="shared" ref="M55:M56" si="31">L55*VLOOKUP(K55,$C$2:$D$4,2,FALSE)</f>
        <v>0</v>
      </c>
      <c r="N55">
        <f>M55/$E$7</f>
        <v>0</v>
      </c>
      <c r="O55">
        <f t="shared" si="30"/>
        <v>0</v>
      </c>
    </row>
    <row r="56" spans="9:16" x14ac:dyDescent="0.25">
      <c r="K56" t="s">
        <v>245</v>
      </c>
      <c r="M56">
        <f t="shared" si="31"/>
        <v>0</v>
      </c>
      <c r="N56">
        <f>M56/$E$7</f>
        <v>0</v>
      </c>
      <c r="O56">
        <f>M56/$D$6</f>
        <v>0</v>
      </c>
    </row>
    <row r="57" spans="9:16" x14ac:dyDescent="0.25">
      <c r="K57" t="s">
        <v>253</v>
      </c>
      <c r="M57">
        <f>SUM(M54:M56)</f>
        <v>1500</v>
      </c>
      <c r="N57">
        <f>SUM(N54:N56)</f>
        <v>2.5</v>
      </c>
      <c r="O57">
        <f>SUM(O54:O56)</f>
        <v>3.125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0C18-C5D0-40D8-A665-95F3771BA6C9}">
  <dimension ref="A1:T81"/>
  <sheetViews>
    <sheetView workbookViewId="0"/>
  </sheetViews>
  <sheetFormatPr baseColWidth="10" defaultColWidth="11.42578125" defaultRowHeight="15" x14ac:dyDescent="0.25"/>
  <cols>
    <col min="2" max="2" width="16" customWidth="1"/>
    <col min="7" max="7" width="17" customWidth="1"/>
    <col min="9" max="9" width="14.140625" customWidth="1"/>
    <col min="11" max="11" width="17.28515625" customWidth="1"/>
  </cols>
  <sheetData>
    <row r="1" spans="1:11" x14ac:dyDescent="0.25">
      <c r="I1" t="s">
        <v>60</v>
      </c>
      <c r="J1">
        <v>-30</v>
      </c>
    </row>
    <row r="2" spans="1:11" x14ac:dyDescent="0.25">
      <c r="A2" t="s">
        <v>262</v>
      </c>
      <c r="I2" t="s">
        <v>167</v>
      </c>
      <c r="J2">
        <v>-75</v>
      </c>
    </row>
    <row r="3" spans="1:11" x14ac:dyDescent="0.25">
      <c r="I3" t="s">
        <v>174</v>
      </c>
      <c r="J3">
        <v>375</v>
      </c>
    </row>
    <row r="4" spans="1:11" x14ac:dyDescent="0.25">
      <c r="B4" t="s">
        <v>82</v>
      </c>
      <c r="C4">
        <v>8</v>
      </c>
      <c r="I4" t="s">
        <v>263</v>
      </c>
      <c r="J4">
        <v>-20</v>
      </c>
      <c r="K4">
        <v>120</v>
      </c>
    </row>
    <row r="5" spans="1:11" x14ac:dyDescent="0.25">
      <c r="B5" t="s">
        <v>72</v>
      </c>
      <c r="C5">
        <v>156</v>
      </c>
      <c r="I5" t="s">
        <v>264</v>
      </c>
      <c r="J5">
        <v>-40</v>
      </c>
      <c r="K5">
        <v>120</v>
      </c>
    </row>
    <row r="6" spans="1:11" x14ac:dyDescent="0.25">
      <c r="B6" t="s">
        <v>265</v>
      </c>
      <c r="C6">
        <v>5</v>
      </c>
      <c r="I6" t="s">
        <v>266</v>
      </c>
      <c r="J6">
        <v>-30</v>
      </c>
    </row>
    <row r="7" spans="1:11" x14ac:dyDescent="0.25">
      <c r="B7" t="s">
        <v>267</v>
      </c>
      <c r="C7" s="48">
        <v>7500</v>
      </c>
    </row>
    <row r="8" spans="1:11" x14ac:dyDescent="0.25">
      <c r="B8" t="s">
        <v>268</v>
      </c>
      <c r="C8">
        <v>3</v>
      </c>
    </row>
    <row r="12" spans="1:11" x14ac:dyDescent="0.25">
      <c r="C12">
        <v>375</v>
      </c>
      <c r="D12" t="s">
        <v>267</v>
      </c>
      <c r="G12" t="s">
        <v>174</v>
      </c>
      <c r="H12">
        <f>$C$7/C12</f>
        <v>20</v>
      </c>
      <c r="I12">
        <f>VLOOKUP(G12,$I$1:$J$8,2,FALSE)*H12</f>
        <v>7500</v>
      </c>
      <c r="J12">
        <v>30</v>
      </c>
      <c r="K12" t="s">
        <v>157</v>
      </c>
    </row>
    <row r="13" spans="1:11" x14ac:dyDescent="0.25">
      <c r="J13">
        <f>H12*J12</f>
        <v>600</v>
      </c>
    </row>
    <row r="14" spans="1:11" x14ac:dyDescent="0.25">
      <c r="C14" t="s">
        <v>269</v>
      </c>
      <c r="I14" s="50">
        <f>C7+SUM(I15:I23)</f>
        <v>5202</v>
      </c>
    </row>
    <row r="15" spans="1:11" x14ac:dyDescent="0.25">
      <c r="C15">
        <v>40</v>
      </c>
      <c r="D15" t="s">
        <v>157</v>
      </c>
      <c r="G15" t="s">
        <v>60</v>
      </c>
      <c r="H15">
        <f>C16/C15</f>
        <v>15</v>
      </c>
      <c r="I15">
        <f>VLOOKUP(G15,$I$1:$J$8,2,FALSE)*H15</f>
        <v>-450</v>
      </c>
      <c r="J15">
        <v>60</v>
      </c>
      <c r="K15" t="s">
        <v>270</v>
      </c>
    </row>
    <row r="16" spans="1:11" x14ac:dyDescent="0.25">
      <c r="C16">
        <f>J13</f>
        <v>600</v>
      </c>
      <c r="J16">
        <f>H15*J15</f>
        <v>900</v>
      </c>
    </row>
    <row r="17" spans="3:20" x14ac:dyDescent="0.25">
      <c r="C17">
        <f>J16</f>
        <v>900</v>
      </c>
      <c r="D17" t="s">
        <v>270</v>
      </c>
    </row>
    <row r="19" spans="3:20" x14ac:dyDescent="0.25">
      <c r="C19">
        <v>20</v>
      </c>
      <c r="D19" t="s">
        <v>72</v>
      </c>
      <c r="E19">
        <v>20</v>
      </c>
      <c r="F19" t="s">
        <v>270</v>
      </c>
      <c r="G19" t="s">
        <v>60</v>
      </c>
      <c r="H19" s="3">
        <f>E20/E19</f>
        <v>43.875</v>
      </c>
      <c r="I19" s="3">
        <f>VLOOKUP(G19,$I$1:$J$8,2,FALSE)*H19</f>
        <v>-1316.25</v>
      </c>
      <c r="J19">
        <v>30</v>
      </c>
      <c r="K19" t="s">
        <v>29</v>
      </c>
      <c r="Q19">
        <f>C19/E19</f>
        <v>1</v>
      </c>
      <c r="R19">
        <f>$C$5</f>
        <v>156</v>
      </c>
      <c r="S19">
        <f>R19/Q19</f>
        <v>156</v>
      </c>
      <c r="T19" s="15">
        <f>S19/SUM($S$19:$S$23)</f>
        <v>0.97499999999999998</v>
      </c>
    </row>
    <row r="20" spans="3:20" x14ac:dyDescent="0.25">
      <c r="C20" s="3">
        <f>H19*C19</f>
        <v>877.5</v>
      </c>
      <c r="E20">
        <f>C17*T19</f>
        <v>877.5</v>
      </c>
      <c r="I20" s="3"/>
      <c r="J20" s="3">
        <f>H19*J19</f>
        <v>1316.25</v>
      </c>
      <c r="T20" s="15"/>
    </row>
    <row r="21" spans="3:20" x14ac:dyDescent="0.25">
      <c r="C21">
        <v>20</v>
      </c>
      <c r="D21" t="s">
        <v>82</v>
      </c>
      <c r="E21">
        <v>10</v>
      </c>
      <c r="F21" t="s">
        <v>270</v>
      </c>
      <c r="G21" t="s">
        <v>60</v>
      </c>
      <c r="H21" s="3">
        <f>E22/E21</f>
        <v>2.25</v>
      </c>
      <c r="I21" s="3">
        <f>VLOOKUP(G21,$I$1:$J$8,2,FALSE)*H21</f>
        <v>-67.5</v>
      </c>
      <c r="J21">
        <v>30</v>
      </c>
      <c r="K21" t="s">
        <v>29</v>
      </c>
      <c r="Q21">
        <f>C21/E21</f>
        <v>2</v>
      </c>
      <c r="R21">
        <f>$C$4</f>
        <v>8</v>
      </c>
      <c r="S21">
        <f>R21/Q21</f>
        <v>4</v>
      </c>
      <c r="T21" s="15">
        <f>S21/SUM($S$19:$S$23)</f>
        <v>2.5000000000000001E-2</v>
      </c>
    </row>
    <row r="22" spans="3:20" x14ac:dyDescent="0.25">
      <c r="C22" s="3">
        <f>H21*C21</f>
        <v>45</v>
      </c>
      <c r="E22">
        <f>C17*T21</f>
        <v>22.5</v>
      </c>
      <c r="G22" t="s">
        <v>264</v>
      </c>
      <c r="H22" s="3">
        <f>(J20+J22)/$K$5</f>
        <v>11.53125</v>
      </c>
      <c r="I22" s="3">
        <f>VLOOKUP(G22,$I$1:$J$8,2,FALSE)*H22</f>
        <v>-461.25</v>
      </c>
      <c r="J22" s="3">
        <f>H21*J21</f>
        <v>67.5</v>
      </c>
    </row>
    <row r="23" spans="3:20" x14ac:dyDescent="0.25">
      <c r="C23">
        <v>30</v>
      </c>
      <c r="D23" t="s">
        <v>268</v>
      </c>
      <c r="G23" t="s">
        <v>60</v>
      </c>
      <c r="H23" s="3">
        <f>C24/C23</f>
        <v>0.1</v>
      </c>
      <c r="I23" s="3">
        <f>VLOOKUP(G23,$I$1:$J$8,2,FALSE)*H23</f>
        <v>-3</v>
      </c>
      <c r="J23">
        <v>30</v>
      </c>
      <c r="K23" t="s">
        <v>271</v>
      </c>
      <c r="L23">
        <v>30</v>
      </c>
      <c r="M23" t="s">
        <v>26</v>
      </c>
    </row>
    <row r="24" spans="3:20" x14ac:dyDescent="0.25">
      <c r="C24" s="3">
        <v>3</v>
      </c>
      <c r="I24" s="3"/>
      <c r="J24" s="3">
        <f>$H$48*J23</f>
        <v>12</v>
      </c>
      <c r="L24" s="3">
        <f>$H$48*L23</f>
        <v>12</v>
      </c>
    </row>
    <row r="25" spans="3:20" x14ac:dyDescent="0.25">
      <c r="C25">
        <v>30</v>
      </c>
      <c r="D25" t="s">
        <v>271</v>
      </c>
      <c r="E25">
        <v>10</v>
      </c>
      <c r="F25" t="s">
        <v>270</v>
      </c>
      <c r="G25" t="s">
        <v>60</v>
      </c>
      <c r="H25" s="3">
        <f>C26/C25</f>
        <v>0.4</v>
      </c>
      <c r="I25" s="3">
        <f>VLOOKUP(G25,$I$1:$J$8,2,FALSE)*H25</f>
        <v>-12</v>
      </c>
      <c r="J25">
        <v>30</v>
      </c>
      <c r="K25" t="s">
        <v>271</v>
      </c>
      <c r="L25">
        <v>30</v>
      </c>
      <c r="M25" t="s">
        <v>26</v>
      </c>
    </row>
    <row r="26" spans="3:20" x14ac:dyDescent="0.25">
      <c r="C26" s="3">
        <f>J24</f>
        <v>12</v>
      </c>
      <c r="I26" s="3"/>
      <c r="J26" s="3">
        <f>$H$48*J25</f>
        <v>12</v>
      </c>
      <c r="L26" s="3">
        <f>$H$48*L25</f>
        <v>12</v>
      </c>
    </row>
    <row r="28" spans="3:20" x14ac:dyDescent="0.25">
      <c r="C28" t="s">
        <v>272</v>
      </c>
      <c r="I28" s="50">
        <f>$C$7+SUM(I29:I37)</f>
        <v>6258.0088495575219</v>
      </c>
    </row>
    <row r="29" spans="3:20" x14ac:dyDescent="0.25">
      <c r="C29">
        <v>40</v>
      </c>
      <c r="D29" t="s">
        <v>157</v>
      </c>
      <c r="E29">
        <v>30</v>
      </c>
      <c r="F29" t="s">
        <v>271</v>
      </c>
      <c r="G29" t="s">
        <v>60</v>
      </c>
      <c r="H29">
        <f>C30/C29</f>
        <v>15</v>
      </c>
      <c r="I29" s="3">
        <f>VLOOKUP(G29,$I$1:$J$8,2,FALSE)*H29</f>
        <v>-450</v>
      </c>
      <c r="J29">
        <v>60</v>
      </c>
      <c r="K29" t="s">
        <v>29</v>
      </c>
    </row>
    <row r="30" spans="3:20" x14ac:dyDescent="0.25">
      <c r="C30">
        <f>$J$13</f>
        <v>600</v>
      </c>
      <c r="E30">
        <f>E29*H29</f>
        <v>450</v>
      </c>
      <c r="G30" t="s">
        <v>264</v>
      </c>
      <c r="H30" s="3">
        <f>(J30)/$K$5</f>
        <v>7.5</v>
      </c>
      <c r="I30" s="3">
        <f>VLOOKUP(G30,$I$1:$J$8,2,FALSE)*H30</f>
        <v>-300</v>
      </c>
      <c r="J30">
        <f>H29*J29</f>
        <v>900</v>
      </c>
    </row>
    <row r="31" spans="3:20" x14ac:dyDescent="0.25">
      <c r="G31" t="s">
        <v>266</v>
      </c>
      <c r="H31">
        <v>3</v>
      </c>
      <c r="I31" s="3">
        <f>VLOOKUP(G31,$I$1:$J$8,2,FALSE)*H31</f>
        <v>-90</v>
      </c>
    </row>
    <row r="32" spans="3:20" x14ac:dyDescent="0.25">
      <c r="C32">
        <v>30</v>
      </c>
      <c r="D32" t="s">
        <v>268</v>
      </c>
      <c r="G32" t="s">
        <v>60</v>
      </c>
      <c r="H32" s="3">
        <f>J33/J32</f>
        <v>0.13274336283185842</v>
      </c>
      <c r="I32" s="3">
        <f>VLOOKUP(G32,$I$1:$J$8,2,FALSE)*H32</f>
        <v>-3.9823008849557526</v>
      </c>
      <c r="J32">
        <v>30</v>
      </c>
      <c r="K32" t="s">
        <v>271</v>
      </c>
      <c r="L32">
        <v>30</v>
      </c>
      <c r="M32" t="s">
        <v>26</v>
      </c>
      <c r="Q32">
        <f>C32/J32</f>
        <v>1</v>
      </c>
      <c r="R32">
        <f>$C$8</f>
        <v>3</v>
      </c>
      <c r="S32">
        <f>R32/Q32</f>
        <v>3</v>
      </c>
      <c r="T32" s="15">
        <f>S32/SUM($S$32:$S$36)</f>
        <v>8.8495575221238937E-3</v>
      </c>
    </row>
    <row r="33" spans="3:20" x14ac:dyDescent="0.25">
      <c r="C33" s="3">
        <f>C32*H32</f>
        <v>3.9823008849557526</v>
      </c>
      <c r="I33" s="3"/>
      <c r="J33" s="3">
        <f>$E$30*T32</f>
        <v>3.9823008849557522</v>
      </c>
      <c r="L33" s="3">
        <f>H32*L32</f>
        <v>3.9823008849557526</v>
      </c>
      <c r="T33" s="15"/>
    </row>
    <row r="34" spans="3:20" x14ac:dyDescent="0.25">
      <c r="C34">
        <v>20</v>
      </c>
      <c r="D34" t="s">
        <v>72</v>
      </c>
      <c r="G34" t="s">
        <v>60</v>
      </c>
      <c r="H34" s="3">
        <f>J35/J34</f>
        <v>10.353982300884955</v>
      </c>
      <c r="I34" s="3">
        <f>VLOOKUP(G34,$I$1:$J$8,2,FALSE)*H34</f>
        <v>-310.61946902654864</v>
      </c>
      <c r="J34">
        <v>40</v>
      </c>
      <c r="K34" t="s">
        <v>271</v>
      </c>
      <c r="L34">
        <v>40</v>
      </c>
      <c r="M34" t="s">
        <v>26</v>
      </c>
      <c r="Q34">
        <f>C34/J34</f>
        <v>0.5</v>
      </c>
      <c r="R34">
        <f>$C$5</f>
        <v>156</v>
      </c>
      <c r="S34">
        <f>R34/Q34</f>
        <v>312</v>
      </c>
      <c r="T34" s="15">
        <f>S34/SUM($S$32:$S$36)</f>
        <v>0.92035398230088494</v>
      </c>
    </row>
    <row r="35" spans="3:20" x14ac:dyDescent="0.25">
      <c r="C35" s="3">
        <f>C34*H34</f>
        <v>207.07964601769908</v>
      </c>
      <c r="I35" s="3"/>
      <c r="J35" s="3">
        <f>$E$30*T34</f>
        <v>414.15929203539821</v>
      </c>
      <c r="L35" s="3">
        <f>H34*L34</f>
        <v>414.15929203539815</v>
      </c>
      <c r="T35" s="15"/>
    </row>
    <row r="36" spans="3:20" x14ac:dyDescent="0.25">
      <c r="C36">
        <v>20</v>
      </c>
      <c r="D36" t="s">
        <v>82</v>
      </c>
      <c r="G36" t="s">
        <v>60</v>
      </c>
      <c r="H36" s="3">
        <f>J37/J36</f>
        <v>0.53097345132743368</v>
      </c>
      <c r="I36" s="3">
        <f>VLOOKUP(G36,$I$1:$J$8,2,FALSE)*H36</f>
        <v>-15.929203539823011</v>
      </c>
      <c r="J36">
        <v>60</v>
      </c>
      <c r="K36" t="s">
        <v>271</v>
      </c>
      <c r="L36">
        <v>20</v>
      </c>
      <c r="M36" t="s">
        <v>26</v>
      </c>
      <c r="Q36">
        <f>C36/J36</f>
        <v>0.33333333333333331</v>
      </c>
      <c r="R36">
        <f>$C$4</f>
        <v>8</v>
      </c>
      <c r="S36">
        <f>R36/Q36</f>
        <v>24</v>
      </c>
      <c r="T36" s="15">
        <f>S36/SUM($S$32:$S$36)</f>
        <v>7.0796460176991149E-2</v>
      </c>
    </row>
    <row r="37" spans="3:20" x14ac:dyDescent="0.25">
      <c r="C37" s="3">
        <f>C36*H36</f>
        <v>10.619469026548673</v>
      </c>
      <c r="G37" t="s">
        <v>263</v>
      </c>
      <c r="H37" s="3">
        <f>(L33+L35+L37)/$K$4</f>
        <v>3.5730088495575218</v>
      </c>
      <c r="I37" s="3">
        <f>VLOOKUP(G37,$I$1:$J$8,2,FALSE)*H37</f>
        <v>-71.460176991150433</v>
      </c>
      <c r="J37" s="3">
        <f>$E$30*T36</f>
        <v>31.858407079646017</v>
      </c>
      <c r="L37" s="3">
        <f>H36*L36</f>
        <v>10.619469026548673</v>
      </c>
    </row>
    <row r="40" spans="3:20" x14ac:dyDescent="0.25">
      <c r="C40" t="s">
        <v>272</v>
      </c>
      <c r="I40" s="50">
        <f>$C$7+SUM(I41:I49)</f>
        <v>6465</v>
      </c>
      <c r="N40" s="3"/>
    </row>
    <row r="41" spans="3:20" x14ac:dyDescent="0.25">
      <c r="C41">
        <v>40</v>
      </c>
      <c r="D41" t="s">
        <v>157</v>
      </c>
      <c r="E41">
        <v>30</v>
      </c>
      <c r="F41" t="s">
        <v>271</v>
      </c>
      <c r="G41" t="s">
        <v>60</v>
      </c>
      <c r="H41">
        <f>C42/C41</f>
        <v>15</v>
      </c>
      <c r="I41" s="3">
        <f>VLOOKUP(G41,$I$1:$J$8,2,FALSE)*H41</f>
        <v>-450</v>
      </c>
      <c r="J41">
        <v>60</v>
      </c>
      <c r="K41" t="s">
        <v>29</v>
      </c>
    </row>
    <row r="42" spans="3:20" x14ac:dyDescent="0.25">
      <c r="C42">
        <f>$J$13</f>
        <v>600</v>
      </c>
      <c r="E42">
        <f>E41*H41</f>
        <v>450</v>
      </c>
      <c r="G42" t="s">
        <v>264</v>
      </c>
      <c r="H42" s="3">
        <f>(J42)/$K$5</f>
        <v>7.5</v>
      </c>
      <c r="I42" s="3">
        <f>VLOOKUP(G42,$I$1:$J$8,2,FALSE)*H42</f>
        <v>-300</v>
      </c>
      <c r="J42">
        <f>H41*J41</f>
        <v>900</v>
      </c>
    </row>
    <row r="43" spans="3:20" x14ac:dyDescent="0.25">
      <c r="G43" t="s">
        <v>266</v>
      </c>
      <c r="H43">
        <v>1</v>
      </c>
      <c r="I43" s="3">
        <f>VLOOKUP(G43,$I$1:$J$8,2,FALSE)*H43</f>
        <v>-30</v>
      </c>
    </row>
    <row r="44" spans="3:20" x14ac:dyDescent="0.25">
      <c r="C44">
        <v>30</v>
      </c>
      <c r="D44" t="s">
        <v>268</v>
      </c>
      <c r="G44" t="s">
        <v>60</v>
      </c>
      <c r="H44" s="3">
        <f>C45/C44</f>
        <v>0.1</v>
      </c>
      <c r="I44" s="3">
        <f>VLOOKUP(G44,$I$1:$J$8,2,FALSE)*H44</f>
        <v>-3</v>
      </c>
      <c r="J44">
        <v>30</v>
      </c>
      <c r="K44" t="s">
        <v>271</v>
      </c>
      <c r="L44">
        <v>30</v>
      </c>
      <c r="M44" t="s">
        <v>26</v>
      </c>
      <c r="Q44">
        <f>C44/J44</f>
        <v>1</v>
      </c>
      <c r="R44">
        <f>$C$8</f>
        <v>3</v>
      </c>
      <c r="S44">
        <f>R44/Q44</f>
        <v>3</v>
      </c>
      <c r="T44" s="15">
        <f>S44/SUM($S$32:$S$36)</f>
        <v>8.8495575221238937E-3</v>
      </c>
    </row>
    <row r="45" spans="3:20" x14ac:dyDescent="0.25">
      <c r="C45" s="3">
        <v>3</v>
      </c>
      <c r="I45" s="3"/>
      <c r="J45" s="3">
        <f>$H$48*J44</f>
        <v>12</v>
      </c>
      <c r="L45" s="3">
        <f>$H$48*L44</f>
        <v>12</v>
      </c>
      <c r="T45" s="15"/>
    </row>
    <row r="46" spans="3:20" x14ac:dyDescent="0.25">
      <c r="C46">
        <v>20</v>
      </c>
      <c r="D46" t="s">
        <v>72</v>
      </c>
      <c r="G46" t="s">
        <v>60</v>
      </c>
      <c r="H46" s="3">
        <f>C47/C46</f>
        <v>7.8</v>
      </c>
      <c r="I46" s="3">
        <f>VLOOKUP(G46,$I$1:$J$8,2,FALSE)*H46</f>
        <v>-234</v>
      </c>
      <c r="J46">
        <v>40</v>
      </c>
      <c r="K46" t="s">
        <v>271</v>
      </c>
      <c r="L46">
        <v>40</v>
      </c>
      <c r="M46" t="s">
        <v>26</v>
      </c>
      <c r="Q46">
        <f>C46/J46</f>
        <v>0.5</v>
      </c>
      <c r="R46">
        <f>$C$5</f>
        <v>156</v>
      </c>
      <c r="S46">
        <f>R46/Q46</f>
        <v>312</v>
      </c>
      <c r="T46" s="15">
        <f>S46/SUM($S$32:$S$36)</f>
        <v>0.92035398230088494</v>
      </c>
    </row>
    <row r="47" spans="3:20" x14ac:dyDescent="0.25">
      <c r="C47" s="3">
        <v>156</v>
      </c>
      <c r="I47" s="3"/>
      <c r="J47" s="3">
        <f>$H$48*J46</f>
        <v>16</v>
      </c>
      <c r="L47" s="3">
        <f>$H$48*L46</f>
        <v>16</v>
      </c>
      <c r="T47" s="15"/>
    </row>
    <row r="48" spans="3:20" x14ac:dyDescent="0.25">
      <c r="C48">
        <v>20</v>
      </c>
      <c r="D48" t="s">
        <v>82</v>
      </c>
      <c r="G48" t="s">
        <v>60</v>
      </c>
      <c r="H48" s="3">
        <f>C49/C48</f>
        <v>0.4</v>
      </c>
      <c r="I48" s="3">
        <f>VLOOKUP(G48,$I$1:$J$8,2,FALSE)*H48</f>
        <v>-12</v>
      </c>
      <c r="J48">
        <v>60</v>
      </c>
      <c r="K48" t="s">
        <v>271</v>
      </c>
      <c r="L48">
        <v>20</v>
      </c>
      <c r="M48" t="s">
        <v>26</v>
      </c>
      <c r="Q48">
        <f>C48/J48</f>
        <v>0.33333333333333331</v>
      </c>
      <c r="R48">
        <f>$C$4</f>
        <v>8</v>
      </c>
      <c r="S48">
        <f>R48/Q48</f>
        <v>24</v>
      </c>
      <c r="T48" s="15">
        <f>S48/SUM($S$32:$S$36)</f>
        <v>7.0796460176991149E-2</v>
      </c>
    </row>
    <row r="49" spans="3:20" x14ac:dyDescent="0.25">
      <c r="C49" s="3">
        <v>8</v>
      </c>
      <c r="G49" t="s">
        <v>263</v>
      </c>
      <c r="H49" s="3">
        <f>(L45+L47+L49)/$K$4</f>
        <v>0.3</v>
      </c>
      <c r="I49" s="3">
        <f>VLOOKUP(G49,$I$1:$J$8,2,FALSE)*H49</f>
        <v>-6</v>
      </c>
      <c r="J49" s="3">
        <f>$H$48*J48</f>
        <v>24</v>
      </c>
      <c r="L49" s="3">
        <f>$H$48*L48</f>
        <v>8</v>
      </c>
    </row>
    <row r="55" spans="3:20" x14ac:dyDescent="0.25">
      <c r="C55" t="s">
        <v>273</v>
      </c>
      <c r="I55" s="50">
        <f>C7+SUM(I41:I49)</f>
        <v>6465</v>
      </c>
    </row>
    <row r="56" spans="3:20" x14ac:dyDescent="0.25">
      <c r="C56">
        <v>100</v>
      </c>
      <c r="D56" t="s">
        <v>157</v>
      </c>
      <c r="G56" t="s">
        <v>167</v>
      </c>
      <c r="H56">
        <f>C57/C56</f>
        <v>6</v>
      </c>
      <c r="I56">
        <f>VLOOKUP(G56,$I$1:$J$8,2,FALSE)*H56</f>
        <v>-450</v>
      </c>
      <c r="J56">
        <v>50</v>
      </c>
      <c r="K56" t="s">
        <v>270</v>
      </c>
      <c r="L56">
        <v>100</v>
      </c>
      <c r="M56" t="s">
        <v>26</v>
      </c>
    </row>
    <row r="57" spans="3:20" x14ac:dyDescent="0.25">
      <c r="C57">
        <f>J13</f>
        <v>600</v>
      </c>
      <c r="G57" t="s">
        <v>263</v>
      </c>
      <c r="H57">
        <f>L57/$K$4</f>
        <v>5</v>
      </c>
      <c r="I57">
        <f>VLOOKUP(G57,$I$1:$J$8,2,FALSE)*H57</f>
        <v>-100</v>
      </c>
      <c r="J57">
        <f>H56*J56</f>
        <v>300</v>
      </c>
      <c r="L57">
        <f>H56*L56</f>
        <v>600</v>
      </c>
    </row>
    <row r="58" spans="3:20" x14ac:dyDescent="0.25">
      <c r="C58">
        <f>J57</f>
        <v>300</v>
      </c>
      <c r="D58" t="s">
        <v>270</v>
      </c>
    </row>
    <row r="60" spans="3:20" x14ac:dyDescent="0.25">
      <c r="C60">
        <v>20</v>
      </c>
      <c r="D60" t="s">
        <v>72</v>
      </c>
      <c r="E60">
        <v>20</v>
      </c>
      <c r="F60" t="s">
        <v>270</v>
      </c>
      <c r="G60" t="s">
        <v>60</v>
      </c>
      <c r="H60" s="3">
        <f>E61/E60</f>
        <v>14.625</v>
      </c>
      <c r="I60" s="3">
        <f>VLOOKUP(G60,$I$1:$J$8,2,FALSE)*H60</f>
        <v>-438.75</v>
      </c>
      <c r="J60">
        <v>30</v>
      </c>
      <c r="K60" t="s">
        <v>29</v>
      </c>
      <c r="Q60">
        <f>C60/E60</f>
        <v>1</v>
      </c>
      <c r="R60">
        <f>$C$5</f>
        <v>156</v>
      </c>
      <c r="S60">
        <f>R60/Q60</f>
        <v>156</v>
      </c>
      <c r="T60" s="15">
        <f>S60/SUM($S$19:$S$23)</f>
        <v>0.97499999999999998</v>
      </c>
    </row>
    <row r="61" spans="3:20" x14ac:dyDescent="0.25">
      <c r="C61" s="3">
        <f>H60*C60</f>
        <v>292.5</v>
      </c>
      <c r="E61">
        <f>C58*T60</f>
        <v>292.5</v>
      </c>
      <c r="I61" s="3"/>
      <c r="J61" s="3">
        <f>H60*J60</f>
        <v>438.75</v>
      </c>
      <c r="T61" s="15"/>
    </row>
    <row r="62" spans="3:20" x14ac:dyDescent="0.25">
      <c r="C62">
        <v>20</v>
      </c>
      <c r="D62" t="s">
        <v>82</v>
      </c>
      <c r="E62">
        <v>10</v>
      </c>
      <c r="F62" t="s">
        <v>270</v>
      </c>
      <c r="G62" t="s">
        <v>60</v>
      </c>
      <c r="H62" s="3">
        <f>E63/E62</f>
        <v>0.75</v>
      </c>
      <c r="I62" s="3">
        <f>VLOOKUP(G62,$I$1:$J$8,2,FALSE)*H62</f>
        <v>-22.5</v>
      </c>
      <c r="J62">
        <v>30</v>
      </c>
      <c r="K62" t="s">
        <v>29</v>
      </c>
      <c r="Q62">
        <f>C62/E62</f>
        <v>2</v>
      </c>
      <c r="R62">
        <f>$C$4</f>
        <v>8</v>
      </c>
      <c r="S62">
        <f>R62/Q62</f>
        <v>4</v>
      </c>
      <c r="T62" s="15">
        <f>S62/SUM($S$19:$S$23)</f>
        <v>2.5000000000000001E-2</v>
      </c>
    </row>
    <row r="63" spans="3:20" x14ac:dyDescent="0.25">
      <c r="C63" s="3">
        <f>H62*C62</f>
        <v>15</v>
      </c>
      <c r="E63">
        <f>C58*T62</f>
        <v>7.5</v>
      </c>
      <c r="G63" t="s">
        <v>264</v>
      </c>
      <c r="H63" s="3">
        <f>(J61+J63)/$K$5</f>
        <v>3.84375</v>
      </c>
      <c r="I63" s="3">
        <f>VLOOKUP(G63,$I$1:$J$8,2,FALSE)*H63</f>
        <v>-153.75</v>
      </c>
      <c r="J63" s="3">
        <f>H62*J62</f>
        <v>22.5</v>
      </c>
    </row>
    <row r="72" spans="3:17" x14ac:dyDescent="0.25">
      <c r="C72">
        <v>375</v>
      </c>
      <c r="D72" t="s">
        <v>267</v>
      </c>
      <c r="G72" t="s">
        <v>174</v>
      </c>
      <c r="H72">
        <f>$C$7/C72</f>
        <v>20</v>
      </c>
      <c r="I72">
        <f>VLOOKUP(G72,$I$1:$J$8,2,FALSE)*H72</f>
        <v>7500</v>
      </c>
      <c r="J72">
        <v>11.25</v>
      </c>
      <c r="K72" t="s">
        <v>168</v>
      </c>
    </row>
    <row r="73" spans="3:17" x14ac:dyDescent="0.25">
      <c r="J73">
        <f>H72*J72</f>
        <v>225</v>
      </c>
    </row>
    <row r="76" spans="3:17" x14ac:dyDescent="0.25">
      <c r="C76" t="s">
        <v>274</v>
      </c>
    </row>
    <row r="77" spans="3:17" x14ac:dyDescent="0.25">
      <c r="C77">
        <v>30</v>
      </c>
      <c r="D77" t="s">
        <v>168</v>
      </c>
      <c r="G77" t="s">
        <v>167</v>
      </c>
      <c r="H77">
        <f>C78/C77</f>
        <v>7.5</v>
      </c>
      <c r="I77">
        <f>VLOOKUP(G77,$I$1:$J$8,2,FALSE)*H77</f>
        <v>-562.5</v>
      </c>
      <c r="J77">
        <v>15</v>
      </c>
      <c r="K77" t="s">
        <v>157</v>
      </c>
      <c r="L77">
        <v>30</v>
      </c>
      <c r="M77" t="s">
        <v>270</v>
      </c>
      <c r="N77">
        <v>22.5</v>
      </c>
      <c r="O77" t="s">
        <v>275</v>
      </c>
      <c r="P77">
        <v>22.5</v>
      </c>
      <c r="Q77" t="s">
        <v>108</v>
      </c>
    </row>
    <row r="78" spans="3:17" x14ac:dyDescent="0.25">
      <c r="C78">
        <f>$J$73</f>
        <v>225</v>
      </c>
      <c r="J78">
        <f>J77*$H77</f>
        <v>112.5</v>
      </c>
      <c r="L78">
        <f>L77*$H77</f>
        <v>225</v>
      </c>
      <c r="N78">
        <f>N77*$H77</f>
        <v>168.75</v>
      </c>
      <c r="P78">
        <f>P77*$H77</f>
        <v>168.75</v>
      </c>
    </row>
    <row r="80" spans="3:17" x14ac:dyDescent="0.25">
      <c r="C80">
        <v>120</v>
      </c>
      <c r="D80" t="s">
        <v>108</v>
      </c>
      <c r="G80" t="s">
        <v>60</v>
      </c>
      <c r="H80" s="3">
        <f>C81/C80</f>
        <v>1.40625</v>
      </c>
      <c r="I80">
        <f>VLOOKUP(G80,$I$1:$J$8,2,FALSE)*H80</f>
        <v>-42.1875</v>
      </c>
      <c r="J80">
        <v>40</v>
      </c>
      <c r="K80" t="s">
        <v>270</v>
      </c>
    </row>
    <row r="81" spans="3:10" x14ac:dyDescent="0.25">
      <c r="C81">
        <f>P78</f>
        <v>168.75</v>
      </c>
      <c r="J81">
        <f>J80*H80</f>
        <v>56.25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7520-93B2-401D-B55D-250E87F969CF}">
  <dimension ref="B10:K20"/>
  <sheetViews>
    <sheetView workbookViewId="0">
      <selection activeCell="K14" sqref="K14"/>
    </sheetView>
  </sheetViews>
  <sheetFormatPr baseColWidth="10" defaultColWidth="11.42578125" defaultRowHeight="15" x14ac:dyDescent="0.25"/>
  <sheetData>
    <row r="10" spans="2:11" x14ac:dyDescent="0.25">
      <c r="B10" s="3">
        <f>2+35/60</f>
        <v>2.5833333333333335</v>
      </c>
    </row>
    <row r="12" spans="2:11" x14ac:dyDescent="0.25">
      <c r="D12" t="s">
        <v>74</v>
      </c>
      <c r="F12">
        <v>35.6</v>
      </c>
      <c r="G12">
        <f>F12*$B$10</f>
        <v>91.966666666666669</v>
      </c>
      <c r="H12">
        <v>200</v>
      </c>
      <c r="I12">
        <f>ROUNDUP(G12/H12,0)</f>
        <v>1</v>
      </c>
      <c r="J12" s="66"/>
    </row>
    <row r="13" spans="2:11" x14ac:dyDescent="0.25">
      <c r="D13" t="s">
        <v>69</v>
      </c>
      <c r="F13">
        <v>79.8</v>
      </c>
      <c r="G13">
        <f t="shared" ref="G13:G14" si="0">F13*$B$10</f>
        <v>206.15</v>
      </c>
      <c r="H13">
        <v>200</v>
      </c>
      <c r="I13">
        <f t="shared" ref="I13" si="1">ROUNDUP(G13/H13,0)</f>
        <v>2</v>
      </c>
      <c r="J13" s="66"/>
    </row>
    <row r="14" spans="2:11" x14ac:dyDescent="0.25">
      <c r="D14" t="s">
        <v>69</v>
      </c>
      <c r="F14">
        <v>15</v>
      </c>
      <c r="G14">
        <f t="shared" si="0"/>
        <v>38.75</v>
      </c>
      <c r="H14">
        <v>200</v>
      </c>
      <c r="I14">
        <f t="shared" ref="I14" si="2">ROUNDUP(G14/H14,0)</f>
        <v>1</v>
      </c>
      <c r="J14" s="66"/>
      <c r="K14" s="66"/>
    </row>
    <row r="15" spans="2:11" x14ac:dyDescent="0.25">
      <c r="D15" t="s">
        <v>102</v>
      </c>
      <c r="F15">
        <v>120</v>
      </c>
      <c r="G15">
        <f t="shared" ref="G15:G20" si="3">F15*$B$10</f>
        <v>310</v>
      </c>
      <c r="H15">
        <v>500</v>
      </c>
      <c r="I15">
        <f>ROUNDUP(G15/H15,0)</f>
        <v>1</v>
      </c>
      <c r="J15" s="66"/>
    </row>
    <row r="16" spans="2:11" x14ac:dyDescent="0.25">
      <c r="D16" t="s">
        <v>102</v>
      </c>
      <c r="F16">
        <v>36</v>
      </c>
      <c r="G16">
        <f t="shared" si="3"/>
        <v>93</v>
      </c>
      <c r="H16">
        <v>500</v>
      </c>
      <c r="I16">
        <f t="shared" ref="I16:I18" si="4">ROUNDUP(G16/H16,0)</f>
        <v>1</v>
      </c>
      <c r="J16" s="66"/>
    </row>
    <row r="17" spans="4:11" x14ac:dyDescent="0.25">
      <c r="D17" t="s">
        <v>102</v>
      </c>
      <c r="F17">
        <v>115.5</v>
      </c>
      <c r="G17">
        <f t="shared" si="3"/>
        <v>298.375</v>
      </c>
      <c r="H17">
        <v>500</v>
      </c>
      <c r="I17">
        <f t="shared" si="4"/>
        <v>1</v>
      </c>
      <c r="J17" s="66"/>
      <c r="K17" s="66"/>
    </row>
    <row r="18" spans="4:11" x14ac:dyDescent="0.25">
      <c r="D18" t="s">
        <v>102</v>
      </c>
      <c r="F18">
        <v>180</v>
      </c>
      <c r="G18">
        <f t="shared" si="3"/>
        <v>465</v>
      </c>
      <c r="H18">
        <v>500</v>
      </c>
      <c r="I18">
        <f t="shared" si="4"/>
        <v>1</v>
      </c>
      <c r="J18" s="66"/>
      <c r="K18" s="66"/>
    </row>
    <row r="19" spans="4:11" x14ac:dyDescent="0.25">
      <c r="D19" t="s">
        <v>91</v>
      </c>
      <c r="F19">
        <f>'Planung alt 2'!E19</f>
        <v>585.24999999999989</v>
      </c>
      <c r="G19">
        <f t="shared" si="3"/>
        <v>1511.895833333333</v>
      </c>
      <c r="H19">
        <v>500</v>
      </c>
      <c r="I19">
        <f>ROUNDUP(G19/H19,0)</f>
        <v>4</v>
      </c>
      <c r="J19" s="66"/>
      <c r="K19" s="66"/>
    </row>
    <row r="20" spans="4:11" x14ac:dyDescent="0.25">
      <c r="D20" t="s">
        <v>97</v>
      </c>
      <c r="F20">
        <f>'Planung alt 2'!E20</f>
        <v>160</v>
      </c>
      <c r="G20">
        <f t="shared" si="3"/>
        <v>413.33333333333337</v>
      </c>
      <c r="H20">
        <v>200</v>
      </c>
      <c r="I20">
        <f>ROUNDUP(G20/H20,0)</f>
        <v>3</v>
      </c>
      <c r="J20" s="66"/>
      <c r="K20" s="66"/>
    </row>
  </sheetData>
  <conditionalFormatting sqref="D12:D20">
    <cfRule type="cellIs" dxfId="10" priority="1" operator="equal">
      <formula>"nothing"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3F1F-4C3C-43D5-9845-0BD298A3F75F}">
  <dimension ref="A1:AM82"/>
  <sheetViews>
    <sheetView workbookViewId="0"/>
  </sheetViews>
  <sheetFormatPr baseColWidth="10" defaultColWidth="11.42578125" defaultRowHeight="15" x14ac:dyDescent="0.25"/>
  <cols>
    <col min="1" max="1" width="16.7109375" customWidth="1"/>
    <col min="2" max="3" width="5.42578125" customWidth="1"/>
    <col min="4" max="4" width="5.7109375" style="30" customWidth="1"/>
    <col min="5" max="5" width="6.7109375" style="30" customWidth="1"/>
    <col min="6" max="6" width="5.42578125" style="32" customWidth="1"/>
    <col min="7" max="7" width="7.42578125" style="27" customWidth="1"/>
    <col min="8" max="8" width="8.140625" style="47" customWidth="1"/>
    <col min="9" max="9" width="6.5703125" style="47" customWidth="1"/>
    <col min="10" max="10" width="8" style="35" customWidth="1"/>
    <col min="11" max="11" width="5.42578125" style="27" customWidth="1"/>
    <col min="12" max="12" width="8.28515625" style="27" customWidth="1"/>
    <col min="13" max="13" width="5.7109375" style="4" customWidth="1"/>
    <col min="14" max="14" width="5.42578125" style="4" customWidth="1"/>
    <col min="15" max="15" width="7.85546875" style="47" customWidth="1"/>
    <col min="16" max="16" width="11.85546875" customWidth="1"/>
    <col min="17" max="17" width="8.28515625" style="3" customWidth="1"/>
    <col min="18" max="18" width="5.42578125" style="32" customWidth="1"/>
    <col min="19" max="19" width="11.85546875" customWidth="1"/>
    <col min="20" max="20" width="8.28515625" style="3" customWidth="1"/>
    <col min="21" max="21" width="5.42578125" style="27" customWidth="1"/>
    <col min="22" max="22" width="11.85546875" customWidth="1"/>
    <col min="23" max="23" width="8.28515625" style="3" customWidth="1"/>
    <col min="24" max="24" width="5.42578125" style="27" customWidth="1"/>
    <col min="25" max="25" width="11.85546875" customWidth="1"/>
    <col min="26" max="26" width="8.28515625" style="3" customWidth="1"/>
    <col min="27" max="27" width="5.42578125" style="4" customWidth="1"/>
    <col min="29" max="39" width="6.5703125" style="3" customWidth="1"/>
  </cols>
  <sheetData>
    <row r="1" spans="1:39" ht="90" x14ac:dyDescent="0.25">
      <c r="A1" s="38" t="s">
        <v>199</v>
      </c>
      <c r="B1" s="38" t="s">
        <v>200</v>
      </c>
      <c r="C1" s="38" t="s">
        <v>201</v>
      </c>
      <c r="D1" s="39" t="s">
        <v>202</v>
      </c>
      <c r="E1" s="39" t="s">
        <v>203</v>
      </c>
      <c r="F1" s="40" t="s">
        <v>204</v>
      </c>
      <c r="G1" s="43" t="s">
        <v>205</v>
      </c>
      <c r="H1" s="45" t="s">
        <v>206</v>
      </c>
      <c r="I1" s="46" t="s">
        <v>207</v>
      </c>
      <c r="J1" s="41" t="s">
        <v>208</v>
      </c>
      <c r="K1" s="40" t="s">
        <v>209</v>
      </c>
      <c r="L1" s="40" t="s">
        <v>210</v>
      </c>
      <c r="M1" s="40" t="s">
        <v>211</v>
      </c>
      <c r="N1" s="40" t="s">
        <v>212</v>
      </c>
      <c r="O1" s="40" t="s">
        <v>213</v>
      </c>
      <c r="P1" s="38" t="s">
        <v>214</v>
      </c>
      <c r="Q1" s="36" t="s">
        <v>215</v>
      </c>
      <c r="R1" s="37" t="s">
        <v>216</v>
      </c>
      <c r="S1" s="36" t="s">
        <v>217</v>
      </c>
      <c r="T1" s="36" t="s">
        <v>218</v>
      </c>
      <c r="U1" s="37" t="s">
        <v>219</v>
      </c>
      <c r="V1" s="36" t="s">
        <v>220</v>
      </c>
      <c r="W1" s="36" t="s">
        <v>221</v>
      </c>
      <c r="X1" s="37" t="s">
        <v>222</v>
      </c>
      <c r="Y1" s="36" t="s">
        <v>223</v>
      </c>
      <c r="Z1" s="36" t="s">
        <v>224</v>
      </c>
      <c r="AA1" s="37" t="s">
        <v>225</v>
      </c>
      <c r="AC1" s="37" t="s">
        <v>13</v>
      </c>
      <c r="AD1" s="37" t="s">
        <v>18</v>
      </c>
      <c r="AE1" s="37" t="s">
        <v>19</v>
      </c>
      <c r="AF1" s="37" t="s">
        <v>20</v>
      </c>
      <c r="AG1" s="37" t="s">
        <v>21</v>
      </c>
      <c r="AH1" s="37" t="s">
        <v>22</v>
      </c>
      <c r="AI1" s="37" t="s">
        <v>23</v>
      </c>
      <c r="AJ1" s="37" t="s">
        <v>24</v>
      </c>
      <c r="AK1" s="37" t="s">
        <v>25</v>
      </c>
      <c r="AL1" s="37" t="s">
        <v>26</v>
      </c>
      <c r="AM1" s="37" t="s">
        <v>29</v>
      </c>
    </row>
    <row r="2" spans="1:39" x14ac:dyDescent="0.25">
      <c r="A2" t="s">
        <v>13</v>
      </c>
      <c r="D2" s="30">
        <f t="shared" ref="D2:D12" si="0">SUMIFS(Q:Q,P:P,A2)+SUMIFS(T:T,S:S,A2)+SUMIFS(W:W,V:V,A2)+SUMIFS(Z:Z,Y:Y,A2)</f>
        <v>726.00000000000011</v>
      </c>
      <c r="E2" s="30">
        <f>D2+C2</f>
        <v>726.00000000000011</v>
      </c>
      <c r="F2" s="32">
        <f t="shared" ref="F2:F12" si="1">COUNTIFS(P:P,A2,Q:Q,"&gt;0")+COUNTIFS(S:S,A2,T:T,"&gt;0")+COUNTIFS(V:V,A2,W:W,"&gt;0")+COUNTIFS(Y:Y,A2,Z:Z,"&gt;0")</f>
        <v>1</v>
      </c>
      <c r="G2" s="32">
        <f t="shared" ref="G2:G12" si="2">ROUNDUP((C2+D2)/M2,0)</f>
        <v>2</v>
      </c>
      <c r="J2" s="34"/>
      <c r="K2" s="32">
        <f t="shared" ref="K2:K10" si="3">SUMIFS(R:R,P:P,A2)+SUMIFS(U:U,S:S,A2)+SUMIFS(X:X,V:V,A2)+SUMIFS(AA:AA,Y:Y,A2)</f>
        <v>2</v>
      </c>
      <c r="L2" s="27">
        <f t="shared" ref="L2:L12" si="4">G2*N2</f>
        <v>72.8</v>
      </c>
      <c r="M2" s="24">
        <v>480</v>
      </c>
      <c r="N2" s="24">
        <v>36.4</v>
      </c>
      <c r="O2" s="47" t="s">
        <v>226</v>
      </c>
      <c r="P2">
        <v>960</v>
      </c>
      <c r="AC2" s="3">
        <f>SUM(AC$15:AC$72)</f>
        <v>704.51282051282055</v>
      </c>
    </row>
    <row r="3" spans="1:39" x14ac:dyDescent="0.25">
      <c r="A3" t="s">
        <v>18</v>
      </c>
      <c r="D3" s="30">
        <f t="shared" si="0"/>
        <v>252</v>
      </c>
      <c r="E3" s="30">
        <f t="shared" ref="E3:E72" si="5">D3+C3</f>
        <v>252</v>
      </c>
      <c r="F3" s="32">
        <f t="shared" si="1"/>
        <v>1</v>
      </c>
      <c r="G3" s="32">
        <f t="shared" si="2"/>
        <v>1</v>
      </c>
      <c r="J3" s="34"/>
      <c r="K3" s="32">
        <f t="shared" si="3"/>
        <v>1</v>
      </c>
      <c r="L3" s="27">
        <f t="shared" si="4"/>
        <v>36.4</v>
      </c>
      <c r="M3" s="24">
        <v>480</v>
      </c>
      <c r="N3" s="24">
        <v>36.4</v>
      </c>
      <c r="O3" s="47" t="s">
        <v>227</v>
      </c>
      <c r="P3">
        <v>480</v>
      </c>
      <c r="AD3" s="3">
        <f>SUM(AD$15:AD$72)</f>
        <v>239.53333333333336</v>
      </c>
    </row>
    <row r="4" spans="1:39" x14ac:dyDescent="0.25">
      <c r="A4" t="s">
        <v>19</v>
      </c>
      <c r="D4" s="30">
        <f t="shared" si="0"/>
        <v>958.5</v>
      </c>
      <c r="E4" s="30">
        <f t="shared" si="5"/>
        <v>958.5</v>
      </c>
      <c r="F4" s="32">
        <f t="shared" si="1"/>
        <v>1</v>
      </c>
      <c r="G4" s="32">
        <f t="shared" si="2"/>
        <v>2</v>
      </c>
      <c r="J4" s="34"/>
      <c r="K4" s="32">
        <f t="shared" si="3"/>
        <v>2</v>
      </c>
      <c r="L4" s="27">
        <f t="shared" si="4"/>
        <v>72.8</v>
      </c>
      <c r="M4" s="24">
        <v>480</v>
      </c>
      <c r="N4" s="24">
        <v>36.4</v>
      </c>
      <c r="O4" s="47" t="s">
        <v>228</v>
      </c>
      <c r="AE4" s="3">
        <f>SUM(AE$15:AE$72)</f>
        <v>945</v>
      </c>
    </row>
    <row r="5" spans="1:39" x14ac:dyDescent="0.25">
      <c r="A5" t="s">
        <v>20</v>
      </c>
      <c r="D5" s="30">
        <f t="shared" si="0"/>
        <v>767</v>
      </c>
      <c r="E5" s="30">
        <f t="shared" si="5"/>
        <v>767</v>
      </c>
      <c r="F5" s="32">
        <f t="shared" si="1"/>
        <v>2</v>
      </c>
      <c r="G5" s="32">
        <f t="shared" si="2"/>
        <v>2</v>
      </c>
      <c r="J5" s="34"/>
      <c r="K5" s="32">
        <f t="shared" si="3"/>
        <v>2</v>
      </c>
      <c r="L5" s="27">
        <f t="shared" si="4"/>
        <v>72.8</v>
      </c>
      <c r="M5" s="24">
        <v>480</v>
      </c>
      <c r="N5" s="24">
        <v>36.4</v>
      </c>
      <c r="P5">
        <v>480</v>
      </c>
      <c r="AF5" s="3">
        <f>SUM(AF$15:AF$72)+Q81</f>
        <v>750.90170940170947</v>
      </c>
    </row>
    <row r="6" spans="1:39" x14ac:dyDescent="0.25">
      <c r="A6" t="s">
        <v>21</v>
      </c>
      <c r="D6" s="30">
        <f t="shared" si="0"/>
        <v>261</v>
      </c>
      <c r="E6" s="30">
        <f t="shared" si="5"/>
        <v>261</v>
      </c>
      <c r="F6" s="32">
        <f t="shared" si="1"/>
        <v>1</v>
      </c>
      <c r="G6" s="32">
        <f t="shared" si="2"/>
        <v>1</v>
      </c>
      <c r="J6" s="34"/>
      <c r="K6" s="32">
        <f t="shared" si="3"/>
        <v>1</v>
      </c>
      <c r="L6" s="27">
        <f t="shared" si="4"/>
        <v>36.4</v>
      </c>
      <c r="M6" s="24">
        <v>480</v>
      </c>
      <c r="N6" s="24">
        <v>36.4</v>
      </c>
      <c r="O6" s="47" t="s">
        <v>226</v>
      </c>
      <c r="P6">
        <v>960</v>
      </c>
      <c r="AG6" s="3">
        <f>SUM(AG$15:AG$72)</f>
        <v>243.45555555555558</v>
      </c>
    </row>
    <row r="7" spans="1:39" x14ac:dyDescent="0.25">
      <c r="A7" t="s">
        <v>22</v>
      </c>
      <c r="D7" s="30">
        <f t="shared" si="0"/>
        <v>86.25</v>
      </c>
      <c r="E7" s="30">
        <f t="shared" si="5"/>
        <v>86.25</v>
      </c>
      <c r="F7" s="32">
        <f t="shared" si="1"/>
        <v>2</v>
      </c>
      <c r="G7" s="32">
        <f t="shared" si="2"/>
        <v>1</v>
      </c>
      <c r="J7" s="34"/>
      <c r="K7" s="32">
        <f t="shared" si="3"/>
        <v>2</v>
      </c>
      <c r="L7" s="27">
        <f t="shared" si="4"/>
        <v>36.4</v>
      </c>
      <c r="M7" s="24">
        <v>480</v>
      </c>
      <c r="N7" s="24">
        <v>36.4</v>
      </c>
      <c r="O7" s="47" t="s">
        <v>229</v>
      </c>
      <c r="P7">
        <v>240</v>
      </c>
      <c r="AH7" s="3">
        <f>SUM(AH$15:AH$72)</f>
        <v>79.748888888888871</v>
      </c>
    </row>
    <row r="8" spans="1:39" x14ac:dyDescent="0.25">
      <c r="A8" t="s">
        <v>23</v>
      </c>
      <c r="D8" s="30">
        <f t="shared" si="0"/>
        <v>0</v>
      </c>
      <c r="E8" s="30">
        <f t="shared" si="5"/>
        <v>0</v>
      </c>
      <c r="F8" s="32">
        <f t="shared" si="1"/>
        <v>0</v>
      </c>
      <c r="G8" s="32">
        <f t="shared" si="2"/>
        <v>0</v>
      </c>
      <c r="J8" s="34"/>
      <c r="K8" s="32">
        <f t="shared" si="3"/>
        <v>0</v>
      </c>
      <c r="L8" s="27">
        <f t="shared" si="4"/>
        <v>0</v>
      </c>
      <c r="M8" s="24">
        <v>480</v>
      </c>
      <c r="N8" s="24">
        <v>36.4</v>
      </c>
      <c r="AI8" s="3">
        <f>SUM(AI$15:AI$72)</f>
        <v>0</v>
      </c>
    </row>
    <row r="9" spans="1:39" x14ac:dyDescent="0.25">
      <c r="A9" t="s">
        <v>24</v>
      </c>
      <c r="D9" s="30">
        <f t="shared" si="0"/>
        <v>0</v>
      </c>
      <c r="E9" s="30">
        <f t="shared" si="5"/>
        <v>0</v>
      </c>
      <c r="F9" s="32">
        <f t="shared" si="1"/>
        <v>0</v>
      </c>
      <c r="G9" s="32">
        <f t="shared" si="2"/>
        <v>0</v>
      </c>
      <c r="J9" s="34"/>
      <c r="K9" s="32">
        <f t="shared" si="3"/>
        <v>0</v>
      </c>
      <c r="L9" s="27">
        <f t="shared" si="4"/>
        <v>0</v>
      </c>
      <c r="M9" s="24">
        <v>480</v>
      </c>
      <c r="N9" s="24">
        <v>36.4</v>
      </c>
      <c r="AJ9" s="3">
        <f>SUM(AJ$15:AJ$72)</f>
        <v>0</v>
      </c>
    </row>
    <row r="10" spans="1:39" x14ac:dyDescent="0.25">
      <c r="A10" t="s">
        <v>25</v>
      </c>
      <c r="D10" s="30">
        <f t="shared" si="0"/>
        <v>0</v>
      </c>
      <c r="E10" s="30">
        <f t="shared" si="5"/>
        <v>0</v>
      </c>
      <c r="F10" s="32">
        <f t="shared" si="1"/>
        <v>0</v>
      </c>
      <c r="G10" s="32">
        <f t="shared" si="2"/>
        <v>0</v>
      </c>
      <c r="J10" s="34"/>
      <c r="K10" s="32">
        <f t="shared" si="3"/>
        <v>0</v>
      </c>
      <c r="L10" s="27">
        <f t="shared" si="4"/>
        <v>0</v>
      </c>
      <c r="M10" s="24">
        <v>480</v>
      </c>
      <c r="N10" s="24">
        <v>36.4</v>
      </c>
      <c r="AK10" s="3">
        <f>SUM(AK$15:AK$72)</f>
        <v>0</v>
      </c>
    </row>
    <row r="11" spans="1:39" x14ac:dyDescent="0.25">
      <c r="A11" t="s">
        <v>26</v>
      </c>
      <c r="D11" s="30">
        <f t="shared" si="0"/>
        <v>585</v>
      </c>
      <c r="E11" s="30">
        <f t="shared" si="5"/>
        <v>585</v>
      </c>
      <c r="F11" s="32">
        <f t="shared" si="1"/>
        <v>1</v>
      </c>
      <c r="G11" s="32">
        <f t="shared" si="2"/>
        <v>5</v>
      </c>
      <c r="J11" s="34"/>
      <c r="K11" s="32"/>
      <c r="L11" s="27">
        <f t="shared" si="4"/>
        <v>100</v>
      </c>
      <c r="M11" s="24">
        <v>120</v>
      </c>
      <c r="N11" s="24">
        <v>20</v>
      </c>
      <c r="AL11" s="3">
        <f>SUM(AL$15:AL$72)+T81</f>
        <v>585</v>
      </c>
    </row>
    <row r="12" spans="1:39" x14ac:dyDescent="0.25">
      <c r="A12" t="s">
        <v>29</v>
      </c>
      <c r="D12" s="30">
        <f t="shared" si="0"/>
        <v>75</v>
      </c>
      <c r="E12" s="30">
        <f t="shared" si="5"/>
        <v>75</v>
      </c>
      <c r="F12" s="32">
        <f t="shared" si="1"/>
        <v>1</v>
      </c>
      <c r="G12" s="32">
        <f t="shared" si="2"/>
        <v>1</v>
      </c>
      <c r="J12" s="34"/>
      <c r="K12" s="32"/>
      <c r="L12" s="27">
        <f t="shared" si="4"/>
        <v>134.31</v>
      </c>
      <c r="M12" s="24">
        <v>600</v>
      </c>
      <c r="N12" s="24">
        <v>134.31</v>
      </c>
      <c r="AM12" s="3">
        <f>SUM(AM$15:AM$72)</f>
        <v>73.25</v>
      </c>
    </row>
    <row r="13" spans="1:39" x14ac:dyDescent="0.25">
      <c r="D13"/>
      <c r="J13" s="34"/>
      <c r="K13" s="32"/>
      <c r="M13"/>
      <c r="N13"/>
      <c r="Q13"/>
      <c r="T13"/>
      <c r="U13" s="4"/>
      <c r="W13"/>
      <c r="X13" s="4"/>
      <c r="Z13"/>
    </row>
    <row r="14" spans="1:39" x14ac:dyDescent="0.25">
      <c r="A14" s="6" t="s">
        <v>64</v>
      </c>
      <c r="D14" s="30">
        <f>SUMIFS(Q:Q,P:P,A14)+SUMIFS(T:T,S:S,A14)+SUMIFS(W:W,V:V,A14)+SUMIFS(Z:Z,Y:Y,A14)</f>
        <v>87</v>
      </c>
      <c r="E14" s="30">
        <f>D14+C14</f>
        <v>87</v>
      </c>
      <c r="F14" s="32">
        <f>COUNTIFS(P:P,A14,Q:Q,"&gt;0")+COUNTIFS(S:S,A14,T:T,"&gt;0")+COUNTIFS(V:V,A14,W:W,"&gt;0")+COUNTIFS(Y:Y,A14,Z:Z,"&gt;0")</f>
        <v>2</v>
      </c>
      <c r="G14" s="27">
        <f>ROUNDUP((C14+D14)/M14,1)</f>
        <v>5.8</v>
      </c>
      <c r="H14" s="47">
        <f>G14*M14</f>
        <v>87</v>
      </c>
      <c r="I14" s="47">
        <f>MOD(H14,M14)</f>
        <v>12</v>
      </c>
      <c r="J14" s="34" t="str">
        <f>VLOOKUP($A14&amp;"Total",Rezepte!$D:$Z,19,FALSE)</f>
        <v>smelter</v>
      </c>
      <c r="K14" s="32">
        <f>SUMIFS(R:R,P:P,A14)+SUMIFS(U:U,S:S,A14)+SUMIFS(X:X,V:V,A14)+SUMIFS(AA:AA,Y:Y,A14)</f>
        <v>2</v>
      </c>
      <c r="L14" s="27">
        <f>G14*N14</f>
        <v>23.2</v>
      </c>
      <c r="M14" s="4">
        <f>VLOOKUP($A14&amp;"Total",Rezepte!$D:$Z,21,FALSE)</f>
        <v>15</v>
      </c>
      <c r="N14" s="4">
        <f>VLOOKUP($A14&amp;"Total",Rezepte!$D:$Z,20,FALSE)</f>
        <v>4</v>
      </c>
      <c r="O14" s="47">
        <v>87</v>
      </c>
      <c r="P14" t="str">
        <f>VLOOKUP($A14&amp;"Total",Rezepte!$D:$Z,4,FALSE)</f>
        <v>caterium ore</v>
      </c>
      <c r="Q14" s="3">
        <f>VLOOKUP($A14&amp;"Total",Rezepte!$D:$Z,5,FALSE)*G14</f>
        <v>261</v>
      </c>
      <c r="R14" s="32">
        <f>ROUNDUP(Q14/$P$78,0)</f>
        <v>1</v>
      </c>
      <c r="S14" t="str">
        <f>VLOOKUP($A14&amp;"Total",Rezepte!$D:$Z,7,FALSE)</f>
        <v>nothing</v>
      </c>
      <c r="T14" s="3">
        <f>VLOOKUP($A14&amp;"Total",Rezepte!$D:$Z,8,FALSE)*G14</f>
        <v>0</v>
      </c>
      <c r="U14" s="32">
        <f>ROUNDUP(T14/$P$78,0)</f>
        <v>0</v>
      </c>
      <c r="V14" t="str">
        <f>VLOOKUP($A14&amp;"Total",Rezepte!$D:$Z,10,FALSE)</f>
        <v>nothing</v>
      </c>
      <c r="W14" s="3">
        <f>VLOOKUP($A14&amp;"Total",Rezepte!$D:$Z,11,FALSE)*G14</f>
        <v>0</v>
      </c>
      <c r="X14" s="32">
        <f>ROUNDUP(W14/$P$78,0)</f>
        <v>0</v>
      </c>
      <c r="Y14" t="str">
        <f>VLOOKUP($A14&amp;"Total",Rezepte!$D:$Z,13,FALSE)</f>
        <v>nothing</v>
      </c>
      <c r="Z14" s="3">
        <f>VLOOKUP($A14&amp;"Total",Rezepte!$D:$Z,14,FALSE)*G14</f>
        <v>0</v>
      </c>
      <c r="AA14" s="32">
        <f>ROUNDUP(Z14/$P$78,0)</f>
        <v>0</v>
      </c>
      <c r="AC14" s="3">
        <f>VLOOKUP($A14&amp;"Total",Rezepte!$D:$AK,24,FALSE)/100*$C14</f>
        <v>0</v>
      </c>
      <c r="AD14" s="3">
        <f>VLOOKUP($A14&amp;"Total",Rezepte!$D:$AK,25,FALSE)/100*$C14</f>
        <v>0</v>
      </c>
      <c r="AE14" s="3">
        <f>VLOOKUP($A14&amp;"Total",Rezepte!$D:$AK,26,FALSE)/100*$C14</f>
        <v>0</v>
      </c>
      <c r="AF14" s="3">
        <f>VLOOKUP($A14&amp;"Total",Rezepte!$D:$AK,27,FALSE)/100*$C14</f>
        <v>0</v>
      </c>
      <c r="AG14" s="3">
        <f>VLOOKUP($A14&amp;"Total",Rezepte!$D:$AK,28,FALSE)/100*$C14</f>
        <v>0</v>
      </c>
      <c r="AH14" s="3">
        <f>VLOOKUP($A14&amp;"Total",Rezepte!$D:$AK,29,FALSE)/100*$C14</f>
        <v>0</v>
      </c>
      <c r="AI14" s="3">
        <f>VLOOKUP($A14&amp;"Total",Rezepte!$D:$AK,30,FALSE)/100*$C14</f>
        <v>0</v>
      </c>
      <c r="AJ14" s="3">
        <f>VLOOKUP($A14&amp;"Total",Rezepte!$D:$AK,31,FALSE)/100*$C14</f>
        <v>0</v>
      </c>
      <c r="AK14" s="3">
        <f>VLOOKUP($A14&amp;"Total",Rezepte!$D:$AK,32,FALSE)/100*$C14</f>
        <v>0</v>
      </c>
      <c r="AL14" s="3">
        <f>VLOOKUP($A14&amp;"Total",Rezepte!$D:$AK,33,FALSE)/100*$C14</f>
        <v>0</v>
      </c>
      <c r="AM14" s="3">
        <f>VLOOKUP($A14&amp;"Total",Rezepte!$D:$AK,34,FALSE)/100*$C14</f>
        <v>0</v>
      </c>
    </row>
    <row r="16" spans="1:39" x14ac:dyDescent="0.25">
      <c r="A16" t="s">
        <v>74</v>
      </c>
      <c r="C16">
        <v>5</v>
      </c>
      <c r="D16" s="30">
        <f>SUMIFS(Q:Q,P:P,A16)+SUMIFS(T:T,S:S,A16)+SUMIFS(W:W,V:V,A16)+SUMIFS(Z:Z,Y:Y,A16)</f>
        <v>18.75</v>
      </c>
      <c r="E16" s="30">
        <f>D16+C16</f>
        <v>23.75</v>
      </c>
      <c r="F16" s="32">
        <f>COUNTIFS(P:P,A16,Q:Q,"&gt;0")+COUNTIFS(S:S,A16,T:T,"&gt;0")+COUNTIFS(V:V,A16,W:W,"&gt;0")+COUNTIFS(Y:Y,A16,Z:Z,"&gt;0")</f>
        <v>1</v>
      </c>
      <c r="G16" s="27">
        <f>ROUNDUP((C16+D16)/M16,1)</f>
        <v>1.1000000000000001</v>
      </c>
      <c r="H16" s="47">
        <f>G16*M16</f>
        <v>24.750000000000004</v>
      </c>
      <c r="I16" s="47">
        <f>MOD(H16,M16)</f>
        <v>2.2500000000000036</v>
      </c>
      <c r="J16" s="34" t="str">
        <f>VLOOKUP($A16&amp;"Total",Rezepte!$D:$Z,19,FALSE)</f>
        <v>constructor</v>
      </c>
      <c r="K16" s="32">
        <f>SUMIFS(R:R,P:P,A16)+SUMIFS(U:U,S:S,A16)+SUMIFS(X:X,V:V,A16)+SUMIFS(AA:AA,Y:Y,A16)</f>
        <v>1</v>
      </c>
      <c r="L16" s="27">
        <f>G16*N16</f>
        <v>4.4000000000000004</v>
      </c>
      <c r="M16" s="44">
        <f>VLOOKUP($A16&amp;"Total",Rezepte!$D:$Z,21,FALSE)</f>
        <v>22.5</v>
      </c>
      <c r="N16" s="4">
        <f>VLOOKUP($A16&amp;"Total",Rezepte!$D:$Z,20,FALSE)</f>
        <v>4</v>
      </c>
      <c r="O16" s="47">
        <v>24.75</v>
      </c>
      <c r="P16" t="str">
        <f>VLOOKUP($A16&amp;"Total",Rezepte!$D:$Z,4,FALSE)</f>
        <v>raw quartz</v>
      </c>
      <c r="Q16" s="3">
        <f>VLOOKUP($A16&amp;"Total",Rezepte!$D:$Z,5,FALSE)*G16</f>
        <v>41.25</v>
      </c>
      <c r="R16" s="32">
        <f>ROUNDUP(Q16/$P$78,0)</f>
        <v>1</v>
      </c>
      <c r="S16" t="str">
        <f>VLOOKUP($A16&amp;"Total",Rezepte!$D:$Z,7,FALSE)</f>
        <v>nothing</v>
      </c>
      <c r="T16" s="3">
        <f>VLOOKUP($A16&amp;"Total",Rezepte!$D:$Z,8,FALSE)*G16</f>
        <v>0</v>
      </c>
      <c r="U16" s="32">
        <f>ROUNDUP(T16/$P$78,0)</f>
        <v>0</v>
      </c>
      <c r="V16" t="str">
        <f>VLOOKUP($A16&amp;"Total",Rezepte!$D:$Z,10,FALSE)</f>
        <v>nothing</v>
      </c>
      <c r="W16" s="3">
        <f>VLOOKUP($A16&amp;"Total",Rezepte!$D:$Z,11,FALSE)*G16</f>
        <v>0</v>
      </c>
      <c r="X16" s="32">
        <f>ROUNDUP(W16/$P$78,0)</f>
        <v>0</v>
      </c>
      <c r="Y16" t="str">
        <f>VLOOKUP($A16&amp;"Total",Rezepte!$D:$Z,13,FALSE)</f>
        <v>nothing</v>
      </c>
      <c r="Z16" s="3">
        <f>VLOOKUP($A16&amp;"Total",Rezepte!$D:$Z,14,FALSE)*G16</f>
        <v>0</v>
      </c>
      <c r="AA16" s="32">
        <f>ROUNDUP(Z16/$P$78,0)</f>
        <v>0</v>
      </c>
      <c r="AC16" s="3">
        <f>VLOOKUP($A16&amp;"Total",Rezepte!$D:$AK,24,FALSE)/100*$C16</f>
        <v>0</v>
      </c>
      <c r="AD16" s="3">
        <f>VLOOKUP($A16&amp;"Total",Rezepte!$D:$AK,25,FALSE)/100*$C16</f>
        <v>0</v>
      </c>
      <c r="AE16" s="3">
        <f>VLOOKUP($A16&amp;"Total",Rezepte!$D:$AK,26,FALSE)/100*$C16</f>
        <v>0</v>
      </c>
      <c r="AF16" s="3">
        <f>VLOOKUP($A16&amp;"Total",Rezepte!$D:$AK,27,FALSE)/100*$C16</f>
        <v>0</v>
      </c>
      <c r="AG16" s="3">
        <f>VLOOKUP($A16&amp;"Total",Rezepte!$D:$AK,28,FALSE)/100*$C16</f>
        <v>0</v>
      </c>
      <c r="AH16" s="3">
        <f>VLOOKUP($A16&amp;"Total",Rezepte!$D:$AK,29,FALSE)/100*$C16</f>
        <v>8.3333333333333321</v>
      </c>
      <c r="AI16" s="3">
        <f>VLOOKUP($A16&amp;"Total",Rezepte!$D:$AK,30,FALSE)/100*$C16</f>
        <v>0</v>
      </c>
      <c r="AJ16" s="3">
        <f>VLOOKUP($A16&amp;"Total",Rezepte!$D:$AK,31,FALSE)/100*$C16</f>
        <v>0</v>
      </c>
      <c r="AK16" s="3">
        <f>VLOOKUP($A16&amp;"Total",Rezepte!$D:$AK,32,FALSE)/100*$C16</f>
        <v>0</v>
      </c>
      <c r="AL16" s="3">
        <f>VLOOKUP($A16&amp;"Total",Rezepte!$D:$AK,33,FALSE)/100*$C16</f>
        <v>0</v>
      </c>
      <c r="AM16" s="3">
        <f>VLOOKUP($A16&amp;"Total",Rezepte!$D:$AK,34,FALSE)/100*$C16</f>
        <v>0</v>
      </c>
    </row>
    <row r="17" spans="1:39" x14ac:dyDescent="0.25">
      <c r="A17" t="s">
        <v>69</v>
      </c>
      <c r="C17">
        <v>5</v>
      </c>
      <c r="D17" s="30">
        <f>SUMIFS(Q:Q,P:P,A17)+SUMIFS(T:T,S:S,A17)+SUMIFS(W:W,V:V,A17)+SUMIFS(Z:Z,Y:Y,A17)</f>
        <v>67.25</v>
      </c>
      <c r="E17" s="30">
        <f>D17+C17</f>
        <v>72.25</v>
      </c>
      <c r="F17" s="32">
        <f>COUNTIFS(P:P,A17,Q:Q,"&gt;0")+COUNTIFS(S:S,A17,T:T,"&gt;0")+COUNTIFS(V:V,A17,W:W,"&gt;0")+COUNTIFS(Y:Y,A17,Z:Z,"&gt;0")</f>
        <v>2</v>
      </c>
      <c r="G17" s="27">
        <f>ROUNDUP((C17+D17)/M17,1)</f>
        <v>2</v>
      </c>
      <c r="H17" s="47">
        <f>G17*M17</f>
        <v>75</v>
      </c>
      <c r="I17" s="47">
        <f>MOD(H17,M17)</f>
        <v>0</v>
      </c>
      <c r="J17" s="34" t="str">
        <f>VLOOKUP($A17&amp;"Total",Rezepte!$D:$Z,19,FALSE)</f>
        <v>constructor</v>
      </c>
      <c r="K17" s="32">
        <f>SUMIFS(R:R,P:P,A17)+SUMIFS(U:U,S:S,A17)+SUMIFS(X:X,V:V,A17)+SUMIFS(AA:AA,Y:Y,A17)</f>
        <v>2</v>
      </c>
      <c r="L17" s="27">
        <f>G17*N17</f>
        <v>8</v>
      </c>
      <c r="M17" s="4">
        <f>VLOOKUP($A17&amp;"Total",Rezepte!$D:$Z,21,FALSE)</f>
        <v>37.5</v>
      </c>
      <c r="N17" s="4">
        <f>VLOOKUP($A17&amp;"Total",Rezepte!$D:$Z,20,FALSE)</f>
        <v>4</v>
      </c>
      <c r="O17" s="47">
        <v>75</v>
      </c>
      <c r="P17" t="str">
        <f>VLOOKUP($A17&amp;"Total",Rezepte!$D:$Z,4,FALSE)</f>
        <v>raw quartz</v>
      </c>
      <c r="Q17" s="3">
        <f>VLOOKUP($A17&amp;"Total",Rezepte!$D:$Z,5,FALSE)*G17</f>
        <v>45</v>
      </c>
      <c r="R17" s="32">
        <f>ROUNDUP(Q17/$P$78,0)</f>
        <v>1</v>
      </c>
      <c r="S17" t="str">
        <f>VLOOKUP($A17&amp;"Total",Rezepte!$D:$Z,7,FALSE)</f>
        <v>nothing</v>
      </c>
      <c r="T17" s="3">
        <f>VLOOKUP($A17&amp;"Total",Rezepte!$D:$Z,8,FALSE)*G17</f>
        <v>0</v>
      </c>
      <c r="U17" s="32">
        <f>ROUNDUP(T17/$P$78,0)</f>
        <v>0</v>
      </c>
      <c r="V17" t="str">
        <f>VLOOKUP($A17&amp;"Total",Rezepte!$D:$Z,10,FALSE)</f>
        <v>nothing</v>
      </c>
      <c r="W17" s="3">
        <f>VLOOKUP($A17&amp;"Total",Rezepte!$D:$Z,11,FALSE)*G17</f>
        <v>0</v>
      </c>
      <c r="X17" s="32">
        <f>ROUNDUP(W17/$P$78,0)</f>
        <v>0</v>
      </c>
      <c r="Y17" t="str">
        <f>VLOOKUP($A17&amp;"Total",Rezepte!$D:$Z,13,FALSE)</f>
        <v>nothing</v>
      </c>
      <c r="Z17" s="3">
        <f>VLOOKUP($A17&amp;"Total",Rezepte!$D:$Z,14,FALSE)*G17</f>
        <v>0</v>
      </c>
      <c r="AA17" s="32">
        <f>ROUNDUP(Z17/$P$78,0)</f>
        <v>0</v>
      </c>
      <c r="AC17" s="3">
        <f>VLOOKUP($A17&amp;"Total",Rezepte!$D:$AK,24,FALSE)/100*$C17</f>
        <v>0</v>
      </c>
      <c r="AD17" s="3">
        <f>VLOOKUP($A17&amp;"Total",Rezepte!$D:$AK,25,FALSE)/100*$C17</f>
        <v>0</v>
      </c>
      <c r="AE17" s="3">
        <f>VLOOKUP($A17&amp;"Total",Rezepte!$D:$AK,26,FALSE)/100*$C17</f>
        <v>0</v>
      </c>
      <c r="AF17" s="3">
        <f>VLOOKUP($A17&amp;"Total",Rezepte!$D:$AK,27,FALSE)/100*$C17</f>
        <v>0</v>
      </c>
      <c r="AG17" s="3">
        <f>VLOOKUP($A17&amp;"Total",Rezepte!$D:$AK,28,FALSE)/100*$C17</f>
        <v>0</v>
      </c>
      <c r="AH17" s="3">
        <f>VLOOKUP($A17&amp;"Total",Rezepte!$D:$AK,29,FALSE)/100*$C17</f>
        <v>3</v>
      </c>
      <c r="AI17" s="3">
        <f>VLOOKUP($A17&amp;"Total",Rezepte!$D:$AK,30,FALSE)/100*$C17</f>
        <v>0</v>
      </c>
      <c r="AJ17" s="3">
        <f>VLOOKUP($A17&amp;"Total",Rezepte!$D:$AK,31,FALSE)/100*$C17</f>
        <v>0</v>
      </c>
      <c r="AK17" s="3">
        <f>VLOOKUP($A17&amp;"Total",Rezepte!$D:$AK,32,FALSE)/100*$C17</f>
        <v>0</v>
      </c>
      <c r="AL17" s="3">
        <f>VLOOKUP($A17&amp;"Total",Rezepte!$D:$AK,33,FALSE)/100*$C17</f>
        <v>0</v>
      </c>
      <c r="AM17" s="3">
        <f>VLOOKUP($A17&amp;"Total",Rezepte!$D:$AK,34,FALSE)/100*$C17</f>
        <v>0</v>
      </c>
    </row>
    <row r="18" spans="1:39" x14ac:dyDescent="0.25">
      <c r="A18" t="s">
        <v>102</v>
      </c>
      <c r="C18">
        <v>5</v>
      </c>
      <c r="D18" s="30">
        <f>SUMIFS(Q:Q,P:P,A18)+SUMIFS(T:T,S:S,A18)+SUMIFS(W:W,V:V,A18)+SUMIFS(Z:Z,Y:Y,A18)</f>
        <v>290</v>
      </c>
      <c r="E18" s="30">
        <f>D18+C18</f>
        <v>295</v>
      </c>
      <c r="F18" s="32">
        <f>COUNTIFS(P:P,A18,Q:Q,"&gt;0")+COUNTIFS(S:S,A18,T:T,"&gt;0")+COUNTIFS(V:V,A18,W:W,"&gt;0")+COUNTIFS(Y:Y,A18,Z:Z,"&gt;0")</f>
        <v>4</v>
      </c>
      <c r="G18" s="27">
        <f>ROUNDUP((C18+D18)/M18,1)</f>
        <v>5</v>
      </c>
      <c r="H18" s="47">
        <f>G18*M18</f>
        <v>300</v>
      </c>
      <c r="I18" s="47">
        <f>MOD(H18,M18)</f>
        <v>0</v>
      </c>
      <c r="J18" s="34" t="str">
        <f>VLOOKUP($A18&amp;"Total",Rezepte!$D:$Z,19,FALSE)</f>
        <v>constructor</v>
      </c>
      <c r="K18" s="32">
        <f>SUMIFS(R:R,P:P,A18)+SUMIFS(U:U,S:S,A18)+SUMIFS(X:X,V:V,A18)+SUMIFS(AA:AA,Y:Y,A18)</f>
        <v>4</v>
      </c>
      <c r="L18" s="27">
        <f>G18*N18</f>
        <v>20</v>
      </c>
      <c r="M18" s="4">
        <f>VLOOKUP($A18&amp;"Total",Rezepte!$D:$Z,21,FALSE)</f>
        <v>60</v>
      </c>
      <c r="N18" s="4">
        <f>VLOOKUP($A18&amp;"Total",Rezepte!$D:$Z,20,FALSE)</f>
        <v>4</v>
      </c>
      <c r="O18" s="47">
        <v>300</v>
      </c>
      <c r="P18" t="str">
        <f>VLOOKUP($A18&amp;"Total",Rezepte!$D:$Z,4,FALSE)</f>
        <v>Caterium Ingot</v>
      </c>
      <c r="Q18" s="3">
        <f>VLOOKUP($A18&amp;"Total",Rezepte!$D:$Z,5,FALSE)*G18</f>
        <v>60</v>
      </c>
      <c r="R18" s="32">
        <f>ROUNDUP(Q18/$P$78,0)</f>
        <v>1</v>
      </c>
      <c r="S18" t="str">
        <f>VLOOKUP($A18&amp;"Total",Rezepte!$D:$Z,7,FALSE)</f>
        <v>nothing</v>
      </c>
      <c r="T18" s="3">
        <f>VLOOKUP($A18&amp;"Total",Rezepte!$D:$Z,8,FALSE)*G18</f>
        <v>0</v>
      </c>
      <c r="U18" s="32">
        <f>ROUNDUP(T18/$P$78,0)</f>
        <v>0</v>
      </c>
      <c r="V18" t="str">
        <f>VLOOKUP($A18&amp;"Total",Rezepte!$D:$Z,10,FALSE)</f>
        <v>nothing</v>
      </c>
      <c r="W18" s="3">
        <f>VLOOKUP($A18&amp;"Total",Rezepte!$D:$Z,11,FALSE)*G18</f>
        <v>0</v>
      </c>
      <c r="X18" s="32">
        <f>ROUNDUP(W18/$P$78,0)</f>
        <v>0</v>
      </c>
      <c r="Y18" t="str">
        <f>VLOOKUP($A18&amp;"Total",Rezepte!$D:$Z,13,FALSE)</f>
        <v>nothing</v>
      </c>
      <c r="Z18" s="3">
        <f>VLOOKUP($A18&amp;"Total",Rezepte!$D:$Z,14,FALSE)*G18</f>
        <v>0</v>
      </c>
      <c r="AA18" s="32">
        <f>ROUNDUP(Z18/$P$78,0)</f>
        <v>0</v>
      </c>
      <c r="AC18" s="3">
        <f>VLOOKUP($A18&amp;"Total",Rezepte!$D:$AK,24,FALSE)/100*$C18</f>
        <v>0</v>
      </c>
      <c r="AD18" s="3">
        <f>VLOOKUP($A18&amp;"Total",Rezepte!$D:$AK,25,FALSE)/100*$C18</f>
        <v>0</v>
      </c>
      <c r="AE18" s="3">
        <f>VLOOKUP($A18&amp;"Total",Rezepte!$D:$AK,26,FALSE)/100*$C18</f>
        <v>0</v>
      </c>
      <c r="AF18" s="3">
        <f>VLOOKUP($A18&amp;"Total",Rezepte!$D:$AK,27,FALSE)/100*$C18</f>
        <v>0</v>
      </c>
      <c r="AG18" s="3">
        <f>VLOOKUP($A18&amp;"Total",Rezepte!$D:$AK,28,FALSE)/100*$C18</f>
        <v>3</v>
      </c>
      <c r="AH18" s="3">
        <f>VLOOKUP($A18&amp;"Total",Rezepte!$D:$AK,29,FALSE)/100*$C18</f>
        <v>0</v>
      </c>
      <c r="AI18" s="3">
        <f>VLOOKUP($A18&amp;"Total",Rezepte!$D:$AK,30,FALSE)/100*$C18</f>
        <v>0</v>
      </c>
      <c r="AJ18" s="3">
        <f>VLOOKUP($A18&amp;"Total",Rezepte!$D:$AK,31,FALSE)/100*$C18</f>
        <v>0</v>
      </c>
      <c r="AK18" s="3">
        <f>VLOOKUP($A18&amp;"Total",Rezepte!$D:$AK,32,FALSE)/100*$C18</f>
        <v>0</v>
      </c>
      <c r="AL18" s="3">
        <f>VLOOKUP($A18&amp;"Total",Rezepte!$D:$AK,33,FALSE)/100*$C18</f>
        <v>0</v>
      </c>
      <c r="AM18" s="3">
        <f>VLOOKUP($A18&amp;"Total",Rezepte!$D:$AK,34,FALSE)/100*$C18</f>
        <v>0</v>
      </c>
    </row>
    <row r="19" spans="1:39" x14ac:dyDescent="0.25">
      <c r="A19" t="s">
        <v>91</v>
      </c>
      <c r="C19">
        <v>10</v>
      </c>
      <c r="D19" s="30">
        <f>SUMIFS(Q:Q,P:P,A19)+SUMIFS(T:T,S:S,A19)+SUMIFS(W:W,V:V,A19)+SUMIFS(Z:Z,Y:Y,A19)</f>
        <v>196.5</v>
      </c>
      <c r="E19" s="30">
        <f>D19+C19</f>
        <v>206.5</v>
      </c>
      <c r="F19" s="32">
        <f>COUNTIFS(P:P,A19,Q:Q,"&gt;0")+COUNTIFS(S:S,A19,T:T,"&gt;0")+COUNTIFS(V:V,A19,W:W,"&gt;0")+COUNTIFS(Y:Y,A19,Z:Z,"&gt;0")</f>
        <v>2</v>
      </c>
      <c r="G19" s="27">
        <f>ROUNDUP((C19+D19)/M19,1)</f>
        <v>1.8</v>
      </c>
      <c r="H19" s="47">
        <f>G19*M19</f>
        <v>216</v>
      </c>
      <c r="I19" s="47">
        <f>MOD(H19,M19)</f>
        <v>96</v>
      </c>
      <c r="J19" s="34" t="str">
        <f>VLOOKUP($A19&amp;"Total",Rezepte!$D:$Z,19,FALSE)</f>
        <v>constructor</v>
      </c>
      <c r="K19" s="32">
        <f>SUMIFS(R:R,P:P,A19)+SUMIFS(U:U,S:S,A19)+SUMIFS(X:X,V:V,A19)+SUMIFS(AA:AA,Y:Y,A19)</f>
        <v>2</v>
      </c>
      <c r="L19" s="27">
        <f>G19*N19</f>
        <v>7.2</v>
      </c>
      <c r="M19" s="4">
        <f>VLOOKUP($A19&amp;"Total",Rezepte!$D:$Z,21,FALSE)</f>
        <v>120</v>
      </c>
      <c r="N19" s="4">
        <f>VLOOKUP($A19&amp;"Total",Rezepte!$D:$Z,20,FALSE)</f>
        <v>4</v>
      </c>
      <c r="O19" s="47">
        <v>216</v>
      </c>
      <c r="P19" t="str">
        <f>VLOOKUP($A19&amp;"Total",Rezepte!$D:$Z,4,FALSE)</f>
        <v>Caterium Ingot</v>
      </c>
      <c r="Q19" s="3">
        <f>VLOOKUP($A19&amp;"Total",Rezepte!$D:$Z,5,FALSE)*G19</f>
        <v>27</v>
      </c>
      <c r="R19" s="32">
        <f>ROUNDUP(Q19/$P$78,0)</f>
        <v>1</v>
      </c>
      <c r="S19" t="str">
        <f>VLOOKUP($A19&amp;"Total",Rezepte!$D:$Z,7,FALSE)</f>
        <v>nothing</v>
      </c>
      <c r="T19" s="3">
        <f>VLOOKUP($A19&amp;"Total",Rezepte!$D:$Z,8,FALSE)*G19</f>
        <v>0</v>
      </c>
      <c r="U19" s="32">
        <f>ROUNDUP(T19/$P$78,0)</f>
        <v>0</v>
      </c>
      <c r="V19" t="str">
        <f>VLOOKUP($A19&amp;"Total",Rezepte!$D:$Z,10,FALSE)</f>
        <v>nothing</v>
      </c>
      <c r="W19" s="3">
        <f>VLOOKUP($A19&amp;"Total",Rezepte!$D:$Z,11,FALSE)*G19</f>
        <v>0</v>
      </c>
      <c r="X19" s="32">
        <f>ROUNDUP(W19/$P$78,0)</f>
        <v>0</v>
      </c>
      <c r="Y19" t="str">
        <f>VLOOKUP($A19&amp;"Total",Rezepte!$D:$Z,13,FALSE)</f>
        <v>nothing</v>
      </c>
      <c r="Z19" s="3">
        <f>VLOOKUP($A19&amp;"Total",Rezepte!$D:$Z,14,FALSE)*G19</f>
        <v>0</v>
      </c>
      <c r="AA19" s="32">
        <f>ROUNDUP(Z19/$P$78,0)</f>
        <v>0</v>
      </c>
      <c r="AC19" s="3">
        <f>VLOOKUP($A19&amp;"Total",Rezepte!$D:$AK,24,FALSE)/100*$C19</f>
        <v>0</v>
      </c>
      <c r="AD19" s="3">
        <f>VLOOKUP($A19&amp;"Total",Rezepte!$D:$AK,25,FALSE)/100*$C19</f>
        <v>0</v>
      </c>
      <c r="AE19" s="3">
        <f>VLOOKUP($A19&amp;"Total",Rezepte!$D:$AK,26,FALSE)/100*$C19</f>
        <v>0</v>
      </c>
      <c r="AF19" s="3">
        <f>VLOOKUP($A19&amp;"Total",Rezepte!$D:$AK,27,FALSE)/100*$C19</f>
        <v>0</v>
      </c>
      <c r="AG19" s="3">
        <f>VLOOKUP($A19&amp;"Total",Rezepte!$D:$AK,28,FALSE)/100*$C19</f>
        <v>3.75</v>
      </c>
      <c r="AH19" s="3">
        <f>VLOOKUP($A19&amp;"Total",Rezepte!$D:$AK,29,FALSE)/100*$C19</f>
        <v>0</v>
      </c>
      <c r="AI19" s="3">
        <f>VLOOKUP($A19&amp;"Total",Rezepte!$D:$AK,30,FALSE)/100*$C19</f>
        <v>0</v>
      </c>
      <c r="AJ19" s="3">
        <f>VLOOKUP($A19&amp;"Total",Rezepte!$D:$AK,31,FALSE)/100*$C19</f>
        <v>0</v>
      </c>
      <c r="AK19" s="3">
        <f>VLOOKUP($A19&amp;"Total",Rezepte!$D:$AK,32,FALSE)/100*$C19</f>
        <v>0</v>
      </c>
      <c r="AL19" s="3">
        <f>VLOOKUP($A19&amp;"Total",Rezepte!$D:$AK,33,FALSE)/100*$C19</f>
        <v>0</v>
      </c>
      <c r="AM19" s="3">
        <f>VLOOKUP($A19&amp;"Total",Rezepte!$D:$AK,34,FALSE)/100*$C19</f>
        <v>0</v>
      </c>
    </row>
    <row r="20" spans="1:39" x14ac:dyDescent="0.25">
      <c r="A20" t="s">
        <v>97</v>
      </c>
      <c r="C20">
        <v>10</v>
      </c>
      <c r="D20" s="30">
        <f>SUMIFS(Q:Q,P:P,A20)+SUMIFS(T:T,S:S,A20)+SUMIFS(W:W,V:V,A20)+SUMIFS(Z:Z,Y:Y,A20)</f>
        <v>0</v>
      </c>
      <c r="E20" s="30">
        <f>D20+C20</f>
        <v>10</v>
      </c>
      <c r="F20" s="32">
        <f>COUNTIFS(P:P,A20,Q:Q,"&gt;0")+COUNTIFS(S:S,A20,T:T,"&gt;0")+COUNTIFS(V:V,A20,W:W,"&gt;0")+COUNTIFS(Y:Y,A20,Z:Z,"&gt;0")</f>
        <v>0</v>
      </c>
      <c r="G20" s="27">
        <f>ROUNDUP((C20+D20)/M20,1)</f>
        <v>0.4</v>
      </c>
      <c r="H20" s="47">
        <f>G20*M20</f>
        <v>12</v>
      </c>
      <c r="I20" s="47">
        <f>MOD(H20,M20)</f>
        <v>12</v>
      </c>
      <c r="J20" s="34" t="str">
        <f>VLOOKUP($A20&amp;"Total",Rezepte!$D:$Z,19,FALSE)</f>
        <v>constructor</v>
      </c>
      <c r="K20" s="32">
        <f>SUMIFS(R:R,P:P,A20)+SUMIFS(U:U,S:S,A20)+SUMIFS(X:X,V:V,A20)+SUMIFS(AA:AA,Y:Y,A20)</f>
        <v>0</v>
      </c>
      <c r="L20" s="27">
        <f>G20*N20</f>
        <v>1.6</v>
      </c>
      <c r="M20" s="4">
        <f>VLOOKUP($A20&amp;"Total",Rezepte!$D:$Z,21,FALSE)</f>
        <v>30</v>
      </c>
      <c r="N20" s="4">
        <f>VLOOKUP($A20&amp;"Total",Rezepte!$D:$Z,20,FALSE)</f>
        <v>4</v>
      </c>
      <c r="O20" s="47">
        <v>12</v>
      </c>
      <c r="P20" t="str">
        <f>VLOOKUP($A20&amp;"Total",Rezepte!$D:$Z,4,FALSE)</f>
        <v>Wire</v>
      </c>
      <c r="Q20" s="3">
        <f>VLOOKUP($A20&amp;"Total",Rezepte!$D:$Z,5,FALSE)*G20</f>
        <v>24</v>
      </c>
      <c r="R20" s="32">
        <f>ROUNDUP(Q20/$P$78,0)</f>
        <v>1</v>
      </c>
      <c r="S20" t="str">
        <f>VLOOKUP($A20&amp;"Total",Rezepte!$D:$Z,7,FALSE)</f>
        <v>nothing</v>
      </c>
      <c r="T20" s="3">
        <f>VLOOKUP($A20&amp;"Total",Rezepte!$D:$Z,8,FALSE)*G20</f>
        <v>0</v>
      </c>
      <c r="U20" s="32">
        <f>ROUNDUP(T20/$P$78,0)</f>
        <v>0</v>
      </c>
      <c r="V20" t="str">
        <f>VLOOKUP($A20&amp;"Total",Rezepte!$D:$Z,10,FALSE)</f>
        <v>nothing</v>
      </c>
      <c r="W20" s="3">
        <f>VLOOKUP($A20&amp;"Total",Rezepte!$D:$Z,11,FALSE)*G20</f>
        <v>0</v>
      </c>
      <c r="X20" s="32">
        <f>ROUNDUP(W20/$P$78,0)</f>
        <v>0</v>
      </c>
      <c r="Y20" t="str">
        <f>VLOOKUP($A20&amp;"Total",Rezepte!$D:$Z,13,FALSE)</f>
        <v>nothing</v>
      </c>
      <c r="Z20" s="3">
        <f>VLOOKUP($A20&amp;"Total",Rezepte!$D:$Z,14,FALSE)*G20</f>
        <v>0</v>
      </c>
      <c r="AA20" s="32">
        <f>ROUNDUP(Z20/$P$78,0)</f>
        <v>0</v>
      </c>
      <c r="AC20" s="3">
        <f>VLOOKUP($A20&amp;"Total",Rezepte!$D:$AK,24,FALSE)/100*$C20</f>
        <v>0</v>
      </c>
      <c r="AD20" s="3">
        <f>VLOOKUP($A20&amp;"Total",Rezepte!$D:$AK,25,FALSE)/100*$C20</f>
        <v>0</v>
      </c>
      <c r="AE20" s="3">
        <f>VLOOKUP($A20&amp;"Total",Rezepte!$D:$AK,26,FALSE)/100*$C20</f>
        <v>0</v>
      </c>
      <c r="AF20" s="3">
        <f>VLOOKUP($A20&amp;"Total",Rezepte!$D:$AK,27,FALSE)/100*$C20</f>
        <v>0</v>
      </c>
      <c r="AG20" s="3">
        <f>VLOOKUP($A20&amp;"Total",Rezepte!$D:$AK,28,FALSE)/100*$C20</f>
        <v>7.5</v>
      </c>
      <c r="AH20" s="3">
        <f>VLOOKUP($A20&amp;"Total",Rezepte!$D:$AK,29,FALSE)/100*$C20</f>
        <v>0</v>
      </c>
      <c r="AI20" s="3">
        <f>VLOOKUP($A20&amp;"Total",Rezepte!$D:$AK,30,FALSE)/100*$C20</f>
        <v>0</v>
      </c>
      <c r="AJ20" s="3">
        <f>VLOOKUP($A20&amp;"Total",Rezepte!$D:$AK,31,FALSE)/100*$C20</f>
        <v>0</v>
      </c>
      <c r="AK20" s="3">
        <f>VLOOKUP($A20&amp;"Total",Rezepte!$D:$AK,32,FALSE)/100*$C20</f>
        <v>0</v>
      </c>
      <c r="AL20" s="3">
        <f>VLOOKUP($A20&amp;"Total",Rezepte!$D:$AK,33,FALSE)/100*$C20</f>
        <v>0</v>
      </c>
      <c r="AM20" s="3">
        <f>VLOOKUP($A20&amp;"Total",Rezepte!$D:$AK,34,FALSE)/100*$C20</f>
        <v>0</v>
      </c>
    </row>
    <row r="21" spans="1:39" x14ac:dyDescent="0.25">
      <c r="J21" s="34"/>
      <c r="K21" s="32"/>
      <c r="U21" s="32"/>
      <c r="X21" s="32"/>
      <c r="AA21" s="32"/>
    </row>
    <row r="23" spans="1:39" x14ac:dyDescent="0.25">
      <c r="A23" t="s">
        <v>54</v>
      </c>
      <c r="D23" s="30">
        <f>SUMIFS(Q:Q,P:P,A23)+SUMIFS(T:T,S:S,A23)+SUMIFS(W:W,V:V,A23)+SUMIFS(Z:Z,Y:Y,A23)</f>
        <v>725</v>
      </c>
      <c r="E23" s="30">
        <f>D23+C23</f>
        <v>725</v>
      </c>
      <c r="F23" s="32">
        <f>COUNTIFS(P:P,A23,Q:Q,"&gt;0")+COUNTIFS(S:S,A23,T:T,"&gt;0")+COUNTIFS(V:V,A23,W:W,"&gt;0")+COUNTIFS(Y:Y,A23,Z:Z,"&gt;0")</f>
        <v>2</v>
      </c>
      <c r="G23" s="27">
        <f>ROUNDUP((C23+D23)/M23,1)</f>
        <v>24.200000000000003</v>
      </c>
      <c r="H23" s="47">
        <f>G23*M23</f>
        <v>726.00000000000011</v>
      </c>
      <c r="I23" s="47">
        <f>MOD(H23,M23)</f>
        <v>6.0000000000001137</v>
      </c>
      <c r="J23" s="34" t="str">
        <f>VLOOKUP($A23&amp;"Total",Rezepte!$D:$Z,19,FALSE)</f>
        <v>smelter</v>
      </c>
      <c r="K23" s="32">
        <f>SUMIFS(R:R,P:P,A23)+SUMIFS(U:U,S:S,A23)+SUMIFS(X:X,V:V,A23)+SUMIFS(AA:AA,Y:Y,A23)</f>
        <v>3</v>
      </c>
      <c r="L23" s="27">
        <f>G23*N23</f>
        <v>96.800000000000011</v>
      </c>
      <c r="M23" s="4">
        <f>VLOOKUP($A23&amp;"Total",Rezepte!$D:$Z,21,FALSE)</f>
        <v>30</v>
      </c>
      <c r="N23" s="4">
        <f>VLOOKUP($A23&amp;"Total",Rezepte!$D:$Z,20,FALSE)</f>
        <v>4</v>
      </c>
      <c r="O23" s="47">
        <v>726</v>
      </c>
      <c r="P23" t="str">
        <f>VLOOKUP($A23&amp;"Total",Rezepte!$D:$Z,4,FALSE)</f>
        <v>Iron Ore</v>
      </c>
      <c r="Q23" s="3">
        <f>VLOOKUP($A23&amp;"Total",Rezepte!$D:$Z,5,FALSE)*G23</f>
        <v>726.00000000000011</v>
      </c>
      <c r="R23" s="32">
        <f>ROUNDUP(Q23/$P$78,0)</f>
        <v>2</v>
      </c>
      <c r="S23" t="str">
        <f>VLOOKUP($A23&amp;"Total",Rezepte!$D:$Z,7,FALSE)</f>
        <v>nothing</v>
      </c>
      <c r="T23" s="3">
        <f>VLOOKUP($A23&amp;"Total",Rezepte!$D:$Z,8,FALSE)*G23</f>
        <v>0</v>
      </c>
      <c r="U23" s="32">
        <f>ROUNDUP(T23/$P$78,0)</f>
        <v>0</v>
      </c>
      <c r="V23" t="str">
        <f>VLOOKUP($A23&amp;"Total",Rezepte!$D:$Z,10,FALSE)</f>
        <v>nothing</v>
      </c>
      <c r="W23" s="3">
        <f>VLOOKUP($A23&amp;"Total",Rezepte!$D:$Z,11,FALSE)*G23</f>
        <v>0</v>
      </c>
      <c r="X23" s="32">
        <f>ROUNDUP(W23/$P$78,0)</f>
        <v>0</v>
      </c>
      <c r="Y23" t="str">
        <f>VLOOKUP($A23&amp;"Total",Rezepte!$D:$Z,13,FALSE)</f>
        <v>nothing</v>
      </c>
      <c r="Z23" s="3">
        <f>VLOOKUP($A23&amp;"Total",Rezepte!$D:$Z,14,FALSE)*G23</f>
        <v>0</v>
      </c>
      <c r="AA23" s="32">
        <f>ROUNDUP(Z23/$P$78,0)</f>
        <v>0</v>
      </c>
      <c r="AC23" s="3">
        <f>VLOOKUP($A23&amp;"Total",Rezepte!$D:$AK,24,FALSE)/100*$C23</f>
        <v>0</v>
      </c>
      <c r="AD23" s="3">
        <f>VLOOKUP($A23&amp;"Total",Rezepte!$D:$AK,25,FALSE)/100*$C23</f>
        <v>0</v>
      </c>
      <c r="AE23" s="3">
        <f>VLOOKUP($A23&amp;"Total",Rezepte!$D:$AK,26,FALSE)/100*$C23</f>
        <v>0</v>
      </c>
      <c r="AF23" s="3">
        <f>VLOOKUP($A23&amp;"Total",Rezepte!$D:$AK,27,FALSE)/100*$C23</f>
        <v>0</v>
      </c>
      <c r="AG23" s="3">
        <f>VLOOKUP($A23&amp;"Total",Rezepte!$D:$AK,28,FALSE)/100*$C23</f>
        <v>0</v>
      </c>
      <c r="AH23" s="3">
        <f>VLOOKUP($A23&amp;"Total",Rezepte!$D:$AK,29,FALSE)/100*$C23</f>
        <v>0</v>
      </c>
      <c r="AI23" s="3">
        <f>VLOOKUP($A23&amp;"Total",Rezepte!$D:$AK,30,FALSE)/100*$C23</f>
        <v>0</v>
      </c>
      <c r="AJ23" s="3">
        <f>VLOOKUP($A23&amp;"Total",Rezepte!$D:$AK,31,FALSE)/100*$C23</f>
        <v>0</v>
      </c>
      <c r="AK23" s="3">
        <f>VLOOKUP($A23&amp;"Total",Rezepte!$D:$AK,32,FALSE)/100*$C23</f>
        <v>0</v>
      </c>
      <c r="AL23" s="3">
        <f>VLOOKUP($A23&amp;"Total",Rezepte!$D:$AK,33,FALSE)/100*$C23</f>
        <v>0</v>
      </c>
      <c r="AM23" s="3">
        <f>VLOOKUP($A23&amp;"Total",Rezepte!$D:$AK,34,FALSE)/100*$C23</f>
        <v>0</v>
      </c>
    </row>
    <row r="25" spans="1:39" x14ac:dyDescent="0.25">
      <c r="A25" t="s">
        <v>80</v>
      </c>
      <c r="C25">
        <v>15</v>
      </c>
      <c r="D25" s="30">
        <f t="shared" ref="D25:D37" si="6">SUMIFS(Q:Q,P:P,A25)+SUMIFS(T:T,S:S,A25)+SUMIFS(W:W,V:V,A25)+SUMIFS(Z:Z,Y:Y,A25)</f>
        <v>86.25</v>
      </c>
      <c r="E25" s="30">
        <f t="shared" ref="E25:E30" si="7">D25+C25</f>
        <v>101.25</v>
      </c>
      <c r="F25" s="32">
        <f t="shared" ref="F25:F37" si="8">COUNTIFS(P:P,A25,Q:Q,"&gt;0")+COUNTIFS(S:S,A25,T:T,"&gt;0")+COUNTIFS(V:V,A25,W:W,"&gt;0")+COUNTIFS(Y:Y,A25,Z:Z,"&gt;0")</f>
        <v>1</v>
      </c>
      <c r="G25" s="27">
        <f t="shared" ref="G25:G30" si="9">ROUNDUP((C25+D25)/M25,1)</f>
        <v>5.0999999999999996</v>
      </c>
      <c r="H25" s="47">
        <f t="shared" ref="H25:H72" si="10">G25*M25</f>
        <v>102</v>
      </c>
      <c r="I25" s="47">
        <f t="shared" ref="I25:I72" si="11">MOD(H25,M25)</f>
        <v>2</v>
      </c>
      <c r="J25" s="34" t="str">
        <f>VLOOKUP($A25&amp;"Total",Rezepte!$D:$Z,19,FALSE)</f>
        <v>constructor</v>
      </c>
      <c r="K25" s="32">
        <f t="shared" ref="K25:K37" si="12">SUMIFS(R:R,P:P,A25)+SUMIFS(U:U,S:S,A25)+SUMIFS(X:X,V:V,A25)+SUMIFS(AA:AA,Y:Y,A25)</f>
        <v>1</v>
      </c>
      <c r="L25" s="27">
        <f t="shared" ref="L25:L30" si="13">G25*N25</f>
        <v>20.399999999999999</v>
      </c>
      <c r="M25" s="4">
        <f>VLOOKUP($A25&amp;"Total",Rezepte!$D:$Z,21,FALSE)</f>
        <v>20</v>
      </c>
      <c r="N25" s="4">
        <f>VLOOKUP($A25&amp;"Total",Rezepte!$D:$Z,20,FALSE)</f>
        <v>4</v>
      </c>
      <c r="O25" s="47">
        <v>102</v>
      </c>
      <c r="P25" t="str">
        <f>VLOOKUP($A25&amp;"Total",Rezepte!$D:$Z,4,FALSE)</f>
        <v>Iron Ingot</v>
      </c>
      <c r="Q25" s="3">
        <f>VLOOKUP($A25&amp;"Total",Rezepte!$D:$Z,5,FALSE)*G25</f>
        <v>153</v>
      </c>
      <c r="R25" s="32">
        <f t="shared" ref="R25:R37" si="14">ROUNDUP(Q25/$P$78,0)</f>
        <v>1</v>
      </c>
      <c r="S25" t="str">
        <f>VLOOKUP($A25&amp;"Total",Rezepte!$D:$Z,7,FALSE)</f>
        <v>nothing</v>
      </c>
      <c r="T25" s="3">
        <f>VLOOKUP($A25&amp;"Total",Rezepte!$D:$Z,8,FALSE)*G25</f>
        <v>0</v>
      </c>
      <c r="U25" s="32">
        <f t="shared" ref="U25:U37" si="15">ROUNDUP(T25/$P$78,0)</f>
        <v>0</v>
      </c>
      <c r="V25" t="str">
        <f>VLOOKUP($A25&amp;"Total",Rezepte!$D:$Z,10,FALSE)</f>
        <v>nothing</v>
      </c>
      <c r="W25" s="3">
        <f>VLOOKUP($A25&amp;"Total",Rezepte!$D:$Z,11,FALSE)*G25</f>
        <v>0</v>
      </c>
      <c r="X25" s="32">
        <f t="shared" ref="X25:X37" si="16">ROUNDUP(W25/$P$78,0)</f>
        <v>0</v>
      </c>
      <c r="Y25" t="str">
        <f>VLOOKUP($A25&amp;"Total",Rezepte!$D:$Z,13,FALSE)</f>
        <v>nothing</v>
      </c>
      <c r="Z25" s="3">
        <f>VLOOKUP($A25&amp;"Total",Rezepte!$D:$Z,14,FALSE)*G25</f>
        <v>0</v>
      </c>
      <c r="AA25" s="32">
        <f t="shared" ref="AA25:AA37" si="17">ROUNDUP(Z25/$P$78,0)</f>
        <v>0</v>
      </c>
      <c r="AC25" s="3">
        <f>VLOOKUP($A25&amp;"Total",Rezepte!$D:$AK,24,FALSE)/100*$C25</f>
        <v>22.5</v>
      </c>
      <c r="AD25" s="3">
        <f>VLOOKUP($A25&amp;"Total",Rezepte!$D:$AK,25,FALSE)/100*$C25</f>
        <v>0</v>
      </c>
      <c r="AE25" s="3">
        <f>VLOOKUP($A25&amp;"Total",Rezepte!$D:$AK,26,FALSE)/100*$C25</f>
        <v>0</v>
      </c>
      <c r="AF25" s="3">
        <f>VLOOKUP($A25&amp;"Total",Rezepte!$D:$AK,27,FALSE)/100*$C25</f>
        <v>0</v>
      </c>
      <c r="AG25" s="3">
        <f>VLOOKUP($A25&amp;"Total",Rezepte!$D:$AK,28,FALSE)/100*$C25</f>
        <v>0</v>
      </c>
      <c r="AH25" s="3">
        <f>VLOOKUP($A25&amp;"Total",Rezepte!$D:$AK,29,FALSE)/100*$C25</f>
        <v>0</v>
      </c>
      <c r="AI25" s="3">
        <f>VLOOKUP($A25&amp;"Total",Rezepte!$D:$AK,30,FALSE)/100*$C25</f>
        <v>0</v>
      </c>
      <c r="AJ25" s="3">
        <f>VLOOKUP($A25&amp;"Total",Rezepte!$D:$AK,31,FALSE)/100*$C25</f>
        <v>0</v>
      </c>
      <c r="AK25" s="3">
        <f>VLOOKUP($A25&amp;"Total",Rezepte!$D:$AK,32,FALSE)/100*$C25</f>
        <v>0</v>
      </c>
      <c r="AL25" s="3">
        <f>VLOOKUP($A25&amp;"Total",Rezepte!$D:$AK,33,FALSE)/100*$C25</f>
        <v>0</v>
      </c>
      <c r="AM25" s="3">
        <f>VLOOKUP($A25&amp;"Total",Rezepte!$D:$AK,34,FALSE)/100*$C25</f>
        <v>0</v>
      </c>
    </row>
    <row r="26" spans="1:39" x14ac:dyDescent="0.25">
      <c r="A26" t="s">
        <v>84</v>
      </c>
      <c r="D26" s="30">
        <f t="shared" si="6"/>
        <v>853.8</v>
      </c>
      <c r="E26" s="30">
        <f t="shared" si="7"/>
        <v>853.8</v>
      </c>
      <c r="F26" s="32">
        <f t="shared" si="8"/>
        <v>3</v>
      </c>
      <c r="G26" s="27">
        <f t="shared" si="9"/>
        <v>14.299999999999999</v>
      </c>
      <c r="H26" s="47">
        <f t="shared" si="10"/>
        <v>857.99999999999989</v>
      </c>
      <c r="I26" s="47">
        <f t="shared" si="11"/>
        <v>17.999999999999886</v>
      </c>
      <c r="J26" s="34" t="str">
        <f>VLOOKUP($A26&amp;"Total",Rezepte!$D:$Z,19,FALSE)</f>
        <v>foundry</v>
      </c>
      <c r="K26" s="32">
        <f t="shared" si="12"/>
        <v>4</v>
      </c>
      <c r="L26" s="27">
        <f t="shared" si="13"/>
        <v>228.79999999999998</v>
      </c>
      <c r="M26" s="4">
        <f>VLOOKUP($A26&amp;"Total",Rezepte!$D:$Z,21,FALSE)</f>
        <v>60</v>
      </c>
      <c r="N26" s="4">
        <f>VLOOKUP($A26&amp;"Total",Rezepte!$D:$Z,20,FALSE)</f>
        <v>16</v>
      </c>
      <c r="O26" s="47">
        <v>858</v>
      </c>
      <c r="P26" t="str">
        <f>VLOOKUP($A26&amp;"Total",Rezepte!$D:$Z,4,FALSE)</f>
        <v>Iron Ingot</v>
      </c>
      <c r="Q26" s="3">
        <f>VLOOKUP($A26&amp;"Total",Rezepte!$D:$Z,5,FALSE)*G26</f>
        <v>572</v>
      </c>
      <c r="R26" s="32">
        <f t="shared" si="14"/>
        <v>2</v>
      </c>
      <c r="S26" t="str">
        <f>VLOOKUP($A26&amp;"Total",Rezepte!$D:$Z,7,FALSE)</f>
        <v>coal</v>
      </c>
      <c r="T26" s="3">
        <f>VLOOKUP($A26&amp;"Total",Rezepte!$D:$Z,8,FALSE)*G26</f>
        <v>572</v>
      </c>
      <c r="U26" s="32">
        <f t="shared" si="15"/>
        <v>2</v>
      </c>
      <c r="V26" t="str">
        <f>VLOOKUP($A26&amp;"Total",Rezepte!$D:$Z,10,FALSE)</f>
        <v>nothing</v>
      </c>
      <c r="W26" s="3">
        <f>VLOOKUP($A26&amp;"Total",Rezepte!$D:$Z,11,FALSE)*G26</f>
        <v>0</v>
      </c>
      <c r="X26" s="32">
        <f t="shared" si="16"/>
        <v>0</v>
      </c>
      <c r="Y26" t="str">
        <f>VLOOKUP($A26&amp;"Total",Rezepte!$D:$Z,13,FALSE)</f>
        <v>nothing</v>
      </c>
      <c r="Z26" s="3">
        <f>VLOOKUP($A26&amp;"Total",Rezepte!$D:$Z,14,FALSE)*G26</f>
        <v>0</v>
      </c>
      <c r="AA26" s="32">
        <f t="shared" si="17"/>
        <v>0</v>
      </c>
      <c r="AC26" s="3">
        <f>VLOOKUP($A26&amp;"Total",Rezepte!$D:$AK,24,FALSE)/100*$C26</f>
        <v>0</v>
      </c>
      <c r="AD26" s="3">
        <f>VLOOKUP($A26&amp;"Total",Rezepte!$D:$AK,25,FALSE)/100*$C26</f>
        <v>0</v>
      </c>
      <c r="AE26" s="3">
        <f>VLOOKUP($A26&amp;"Total",Rezepte!$D:$AK,26,FALSE)/100*$C26</f>
        <v>0</v>
      </c>
      <c r="AF26" s="3">
        <f>VLOOKUP($A26&amp;"Total",Rezepte!$D:$AK,27,FALSE)/100*$C26</f>
        <v>0</v>
      </c>
      <c r="AG26" s="3">
        <f>VLOOKUP($A26&amp;"Total",Rezepte!$D:$AK,28,FALSE)/100*$C26</f>
        <v>0</v>
      </c>
      <c r="AH26" s="3">
        <f>VLOOKUP($A26&amp;"Total",Rezepte!$D:$AK,29,FALSE)/100*$C26</f>
        <v>0</v>
      </c>
      <c r="AI26" s="3">
        <f>VLOOKUP($A26&amp;"Total",Rezepte!$D:$AK,30,FALSE)/100*$C26</f>
        <v>0</v>
      </c>
      <c r="AJ26" s="3">
        <f>VLOOKUP($A26&amp;"Total",Rezepte!$D:$AK,31,FALSE)/100*$C26</f>
        <v>0</v>
      </c>
      <c r="AK26" s="3">
        <f>VLOOKUP($A26&amp;"Total",Rezepte!$D:$AK,32,FALSE)/100*$C26</f>
        <v>0</v>
      </c>
      <c r="AL26" s="3">
        <f>VLOOKUP($A26&amp;"Total",Rezepte!$D:$AK,33,FALSE)/100*$C26</f>
        <v>0</v>
      </c>
      <c r="AM26" s="3">
        <f>VLOOKUP($A26&amp;"Total",Rezepte!$D:$AK,34,FALSE)/100*$C26</f>
        <v>0</v>
      </c>
    </row>
    <row r="27" spans="1:39" x14ac:dyDescent="0.25">
      <c r="A27" t="s">
        <v>85</v>
      </c>
      <c r="C27">
        <v>15</v>
      </c>
      <c r="D27" s="30">
        <f t="shared" si="6"/>
        <v>0</v>
      </c>
      <c r="E27" s="30">
        <f t="shared" si="7"/>
        <v>15</v>
      </c>
      <c r="F27" s="32">
        <f t="shared" si="8"/>
        <v>0</v>
      </c>
      <c r="G27" s="27">
        <f t="shared" si="9"/>
        <v>0.4</v>
      </c>
      <c r="H27" s="47">
        <f t="shared" si="10"/>
        <v>19.200000000000003</v>
      </c>
      <c r="I27" s="47">
        <f t="shared" si="11"/>
        <v>19.200000000000003</v>
      </c>
      <c r="J27" s="34" t="str">
        <f>VLOOKUP($A27&amp;"Total",Rezepte!$D:$Z,19,FALSE)</f>
        <v>constructor</v>
      </c>
      <c r="K27" s="32">
        <f t="shared" si="12"/>
        <v>0</v>
      </c>
      <c r="L27" s="27">
        <f t="shared" si="13"/>
        <v>1.6</v>
      </c>
      <c r="M27" s="4">
        <f>VLOOKUP($A27&amp;"Total",Rezepte!$D:$Z,21,FALSE)</f>
        <v>48</v>
      </c>
      <c r="N27" s="4">
        <f>VLOOKUP($A27&amp;"Total",Rezepte!$D:$Z,20,FALSE)</f>
        <v>4</v>
      </c>
      <c r="O27" s="47">
        <v>19.2</v>
      </c>
      <c r="P27" t="str">
        <f>VLOOKUP($A27&amp;"Total",Rezepte!$D:$Z,4,FALSE)</f>
        <v>Steel Ingot</v>
      </c>
      <c r="Q27" s="3">
        <f>VLOOKUP($A27&amp;"Total",Rezepte!$D:$Z,5,FALSE)*G27</f>
        <v>4.8000000000000007</v>
      </c>
      <c r="R27" s="32">
        <f t="shared" si="14"/>
        <v>1</v>
      </c>
      <c r="S27" t="str">
        <f>VLOOKUP($A27&amp;"Total",Rezepte!$D:$Z,7,FALSE)</f>
        <v>nothing</v>
      </c>
      <c r="T27" s="3">
        <f>VLOOKUP($A27&amp;"Total",Rezepte!$D:$Z,8,FALSE)*G27</f>
        <v>0</v>
      </c>
      <c r="U27" s="32">
        <f t="shared" si="15"/>
        <v>0</v>
      </c>
      <c r="V27" t="str">
        <f>VLOOKUP($A27&amp;"Total",Rezepte!$D:$Z,10,FALSE)</f>
        <v>nothing</v>
      </c>
      <c r="W27" s="3">
        <f>VLOOKUP($A27&amp;"Total",Rezepte!$D:$Z,11,FALSE)*G27</f>
        <v>0</v>
      </c>
      <c r="X27" s="32">
        <f t="shared" si="16"/>
        <v>0</v>
      </c>
      <c r="Y27" t="str">
        <f>VLOOKUP($A27&amp;"Total",Rezepte!$D:$Z,13,FALSE)</f>
        <v>nothing</v>
      </c>
      <c r="Z27" s="3">
        <f>VLOOKUP($A27&amp;"Total",Rezepte!$D:$Z,14,FALSE)*G27</f>
        <v>0</v>
      </c>
      <c r="AA27" s="32">
        <f t="shared" si="17"/>
        <v>0</v>
      </c>
      <c r="AC27" s="3">
        <f>VLOOKUP($A27&amp;"Total",Rezepte!$D:$AK,24,FALSE)/100*$C27</f>
        <v>2.5000000000000004</v>
      </c>
      <c r="AD27" s="3">
        <f>VLOOKUP($A27&amp;"Total",Rezepte!$D:$AK,25,FALSE)/100*$C27</f>
        <v>0</v>
      </c>
      <c r="AE27" s="3">
        <f>VLOOKUP($A27&amp;"Total",Rezepte!$D:$AK,26,FALSE)/100*$C27</f>
        <v>0</v>
      </c>
      <c r="AF27" s="3">
        <f>VLOOKUP($A27&amp;"Total",Rezepte!$D:$AK,27,FALSE)/100*$C27</f>
        <v>2.5000000000000004</v>
      </c>
      <c r="AG27" s="3">
        <f>VLOOKUP($A27&amp;"Total",Rezepte!$D:$AK,28,FALSE)/100*$C27</f>
        <v>0</v>
      </c>
      <c r="AH27" s="3">
        <f>VLOOKUP($A27&amp;"Total",Rezepte!$D:$AK,29,FALSE)/100*$C27</f>
        <v>0</v>
      </c>
      <c r="AI27" s="3">
        <f>VLOOKUP($A27&amp;"Total",Rezepte!$D:$AK,30,FALSE)/100*$C27</f>
        <v>0</v>
      </c>
      <c r="AJ27" s="3">
        <f>VLOOKUP($A27&amp;"Total",Rezepte!$D:$AK,31,FALSE)/100*$C27</f>
        <v>0</v>
      </c>
      <c r="AK27" s="3">
        <f>VLOOKUP($A27&amp;"Total",Rezepte!$D:$AK,32,FALSE)/100*$C27</f>
        <v>0</v>
      </c>
      <c r="AL27" s="3">
        <f>VLOOKUP($A27&amp;"Total",Rezepte!$D:$AK,33,FALSE)/100*$C27</f>
        <v>0</v>
      </c>
      <c r="AM27" s="3">
        <f>VLOOKUP($A27&amp;"Total",Rezepte!$D:$AK,34,FALSE)/100*$C27</f>
        <v>0</v>
      </c>
    </row>
    <row r="28" spans="1:39" x14ac:dyDescent="0.25">
      <c r="A28" t="s">
        <v>90</v>
      </c>
      <c r="C28">
        <v>15</v>
      </c>
      <c r="D28" s="30">
        <f t="shared" si="6"/>
        <v>5</v>
      </c>
      <c r="E28" s="30">
        <f t="shared" si="7"/>
        <v>20</v>
      </c>
      <c r="F28" s="32">
        <f t="shared" si="8"/>
        <v>1</v>
      </c>
      <c r="G28" s="27">
        <f t="shared" si="9"/>
        <v>1.4000000000000001</v>
      </c>
      <c r="H28" s="47">
        <f t="shared" si="10"/>
        <v>21.000000000000004</v>
      </c>
      <c r="I28" s="47">
        <f t="shared" si="11"/>
        <v>6.0000000000000036</v>
      </c>
      <c r="J28" s="34" t="str">
        <f>VLOOKUP($A28&amp;"Total",Rezepte!$D:$Z,19,FALSE)</f>
        <v>constructor</v>
      </c>
      <c r="K28" s="32">
        <f t="shared" si="12"/>
        <v>1</v>
      </c>
      <c r="L28" s="27">
        <f t="shared" si="13"/>
        <v>5.6000000000000005</v>
      </c>
      <c r="M28" s="4">
        <f>VLOOKUP($A28&amp;"Total",Rezepte!$D:$Z,21,FALSE)</f>
        <v>15</v>
      </c>
      <c r="N28" s="4">
        <f>VLOOKUP($A28&amp;"Total",Rezepte!$D:$Z,20,FALSE)</f>
        <v>4</v>
      </c>
      <c r="O28" s="47">
        <v>21</v>
      </c>
      <c r="P28" t="str">
        <f>VLOOKUP($A28&amp;"Total",Rezepte!$D:$Z,4,FALSE)</f>
        <v>Steel Ingot</v>
      </c>
      <c r="Q28" s="3">
        <f>VLOOKUP($A28&amp;"Total",Rezepte!$D:$Z,5,FALSE)*G28</f>
        <v>84.000000000000014</v>
      </c>
      <c r="R28" s="32">
        <f t="shared" si="14"/>
        <v>1</v>
      </c>
      <c r="S28" t="str">
        <f>VLOOKUP($A28&amp;"Total",Rezepte!$D:$Z,7,FALSE)</f>
        <v>nothing</v>
      </c>
      <c r="T28" s="3">
        <f>VLOOKUP($A28&amp;"Total",Rezepte!$D:$Z,8,FALSE)*G28</f>
        <v>0</v>
      </c>
      <c r="U28" s="32">
        <f t="shared" si="15"/>
        <v>0</v>
      </c>
      <c r="V28" t="str">
        <f>VLOOKUP($A28&amp;"Total",Rezepte!$D:$Z,10,FALSE)</f>
        <v>nothing</v>
      </c>
      <c r="W28" s="3">
        <f>VLOOKUP($A28&amp;"Total",Rezepte!$D:$Z,11,FALSE)*G28</f>
        <v>0</v>
      </c>
      <c r="X28" s="32">
        <f t="shared" si="16"/>
        <v>0</v>
      </c>
      <c r="Y28" t="str">
        <f>VLOOKUP($A28&amp;"Total",Rezepte!$D:$Z,13,FALSE)</f>
        <v>nothing</v>
      </c>
      <c r="Z28" s="3">
        <f>VLOOKUP($A28&amp;"Total",Rezepte!$D:$Z,14,FALSE)*G28</f>
        <v>0</v>
      </c>
      <c r="AA28" s="32">
        <f t="shared" si="17"/>
        <v>0</v>
      </c>
      <c r="AC28" s="3">
        <f>VLOOKUP($A28&amp;"Total",Rezepte!$D:$AK,24,FALSE)/100*$C28</f>
        <v>40.000000000000007</v>
      </c>
      <c r="AD28" s="3">
        <f>VLOOKUP($A28&amp;"Total",Rezepte!$D:$AK,25,FALSE)/100*$C28</f>
        <v>0</v>
      </c>
      <c r="AE28" s="3">
        <f>VLOOKUP($A28&amp;"Total",Rezepte!$D:$AK,26,FALSE)/100*$C28</f>
        <v>0</v>
      </c>
      <c r="AF28" s="3">
        <f>VLOOKUP($A28&amp;"Total",Rezepte!$D:$AK,27,FALSE)/100*$C28</f>
        <v>40.000000000000007</v>
      </c>
      <c r="AG28" s="3">
        <f>VLOOKUP($A28&amp;"Total",Rezepte!$D:$AK,28,FALSE)/100*$C28</f>
        <v>0</v>
      </c>
      <c r="AH28" s="3">
        <f>VLOOKUP($A28&amp;"Total",Rezepte!$D:$AK,29,FALSE)/100*$C28</f>
        <v>0</v>
      </c>
      <c r="AI28" s="3">
        <f>VLOOKUP($A28&amp;"Total",Rezepte!$D:$AK,30,FALSE)/100*$C28</f>
        <v>0</v>
      </c>
      <c r="AJ28" s="3">
        <f>VLOOKUP($A28&amp;"Total",Rezepte!$D:$AK,31,FALSE)/100*$C28</f>
        <v>0</v>
      </c>
      <c r="AK28" s="3">
        <f>VLOOKUP($A28&amp;"Total",Rezepte!$D:$AK,32,FALSE)/100*$C28</f>
        <v>0</v>
      </c>
      <c r="AL28" s="3">
        <f>VLOOKUP($A28&amp;"Total",Rezepte!$D:$AK,33,FALSE)/100*$C28</f>
        <v>0</v>
      </c>
      <c r="AM28" s="3">
        <f>VLOOKUP($A28&amp;"Total",Rezepte!$D:$AK,34,FALSE)/100*$C28</f>
        <v>0</v>
      </c>
    </row>
    <row r="29" spans="1:39" x14ac:dyDescent="0.25">
      <c r="A29" t="s">
        <v>87</v>
      </c>
      <c r="C29">
        <v>10</v>
      </c>
      <c r="D29" s="30">
        <f t="shared" si="6"/>
        <v>234.00000000000003</v>
      </c>
      <c r="E29" s="30">
        <f t="shared" si="7"/>
        <v>244.00000000000003</v>
      </c>
      <c r="F29" s="32">
        <f t="shared" si="8"/>
        <v>1</v>
      </c>
      <c r="G29" s="27">
        <f t="shared" si="9"/>
        <v>1</v>
      </c>
      <c r="H29" s="47">
        <f t="shared" si="10"/>
        <v>260</v>
      </c>
      <c r="I29" s="47">
        <f t="shared" si="11"/>
        <v>0</v>
      </c>
      <c r="J29" s="34" t="str">
        <f>VLOOKUP($A29&amp;"Total",Rezepte!$D:$Z,19,FALSE)</f>
        <v>constructor</v>
      </c>
      <c r="K29" s="32">
        <f t="shared" si="12"/>
        <v>1</v>
      </c>
      <c r="L29" s="27">
        <f t="shared" si="13"/>
        <v>4</v>
      </c>
      <c r="M29" s="4">
        <f>VLOOKUP($A29&amp;"Total",Rezepte!$D:$Z,21,FALSE)</f>
        <v>260</v>
      </c>
      <c r="N29" s="4">
        <f>VLOOKUP($A29&amp;"Total",Rezepte!$D:$Z,20,FALSE)</f>
        <v>4</v>
      </c>
      <c r="O29" s="47">
        <v>260</v>
      </c>
      <c r="P29" t="str">
        <f>VLOOKUP($A29&amp;"Total",Rezepte!$D:$Z,4,FALSE)</f>
        <v>Steel Beam</v>
      </c>
      <c r="Q29" s="3">
        <f>VLOOKUP($A29&amp;"Total",Rezepte!$D:$Z,5,FALSE)*G29</f>
        <v>5</v>
      </c>
      <c r="R29" s="32">
        <f t="shared" si="14"/>
        <v>1</v>
      </c>
      <c r="S29" t="str">
        <f>VLOOKUP($A29&amp;"Total",Rezepte!$D:$Z,7,FALSE)</f>
        <v>nothing</v>
      </c>
      <c r="T29" s="3">
        <f>VLOOKUP($A29&amp;"Total",Rezepte!$D:$Z,8,FALSE)*G29</f>
        <v>0</v>
      </c>
      <c r="U29" s="32">
        <f t="shared" si="15"/>
        <v>0</v>
      </c>
      <c r="V29" t="str">
        <f>VLOOKUP($A29&amp;"Total",Rezepte!$D:$Z,10,FALSE)</f>
        <v>nothing</v>
      </c>
      <c r="W29" s="3">
        <f>VLOOKUP($A29&amp;"Total",Rezepte!$D:$Z,11,FALSE)*G29</f>
        <v>0</v>
      </c>
      <c r="X29" s="32">
        <f t="shared" si="16"/>
        <v>0</v>
      </c>
      <c r="Y29" t="str">
        <f>VLOOKUP($A29&amp;"Total",Rezepte!$D:$Z,13,FALSE)</f>
        <v>nothing</v>
      </c>
      <c r="Z29" s="3">
        <f>VLOOKUP($A29&amp;"Total",Rezepte!$D:$Z,14,FALSE)*G29</f>
        <v>0</v>
      </c>
      <c r="AA29" s="32">
        <f t="shared" si="17"/>
        <v>0</v>
      </c>
      <c r="AC29" s="3">
        <f>VLOOKUP($A29&amp;"Total",Rezepte!$D:$AK,24,FALSE)/100*$C29</f>
        <v>0.51282051282051277</v>
      </c>
      <c r="AD29" s="3">
        <f>VLOOKUP($A29&amp;"Total",Rezepte!$D:$AK,25,FALSE)/100*$C29</f>
        <v>0</v>
      </c>
      <c r="AE29" s="3">
        <f>VLOOKUP($A29&amp;"Total",Rezepte!$D:$AK,26,FALSE)/100*$C29</f>
        <v>0</v>
      </c>
      <c r="AF29" s="3">
        <f>VLOOKUP($A29&amp;"Total",Rezepte!$D:$AK,27,FALSE)/100*$C29</f>
        <v>0.51282051282051277</v>
      </c>
      <c r="AG29" s="3">
        <f>VLOOKUP($A29&amp;"Total",Rezepte!$D:$AK,28,FALSE)/100*$C29</f>
        <v>0</v>
      </c>
      <c r="AH29" s="3">
        <f>VLOOKUP($A29&amp;"Total",Rezepte!$D:$AK,29,FALSE)/100*$C29</f>
        <v>0</v>
      </c>
      <c r="AI29" s="3">
        <f>VLOOKUP($A29&amp;"Total",Rezepte!$D:$AK,30,FALSE)/100*$C29</f>
        <v>0</v>
      </c>
      <c r="AJ29" s="3">
        <f>VLOOKUP($A29&amp;"Total",Rezepte!$D:$AK,31,FALSE)/100*$C29</f>
        <v>0</v>
      </c>
      <c r="AK29" s="3">
        <f>VLOOKUP($A29&amp;"Total",Rezepte!$D:$AK,32,FALSE)/100*$C29</f>
        <v>0</v>
      </c>
      <c r="AL29" s="3">
        <f>VLOOKUP($A29&amp;"Total",Rezepte!$D:$AK,33,FALSE)/100*$C29</f>
        <v>0</v>
      </c>
      <c r="AM29" s="3">
        <f>VLOOKUP($A29&amp;"Total",Rezepte!$D:$AK,34,FALSE)/100*$C29</f>
        <v>0</v>
      </c>
    </row>
    <row r="30" spans="1:39" x14ac:dyDescent="0.25">
      <c r="A30" t="s">
        <v>128</v>
      </c>
      <c r="C30">
        <v>15</v>
      </c>
      <c r="D30" s="30">
        <f t="shared" si="6"/>
        <v>493.15</v>
      </c>
      <c r="E30" s="30">
        <f t="shared" si="7"/>
        <v>508.15</v>
      </c>
      <c r="F30" s="32">
        <f t="shared" si="8"/>
        <v>4</v>
      </c>
      <c r="G30" s="27">
        <f t="shared" si="9"/>
        <v>25.5</v>
      </c>
      <c r="H30" s="47">
        <f t="shared" si="10"/>
        <v>510</v>
      </c>
      <c r="I30" s="47">
        <f t="shared" si="11"/>
        <v>10</v>
      </c>
      <c r="J30" s="34" t="str">
        <f>VLOOKUP($A30&amp;"Total",Rezepte!$D:$Z,19,FALSE)</f>
        <v>constructor</v>
      </c>
      <c r="K30" s="32">
        <f t="shared" si="12"/>
        <v>4</v>
      </c>
      <c r="L30" s="27">
        <f t="shared" si="13"/>
        <v>102</v>
      </c>
      <c r="M30" s="4">
        <f>VLOOKUP($A30&amp;"Total",Rezepte!$D:$Z,21,FALSE)</f>
        <v>20</v>
      </c>
      <c r="N30" s="4">
        <f>VLOOKUP($A30&amp;"Total",Rezepte!$D:$Z,20,FALSE)</f>
        <v>4</v>
      </c>
      <c r="O30" s="47">
        <v>510</v>
      </c>
      <c r="P30" t="str">
        <f>VLOOKUP($A30&amp;"Total",Rezepte!$D:$Z,4,FALSE)</f>
        <v>Steel Ingot</v>
      </c>
      <c r="Q30" s="3">
        <f>VLOOKUP($A30&amp;"Total",Rezepte!$D:$Z,5,FALSE)*G30</f>
        <v>765</v>
      </c>
      <c r="R30" s="32">
        <f t="shared" si="14"/>
        <v>2</v>
      </c>
      <c r="S30" t="str">
        <f>VLOOKUP($A30&amp;"Total",Rezepte!$D:$Z,7,FALSE)</f>
        <v>nothing</v>
      </c>
      <c r="T30" s="3">
        <f>VLOOKUP($A30&amp;"Total",Rezepte!$D:$Z,8,FALSE)*G30</f>
        <v>0</v>
      </c>
      <c r="U30" s="32">
        <f t="shared" si="15"/>
        <v>0</v>
      </c>
      <c r="V30" t="str">
        <f>VLOOKUP($A30&amp;"Total",Rezepte!$D:$Z,10,FALSE)</f>
        <v>nothing</v>
      </c>
      <c r="W30" s="3">
        <f>VLOOKUP($A30&amp;"Total",Rezepte!$D:$Z,11,FALSE)*G30</f>
        <v>0</v>
      </c>
      <c r="X30" s="32">
        <f t="shared" si="16"/>
        <v>0</v>
      </c>
      <c r="Y30" t="str">
        <f>VLOOKUP($A30&amp;"Total",Rezepte!$D:$Z,13,FALSE)</f>
        <v>nothing</v>
      </c>
      <c r="Z30" s="3">
        <f>VLOOKUP($A30&amp;"Total",Rezepte!$D:$Z,14,FALSE)*G30</f>
        <v>0</v>
      </c>
      <c r="AA30" s="32">
        <f t="shared" si="17"/>
        <v>0</v>
      </c>
      <c r="AC30" s="3">
        <f>VLOOKUP($A30&amp;"Total",Rezepte!$D:$AK,24,FALSE)/100*$C30</f>
        <v>15</v>
      </c>
      <c r="AD30" s="3">
        <f>VLOOKUP($A30&amp;"Total",Rezepte!$D:$AK,25,FALSE)/100*$C30</f>
        <v>0</v>
      </c>
      <c r="AE30" s="3">
        <f>VLOOKUP($A30&amp;"Total",Rezepte!$D:$AK,26,FALSE)/100*$C30</f>
        <v>0</v>
      </c>
      <c r="AF30" s="3">
        <f>VLOOKUP($A30&amp;"Total",Rezepte!$D:$AK,27,FALSE)/100*$C30</f>
        <v>15</v>
      </c>
      <c r="AG30" s="3">
        <f>VLOOKUP($A30&amp;"Total",Rezepte!$D:$AK,28,FALSE)/100*$C30</f>
        <v>0</v>
      </c>
      <c r="AH30" s="3">
        <f>VLOOKUP($A30&amp;"Total",Rezepte!$D:$AK,29,FALSE)/100*$C30</f>
        <v>0</v>
      </c>
      <c r="AI30" s="3">
        <f>VLOOKUP($A30&amp;"Total",Rezepte!$D:$AK,30,FALSE)/100*$C30</f>
        <v>0</v>
      </c>
      <c r="AJ30" s="3">
        <f>VLOOKUP($A30&amp;"Total",Rezepte!$D:$AK,31,FALSE)/100*$C30</f>
        <v>0</v>
      </c>
      <c r="AK30" s="3">
        <f>VLOOKUP($A30&amp;"Total",Rezepte!$D:$AK,32,FALSE)/100*$C30</f>
        <v>0</v>
      </c>
      <c r="AL30" s="3">
        <f>VLOOKUP($A30&amp;"Total",Rezepte!$D:$AK,33,FALSE)/100*$C30</f>
        <v>0</v>
      </c>
      <c r="AM30" s="3">
        <f>VLOOKUP($A30&amp;"Total",Rezepte!$D:$AK,34,FALSE)/100*$C30</f>
        <v>0</v>
      </c>
    </row>
    <row r="31" spans="1:39" x14ac:dyDescent="0.25">
      <c r="A31" t="s">
        <v>66</v>
      </c>
      <c r="C31">
        <v>15</v>
      </c>
      <c r="D31" s="30">
        <f t="shared" si="6"/>
        <v>303.125</v>
      </c>
      <c r="E31" s="30">
        <f t="shared" ref="E31:E37" si="18">D31+C31</f>
        <v>318.125</v>
      </c>
      <c r="F31" s="32">
        <f t="shared" si="8"/>
        <v>2</v>
      </c>
      <c r="G31" s="27">
        <f t="shared" ref="G31:G37" si="19">ROUNDUP((C31+D31)/M31,1)</f>
        <v>21.3</v>
      </c>
      <c r="H31" s="47">
        <f t="shared" ref="H31:H37" si="20">G31*M31</f>
        <v>319.5</v>
      </c>
      <c r="I31" s="47">
        <f t="shared" ref="I31:I37" si="21">MOD(H31,M31)</f>
        <v>4.5</v>
      </c>
      <c r="J31" s="34" t="str">
        <f>VLOOKUP($A31&amp;"Total",Rezepte!$D:$Z,19,FALSE)</f>
        <v>constructor</v>
      </c>
      <c r="K31" s="32">
        <f t="shared" si="12"/>
        <v>2</v>
      </c>
      <c r="L31" s="27">
        <f t="shared" ref="L31:L37" si="22">G31*N31</f>
        <v>85.2</v>
      </c>
      <c r="M31" s="4">
        <f>VLOOKUP($A31&amp;"Total",Rezepte!$D:$Z,21,FALSE)</f>
        <v>15</v>
      </c>
      <c r="N31" s="4">
        <f>VLOOKUP($A31&amp;"Total",Rezepte!$D:$Z,20,FALSE)</f>
        <v>4</v>
      </c>
      <c r="O31" s="47">
        <v>319.5</v>
      </c>
      <c r="P31" t="str">
        <f>VLOOKUP($A31&amp;"Total",Rezepte!$D:$Z,4,FALSE)</f>
        <v>Limestone</v>
      </c>
      <c r="Q31" s="3">
        <f>VLOOKUP($A31&amp;"Total",Rezepte!$D:$Z,5,FALSE)*G31</f>
        <v>958.5</v>
      </c>
      <c r="R31" s="32">
        <f t="shared" si="14"/>
        <v>2</v>
      </c>
      <c r="S31" t="str">
        <f>VLOOKUP($A31&amp;"Total",Rezepte!$D:$Z,7,FALSE)</f>
        <v>nothing</v>
      </c>
      <c r="T31" s="3">
        <f>VLOOKUP($A31&amp;"Total",Rezepte!$D:$Z,8,FALSE)*G31</f>
        <v>0</v>
      </c>
      <c r="U31" s="32">
        <f t="shared" si="15"/>
        <v>0</v>
      </c>
      <c r="V31" t="str">
        <f>VLOOKUP($A31&amp;"Total",Rezepte!$D:$Z,10,FALSE)</f>
        <v>nothing</v>
      </c>
      <c r="W31" s="3">
        <f>VLOOKUP($A31&amp;"Total",Rezepte!$D:$Z,11,FALSE)*G31</f>
        <v>0</v>
      </c>
      <c r="X31" s="32">
        <f t="shared" si="16"/>
        <v>0</v>
      </c>
      <c r="Y31" t="str">
        <f>VLOOKUP($A31&amp;"Total",Rezepte!$D:$Z,13,FALSE)</f>
        <v>nothing</v>
      </c>
      <c r="Z31" s="3">
        <f>VLOOKUP($A31&amp;"Total",Rezepte!$D:$Z,14,FALSE)*G31</f>
        <v>0</v>
      </c>
      <c r="AA31" s="32">
        <f t="shared" si="17"/>
        <v>0</v>
      </c>
      <c r="AC31" s="3">
        <f>VLOOKUP($A31&amp;"Total",Rezepte!$D:$AK,24,FALSE)/100*$C31</f>
        <v>0</v>
      </c>
      <c r="AD31" s="3">
        <f>VLOOKUP($A31&amp;"Total",Rezepte!$D:$AK,25,FALSE)/100*$C31</f>
        <v>0</v>
      </c>
      <c r="AE31" s="3">
        <f>VLOOKUP($A31&amp;"Total",Rezepte!$D:$AK,26,FALSE)/100*$C31</f>
        <v>45</v>
      </c>
      <c r="AF31" s="3">
        <f>VLOOKUP($A31&amp;"Total",Rezepte!$D:$AK,27,FALSE)/100*$C31</f>
        <v>0</v>
      </c>
      <c r="AG31" s="3">
        <f>VLOOKUP($A31&amp;"Total",Rezepte!$D:$AK,28,FALSE)/100*$C31</f>
        <v>0</v>
      </c>
      <c r="AH31" s="3">
        <f>VLOOKUP($A31&amp;"Total",Rezepte!$D:$AK,29,FALSE)/100*$C31</f>
        <v>0</v>
      </c>
      <c r="AI31" s="3">
        <f>VLOOKUP($A31&amp;"Total",Rezepte!$D:$AK,30,FALSE)/100*$C31</f>
        <v>0</v>
      </c>
      <c r="AJ31" s="3">
        <f>VLOOKUP($A31&amp;"Total",Rezepte!$D:$AK,31,FALSE)/100*$C31</f>
        <v>0</v>
      </c>
      <c r="AK31" s="3">
        <f>VLOOKUP($A31&amp;"Total",Rezepte!$D:$AK,32,FALSE)/100*$C31</f>
        <v>0</v>
      </c>
      <c r="AL31" s="3">
        <f>VLOOKUP($A31&amp;"Total",Rezepte!$D:$AK,33,FALSE)/100*$C31</f>
        <v>0</v>
      </c>
      <c r="AM31" s="3">
        <f>VLOOKUP($A31&amp;"Total",Rezepte!$D:$AK,34,FALSE)/100*$C31</f>
        <v>0</v>
      </c>
    </row>
    <row r="32" spans="1:39" x14ac:dyDescent="0.25">
      <c r="A32" t="s">
        <v>126</v>
      </c>
      <c r="C32">
        <v>36</v>
      </c>
      <c r="D32" s="30">
        <f t="shared" si="6"/>
        <v>16.875</v>
      </c>
      <c r="E32" s="30">
        <f t="shared" si="18"/>
        <v>52.875</v>
      </c>
      <c r="F32" s="32">
        <f t="shared" si="8"/>
        <v>1</v>
      </c>
      <c r="G32" s="27">
        <f t="shared" si="19"/>
        <v>13.299999999999999</v>
      </c>
      <c r="H32" s="47">
        <f t="shared" si="20"/>
        <v>53.199999999999996</v>
      </c>
      <c r="I32" s="47">
        <f t="shared" si="21"/>
        <v>1.1999999999999957</v>
      </c>
      <c r="J32" s="34" t="str">
        <f>VLOOKUP($A32&amp;"Total",Rezepte!$D:$Z,19,FALSE)</f>
        <v>Assembler</v>
      </c>
      <c r="K32" s="32">
        <f t="shared" si="12"/>
        <v>1</v>
      </c>
      <c r="L32" s="27">
        <f t="shared" si="22"/>
        <v>199.49999999999997</v>
      </c>
      <c r="M32" s="4">
        <f>VLOOKUP($A32&amp;"Total",Rezepte!$D:$Z,21,FALSE)</f>
        <v>4</v>
      </c>
      <c r="N32" s="4">
        <f>VLOOKUP($A32&amp;"Total",Rezepte!$D:$Z,20,FALSE)</f>
        <v>15</v>
      </c>
      <c r="O32" s="47">
        <v>53.2</v>
      </c>
      <c r="P32" t="str">
        <f>VLOOKUP($A32&amp;"Total",Rezepte!$D:$Z,4,FALSE)</f>
        <v>Steel Pipe</v>
      </c>
      <c r="Q32" s="3">
        <f>VLOOKUP($A32&amp;"Total",Rezepte!$D:$Z,5,FALSE)*G32</f>
        <v>372.4</v>
      </c>
      <c r="R32" s="32">
        <f t="shared" si="14"/>
        <v>1</v>
      </c>
      <c r="S32" t="str">
        <f>VLOOKUP($A32&amp;"Total",Rezepte!$D:$Z,7,FALSE)</f>
        <v>Concrete</v>
      </c>
      <c r="T32" s="3">
        <f>VLOOKUP($A32&amp;"Total",Rezepte!$D:$Z,8,FALSE)*G32</f>
        <v>266</v>
      </c>
      <c r="U32" s="32">
        <f t="shared" si="15"/>
        <v>1</v>
      </c>
      <c r="V32" t="str">
        <f>VLOOKUP($A32&amp;"Total",Rezepte!$D:$Z,10,FALSE)</f>
        <v>nothing</v>
      </c>
      <c r="W32" s="3">
        <f>VLOOKUP($A32&amp;"Total",Rezepte!$D:$Z,11,FALSE)*G32</f>
        <v>0</v>
      </c>
      <c r="X32" s="32">
        <f t="shared" si="16"/>
        <v>0</v>
      </c>
      <c r="Y32" t="str">
        <f>VLOOKUP($A32&amp;"Total",Rezepte!$D:$Z,13,FALSE)</f>
        <v>nothing</v>
      </c>
      <c r="Z32" s="3">
        <f>VLOOKUP($A32&amp;"Total",Rezepte!$D:$Z,14,FALSE)*G32</f>
        <v>0</v>
      </c>
      <c r="AA32" s="32">
        <f t="shared" si="17"/>
        <v>0</v>
      </c>
      <c r="AC32" s="3">
        <f>VLOOKUP($A32&amp;"Total",Rezepte!$D:$AK,24,FALSE)/100*$C32</f>
        <v>252</v>
      </c>
      <c r="AD32" s="3">
        <f>VLOOKUP($A32&amp;"Total",Rezepte!$D:$AK,25,FALSE)/100*$C32</f>
        <v>0</v>
      </c>
      <c r="AE32" s="3">
        <f>VLOOKUP($A32&amp;"Total",Rezepte!$D:$AK,26,FALSE)/100*$C32</f>
        <v>540</v>
      </c>
      <c r="AF32" s="3">
        <f>VLOOKUP($A32&amp;"Total",Rezepte!$D:$AK,27,FALSE)/100*$C32</f>
        <v>252</v>
      </c>
      <c r="AG32" s="3">
        <f>VLOOKUP($A32&amp;"Total",Rezepte!$D:$AK,28,FALSE)/100*$C32</f>
        <v>0</v>
      </c>
      <c r="AH32" s="3">
        <f>VLOOKUP($A32&amp;"Total",Rezepte!$D:$AK,29,FALSE)/100*$C32</f>
        <v>0</v>
      </c>
      <c r="AI32" s="3">
        <f>VLOOKUP($A32&amp;"Total",Rezepte!$D:$AK,30,FALSE)/100*$C32</f>
        <v>0</v>
      </c>
      <c r="AJ32" s="3">
        <f>VLOOKUP($A32&amp;"Total",Rezepte!$D:$AK,31,FALSE)/100*$C32</f>
        <v>0</v>
      </c>
      <c r="AK32" s="3">
        <f>VLOOKUP($A32&amp;"Total",Rezepte!$D:$AK,32,FALSE)/100*$C32</f>
        <v>0</v>
      </c>
      <c r="AL32" s="3">
        <f>VLOOKUP($A32&amp;"Total",Rezepte!$D:$AK,33,FALSE)/100*$C32</f>
        <v>0</v>
      </c>
      <c r="AM32" s="3">
        <f>VLOOKUP($A32&amp;"Total",Rezepte!$D:$AK,34,FALSE)/100*$C32</f>
        <v>0</v>
      </c>
    </row>
    <row r="33" spans="1:39" x14ac:dyDescent="0.25">
      <c r="A33" t="s">
        <v>114</v>
      </c>
      <c r="C33">
        <v>15</v>
      </c>
      <c r="D33" s="30">
        <f t="shared" si="6"/>
        <v>10.399999999999999</v>
      </c>
      <c r="E33" s="30">
        <f t="shared" si="18"/>
        <v>25.4</v>
      </c>
      <c r="F33" s="32">
        <f t="shared" si="8"/>
        <v>1</v>
      </c>
      <c r="G33" s="27">
        <f t="shared" si="19"/>
        <v>4.5999999999999996</v>
      </c>
      <c r="H33" s="47">
        <f t="shared" si="20"/>
        <v>25.874999999999996</v>
      </c>
      <c r="I33" s="47">
        <f t="shared" si="21"/>
        <v>3.3749999999999964</v>
      </c>
      <c r="J33" s="34" t="str">
        <f>VLOOKUP($A33&amp;"Total",Rezepte!$D:$Z,19,FALSE)</f>
        <v>Assembler</v>
      </c>
      <c r="K33" s="32">
        <f t="shared" si="12"/>
        <v>1</v>
      </c>
      <c r="L33" s="27">
        <f t="shared" si="22"/>
        <v>69</v>
      </c>
      <c r="M33" s="4">
        <f>VLOOKUP($A33&amp;"Total",Rezepte!$D:$Z,21,FALSE)</f>
        <v>5.625</v>
      </c>
      <c r="N33" s="4">
        <f>VLOOKUP($A33&amp;"Total",Rezepte!$D:$Z,20,FALSE)</f>
        <v>15</v>
      </c>
      <c r="O33" s="47">
        <v>25.882999999999999</v>
      </c>
      <c r="P33" t="str">
        <f>VLOOKUP($A33&amp;"Total",Rezepte!$D:$Z,4,FALSE)</f>
        <v>Iron Plate</v>
      </c>
      <c r="Q33" s="3">
        <f>VLOOKUP($A33&amp;"Total",Rezepte!$D:$Z,5,FALSE)*G33</f>
        <v>86.25</v>
      </c>
      <c r="R33" s="32">
        <f t="shared" si="14"/>
        <v>1</v>
      </c>
      <c r="S33" t="str">
        <f>VLOOKUP($A33&amp;"Total",Rezepte!$D:$Z,7,FALSE)</f>
        <v>Wire</v>
      </c>
      <c r="T33" s="3">
        <f>VLOOKUP($A33&amp;"Total",Rezepte!$D:$Z,8,FALSE)*G33</f>
        <v>172.5</v>
      </c>
      <c r="U33" s="32">
        <f t="shared" si="15"/>
        <v>1</v>
      </c>
      <c r="V33" t="str">
        <f>VLOOKUP($A33&amp;"Total",Rezepte!$D:$Z,10,FALSE)</f>
        <v>nothing</v>
      </c>
      <c r="W33" s="3">
        <f>VLOOKUP($A33&amp;"Total",Rezepte!$D:$Z,11,FALSE)*G33</f>
        <v>0</v>
      </c>
      <c r="X33" s="32">
        <f t="shared" si="16"/>
        <v>0</v>
      </c>
      <c r="Y33" t="str">
        <f>VLOOKUP($A33&amp;"Total",Rezepte!$D:$Z,13,FALSE)</f>
        <v>nothing</v>
      </c>
      <c r="Z33" s="3">
        <f>VLOOKUP($A33&amp;"Total",Rezepte!$D:$Z,14,FALSE)*G33</f>
        <v>0</v>
      </c>
      <c r="AA33" s="32">
        <f t="shared" si="17"/>
        <v>0</v>
      </c>
      <c r="AC33" s="3">
        <f>VLOOKUP($A33&amp;"Total",Rezepte!$D:$AK,24,FALSE)/100*$C33</f>
        <v>75.000000000000014</v>
      </c>
      <c r="AD33" s="3">
        <f>VLOOKUP($A33&amp;"Total",Rezepte!$D:$AK,25,FALSE)/100*$C33</f>
        <v>0</v>
      </c>
      <c r="AE33" s="3">
        <f>VLOOKUP($A33&amp;"Total",Rezepte!$D:$AK,26,FALSE)/100*$C33</f>
        <v>0</v>
      </c>
      <c r="AF33" s="3">
        <f>VLOOKUP($A33&amp;"Total",Rezepte!$D:$AK,27,FALSE)/100*$C33</f>
        <v>0</v>
      </c>
      <c r="AG33" s="3">
        <f>VLOOKUP($A33&amp;"Total",Rezepte!$D:$AK,28,FALSE)/100*$C33</f>
        <v>37.500000000000007</v>
      </c>
      <c r="AH33" s="3">
        <f>VLOOKUP($A33&amp;"Total",Rezepte!$D:$AK,29,FALSE)/100*$C33</f>
        <v>0</v>
      </c>
      <c r="AI33" s="3">
        <f>VLOOKUP($A33&amp;"Total",Rezepte!$D:$AK,30,FALSE)/100*$C33</f>
        <v>0</v>
      </c>
      <c r="AJ33" s="3">
        <f>VLOOKUP($A33&amp;"Total",Rezepte!$D:$AK,31,FALSE)/100*$C33</f>
        <v>0</v>
      </c>
      <c r="AK33" s="3">
        <f>VLOOKUP($A33&amp;"Total",Rezepte!$D:$AK,32,FALSE)/100*$C33</f>
        <v>0</v>
      </c>
      <c r="AL33" s="3">
        <f>VLOOKUP($A33&amp;"Total",Rezepte!$D:$AK,33,FALSE)/100*$C33</f>
        <v>0</v>
      </c>
      <c r="AM33" s="3">
        <f>VLOOKUP($A33&amp;"Total",Rezepte!$D:$AK,34,FALSE)/100*$C33</f>
        <v>0</v>
      </c>
    </row>
    <row r="34" spans="1:39" x14ac:dyDescent="0.25">
      <c r="A34" t="s">
        <v>132</v>
      </c>
      <c r="C34">
        <v>2</v>
      </c>
      <c r="D34" s="30">
        <f t="shared" si="6"/>
        <v>13.5</v>
      </c>
      <c r="E34" s="30">
        <f t="shared" si="18"/>
        <v>15.5</v>
      </c>
      <c r="F34" s="32">
        <f t="shared" si="8"/>
        <v>1</v>
      </c>
      <c r="G34" s="27">
        <f t="shared" si="19"/>
        <v>5.1999999999999993</v>
      </c>
      <c r="H34" s="47">
        <f t="shared" si="20"/>
        <v>15.599999999999998</v>
      </c>
      <c r="I34" s="47">
        <f t="shared" si="21"/>
        <v>0.59999999999999787</v>
      </c>
      <c r="J34" s="34" t="str">
        <f>VLOOKUP($A34&amp;"Total",Rezepte!$D:$Z,19,FALSE)</f>
        <v>Assembler</v>
      </c>
      <c r="K34" s="32">
        <f t="shared" si="12"/>
        <v>1</v>
      </c>
      <c r="L34" s="27">
        <f t="shared" si="22"/>
        <v>77.999999999999986</v>
      </c>
      <c r="M34" s="4">
        <f>VLOOKUP($A34&amp;"Total",Rezepte!$D:$Z,21,FALSE)</f>
        <v>3</v>
      </c>
      <c r="N34" s="4">
        <f>VLOOKUP($A34&amp;"Total",Rezepte!$D:$Z,20,FALSE)</f>
        <v>15</v>
      </c>
      <c r="O34" s="47">
        <v>15.6</v>
      </c>
      <c r="P34" t="str">
        <f>VLOOKUP($A34&amp;"Total",Rezepte!$D:$Z,4,FALSE)</f>
        <v>reinforced Plate</v>
      </c>
      <c r="Q34" s="3">
        <f>VLOOKUP($A34&amp;"Total",Rezepte!$D:$Z,5,FALSE)*G34</f>
        <v>10.399999999999999</v>
      </c>
      <c r="R34" s="32">
        <f t="shared" si="14"/>
        <v>1</v>
      </c>
      <c r="S34" t="str">
        <f>VLOOKUP($A34&amp;"Total",Rezepte!$D:$Z,7,FALSE)</f>
        <v>Steel Pipe</v>
      </c>
      <c r="T34" s="3">
        <f>VLOOKUP($A34&amp;"Total",Rezepte!$D:$Z,8,FALSE)*G34</f>
        <v>51.999999999999993</v>
      </c>
      <c r="U34" s="32">
        <f t="shared" si="15"/>
        <v>1</v>
      </c>
      <c r="V34" t="str">
        <f>VLOOKUP($A34&amp;"Total",Rezepte!$D:$Z,10,FALSE)</f>
        <v>nothing</v>
      </c>
      <c r="W34" s="3">
        <f>VLOOKUP($A34&amp;"Total",Rezepte!$D:$Z,11,FALSE)*G34</f>
        <v>0</v>
      </c>
      <c r="X34" s="32">
        <f t="shared" si="16"/>
        <v>0</v>
      </c>
      <c r="Y34" t="str">
        <f>VLOOKUP($A34&amp;"Total",Rezepte!$D:$Z,13,FALSE)</f>
        <v>nothing</v>
      </c>
      <c r="Z34" s="3">
        <f>VLOOKUP($A34&amp;"Total",Rezepte!$D:$Z,14,FALSE)*G34</f>
        <v>0</v>
      </c>
      <c r="AA34" s="32">
        <f t="shared" si="17"/>
        <v>0</v>
      </c>
      <c r="AC34" s="3">
        <f>VLOOKUP($A34&amp;"Total",Rezepte!$D:$AK,24,FALSE)/100*$C34</f>
        <v>13.333333333333336</v>
      </c>
      <c r="AD34" s="3">
        <f>VLOOKUP($A34&amp;"Total",Rezepte!$D:$AK,25,FALSE)/100*$C34</f>
        <v>0</v>
      </c>
      <c r="AE34" s="3">
        <f>VLOOKUP($A34&amp;"Total",Rezepte!$D:$AK,26,FALSE)/100*$C34</f>
        <v>0</v>
      </c>
      <c r="AF34" s="3">
        <f>VLOOKUP($A34&amp;"Total",Rezepte!$D:$AK,27,FALSE)/100*$C34</f>
        <v>6.6666666666666679</v>
      </c>
      <c r="AG34" s="3">
        <f>VLOOKUP($A34&amp;"Total",Rezepte!$D:$AK,28,FALSE)/100*$C34</f>
        <v>3.3333333333333344</v>
      </c>
      <c r="AH34" s="3">
        <f>VLOOKUP($A34&amp;"Total",Rezepte!$D:$AK,29,FALSE)/100*$C34</f>
        <v>0</v>
      </c>
      <c r="AI34" s="3">
        <f>VLOOKUP($A34&amp;"Total",Rezepte!$D:$AK,30,FALSE)/100*$C34</f>
        <v>0</v>
      </c>
      <c r="AJ34" s="3">
        <f>VLOOKUP($A34&amp;"Total",Rezepte!$D:$AK,31,FALSE)/100*$C34</f>
        <v>0</v>
      </c>
      <c r="AK34" s="3">
        <f>VLOOKUP($A34&amp;"Total",Rezepte!$D:$AK,32,FALSE)/100*$C34</f>
        <v>0</v>
      </c>
      <c r="AL34" s="3">
        <f>VLOOKUP($A34&amp;"Total",Rezepte!$D:$AK,33,FALSE)/100*$C34</f>
        <v>0</v>
      </c>
      <c r="AM34" s="3">
        <f>VLOOKUP($A34&amp;"Total",Rezepte!$D:$AK,34,FALSE)/100*$C34</f>
        <v>0</v>
      </c>
    </row>
    <row r="35" spans="1:39" x14ac:dyDescent="0.25">
      <c r="A35" t="s">
        <v>136</v>
      </c>
      <c r="C35">
        <v>5</v>
      </c>
      <c r="D35" s="30">
        <f t="shared" si="6"/>
        <v>0</v>
      </c>
      <c r="E35" s="30">
        <f t="shared" si="18"/>
        <v>5</v>
      </c>
      <c r="F35" s="32">
        <f t="shared" si="8"/>
        <v>0</v>
      </c>
      <c r="G35" s="27">
        <f t="shared" si="19"/>
        <v>1.8</v>
      </c>
      <c r="H35" s="47">
        <f t="shared" si="20"/>
        <v>5.0625</v>
      </c>
      <c r="I35" s="47">
        <f t="shared" si="21"/>
        <v>2.25</v>
      </c>
      <c r="J35" s="34" t="str">
        <f>VLOOKUP($A35&amp;"Total",Rezepte!$D:$Z,19,FALSE)</f>
        <v>Manufactirer</v>
      </c>
      <c r="K35" s="32">
        <f t="shared" si="12"/>
        <v>0</v>
      </c>
      <c r="L35" s="27">
        <f t="shared" si="22"/>
        <v>99</v>
      </c>
      <c r="M35" s="4">
        <f>VLOOKUP($A35&amp;"Total",Rezepte!$D:$Z,21,FALSE)</f>
        <v>2.8125</v>
      </c>
      <c r="N35" s="4">
        <f>VLOOKUP($A35&amp;"Total",Rezepte!$D:$Z,20,FALSE)</f>
        <v>55</v>
      </c>
      <c r="O35" s="47">
        <v>5.07</v>
      </c>
      <c r="P35" t="str">
        <f>VLOOKUP($A35&amp;"Total",Rezepte!$D:$Z,4,FALSE)</f>
        <v>Modular Frame</v>
      </c>
      <c r="Q35" s="3">
        <f>VLOOKUP($A35&amp;"Total",Rezepte!$D:$Z,5,FALSE)*G35</f>
        <v>13.5</v>
      </c>
      <c r="R35" s="32">
        <f t="shared" si="14"/>
        <v>1</v>
      </c>
      <c r="S35" t="str">
        <f>VLOOKUP($A35&amp;"Total",Rezepte!$D:$Z,7,FALSE)</f>
        <v>Encased Industrial Beam</v>
      </c>
      <c r="T35" s="3">
        <f>VLOOKUP($A35&amp;"Total",Rezepte!$D:$Z,8,FALSE)*G35</f>
        <v>16.875</v>
      </c>
      <c r="U35" s="32">
        <f t="shared" si="15"/>
        <v>1</v>
      </c>
      <c r="V35" t="str">
        <f>VLOOKUP($A35&amp;"Total",Rezepte!$D:$Z,10,FALSE)</f>
        <v>Steel Pipe</v>
      </c>
      <c r="W35" s="3">
        <f>VLOOKUP($A35&amp;"Total",Rezepte!$D:$Z,11,FALSE)*G35</f>
        <v>60.75</v>
      </c>
      <c r="X35" s="32">
        <f t="shared" si="16"/>
        <v>1</v>
      </c>
      <c r="Y35" t="str">
        <f>VLOOKUP($A35&amp;"Total",Rezepte!$D:$Z,13,FALSE)</f>
        <v>Concrete</v>
      </c>
      <c r="Z35" s="3">
        <f>VLOOKUP($A35&amp;"Total",Rezepte!$D:$Z,14,FALSE)*G35</f>
        <v>37.125</v>
      </c>
      <c r="AA35" s="32">
        <f t="shared" si="17"/>
        <v>1</v>
      </c>
      <c r="AC35" s="3">
        <f>VLOOKUP($A35&amp;"Total",Rezepte!$D:$AK,24,FALSE)/100*$C35</f>
        <v>265.5555555555556</v>
      </c>
      <c r="AD35" s="3">
        <f>VLOOKUP($A35&amp;"Total",Rezepte!$D:$AK,25,FALSE)/100*$C35</f>
        <v>0</v>
      </c>
      <c r="AE35" s="3">
        <f>VLOOKUP($A35&amp;"Total",Rezepte!$D:$AK,26,FALSE)/100*$C35</f>
        <v>360.00000000000006</v>
      </c>
      <c r="AF35" s="3">
        <f>VLOOKUP($A35&amp;"Total",Rezepte!$D:$AK,27,FALSE)/100*$C35</f>
        <v>221.11111111111114</v>
      </c>
      <c r="AG35" s="3">
        <f>VLOOKUP($A35&amp;"Total",Rezepte!$D:$AK,28,FALSE)/100*$C35</f>
        <v>22.222222222222229</v>
      </c>
      <c r="AH35" s="3">
        <f>VLOOKUP($A35&amp;"Total",Rezepte!$D:$AK,29,FALSE)/100*$C35</f>
        <v>0</v>
      </c>
      <c r="AI35" s="3">
        <f>VLOOKUP($A35&amp;"Total",Rezepte!$D:$AK,30,FALSE)/100*$C35</f>
        <v>0</v>
      </c>
      <c r="AJ35" s="3">
        <f>VLOOKUP($A35&amp;"Total",Rezepte!$D:$AK,31,FALSE)/100*$C35</f>
        <v>0</v>
      </c>
      <c r="AK35" s="3">
        <f>VLOOKUP($A35&amp;"Total",Rezepte!$D:$AK,32,FALSE)/100*$C35</f>
        <v>0</v>
      </c>
      <c r="AL35" s="3">
        <f>VLOOKUP($A35&amp;"Total",Rezepte!$D:$AK,33,FALSE)/100*$C35</f>
        <v>0</v>
      </c>
      <c r="AM35" s="3">
        <f>VLOOKUP($A35&amp;"Total",Rezepte!$D:$AK,34,FALSE)/100*$C35</f>
        <v>0</v>
      </c>
    </row>
    <row r="36" spans="1:39" x14ac:dyDescent="0.25">
      <c r="A36" t="s">
        <v>139</v>
      </c>
      <c r="C36">
        <v>10</v>
      </c>
      <c r="D36" s="30">
        <f t="shared" si="6"/>
        <v>2.625</v>
      </c>
      <c r="E36" s="30">
        <f t="shared" si="18"/>
        <v>12.625</v>
      </c>
      <c r="F36" s="32">
        <f t="shared" si="8"/>
        <v>1</v>
      </c>
      <c r="G36" s="27">
        <f t="shared" si="19"/>
        <v>1.2000000000000002</v>
      </c>
      <c r="H36" s="47">
        <f t="shared" si="20"/>
        <v>13.500000000000002</v>
      </c>
      <c r="I36" s="47">
        <f t="shared" si="21"/>
        <v>2.2500000000000018</v>
      </c>
      <c r="J36" s="34" t="str">
        <f>VLOOKUP($A36&amp;"Total",Rezepte!$D:$Z,19,FALSE)</f>
        <v>Assembler</v>
      </c>
      <c r="K36" s="32">
        <f t="shared" si="12"/>
        <v>1</v>
      </c>
      <c r="L36" s="27">
        <f t="shared" si="22"/>
        <v>18.000000000000004</v>
      </c>
      <c r="M36" s="4">
        <f>VLOOKUP($A36&amp;"Total",Rezepte!$D:$Z,21,FALSE)</f>
        <v>11.25</v>
      </c>
      <c r="N36" s="4">
        <f>VLOOKUP($A36&amp;"Total",Rezepte!$D:$Z,20,FALSE)</f>
        <v>15</v>
      </c>
      <c r="O36" s="47">
        <v>13.5</v>
      </c>
      <c r="P36" t="str">
        <f>VLOOKUP($A36&amp;"Total",Rezepte!$D:$Z,4,FALSE)</f>
        <v>Copper Sheet</v>
      </c>
      <c r="Q36" s="3">
        <f>VLOOKUP($A36&amp;"Total",Rezepte!$D:$Z,5,FALSE)*G36</f>
        <v>27.000000000000004</v>
      </c>
      <c r="R36" s="32">
        <f t="shared" si="14"/>
        <v>1</v>
      </c>
      <c r="S36" t="str">
        <f>VLOOKUP($A36&amp;"Total",Rezepte!$D:$Z,7,FALSE)</f>
        <v>Screw</v>
      </c>
      <c r="T36" s="3">
        <f>VLOOKUP($A36&amp;"Total",Rezepte!$D:$Z,8,FALSE)*G36</f>
        <v>234.00000000000003</v>
      </c>
      <c r="U36" s="32">
        <f t="shared" si="15"/>
        <v>1</v>
      </c>
      <c r="V36" t="str">
        <f>VLOOKUP($A36&amp;"Total",Rezepte!$D:$Z,10,FALSE)</f>
        <v>nothing</v>
      </c>
      <c r="W36" s="3">
        <f>VLOOKUP($A36&amp;"Total",Rezepte!$D:$Z,11,FALSE)*G36</f>
        <v>0</v>
      </c>
      <c r="X36" s="32">
        <f t="shared" si="16"/>
        <v>0</v>
      </c>
      <c r="Y36" t="str">
        <f>VLOOKUP($A36&amp;"Total",Rezepte!$D:$Z,13,FALSE)</f>
        <v>nothing</v>
      </c>
      <c r="Z36" s="3">
        <f>VLOOKUP($A36&amp;"Total",Rezepte!$D:$Z,14,FALSE)*G36</f>
        <v>0</v>
      </c>
      <c r="AA36" s="32">
        <f t="shared" si="17"/>
        <v>0</v>
      </c>
      <c r="AC36" s="3">
        <f>VLOOKUP($A36&amp;"Total",Rezepte!$D:$AK,24,FALSE)/100*$C36</f>
        <v>8.8888888888888893</v>
      </c>
      <c r="AD36" s="3">
        <f>VLOOKUP($A36&amp;"Total",Rezepte!$D:$AK,25,FALSE)/100*$C36</f>
        <v>40</v>
      </c>
      <c r="AE36" s="3">
        <f>VLOOKUP($A36&amp;"Total",Rezepte!$D:$AK,26,FALSE)/100*$C36</f>
        <v>0</v>
      </c>
      <c r="AF36" s="3">
        <f>VLOOKUP($A36&amp;"Total",Rezepte!$D:$AK,27,FALSE)/100*$C36</f>
        <v>8.8888888888888893</v>
      </c>
      <c r="AG36" s="3">
        <f>VLOOKUP($A36&amp;"Total",Rezepte!$D:$AK,28,FALSE)/100*$C36</f>
        <v>0</v>
      </c>
      <c r="AH36" s="3">
        <f>VLOOKUP($A36&amp;"Total",Rezepte!$D:$AK,29,FALSE)/100*$C36</f>
        <v>0</v>
      </c>
      <c r="AI36" s="3">
        <f>VLOOKUP($A36&amp;"Total",Rezepte!$D:$AK,30,FALSE)/100*$C36</f>
        <v>0</v>
      </c>
      <c r="AJ36" s="3">
        <f>VLOOKUP($A36&amp;"Total",Rezepte!$D:$AK,31,FALSE)/100*$C36</f>
        <v>0</v>
      </c>
      <c r="AK36" s="3">
        <f>VLOOKUP($A36&amp;"Total",Rezepte!$D:$AK,32,FALSE)/100*$C36</f>
        <v>0</v>
      </c>
      <c r="AL36" s="3">
        <f>VLOOKUP($A36&amp;"Total",Rezepte!$D:$AK,33,FALSE)/100*$C36</f>
        <v>0</v>
      </c>
      <c r="AM36" s="3">
        <f>VLOOKUP($A36&amp;"Total",Rezepte!$D:$AK,34,FALSE)/100*$C36</f>
        <v>0</v>
      </c>
    </row>
    <row r="37" spans="1:39" x14ac:dyDescent="0.25">
      <c r="A37" t="s">
        <v>117</v>
      </c>
      <c r="C37">
        <v>1</v>
      </c>
      <c r="D37" s="30">
        <f t="shared" si="6"/>
        <v>2.625</v>
      </c>
      <c r="E37" s="30">
        <f t="shared" si="18"/>
        <v>3.625</v>
      </c>
      <c r="F37" s="32">
        <f t="shared" si="8"/>
        <v>1</v>
      </c>
      <c r="G37" s="27">
        <f t="shared" si="19"/>
        <v>0.5</v>
      </c>
      <c r="H37" s="47">
        <f t="shared" si="20"/>
        <v>4</v>
      </c>
      <c r="I37" s="47">
        <f t="shared" si="21"/>
        <v>4</v>
      </c>
      <c r="J37" s="34" t="str">
        <f>VLOOKUP($A37&amp;"Total",Rezepte!$D:$Z,19,FALSE)</f>
        <v>Assembler</v>
      </c>
      <c r="K37" s="32">
        <f t="shared" si="12"/>
        <v>1</v>
      </c>
      <c r="L37" s="27">
        <f t="shared" si="22"/>
        <v>7.5</v>
      </c>
      <c r="M37" s="4">
        <f>VLOOKUP($A37&amp;"Total",Rezepte!$D:$Z,21,FALSE)</f>
        <v>8</v>
      </c>
      <c r="N37" s="4">
        <f>VLOOKUP($A37&amp;"Total",Rezepte!$D:$Z,20,FALSE)</f>
        <v>15</v>
      </c>
      <c r="O37" s="47">
        <v>4</v>
      </c>
      <c r="P37" t="str">
        <f>VLOOKUP($A37&amp;"Total",Rezepte!$D:$Z,4,FALSE)</f>
        <v>Steel Pipe</v>
      </c>
      <c r="Q37" s="3">
        <f>VLOOKUP($A37&amp;"Total",Rezepte!$D:$Z,5,FALSE)*G37</f>
        <v>8</v>
      </c>
      <c r="R37" s="32">
        <f t="shared" si="14"/>
        <v>1</v>
      </c>
      <c r="S37" t="str">
        <f>VLOOKUP($A37&amp;"Total",Rezepte!$D:$Z,7,FALSE)</f>
        <v>Quickwire</v>
      </c>
      <c r="T37" s="3">
        <f>VLOOKUP($A37&amp;"Total",Rezepte!$D:$Z,8,FALSE)*G37</f>
        <v>30</v>
      </c>
      <c r="U37" s="32">
        <f t="shared" si="15"/>
        <v>1</v>
      </c>
      <c r="V37" t="str">
        <f>VLOOKUP($A37&amp;"Total",Rezepte!$D:$Z,10,FALSE)</f>
        <v>nothing</v>
      </c>
      <c r="W37" s="3">
        <f>VLOOKUP($A37&amp;"Total",Rezepte!$D:$Z,11,FALSE)*G37</f>
        <v>0</v>
      </c>
      <c r="X37" s="32">
        <f t="shared" si="16"/>
        <v>0</v>
      </c>
      <c r="Y37" t="str">
        <f>VLOOKUP($A37&amp;"Total",Rezepte!$D:$Z,13,FALSE)</f>
        <v>nothing</v>
      </c>
      <c r="Z37" s="3">
        <f>VLOOKUP($A37&amp;"Total",Rezepte!$D:$Z,14,FALSE)*G37</f>
        <v>0</v>
      </c>
      <c r="AA37" s="32">
        <f t="shared" si="17"/>
        <v>0</v>
      </c>
      <c r="AC37" s="3">
        <f>VLOOKUP($A37&amp;"Total",Rezepte!$D:$AK,24,FALSE)/100*$C37</f>
        <v>2</v>
      </c>
      <c r="AD37" s="3">
        <f>VLOOKUP($A37&amp;"Total",Rezepte!$D:$AK,25,FALSE)/100*$C37</f>
        <v>0</v>
      </c>
      <c r="AE37" s="3">
        <f>VLOOKUP($A37&amp;"Total",Rezepte!$D:$AK,26,FALSE)/100*$C37</f>
        <v>0</v>
      </c>
      <c r="AF37" s="3">
        <f>VLOOKUP($A37&amp;"Total",Rezepte!$D:$AK,27,FALSE)/100*$C37</f>
        <v>2</v>
      </c>
      <c r="AG37" s="3">
        <f>VLOOKUP($A37&amp;"Total",Rezepte!$D:$AK,28,FALSE)/100*$C37</f>
        <v>4.5</v>
      </c>
      <c r="AH37" s="3">
        <f>VLOOKUP($A37&amp;"Total",Rezepte!$D:$AK,29,FALSE)/100*$C37</f>
        <v>0</v>
      </c>
      <c r="AI37" s="3">
        <f>VLOOKUP($A37&amp;"Total",Rezepte!$D:$AK,30,FALSE)/100*$C37</f>
        <v>0</v>
      </c>
      <c r="AJ37" s="3">
        <f>VLOOKUP($A37&amp;"Total",Rezepte!$D:$AK,31,FALSE)/100*$C37</f>
        <v>0</v>
      </c>
      <c r="AK37" s="3">
        <f>VLOOKUP($A37&amp;"Total",Rezepte!$D:$AK,32,FALSE)/100*$C37</f>
        <v>0</v>
      </c>
      <c r="AL37" s="3">
        <f>VLOOKUP($A37&amp;"Total",Rezepte!$D:$AK,33,FALSE)/100*$C37</f>
        <v>0</v>
      </c>
      <c r="AM37" s="3">
        <f>VLOOKUP($A37&amp;"Total",Rezepte!$D:$AK,34,FALSE)/100*$C37</f>
        <v>0</v>
      </c>
    </row>
    <row r="38" spans="1:39" x14ac:dyDescent="0.25">
      <c r="J38" s="34"/>
      <c r="K38" s="32"/>
      <c r="U38" s="32"/>
      <c r="X38" s="32"/>
      <c r="AA38" s="32"/>
    </row>
    <row r="39" spans="1:39" x14ac:dyDescent="0.25">
      <c r="J39" s="34"/>
      <c r="K39" s="32"/>
      <c r="U39" s="32"/>
      <c r="X39" s="32"/>
      <c r="AA39" s="32"/>
    </row>
    <row r="40" spans="1:39" x14ac:dyDescent="0.25">
      <c r="A40" t="s">
        <v>61</v>
      </c>
      <c r="D40" s="30">
        <f>SUMIFS(Q:Q,P:P,A40)+SUMIFS(T:T,S:S,A40)+SUMIFS(W:W,V:V,A40)+SUMIFS(Z:Z,Y:Y,A40)</f>
        <v>250</v>
      </c>
      <c r="E40" s="30">
        <f>D40+C40</f>
        <v>250</v>
      </c>
      <c r="F40" s="32">
        <f>COUNTIFS(P:P,A40,Q:Q,"&gt;0")+COUNTIFS(S:S,A40,T:T,"&gt;0")+COUNTIFS(V:V,A40,W:W,"&gt;0")+COUNTIFS(Y:Y,A40,Z:Z,"&gt;0")</f>
        <v>1</v>
      </c>
      <c r="G40" s="27">
        <f>ROUNDUP((C40+D40)/M40,1)</f>
        <v>8.4</v>
      </c>
      <c r="H40" s="47">
        <f t="shared" si="10"/>
        <v>252</v>
      </c>
      <c r="I40" s="47">
        <f t="shared" si="11"/>
        <v>12</v>
      </c>
      <c r="J40" s="34" t="str">
        <f>VLOOKUP($A40&amp;"Total",Rezepte!$D:$Z,19,FALSE)</f>
        <v>smelter</v>
      </c>
      <c r="K40" s="32">
        <f>SUMIFS(R:R,P:P,A40)+SUMIFS(U:U,S:S,A40)+SUMIFS(X:X,V:V,A40)+SUMIFS(AA:AA,Y:Y,A40)</f>
        <v>1</v>
      </c>
      <c r="L40" s="27">
        <f>G40*N40</f>
        <v>33.6</v>
      </c>
      <c r="M40" s="4">
        <f>VLOOKUP($A40&amp;"Total",Rezepte!$D:$Z,21,FALSE)</f>
        <v>30</v>
      </c>
      <c r="N40" s="4">
        <f>VLOOKUP($A40&amp;"Total",Rezepte!$D:$Z,20,FALSE)</f>
        <v>4</v>
      </c>
      <c r="O40" s="47">
        <v>252</v>
      </c>
      <c r="P40" t="str">
        <f>VLOOKUP($A40&amp;"Total",Rezepte!$D:$Z,4,FALSE)</f>
        <v>Copper Ore</v>
      </c>
      <c r="Q40" s="3">
        <f>VLOOKUP($A40&amp;"Total",Rezepte!$D:$Z,5,FALSE)*G40</f>
        <v>252</v>
      </c>
      <c r="R40" s="32">
        <f>ROUNDUP(Q40/$P$78,0)</f>
        <v>1</v>
      </c>
      <c r="S40" t="str">
        <f>VLOOKUP($A40&amp;"Total",Rezepte!$D:$Z,7,FALSE)</f>
        <v>nothing</v>
      </c>
      <c r="T40" s="3">
        <f>VLOOKUP($A40&amp;"Total",Rezepte!$D:$Z,8,FALSE)*G40</f>
        <v>0</v>
      </c>
      <c r="U40" s="32">
        <f>ROUNDUP(T40/$P$78,0)</f>
        <v>0</v>
      </c>
      <c r="V40" t="str">
        <f>VLOOKUP($A40&amp;"Total",Rezepte!$D:$Z,10,FALSE)</f>
        <v>nothing</v>
      </c>
      <c r="W40" s="3">
        <f>VLOOKUP($A40&amp;"Total",Rezepte!$D:$Z,11,FALSE)*G40</f>
        <v>0</v>
      </c>
      <c r="X40" s="32">
        <f>ROUNDUP(W40/$P$78,0)</f>
        <v>0</v>
      </c>
      <c r="Y40" t="str">
        <f>VLOOKUP($A40&amp;"Total",Rezepte!$D:$Z,13,FALSE)</f>
        <v>nothing</v>
      </c>
      <c r="Z40" s="3">
        <f>VLOOKUP($A40&amp;"Total",Rezepte!$D:$Z,14,FALSE)*G40</f>
        <v>0</v>
      </c>
      <c r="AA40" s="32">
        <f>ROUNDUP(Z40/$P$78,0)</f>
        <v>0</v>
      </c>
      <c r="AC40" s="3">
        <f>VLOOKUP($A40&amp;"Total",Rezepte!$D:$AK,24,FALSE)/100*$C40</f>
        <v>0</v>
      </c>
      <c r="AD40" s="3">
        <f>VLOOKUP($A40&amp;"Total",Rezepte!$D:$AK,25,FALSE)/100*$C40</f>
        <v>0</v>
      </c>
      <c r="AE40" s="3">
        <f>VLOOKUP($A40&amp;"Total",Rezepte!$D:$AK,26,FALSE)/100*$C40</f>
        <v>0</v>
      </c>
      <c r="AF40" s="3">
        <f>VLOOKUP($A40&amp;"Total",Rezepte!$D:$AK,27,FALSE)/100*$C40</f>
        <v>0</v>
      </c>
      <c r="AG40" s="3">
        <f>VLOOKUP($A40&amp;"Total",Rezepte!$D:$AK,28,FALSE)/100*$C40</f>
        <v>0</v>
      </c>
      <c r="AH40" s="3">
        <f>VLOOKUP($A40&amp;"Total",Rezepte!$D:$AK,29,FALSE)/100*$C40</f>
        <v>0</v>
      </c>
      <c r="AI40" s="3">
        <f>VLOOKUP($A40&amp;"Total",Rezepte!$D:$AK,30,FALSE)/100*$C40</f>
        <v>0</v>
      </c>
      <c r="AJ40" s="3">
        <f>VLOOKUP($A40&amp;"Total",Rezepte!$D:$AK,31,FALSE)/100*$C40</f>
        <v>0</v>
      </c>
      <c r="AK40" s="3">
        <f>VLOOKUP($A40&amp;"Total",Rezepte!$D:$AK,32,FALSE)/100*$C40</f>
        <v>0</v>
      </c>
      <c r="AL40" s="3">
        <f>VLOOKUP($A40&amp;"Total",Rezepte!$D:$AK,33,FALSE)/100*$C40</f>
        <v>0</v>
      </c>
      <c r="AM40" s="3">
        <f>VLOOKUP($A40&amp;"Total",Rezepte!$D:$AK,34,FALSE)/100*$C40</f>
        <v>0</v>
      </c>
    </row>
    <row r="41" spans="1:39" x14ac:dyDescent="0.25">
      <c r="A41" t="s">
        <v>95</v>
      </c>
      <c r="C41">
        <v>10</v>
      </c>
      <c r="D41" s="30">
        <f>SUMIFS(Q:Q,P:P,A41)+SUMIFS(T:T,S:S,A41)+SUMIFS(W:W,V:V,A41)+SUMIFS(Z:Z,Y:Y,A41)</f>
        <v>114.25000000000001</v>
      </c>
      <c r="E41" s="30">
        <f>D41+C41</f>
        <v>124.25000000000001</v>
      </c>
      <c r="F41" s="32">
        <f>COUNTIFS(P:P,A41,Q:Q,"&gt;0")+COUNTIFS(S:S,A41,T:T,"&gt;0")+COUNTIFS(V:V,A41,W:W,"&gt;0")+COUNTIFS(Y:Y,A41,Z:Z,"&gt;0")</f>
        <v>3</v>
      </c>
      <c r="G41" s="27">
        <f>ROUNDUP((C41+D41)/M41,1)</f>
        <v>12.5</v>
      </c>
      <c r="H41" s="47">
        <f t="shared" si="10"/>
        <v>125</v>
      </c>
      <c r="I41" s="47">
        <f t="shared" si="11"/>
        <v>5</v>
      </c>
      <c r="J41" s="34" t="str">
        <f>VLOOKUP($A41&amp;"Total",Rezepte!$D:$Z,19,FALSE)</f>
        <v>constructor</v>
      </c>
      <c r="K41" s="32">
        <f>SUMIFS(R:R,P:P,A41)+SUMIFS(U:U,S:S,A41)+SUMIFS(X:X,V:V,A41)+SUMIFS(AA:AA,Y:Y,A41)</f>
        <v>3</v>
      </c>
      <c r="L41" s="27">
        <f>G41*N41</f>
        <v>50</v>
      </c>
      <c r="M41" s="4">
        <f>VLOOKUP($A41&amp;"Total",Rezepte!$D:$Z,21,FALSE)</f>
        <v>10</v>
      </c>
      <c r="N41" s="4">
        <f>VLOOKUP($A41&amp;"Total",Rezepte!$D:$Z,20,FALSE)</f>
        <v>4</v>
      </c>
      <c r="O41" s="47">
        <v>125</v>
      </c>
      <c r="P41" t="str">
        <f>VLOOKUP($A41&amp;"Total",Rezepte!$D:$Z,4,FALSE)</f>
        <v>Copper Ingot</v>
      </c>
      <c r="Q41" s="3">
        <f>VLOOKUP($A41&amp;"Total",Rezepte!$D:$Z,5,FALSE)*G41</f>
        <v>250</v>
      </c>
      <c r="R41" s="32">
        <f>ROUNDUP(Q41/$P$78,0)</f>
        <v>1</v>
      </c>
      <c r="S41" t="str">
        <f>VLOOKUP($A41&amp;"Total",Rezepte!$D:$Z,7,FALSE)</f>
        <v>nothing</v>
      </c>
      <c r="T41" s="3">
        <f>VLOOKUP($A41&amp;"Total",Rezepte!$D:$Z,8,FALSE)*G41</f>
        <v>0</v>
      </c>
      <c r="U41" s="32">
        <f>ROUNDUP(T41/$P$78,0)</f>
        <v>0</v>
      </c>
      <c r="V41" t="str">
        <f>VLOOKUP($A41&amp;"Total",Rezepte!$D:$Z,10,FALSE)</f>
        <v>nothing</v>
      </c>
      <c r="W41" s="3">
        <f>VLOOKUP($A41&amp;"Total",Rezepte!$D:$Z,11,FALSE)*G41</f>
        <v>0</v>
      </c>
      <c r="X41" s="32">
        <f>ROUNDUP(W41/$P$78,0)</f>
        <v>0</v>
      </c>
      <c r="Y41" t="str">
        <f>VLOOKUP($A41&amp;"Total",Rezepte!$D:$Z,13,FALSE)</f>
        <v>nothing</v>
      </c>
      <c r="Z41" s="3">
        <f>VLOOKUP($A41&amp;"Total",Rezepte!$D:$Z,14,FALSE)*G41</f>
        <v>0</v>
      </c>
      <c r="AA41" s="32">
        <f>ROUNDUP(Z41/$P$78,0)</f>
        <v>0</v>
      </c>
      <c r="AC41" s="3">
        <f>VLOOKUP($A41&amp;"Total",Rezepte!$D:$AK,24,FALSE)/100*$C41</f>
        <v>0</v>
      </c>
      <c r="AD41" s="3">
        <f>VLOOKUP($A41&amp;"Total",Rezepte!$D:$AK,25,FALSE)/100*$C41</f>
        <v>20</v>
      </c>
      <c r="AE41" s="3">
        <f>VLOOKUP($A41&amp;"Total",Rezepte!$D:$AK,26,FALSE)/100*$C41</f>
        <v>0</v>
      </c>
      <c r="AF41" s="3">
        <f>VLOOKUP($A41&amp;"Total",Rezepte!$D:$AK,27,FALSE)/100*$C41</f>
        <v>0</v>
      </c>
      <c r="AG41" s="3">
        <f>VLOOKUP($A41&amp;"Total",Rezepte!$D:$AK,28,FALSE)/100*$C41</f>
        <v>0</v>
      </c>
      <c r="AH41" s="3">
        <f>VLOOKUP($A41&amp;"Total",Rezepte!$D:$AK,29,FALSE)/100*$C41</f>
        <v>0</v>
      </c>
      <c r="AI41" s="3">
        <f>VLOOKUP($A41&amp;"Total",Rezepte!$D:$AK,30,FALSE)/100*$C41</f>
        <v>0</v>
      </c>
      <c r="AJ41" s="3">
        <f>VLOOKUP($A41&amp;"Total",Rezepte!$D:$AK,31,FALSE)/100*$C41</f>
        <v>0</v>
      </c>
      <c r="AK41" s="3">
        <f>VLOOKUP($A41&amp;"Total",Rezepte!$D:$AK,32,FALSE)/100*$C41</f>
        <v>0</v>
      </c>
      <c r="AL41" s="3">
        <f>VLOOKUP($A41&amp;"Total",Rezepte!$D:$AK,33,FALSE)/100*$C41</f>
        <v>0</v>
      </c>
      <c r="AM41" s="3">
        <f>VLOOKUP($A41&amp;"Total",Rezepte!$D:$AK,34,FALSE)/100*$C41</f>
        <v>0</v>
      </c>
    </row>
    <row r="42" spans="1:39" x14ac:dyDescent="0.25">
      <c r="J42" s="34"/>
      <c r="K42" s="32"/>
      <c r="U42" s="32"/>
      <c r="X42" s="32"/>
      <c r="AA42" s="32"/>
    </row>
    <row r="44" spans="1:39" x14ac:dyDescent="0.25">
      <c r="A44" t="s">
        <v>105</v>
      </c>
      <c r="C44">
        <v>1</v>
      </c>
      <c r="D44" s="30">
        <f t="shared" ref="D44:D49" si="23">SUMIFS(Q:Q,P:P,A44)+SUMIFS(T:T,S:S,A44)+SUMIFS(W:W,V:V,A44)+SUMIFS(Z:Z,Y:Y,A44)</f>
        <v>22.2</v>
      </c>
      <c r="E44" s="30">
        <f t="shared" ref="E44:E49" si="24">D44+C44</f>
        <v>23.2</v>
      </c>
      <c r="F44" s="32">
        <f t="shared" ref="F44:F49" si="25">COUNTIFS(P:P,A44,Q:Q,"&gt;0")+COUNTIFS(S:S,A44,T:T,"&gt;0")+COUNTIFS(V:V,A44,W:W,"&gt;0")+COUNTIFS(Y:Y,A44,Z:Z,"&gt;0")</f>
        <v>2</v>
      </c>
      <c r="G44" s="27">
        <f t="shared" ref="G44:G49" si="26">ROUNDUP((C44+D44)/M44,1)</f>
        <v>1.9000000000000001</v>
      </c>
      <c r="H44" s="47">
        <f t="shared" ref="H44:H49" si="27">G44*M44</f>
        <v>23.75</v>
      </c>
      <c r="I44" s="47">
        <f t="shared" ref="I44:I49" si="28">MOD(H44,M44)</f>
        <v>11.25</v>
      </c>
      <c r="J44" s="34" t="str">
        <f>VLOOKUP($A44&amp;"Total",Rezepte!$D:$Z,19,FALSE)</f>
        <v>Assembler</v>
      </c>
      <c r="K44" s="32">
        <f t="shared" ref="K44:K49" si="29">SUMIFS(R:R,P:P,A44)+SUMIFS(U:U,S:S,A44)+SUMIFS(X:X,V:V,A44)+SUMIFS(AA:AA,Y:Y,A44)</f>
        <v>2</v>
      </c>
      <c r="L44" s="27">
        <f t="shared" ref="L44:L49" si="30">G44*N44</f>
        <v>28.500000000000004</v>
      </c>
      <c r="M44" s="4">
        <f>VLOOKUP($A44&amp;"Total",Rezepte!$D:$Z,21,FALSE)</f>
        <v>12.5</v>
      </c>
      <c r="N44" s="4">
        <f>VLOOKUP($A44&amp;"Total",Rezepte!$D:$Z,20,FALSE)</f>
        <v>15</v>
      </c>
      <c r="O44" s="47">
        <v>23.75</v>
      </c>
      <c r="P44" t="str">
        <f>VLOOKUP($A44&amp;"Total",Rezepte!$D:$Z,4,FALSE)</f>
        <v>Copper Sheet</v>
      </c>
      <c r="Q44" s="3">
        <f>VLOOKUP($A44&amp;"Total",Rezepte!$D:$Z,5,FALSE)*G44</f>
        <v>52.250000000000007</v>
      </c>
      <c r="R44" s="32">
        <f t="shared" ref="R44:R49" si="31">ROUNDUP(Q44/$P$78,0)</f>
        <v>1</v>
      </c>
      <c r="S44" t="str">
        <f>VLOOKUP($A44&amp;"Total",Rezepte!$D:$Z,7,FALSE)</f>
        <v>Silicia</v>
      </c>
      <c r="T44" s="3">
        <f>VLOOKUP($A44&amp;"Total",Rezepte!$D:$Z,8,FALSE)*G44</f>
        <v>52.250000000000007</v>
      </c>
      <c r="U44" s="32">
        <f t="shared" ref="U44:U49" si="32">ROUNDUP(T44/$P$78,0)</f>
        <v>1</v>
      </c>
      <c r="V44" t="str">
        <f>VLOOKUP($A44&amp;"Total",Rezepte!$D:$Z,10,FALSE)</f>
        <v>nothing</v>
      </c>
      <c r="W44" s="3">
        <f>VLOOKUP($A44&amp;"Total",Rezepte!$D:$Z,11,FALSE)*G44</f>
        <v>0</v>
      </c>
      <c r="X44" s="32">
        <f t="shared" ref="X44:X49" si="33">ROUNDUP(W44/$P$78,0)</f>
        <v>0</v>
      </c>
      <c r="Y44" t="str">
        <f>VLOOKUP($A44&amp;"Total",Rezepte!$D:$Z,13,FALSE)</f>
        <v>nothing</v>
      </c>
      <c r="Z44" s="3">
        <f>VLOOKUP($A44&amp;"Total",Rezepte!$D:$Z,14,FALSE)*G44</f>
        <v>0</v>
      </c>
      <c r="AA44" s="32">
        <f t="shared" ref="AA44:AA49" si="34">ROUNDUP(Z44/$P$78,0)</f>
        <v>0</v>
      </c>
      <c r="AC44" s="3">
        <f>VLOOKUP($A44&amp;"Total",Rezepte!$D:$AK,24,FALSE)/100*$C44</f>
        <v>0</v>
      </c>
      <c r="AD44" s="3">
        <f>VLOOKUP($A44&amp;"Total",Rezepte!$D:$AK,25,FALSE)/100*$C44</f>
        <v>4.4000000000000004</v>
      </c>
      <c r="AE44" s="3">
        <f>VLOOKUP($A44&amp;"Total",Rezepte!$D:$AK,26,FALSE)/100*$C44</f>
        <v>0</v>
      </c>
      <c r="AF44" s="3">
        <f>VLOOKUP($A44&amp;"Total",Rezepte!$D:$AK,27,FALSE)/100*$C44</f>
        <v>0</v>
      </c>
      <c r="AG44" s="3">
        <f>VLOOKUP($A44&amp;"Total",Rezepte!$D:$AK,28,FALSE)/100*$C44</f>
        <v>0</v>
      </c>
      <c r="AH44" s="3">
        <f>VLOOKUP($A44&amp;"Total",Rezepte!$D:$AK,29,FALSE)/100*$C44</f>
        <v>1.32</v>
      </c>
      <c r="AI44" s="3">
        <f>VLOOKUP($A44&amp;"Total",Rezepte!$D:$AK,30,FALSE)/100*$C44</f>
        <v>0</v>
      </c>
      <c r="AJ44" s="3">
        <f>VLOOKUP($A44&amp;"Total",Rezepte!$D:$AK,31,FALSE)/100*$C44</f>
        <v>0</v>
      </c>
      <c r="AK44" s="3">
        <f>VLOOKUP($A44&amp;"Total",Rezepte!$D:$AK,32,FALSE)/100*$C44</f>
        <v>0</v>
      </c>
      <c r="AL44" s="3">
        <f>VLOOKUP($A44&amp;"Total",Rezepte!$D:$AK,33,FALSE)/100*$C44</f>
        <v>0</v>
      </c>
      <c r="AM44" s="3">
        <f>VLOOKUP($A44&amp;"Total",Rezepte!$D:$AK,34,FALSE)/100*$C44</f>
        <v>0</v>
      </c>
    </row>
    <row r="45" spans="1:39" x14ac:dyDescent="0.25">
      <c r="A45" t="s">
        <v>110</v>
      </c>
      <c r="C45">
        <v>1</v>
      </c>
      <c r="D45" s="30">
        <f t="shared" si="23"/>
        <v>0</v>
      </c>
      <c r="E45" s="30">
        <f t="shared" si="24"/>
        <v>1</v>
      </c>
      <c r="F45" s="32">
        <f t="shared" si="25"/>
        <v>0</v>
      </c>
      <c r="G45" s="27">
        <f t="shared" si="26"/>
        <v>0.4</v>
      </c>
      <c r="H45" s="47">
        <f t="shared" si="27"/>
        <v>1.2000000000000002</v>
      </c>
      <c r="I45" s="47">
        <f t="shared" si="28"/>
        <v>1.2000000000000002</v>
      </c>
      <c r="J45" s="34" t="str">
        <f>VLOOKUP($A45&amp;"Total",Rezepte!$D:$Z,19,FALSE)</f>
        <v>Manufactirer</v>
      </c>
      <c r="K45" s="32">
        <f t="shared" si="29"/>
        <v>0</v>
      </c>
      <c r="L45" s="27">
        <f t="shared" si="30"/>
        <v>22</v>
      </c>
      <c r="M45" s="4">
        <f>VLOOKUP($A45&amp;"Total",Rezepte!$D:$Z,21,FALSE)</f>
        <v>3</v>
      </c>
      <c r="N45" s="4">
        <f>VLOOKUP($A45&amp;"Total",Rezepte!$D:$Z,20,FALSE)</f>
        <v>55</v>
      </c>
      <c r="O45" s="47">
        <v>1.2</v>
      </c>
      <c r="P45" t="str">
        <f>VLOOKUP($A45&amp;"Total",Rezepte!$D:$Z,4,FALSE)</f>
        <v>Quickwire</v>
      </c>
      <c r="Q45" s="3">
        <f>VLOOKUP($A45&amp;"Total",Rezepte!$D:$Z,5,FALSE)*G45</f>
        <v>36</v>
      </c>
      <c r="R45" s="32">
        <f t="shared" si="31"/>
        <v>1</v>
      </c>
      <c r="S45" t="str">
        <f>VLOOKUP($A45&amp;"Total",Rezepte!$D:$Z,7,FALSE)</f>
        <v>Silicia</v>
      </c>
      <c r="T45" s="3">
        <f>VLOOKUP($A45&amp;"Total",Rezepte!$D:$Z,8,FALSE)*G45</f>
        <v>15</v>
      </c>
      <c r="U45" s="32">
        <f t="shared" si="32"/>
        <v>1</v>
      </c>
      <c r="V45" t="str">
        <f>VLOOKUP($A45&amp;"Total",Rezepte!$D:$Z,10,FALSE)</f>
        <v>Circuit Board</v>
      </c>
      <c r="W45" s="3">
        <f>VLOOKUP($A45&amp;"Total",Rezepte!$D:$Z,11,FALSE)*G45</f>
        <v>1.2000000000000002</v>
      </c>
      <c r="X45" s="32">
        <f t="shared" si="33"/>
        <v>1</v>
      </c>
      <c r="Y45" t="str">
        <f>VLOOKUP($A45&amp;"Total",Rezepte!$D:$Z,13,FALSE)</f>
        <v>nothing</v>
      </c>
      <c r="Z45" s="3">
        <f>VLOOKUP($A45&amp;"Total",Rezepte!$D:$Z,14,FALSE)*G45</f>
        <v>0</v>
      </c>
      <c r="AA45" s="32">
        <f t="shared" si="34"/>
        <v>0</v>
      </c>
      <c r="AC45" s="3">
        <f>VLOOKUP($A45&amp;"Total",Rezepte!$D:$AK,24,FALSE)/100*$C45</f>
        <v>0</v>
      </c>
      <c r="AD45" s="3">
        <f>VLOOKUP($A45&amp;"Total",Rezepte!$D:$AK,25,FALSE)/100*$C45</f>
        <v>4.4000000000000004</v>
      </c>
      <c r="AE45" s="3">
        <f>VLOOKUP($A45&amp;"Total",Rezepte!$D:$AK,26,FALSE)/100*$C45</f>
        <v>0</v>
      </c>
      <c r="AF45" s="3">
        <f>VLOOKUP($A45&amp;"Total",Rezepte!$D:$AK,27,FALSE)/100*$C45</f>
        <v>0</v>
      </c>
      <c r="AG45" s="3">
        <f>VLOOKUP($A45&amp;"Total",Rezepte!$D:$AK,28,FALSE)/100*$C45</f>
        <v>18</v>
      </c>
      <c r="AH45" s="3">
        <f>VLOOKUP($A45&amp;"Total",Rezepte!$D:$AK,29,FALSE)/100*$C45</f>
        <v>8.82</v>
      </c>
      <c r="AI45" s="3">
        <f>VLOOKUP($A45&amp;"Total",Rezepte!$D:$AK,30,FALSE)/100*$C45</f>
        <v>0</v>
      </c>
      <c r="AJ45" s="3">
        <f>VLOOKUP($A45&amp;"Total",Rezepte!$D:$AK,31,FALSE)/100*$C45</f>
        <v>0</v>
      </c>
      <c r="AK45" s="3">
        <f>VLOOKUP($A45&amp;"Total",Rezepte!$D:$AK,32,FALSE)/100*$C45</f>
        <v>0</v>
      </c>
      <c r="AL45" s="3">
        <f>VLOOKUP($A45&amp;"Total",Rezepte!$D:$AK,33,FALSE)/100*$C45</f>
        <v>0</v>
      </c>
      <c r="AM45" s="3">
        <f>VLOOKUP($A45&amp;"Total",Rezepte!$D:$AK,34,FALSE)/100*$C45</f>
        <v>0</v>
      </c>
    </row>
    <row r="46" spans="1:39" x14ac:dyDescent="0.25">
      <c r="A46" t="s">
        <v>116</v>
      </c>
      <c r="D46" s="30">
        <f t="shared" si="23"/>
        <v>0</v>
      </c>
      <c r="E46" s="30">
        <f t="shared" si="24"/>
        <v>0</v>
      </c>
      <c r="F46" s="32">
        <f t="shared" si="25"/>
        <v>0</v>
      </c>
      <c r="G46" s="27">
        <f t="shared" si="26"/>
        <v>0</v>
      </c>
      <c r="H46" s="47">
        <f t="shared" si="27"/>
        <v>0</v>
      </c>
      <c r="I46" s="47">
        <f t="shared" si="28"/>
        <v>0</v>
      </c>
      <c r="J46" s="34" t="str">
        <f>VLOOKUP($A46&amp;"Total",Rezepte!$D:$Z,19,FALSE)</f>
        <v>Assembler</v>
      </c>
      <c r="K46" s="32">
        <f t="shared" si="29"/>
        <v>0</v>
      </c>
      <c r="L46" s="27">
        <f t="shared" si="30"/>
        <v>0</v>
      </c>
      <c r="M46" s="4">
        <f>VLOOKUP($A46&amp;"Total",Rezepte!$D:$Z,21,FALSE)</f>
        <v>8</v>
      </c>
      <c r="N46" s="4">
        <f>VLOOKUP($A46&amp;"Total",Rezepte!$D:$Z,20,FALSE)</f>
        <v>15</v>
      </c>
      <c r="P46" t="str">
        <f>VLOOKUP($A46&amp;"Total",Rezepte!$D:$Z,4,FALSE)</f>
        <v>Stator</v>
      </c>
      <c r="Q46" s="3">
        <f>VLOOKUP($A46&amp;"Total",Rezepte!$D:$Z,5,FALSE)*G46</f>
        <v>0</v>
      </c>
      <c r="R46" s="32">
        <f t="shared" si="31"/>
        <v>0</v>
      </c>
      <c r="S46" t="str">
        <f>VLOOKUP($A46&amp;"Total",Rezepte!$D:$Z,7,FALSE)</f>
        <v>High-Speed Connector</v>
      </c>
      <c r="T46" s="3">
        <f>VLOOKUP($A46&amp;"Total",Rezepte!$D:$Z,8,FALSE)*G46</f>
        <v>0</v>
      </c>
      <c r="U46" s="32">
        <f t="shared" si="32"/>
        <v>0</v>
      </c>
      <c r="V46" t="str">
        <f>VLOOKUP($A46&amp;"Total",Rezepte!$D:$Z,10,FALSE)</f>
        <v>nothing</v>
      </c>
      <c r="W46" s="3">
        <f>VLOOKUP($A46&amp;"Total",Rezepte!$D:$Z,11,FALSE)*G46</f>
        <v>0</v>
      </c>
      <c r="X46" s="32">
        <f t="shared" si="33"/>
        <v>0</v>
      </c>
      <c r="Y46" t="str">
        <f>VLOOKUP($A46&amp;"Total",Rezepte!$D:$Z,13,FALSE)</f>
        <v>nothing</v>
      </c>
      <c r="Z46" s="3">
        <f>VLOOKUP($A46&amp;"Total",Rezepte!$D:$Z,14,FALSE)*G46</f>
        <v>0</v>
      </c>
      <c r="AA46" s="32">
        <f t="shared" si="34"/>
        <v>0</v>
      </c>
      <c r="AC46" s="3">
        <f>VLOOKUP($A46&amp;"Total",Rezepte!$D:$AK,24,FALSE)/100*$C46</f>
        <v>0</v>
      </c>
      <c r="AD46" s="3">
        <f>VLOOKUP($A46&amp;"Total",Rezepte!$D:$AK,25,FALSE)/100*$C46</f>
        <v>0</v>
      </c>
      <c r="AE46" s="3">
        <f>VLOOKUP($A46&amp;"Total",Rezepte!$D:$AK,26,FALSE)/100*$C46</f>
        <v>0</v>
      </c>
      <c r="AF46" s="3">
        <f>VLOOKUP($A46&amp;"Total",Rezepte!$D:$AK,27,FALSE)/100*$C46</f>
        <v>0</v>
      </c>
      <c r="AG46" s="3">
        <f>VLOOKUP($A46&amp;"Total",Rezepte!$D:$AK,28,FALSE)/100*$C46</f>
        <v>0</v>
      </c>
      <c r="AH46" s="3">
        <f>VLOOKUP($A46&amp;"Total",Rezepte!$D:$AK,29,FALSE)/100*$C46</f>
        <v>0</v>
      </c>
      <c r="AI46" s="3">
        <f>VLOOKUP($A46&amp;"Total",Rezepte!$D:$AK,30,FALSE)/100*$C46</f>
        <v>0</v>
      </c>
      <c r="AJ46" s="3">
        <f>VLOOKUP($A46&amp;"Total",Rezepte!$D:$AK,31,FALSE)/100*$C46</f>
        <v>0</v>
      </c>
      <c r="AK46" s="3">
        <f>VLOOKUP($A46&amp;"Total",Rezepte!$D:$AK,32,FALSE)/100*$C46</f>
        <v>0</v>
      </c>
      <c r="AL46" s="3">
        <f>VLOOKUP($A46&amp;"Total",Rezepte!$D:$AK,33,FALSE)/100*$C46</f>
        <v>0</v>
      </c>
      <c r="AM46" s="3">
        <f>VLOOKUP($A46&amp;"Total",Rezepte!$D:$AK,34,FALSE)/100*$C46</f>
        <v>0</v>
      </c>
    </row>
    <row r="47" spans="1:39" x14ac:dyDescent="0.25">
      <c r="A47" t="s">
        <v>119</v>
      </c>
      <c r="C47">
        <v>3</v>
      </c>
      <c r="D47" s="30">
        <f t="shared" si="23"/>
        <v>0</v>
      </c>
      <c r="E47" s="30">
        <f t="shared" si="24"/>
        <v>3</v>
      </c>
      <c r="F47" s="32">
        <f t="shared" si="25"/>
        <v>0</v>
      </c>
      <c r="G47" s="27">
        <f t="shared" si="26"/>
        <v>0.8</v>
      </c>
      <c r="H47" s="47">
        <f t="shared" si="27"/>
        <v>3</v>
      </c>
      <c r="I47" s="47">
        <f t="shared" si="28"/>
        <v>3</v>
      </c>
      <c r="J47" s="34" t="str">
        <f>VLOOKUP($A47&amp;"Total",Rezepte!$D:$Z,19,FALSE)</f>
        <v>Manufactirer</v>
      </c>
      <c r="K47" s="32">
        <f t="shared" si="29"/>
        <v>0</v>
      </c>
      <c r="L47" s="27">
        <f t="shared" si="30"/>
        <v>44</v>
      </c>
      <c r="M47" s="4">
        <f>VLOOKUP($A47&amp;"Total",Rezepte!$D:$Z,21,FALSE)</f>
        <v>3.75</v>
      </c>
      <c r="N47" s="4">
        <f>VLOOKUP($A47&amp;"Total",Rezepte!$D:$Z,20,FALSE)</f>
        <v>55</v>
      </c>
      <c r="O47" s="47">
        <v>3</v>
      </c>
      <c r="P47" t="str">
        <f>VLOOKUP($A47&amp;"Total",Rezepte!$D:$Z,4,FALSE)</f>
        <v>Circuit Board</v>
      </c>
      <c r="Q47" s="3">
        <f>VLOOKUP($A47&amp;"Total",Rezepte!$D:$Z,5,FALSE)*G47</f>
        <v>21</v>
      </c>
      <c r="R47" s="32">
        <f t="shared" si="31"/>
        <v>1</v>
      </c>
      <c r="S47" t="str">
        <f>VLOOKUP($A47&amp;"Total",Rezepte!$D:$Z,7,FALSE)</f>
        <v>Quickwire</v>
      </c>
      <c r="T47" s="3">
        <f>VLOOKUP($A47&amp;"Total",Rezepte!$D:$Z,8,FALSE)*G47</f>
        <v>84</v>
      </c>
      <c r="U47" s="32">
        <f t="shared" si="32"/>
        <v>1</v>
      </c>
      <c r="V47" t="str">
        <f>VLOOKUP($A47&amp;"Total",Rezepte!$D:$Z,10,FALSE)</f>
        <v>Rubber</v>
      </c>
      <c r="W47" s="3">
        <f>VLOOKUP($A47&amp;"Total",Rezepte!$D:$Z,11,FALSE)*G47</f>
        <v>36</v>
      </c>
      <c r="X47" s="32">
        <f t="shared" si="33"/>
        <v>1</v>
      </c>
      <c r="Y47" t="str">
        <f>VLOOKUP($A47&amp;"Total",Rezepte!$D:$Z,13,FALSE)</f>
        <v>nothing</v>
      </c>
      <c r="Z47" s="3">
        <f>VLOOKUP($A47&amp;"Total",Rezepte!$D:$Z,14,FALSE)*G47</f>
        <v>0</v>
      </c>
      <c r="AA47" s="32">
        <f t="shared" si="34"/>
        <v>0</v>
      </c>
      <c r="AC47" s="3">
        <f>VLOOKUP($A47&amp;"Total",Rezepte!$D:$AK,24,FALSE)/100*$C47</f>
        <v>0</v>
      </c>
      <c r="AD47" s="3">
        <f>VLOOKUP($A47&amp;"Total",Rezepte!$D:$AK,25,FALSE)/100*$C47</f>
        <v>92.4</v>
      </c>
      <c r="AE47" s="3">
        <f>VLOOKUP($A47&amp;"Total",Rezepte!$D:$AK,26,FALSE)/100*$C47</f>
        <v>0</v>
      </c>
      <c r="AF47" s="3">
        <f>VLOOKUP($A47&amp;"Total",Rezepte!$D:$AK,27,FALSE)/100*$C47</f>
        <v>0</v>
      </c>
      <c r="AG47" s="3">
        <f>VLOOKUP($A47&amp;"Total",Rezepte!$D:$AK,28,FALSE)/100*$C47</f>
        <v>50.400000000000006</v>
      </c>
      <c r="AH47" s="3">
        <f>VLOOKUP($A47&amp;"Total",Rezepte!$D:$AK,29,FALSE)/100*$C47</f>
        <v>27.72</v>
      </c>
      <c r="AI47" s="3">
        <f>VLOOKUP($A47&amp;"Total",Rezepte!$D:$AK,30,FALSE)/100*$C47</f>
        <v>0</v>
      </c>
      <c r="AJ47" s="3">
        <f>VLOOKUP($A47&amp;"Total",Rezepte!$D:$AK,31,FALSE)/100*$C47</f>
        <v>0</v>
      </c>
      <c r="AK47" s="3">
        <f>VLOOKUP($A47&amp;"Total",Rezepte!$D:$AK,32,FALSE)/100*$C47</f>
        <v>0</v>
      </c>
      <c r="AL47" s="3">
        <f>VLOOKUP($A47&amp;"Total",Rezepte!$D:$AK,33,FALSE)/100*$C47</f>
        <v>0</v>
      </c>
      <c r="AM47" s="3">
        <f>VLOOKUP($A47&amp;"Total",Rezepte!$D:$AK,34,FALSE)/100*$C47</f>
        <v>54</v>
      </c>
    </row>
    <row r="48" spans="1:39" x14ac:dyDescent="0.25">
      <c r="A48" t="s">
        <v>104</v>
      </c>
      <c r="C48">
        <v>5</v>
      </c>
      <c r="D48" s="30">
        <f t="shared" si="23"/>
        <v>1.875</v>
      </c>
      <c r="E48" s="30">
        <f t="shared" si="24"/>
        <v>6.875</v>
      </c>
      <c r="F48" s="32">
        <f t="shared" si="25"/>
        <v>1</v>
      </c>
      <c r="G48" s="27">
        <f t="shared" si="26"/>
        <v>1.4000000000000001</v>
      </c>
      <c r="H48" s="47">
        <f t="shared" si="27"/>
        <v>7.0000000000000009</v>
      </c>
      <c r="I48" s="47">
        <f t="shared" si="28"/>
        <v>2.0000000000000009</v>
      </c>
      <c r="J48" s="34" t="str">
        <f>VLOOKUP($A48&amp;"Total",Rezepte!$D:$Z,19,FALSE)</f>
        <v>Assembler</v>
      </c>
      <c r="K48" s="32">
        <f t="shared" si="29"/>
        <v>1</v>
      </c>
      <c r="L48" s="27">
        <f t="shared" si="30"/>
        <v>21.000000000000004</v>
      </c>
      <c r="M48" s="4">
        <f>VLOOKUP($A48&amp;"Total",Rezepte!$D:$Z,21,FALSE)</f>
        <v>5</v>
      </c>
      <c r="N48" s="4">
        <f>VLOOKUP($A48&amp;"Total",Rezepte!$D:$Z,20,FALSE)</f>
        <v>15</v>
      </c>
      <c r="O48" s="47">
        <v>7</v>
      </c>
      <c r="P48" t="str">
        <f>VLOOKUP($A48&amp;"Total",Rezepte!$D:$Z,4,FALSE)</f>
        <v>Copper Sheet</v>
      </c>
      <c r="Q48" s="3">
        <f>VLOOKUP($A48&amp;"Total",Rezepte!$D:$Z,5,FALSE)*G48</f>
        <v>35</v>
      </c>
      <c r="R48" s="32">
        <f t="shared" si="31"/>
        <v>1</v>
      </c>
      <c r="S48" t="str">
        <f>VLOOKUP($A48&amp;"Total",Rezepte!$D:$Z,7,FALSE)</f>
        <v>Quickwire</v>
      </c>
      <c r="T48" s="3">
        <f>VLOOKUP($A48&amp;"Total",Rezepte!$D:$Z,8,FALSE)*G48</f>
        <v>140</v>
      </c>
      <c r="U48" s="32">
        <f t="shared" si="32"/>
        <v>1</v>
      </c>
      <c r="V48" t="str">
        <f>VLOOKUP($A48&amp;"Total",Rezepte!$D:$Z,10,FALSE)</f>
        <v>nothing</v>
      </c>
      <c r="W48" s="3">
        <f>VLOOKUP($A48&amp;"Total",Rezepte!$D:$Z,11,FALSE)*G48</f>
        <v>0</v>
      </c>
      <c r="X48" s="32">
        <f t="shared" si="33"/>
        <v>0</v>
      </c>
      <c r="Y48" t="str">
        <f>VLOOKUP($A48&amp;"Total",Rezepte!$D:$Z,13,FALSE)</f>
        <v>nothing</v>
      </c>
      <c r="Z48" s="3">
        <f>VLOOKUP($A48&amp;"Total",Rezepte!$D:$Z,14,FALSE)*G48</f>
        <v>0</v>
      </c>
      <c r="AA48" s="32">
        <f t="shared" si="34"/>
        <v>0</v>
      </c>
      <c r="AC48" s="3">
        <f>VLOOKUP($A48&amp;"Total",Rezepte!$D:$AK,24,FALSE)/100*$C48</f>
        <v>0</v>
      </c>
      <c r="AD48" s="3">
        <f>VLOOKUP($A48&amp;"Total",Rezepte!$D:$AK,25,FALSE)/100*$C48</f>
        <v>50</v>
      </c>
      <c r="AE48" s="3">
        <f>VLOOKUP($A48&amp;"Total",Rezepte!$D:$AK,26,FALSE)/100*$C48</f>
        <v>0</v>
      </c>
      <c r="AF48" s="3">
        <f>VLOOKUP($A48&amp;"Total",Rezepte!$D:$AK,27,FALSE)/100*$C48</f>
        <v>0</v>
      </c>
      <c r="AG48" s="3">
        <f>VLOOKUP($A48&amp;"Total",Rezepte!$D:$AK,28,FALSE)/100*$C48</f>
        <v>60</v>
      </c>
      <c r="AH48" s="3">
        <f>VLOOKUP($A48&amp;"Total",Rezepte!$D:$AK,29,FALSE)/100*$C48</f>
        <v>0</v>
      </c>
      <c r="AI48" s="3">
        <f>VLOOKUP($A48&amp;"Total",Rezepte!$D:$AK,30,FALSE)/100*$C48</f>
        <v>0</v>
      </c>
      <c r="AJ48" s="3">
        <f>VLOOKUP($A48&amp;"Total",Rezepte!$D:$AK,31,FALSE)/100*$C48</f>
        <v>0</v>
      </c>
      <c r="AK48" s="3">
        <f>VLOOKUP($A48&amp;"Total",Rezepte!$D:$AK,32,FALSE)/100*$C48</f>
        <v>0</v>
      </c>
      <c r="AL48" s="3">
        <f>VLOOKUP($A48&amp;"Total",Rezepte!$D:$AK,33,FALSE)/100*$C48</f>
        <v>0</v>
      </c>
      <c r="AM48" s="3">
        <f>VLOOKUP($A48&amp;"Total",Rezepte!$D:$AK,34,FALSE)/100*$C48</f>
        <v>0</v>
      </c>
    </row>
    <row r="49" spans="1:39" x14ac:dyDescent="0.25">
      <c r="A49" t="s">
        <v>113</v>
      </c>
      <c r="C49">
        <v>1</v>
      </c>
      <c r="D49" s="30">
        <f t="shared" si="23"/>
        <v>0.875</v>
      </c>
      <c r="E49" s="51">
        <f t="shared" si="24"/>
        <v>1.875</v>
      </c>
      <c r="F49" s="32">
        <f t="shared" si="25"/>
        <v>1</v>
      </c>
      <c r="G49" s="27">
        <f t="shared" si="26"/>
        <v>1</v>
      </c>
      <c r="H49" s="51">
        <f t="shared" si="27"/>
        <v>1.875</v>
      </c>
      <c r="I49" s="47">
        <f t="shared" si="28"/>
        <v>0</v>
      </c>
      <c r="J49" s="34" t="str">
        <f>VLOOKUP($A49&amp;"Total",Rezepte!$D:$Z,19,FALSE)</f>
        <v>Manufactirer</v>
      </c>
      <c r="K49" s="32">
        <f t="shared" si="29"/>
        <v>1</v>
      </c>
      <c r="L49" s="27">
        <f t="shared" si="30"/>
        <v>55</v>
      </c>
      <c r="M49" s="4">
        <f>VLOOKUP($A49&amp;"Total",Rezepte!$D:$Z,21,FALSE)</f>
        <v>1.875</v>
      </c>
      <c r="N49" s="4">
        <f>VLOOKUP($A49&amp;"Total",Rezepte!$D:$Z,20,FALSE)</f>
        <v>55</v>
      </c>
      <c r="O49" s="47">
        <v>1.875</v>
      </c>
      <c r="P49" t="str">
        <f>VLOOKUP($A49&amp;"Total",Rezepte!$D:$Z,4,FALSE)</f>
        <v>Quartz Crystal</v>
      </c>
      <c r="Q49" s="3">
        <f>VLOOKUP($A49&amp;"Total",Rezepte!$D:$Z,5,FALSE)*G49</f>
        <v>18.75</v>
      </c>
      <c r="R49" s="32">
        <f t="shared" si="31"/>
        <v>1</v>
      </c>
      <c r="S49" t="str">
        <f>VLOOKUP($A49&amp;"Total",Rezepte!$D:$Z,7,FALSE)</f>
        <v>Rubber</v>
      </c>
      <c r="T49" s="3">
        <f>VLOOKUP($A49&amp;"Total",Rezepte!$D:$Z,8,FALSE)*G49</f>
        <v>13.125</v>
      </c>
      <c r="U49" s="32">
        <f t="shared" si="32"/>
        <v>1</v>
      </c>
      <c r="V49" t="str">
        <f>VLOOKUP($A49&amp;"Total",Rezepte!$D:$Z,10,FALSE)</f>
        <v>AI Limiter</v>
      </c>
      <c r="W49" s="3">
        <f>VLOOKUP($A49&amp;"Total",Rezepte!$D:$Z,11,FALSE)*G49</f>
        <v>1.875</v>
      </c>
      <c r="X49" s="32">
        <f t="shared" si="33"/>
        <v>1</v>
      </c>
      <c r="Y49" t="str">
        <f>VLOOKUP($A49&amp;"Total",Rezepte!$D:$Z,13,FALSE)</f>
        <v>nothing</v>
      </c>
      <c r="Z49" s="3">
        <f>VLOOKUP($A49&amp;"Total",Rezepte!$D:$Z,14,FALSE)*G49</f>
        <v>0</v>
      </c>
      <c r="AA49" s="32">
        <f t="shared" si="34"/>
        <v>0</v>
      </c>
      <c r="AC49" s="3">
        <f>VLOOKUP($A49&amp;"Total",Rezepte!$D:$AK,24,FALSE)/100*$C49</f>
        <v>0</v>
      </c>
      <c r="AD49" s="3">
        <f>VLOOKUP($A49&amp;"Total",Rezepte!$D:$AK,25,FALSE)/100*$C49</f>
        <v>10</v>
      </c>
      <c r="AE49" s="3">
        <f>VLOOKUP($A49&amp;"Total",Rezepte!$D:$AK,26,FALSE)/100*$C49</f>
        <v>0</v>
      </c>
      <c r="AF49" s="3">
        <f>VLOOKUP($A49&amp;"Total",Rezepte!$D:$AK,27,FALSE)/100*$C49</f>
        <v>0</v>
      </c>
      <c r="AG49" s="3">
        <f>VLOOKUP($A49&amp;"Total",Rezepte!$D:$AK,28,FALSE)/100*$C49</f>
        <v>12</v>
      </c>
      <c r="AH49" s="3">
        <f>VLOOKUP($A49&amp;"Total",Rezepte!$D:$AK,29,FALSE)/100*$C49</f>
        <v>16.666666666666664</v>
      </c>
      <c r="AI49" s="3">
        <f>VLOOKUP($A49&amp;"Total",Rezepte!$D:$AK,30,FALSE)/100*$C49</f>
        <v>0</v>
      </c>
      <c r="AJ49" s="3">
        <f>VLOOKUP($A49&amp;"Total",Rezepte!$D:$AK,31,FALSE)/100*$C49</f>
        <v>0</v>
      </c>
      <c r="AK49" s="3">
        <f>VLOOKUP($A49&amp;"Total",Rezepte!$D:$AK,32,FALSE)/100*$C49</f>
        <v>0</v>
      </c>
      <c r="AL49" s="3">
        <f>VLOOKUP($A49&amp;"Total",Rezepte!$D:$AK,33,FALSE)/100*$C49</f>
        <v>0</v>
      </c>
      <c r="AM49" s="3">
        <f>VLOOKUP($A49&amp;"Total",Rezepte!$D:$AK,34,FALSE)/100*$C49</f>
        <v>10.5</v>
      </c>
    </row>
    <row r="51" spans="1:39" x14ac:dyDescent="0.25">
      <c r="A51" t="s">
        <v>149</v>
      </c>
      <c r="C51">
        <v>5</v>
      </c>
      <c r="D51" s="30">
        <f>SUMIFS(Q:Q,P:P,A51)+SUMIFS(T:T,S:S,A51)+SUMIFS(W:W,V:V,A51)+SUMIFS(Z:Z,Y:Y,A51)</f>
        <v>0</v>
      </c>
      <c r="E51" s="30">
        <f>D51+C51</f>
        <v>5</v>
      </c>
      <c r="F51" s="32">
        <f>COUNTIFS(P:P,A51,Q:Q,"&gt;0")+COUNTIFS(S:S,A51,T:T,"&gt;0")+COUNTIFS(V:V,A51,W:W,"&gt;0")+COUNTIFS(Y:Y,A51,Z:Z,"&gt;0")</f>
        <v>0</v>
      </c>
      <c r="G51" s="27">
        <f>ROUNDUP((C51+D51)/M51,1)</f>
        <v>0.7</v>
      </c>
      <c r="H51" s="47">
        <f>G51*M51</f>
        <v>5.25</v>
      </c>
      <c r="I51" s="47">
        <f>MOD(H51,M51)</f>
        <v>5.25</v>
      </c>
      <c r="J51" s="34" t="str">
        <f>VLOOKUP($A51&amp;"Total",Rezepte!$D:$Z,19,FALSE)</f>
        <v>Manufactirer</v>
      </c>
      <c r="K51" s="32">
        <f>SUMIFS(R:R,P:P,A51)+SUMIFS(U:U,S:S,A51)+SUMIFS(X:X,V:V,A51)+SUMIFS(AA:AA,Y:Y,A51)</f>
        <v>0</v>
      </c>
      <c r="L51" s="27">
        <f>G51*N51</f>
        <v>38.5</v>
      </c>
      <c r="M51" s="4">
        <f>VLOOKUP($A51&amp;"Total",Rezepte!$D:$Z,21,FALSE)</f>
        <v>7.5</v>
      </c>
      <c r="N51" s="4">
        <f>VLOOKUP($A51&amp;"Total",Rezepte!$D:$Z,20,FALSE)</f>
        <v>55</v>
      </c>
      <c r="O51" s="47">
        <v>5.25</v>
      </c>
      <c r="P51" t="str">
        <f>VLOOKUP($A51&amp;"Total",Rezepte!$D:$Z,4,FALSE)</f>
        <v>Rotor</v>
      </c>
      <c r="Q51" s="3">
        <f>VLOOKUP($A51&amp;"Total",Rezepte!$D:$Z,5,FALSE)*G51</f>
        <v>2.625</v>
      </c>
      <c r="R51" s="32">
        <f>ROUNDUP(Q51/$P$78,0)</f>
        <v>1</v>
      </c>
      <c r="S51" t="str">
        <f>VLOOKUP($A51&amp;"Total",Rezepte!$D:$Z,7,FALSE)</f>
        <v>Stator</v>
      </c>
      <c r="T51" s="3">
        <f>VLOOKUP($A51&amp;"Total",Rezepte!$D:$Z,8,FALSE)*G51</f>
        <v>2.625</v>
      </c>
      <c r="U51" s="32">
        <f>ROUNDUP(T51/$P$78,0)</f>
        <v>1</v>
      </c>
      <c r="V51" t="str">
        <f>VLOOKUP($A51&amp;"Total",Rezepte!$D:$Z,10,FALSE)</f>
        <v>Crystal Oscillator</v>
      </c>
      <c r="W51" s="49">
        <f>VLOOKUP($A51&amp;"Total",Rezepte!$D:$Z,11,FALSE)*G51</f>
        <v>0.875</v>
      </c>
      <c r="X51" s="32">
        <f>ROUNDUP(W51/$P$78,0)</f>
        <v>1</v>
      </c>
      <c r="Y51" t="str">
        <f>VLOOKUP($A51&amp;"Total",Rezepte!$D:$Z,13,FALSE)</f>
        <v>nothing</v>
      </c>
      <c r="Z51" s="3">
        <f>VLOOKUP($A51&amp;"Total",Rezepte!$D:$Z,14,FALSE)*G51</f>
        <v>0</v>
      </c>
      <c r="AA51" s="32">
        <f>ROUNDUP(Z51/$P$78,0)</f>
        <v>0</v>
      </c>
      <c r="AC51" s="3">
        <f>VLOOKUP($A51&amp;"Total",Rezepte!$D:$AK,24,FALSE)/100*$C51</f>
        <v>7.2222222222222232</v>
      </c>
      <c r="AD51" s="3">
        <f>VLOOKUP($A51&amp;"Total",Rezepte!$D:$AK,25,FALSE)/100*$C51</f>
        <v>18.333333333333336</v>
      </c>
      <c r="AE51" s="3">
        <f>VLOOKUP($A51&amp;"Total",Rezepte!$D:$AK,26,FALSE)/100*$C51</f>
        <v>0</v>
      </c>
      <c r="AF51" s="3">
        <f>VLOOKUP($A51&amp;"Total",Rezepte!$D:$AK,27,FALSE)/100*$C51</f>
        <v>7.2222222222222232</v>
      </c>
      <c r="AG51" s="3">
        <f>VLOOKUP($A51&amp;"Total",Rezepte!$D:$AK,28,FALSE)/100*$C51</f>
        <v>21.25</v>
      </c>
      <c r="AH51" s="3">
        <f>VLOOKUP($A51&amp;"Total",Rezepte!$D:$AK,29,FALSE)/100*$C51</f>
        <v>13.888888888888889</v>
      </c>
      <c r="AI51" s="3">
        <f>VLOOKUP($A51&amp;"Total",Rezepte!$D:$AK,30,FALSE)/100*$C51</f>
        <v>0</v>
      </c>
      <c r="AJ51" s="3">
        <f>VLOOKUP($A51&amp;"Total",Rezepte!$D:$AK,31,FALSE)/100*$C51</f>
        <v>0</v>
      </c>
      <c r="AK51" s="3">
        <f>VLOOKUP($A51&amp;"Total",Rezepte!$D:$AK,32,FALSE)/100*$C51</f>
        <v>0</v>
      </c>
      <c r="AL51" s="3">
        <f>VLOOKUP($A51&amp;"Total",Rezepte!$D:$AK,33,FALSE)/100*$C51</f>
        <v>0</v>
      </c>
      <c r="AM51" s="3">
        <f>VLOOKUP($A51&amp;"Total",Rezepte!$D:$AK,34,FALSE)/100*$C51</f>
        <v>8.75</v>
      </c>
    </row>
    <row r="53" spans="1:39" x14ac:dyDescent="0.25">
      <c r="G53" s="52"/>
    </row>
    <row r="56" spans="1:39" x14ac:dyDescent="0.25">
      <c r="A56" t="s">
        <v>143</v>
      </c>
      <c r="D56" s="30">
        <f>SUMIFS(Q:Q,P:P,A56)+SUMIFS(T:T,S:S,A56)+SUMIFS(W:W,V:V,A56)+SUMIFS(Z:Z,Y:Y,A56)</f>
        <v>0</v>
      </c>
      <c r="E56" s="30">
        <f>D56+C56</f>
        <v>0</v>
      </c>
      <c r="F56" s="32">
        <f>COUNTIFS(P:P,A56,Q:Q,"&gt;0")+COUNTIFS(S:S,A56,T:T,"&gt;0")+COUNTIFS(V:V,A56,W:W,"&gt;0")+COUNTIFS(Y:Y,A56,Z:Z,"&gt;0")</f>
        <v>0</v>
      </c>
      <c r="G56" s="27">
        <f>ROUNDUP((C56+D56)/M56,1)</f>
        <v>0</v>
      </c>
      <c r="H56" s="47">
        <f>G56*M56</f>
        <v>0</v>
      </c>
      <c r="I56" s="47">
        <f>MOD(H56,M56)</f>
        <v>0</v>
      </c>
      <c r="J56" s="34" t="str">
        <f>VLOOKUP($A56&amp;"Total",Rezepte!$D:$Z,19,FALSE)</f>
        <v>Assembler</v>
      </c>
      <c r="K56" s="32">
        <f>SUMIFS(R:R,P:P,A56)+SUMIFS(U:U,S:S,A56)+SUMIFS(X:X,V:V,A56)+SUMIFS(AA:AA,Y:Y,A56)</f>
        <v>0</v>
      </c>
      <c r="L56" s="27">
        <f>G56*N56</f>
        <v>0</v>
      </c>
      <c r="M56" s="4">
        <f>VLOOKUP($A56&amp;"Total",Rezepte!$D:$Z,21,FALSE)</f>
        <v>2</v>
      </c>
      <c r="N56" s="4">
        <f>VLOOKUP($A56&amp;"Total",Rezepte!$D:$Z,20,FALSE)</f>
        <v>15</v>
      </c>
      <c r="P56" t="str">
        <f>VLOOKUP($A56&amp;"Total",Rezepte!$D:$Z,4,FALSE)</f>
        <v>reinforced Plate</v>
      </c>
      <c r="Q56" s="3">
        <f>VLOOKUP($A56&amp;"Total",Rezepte!$D:$Z,5,FALSE)*G56</f>
        <v>0</v>
      </c>
      <c r="R56" s="32">
        <f>ROUNDUP(Q56/$P$78,0)</f>
        <v>0</v>
      </c>
      <c r="S56" t="str">
        <f>VLOOKUP($A56&amp;"Total",Rezepte!$D:$Z,7,FALSE)</f>
        <v>Rotor</v>
      </c>
      <c r="T56" s="3">
        <f>VLOOKUP($A56&amp;"Total",Rezepte!$D:$Z,8,FALSE)*G56</f>
        <v>0</v>
      </c>
      <c r="U56" s="32">
        <f>ROUNDUP(T56/$P$78,0)</f>
        <v>0</v>
      </c>
      <c r="V56" t="str">
        <f>VLOOKUP($A56&amp;"Total",Rezepte!$D:$Z,10,FALSE)</f>
        <v>nothing</v>
      </c>
      <c r="W56" s="3">
        <f>VLOOKUP($A56&amp;"Total",Rezepte!$D:$Z,11,FALSE)*G56</f>
        <v>0</v>
      </c>
      <c r="X56" s="32">
        <f>ROUNDUP(W56/$P$78,0)</f>
        <v>0</v>
      </c>
      <c r="Y56" t="str">
        <f>VLOOKUP($A56&amp;"Total",Rezepte!$D:$Z,13,FALSE)</f>
        <v>nothing</v>
      </c>
      <c r="Z56" s="3">
        <f>VLOOKUP($A56&amp;"Total",Rezepte!$D:$Z,14,FALSE)*G56</f>
        <v>0</v>
      </c>
      <c r="AA56" s="32">
        <f>ROUNDUP(Z56/$P$78,0)</f>
        <v>0</v>
      </c>
      <c r="AC56" s="3">
        <f>VLOOKUP($A56&amp;"Total",Rezepte!$D:$AK,24,FALSE)/100*$C56</f>
        <v>0</v>
      </c>
      <c r="AD56" s="3">
        <f>VLOOKUP($A56&amp;"Total",Rezepte!$D:$AK,25,FALSE)/100*$C56</f>
        <v>0</v>
      </c>
      <c r="AE56" s="3">
        <f>VLOOKUP($A56&amp;"Total",Rezepte!$D:$AK,26,FALSE)/100*$C56</f>
        <v>0</v>
      </c>
      <c r="AF56" s="3">
        <f>VLOOKUP($A56&amp;"Total",Rezepte!$D:$AK,27,FALSE)/100*$C56</f>
        <v>0</v>
      </c>
      <c r="AG56" s="3">
        <f>VLOOKUP($A56&amp;"Total",Rezepte!$D:$AK,28,FALSE)/100*$C56</f>
        <v>0</v>
      </c>
      <c r="AH56" s="3">
        <f>VLOOKUP($A56&amp;"Total",Rezepte!$D:$AK,29,FALSE)/100*$C56</f>
        <v>0</v>
      </c>
      <c r="AI56" s="3">
        <f>VLOOKUP($A56&amp;"Total",Rezepte!$D:$AK,30,FALSE)/100*$C56</f>
        <v>0</v>
      </c>
      <c r="AJ56" s="3">
        <f>VLOOKUP($A56&amp;"Total",Rezepte!$D:$AK,31,FALSE)/100*$C56</f>
        <v>0</v>
      </c>
      <c r="AK56" s="3">
        <f>VLOOKUP($A56&amp;"Total",Rezepte!$D:$AK,32,FALSE)/100*$C56</f>
        <v>0</v>
      </c>
      <c r="AL56" s="3">
        <f>VLOOKUP($A56&amp;"Total",Rezepte!$D:$AK,33,FALSE)/100*$C56</f>
        <v>0</v>
      </c>
      <c r="AM56" s="3">
        <f>VLOOKUP($A56&amp;"Total",Rezepte!$D:$AK,34,FALSE)/100*$C56</f>
        <v>0</v>
      </c>
    </row>
    <row r="57" spans="1:39" x14ac:dyDescent="0.25">
      <c r="A57" t="s">
        <v>145</v>
      </c>
      <c r="B57">
        <v>5</v>
      </c>
      <c r="D57" s="30">
        <f>SUMIFS(Q:Q,P:P,A57)+SUMIFS(T:T,S:S,A57)+SUMIFS(W:W,V:V,A57)+SUMIFS(Z:Z,Y:Y,A57)</f>
        <v>0</v>
      </c>
      <c r="E57" s="30">
        <f>D57+C57</f>
        <v>0</v>
      </c>
      <c r="F57" s="32">
        <f>COUNTIFS(P:P,A57,Q:Q,"&gt;0")+COUNTIFS(S:S,A57,T:T,"&gt;0")+COUNTIFS(V:V,A57,W:W,"&gt;0")+COUNTIFS(Y:Y,A57,Z:Z,"&gt;0")</f>
        <v>0</v>
      </c>
      <c r="G57" s="27">
        <f>ROUNDUP((C57+D57)/M57,1)</f>
        <v>0</v>
      </c>
      <c r="H57" s="47">
        <f>G57*M57</f>
        <v>0</v>
      </c>
      <c r="I57" s="47">
        <f>MOD(H57,M57)</f>
        <v>0</v>
      </c>
      <c r="J57" s="34" t="str">
        <f>VLOOKUP($A57&amp;"Total",Rezepte!$D:$Z,19,FALSE)</f>
        <v>Assembler</v>
      </c>
      <c r="K57" s="32">
        <f>SUMIFS(R:R,P:P,A57)+SUMIFS(U:U,S:S,A57)+SUMIFS(X:X,V:V,A57)+SUMIFS(AA:AA,Y:Y,A57)</f>
        <v>0</v>
      </c>
      <c r="L57" s="27">
        <f>G57*N57</f>
        <v>0</v>
      </c>
      <c r="M57" s="4">
        <f>VLOOKUP($A57&amp;"Total",Rezepte!$D:$Z,21,FALSE)</f>
        <v>5</v>
      </c>
      <c r="N57" s="4">
        <f>VLOOKUP($A57&amp;"Total",Rezepte!$D:$Z,20,FALSE)</f>
        <v>15</v>
      </c>
      <c r="P57" t="str">
        <f>VLOOKUP($A57&amp;"Total",Rezepte!$D:$Z,4,FALSE)</f>
        <v>Modular Frame</v>
      </c>
      <c r="Q57" s="3">
        <f>VLOOKUP($A57&amp;"Total",Rezepte!$D:$Z,5,FALSE)*G57</f>
        <v>0</v>
      </c>
      <c r="R57" s="32">
        <f>ROUNDUP(Q57/$P$78,0)</f>
        <v>0</v>
      </c>
      <c r="S57" t="str">
        <f>VLOOKUP($A57&amp;"Total",Rezepte!$D:$Z,7,FALSE)</f>
        <v>Steel Beam</v>
      </c>
      <c r="T57" s="3">
        <f>VLOOKUP($A57&amp;"Total",Rezepte!$D:$Z,8,FALSE)*G57</f>
        <v>0</v>
      </c>
      <c r="U57" s="32">
        <f>ROUNDUP(T57/$P$78,0)</f>
        <v>0</v>
      </c>
      <c r="V57" t="str">
        <f>VLOOKUP($A57&amp;"Total",Rezepte!$D:$Z,10,FALSE)</f>
        <v>nothing</v>
      </c>
      <c r="W57" s="3">
        <f>VLOOKUP($A57&amp;"Total",Rezepte!$D:$Z,11,FALSE)*G57</f>
        <v>0</v>
      </c>
      <c r="X57" s="32">
        <f>ROUNDUP(W57/$P$78,0)</f>
        <v>0</v>
      </c>
      <c r="Y57" t="str">
        <f>VLOOKUP($A57&amp;"Total",Rezepte!$D:$Z,13,FALSE)</f>
        <v>nothing</v>
      </c>
      <c r="Z57" s="3">
        <f>VLOOKUP($A57&amp;"Total",Rezepte!$D:$Z,14,FALSE)*G57</f>
        <v>0</v>
      </c>
      <c r="AA57" s="32">
        <f>ROUNDUP(Z57/$P$78,0)</f>
        <v>0</v>
      </c>
      <c r="AC57" s="3">
        <f>VLOOKUP($A57&amp;"Total",Rezepte!$D:$AK,24,FALSE)/100*$C57</f>
        <v>0</v>
      </c>
      <c r="AD57" s="3">
        <f>VLOOKUP($A57&amp;"Total",Rezepte!$D:$AK,25,FALSE)/100*$C57</f>
        <v>0</v>
      </c>
      <c r="AE57" s="3">
        <f>VLOOKUP($A57&amp;"Total",Rezepte!$D:$AK,26,FALSE)/100*$C57</f>
        <v>0</v>
      </c>
      <c r="AF57" s="3">
        <f>VLOOKUP($A57&amp;"Total",Rezepte!$D:$AK,27,FALSE)/100*$C57</f>
        <v>0</v>
      </c>
      <c r="AG57" s="3">
        <f>VLOOKUP($A57&amp;"Total",Rezepte!$D:$AK,28,FALSE)/100*$C57</f>
        <v>0</v>
      </c>
      <c r="AH57" s="3">
        <f>VLOOKUP($A57&amp;"Total",Rezepte!$D:$AK,29,FALSE)/100*$C57</f>
        <v>0</v>
      </c>
      <c r="AI57" s="3">
        <f>VLOOKUP($A57&amp;"Total",Rezepte!$D:$AK,30,FALSE)/100*$C57</f>
        <v>0</v>
      </c>
      <c r="AJ57" s="3">
        <f>VLOOKUP($A57&amp;"Total",Rezepte!$D:$AK,31,FALSE)/100*$C57</f>
        <v>0</v>
      </c>
      <c r="AK57" s="3">
        <f>VLOOKUP($A57&amp;"Total",Rezepte!$D:$AK,32,FALSE)/100*$C57</f>
        <v>0</v>
      </c>
      <c r="AL57" s="3">
        <f>VLOOKUP($A57&amp;"Total",Rezepte!$D:$AK,33,FALSE)/100*$C57</f>
        <v>0</v>
      </c>
      <c r="AM57" s="3">
        <f>VLOOKUP($A57&amp;"Total",Rezepte!$D:$AK,34,FALSE)/100*$C57</f>
        <v>0</v>
      </c>
    </row>
    <row r="58" spans="1:39" x14ac:dyDescent="0.25">
      <c r="A58" t="s">
        <v>147</v>
      </c>
      <c r="D58" s="30">
        <f>SUMIFS(Q:Q,P:P,A58)+SUMIFS(T:T,S:S,A58)+SUMIFS(W:W,V:V,A58)+SUMIFS(Z:Z,Y:Y,A58)</f>
        <v>0</v>
      </c>
      <c r="E58" s="30">
        <f>D58+C58</f>
        <v>0</v>
      </c>
      <c r="F58" s="32">
        <f>COUNTIFS(P:P,A58,Q:Q,"&gt;0")+COUNTIFS(S:S,A58,T:T,"&gt;0")+COUNTIFS(V:V,A58,W:W,"&gt;0")+COUNTIFS(Y:Y,A58,Z:Z,"&gt;0")</f>
        <v>0</v>
      </c>
      <c r="G58" s="27">
        <f>ROUNDUP((C58+D58)/M58,1)</f>
        <v>0</v>
      </c>
      <c r="H58" s="47">
        <f>G58*M58</f>
        <v>0</v>
      </c>
      <c r="I58" s="47">
        <f>MOD(H58,M58)</f>
        <v>0</v>
      </c>
      <c r="J58" s="34" t="str">
        <f>VLOOKUP($A58&amp;"Total",Rezepte!$D:$Z,19,FALSE)</f>
        <v>Assembler</v>
      </c>
      <c r="K58" s="32">
        <f>SUMIFS(R:R,P:P,A58)+SUMIFS(U:U,S:S,A58)+SUMIFS(X:X,V:V,A58)+SUMIFS(AA:AA,Y:Y,A58)</f>
        <v>0</v>
      </c>
      <c r="L58" s="27">
        <f>G58*N58</f>
        <v>0</v>
      </c>
      <c r="M58" s="4">
        <f>VLOOKUP($A58&amp;"Total",Rezepte!$D:$Z,21,FALSE)</f>
        <v>2.5</v>
      </c>
      <c r="N58" s="4">
        <f>VLOOKUP($A58&amp;"Total",Rezepte!$D:$Z,20,FALSE)</f>
        <v>15</v>
      </c>
      <c r="P58" t="str">
        <f>VLOOKUP($A58&amp;"Total",Rezepte!$D:$Z,4,FALSE)</f>
        <v>Stator</v>
      </c>
      <c r="Q58" s="3">
        <f>VLOOKUP($A58&amp;"Total",Rezepte!$D:$Z,5,FALSE)*G58</f>
        <v>0</v>
      </c>
      <c r="R58" s="32">
        <f>ROUNDUP(Q58/$P$78,0)</f>
        <v>0</v>
      </c>
      <c r="S58" t="str">
        <f>VLOOKUP($A58&amp;"Total",Rezepte!$D:$Z,7,FALSE)</f>
        <v>Cable</v>
      </c>
      <c r="T58" s="3">
        <f>VLOOKUP($A58&amp;"Total",Rezepte!$D:$Z,8,FALSE)*G58</f>
        <v>0</v>
      </c>
      <c r="U58" s="32">
        <f>ROUNDUP(T58/$P$78,0)</f>
        <v>0</v>
      </c>
      <c r="V58" t="str">
        <f>VLOOKUP($A58&amp;"Total",Rezepte!$D:$Z,10,FALSE)</f>
        <v>nothing</v>
      </c>
      <c r="W58" s="3">
        <f>VLOOKUP($A58&amp;"Total",Rezepte!$D:$Z,11,FALSE)*G58</f>
        <v>0</v>
      </c>
      <c r="X58" s="32">
        <f>ROUNDUP(W58/$P$78,0)</f>
        <v>0</v>
      </c>
      <c r="Y58" t="str">
        <f>VLOOKUP($A58&amp;"Total",Rezepte!$D:$Z,13,FALSE)</f>
        <v>nothing</v>
      </c>
      <c r="Z58" s="3">
        <f>VLOOKUP($A58&amp;"Total",Rezepte!$D:$Z,14,FALSE)*G58</f>
        <v>0</v>
      </c>
      <c r="AA58" s="32">
        <f>ROUNDUP(Z58/$P$78,0)</f>
        <v>0</v>
      </c>
      <c r="AC58" s="3">
        <f>VLOOKUP($A58&amp;"Total",Rezepte!$D:$AK,24,FALSE)/100*$C58</f>
        <v>0</v>
      </c>
      <c r="AD58" s="3">
        <f>VLOOKUP($A58&amp;"Total",Rezepte!$D:$AK,25,FALSE)/100*$C58</f>
        <v>0</v>
      </c>
      <c r="AE58" s="3">
        <f>VLOOKUP($A58&amp;"Total",Rezepte!$D:$AK,26,FALSE)/100*$C58</f>
        <v>0</v>
      </c>
      <c r="AF58" s="3">
        <f>VLOOKUP($A58&amp;"Total",Rezepte!$D:$AK,27,FALSE)/100*$C58</f>
        <v>0</v>
      </c>
      <c r="AG58" s="3">
        <f>VLOOKUP($A58&amp;"Total",Rezepte!$D:$AK,28,FALSE)/100*$C58</f>
        <v>0</v>
      </c>
      <c r="AH58" s="3">
        <f>VLOOKUP($A58&amp;"Total",Rezepte!$D:$AK,29,FALSE)/100*$C58</f>
        <v>0</v>
      </c>
      <c r="AI58" s="3">
        <f>VLOOKUP($A58&amp;"Total",Rezepte!$D:$AK,30,FALSE)/100*$C58</f>
        <v>0</v>
      </c>
      <c r="AJ58" s="3">
        <f>VLOOKUP($A58&amp;"Total",Rezepte!$D:$AK,31,FALSE)/100*$C58</f>
        <v>0</v>
      </c>
      <c r="AK58" s="3">
        <f>VLOOKUP($A58&amp;"Total",Rezepte!$D:$AK,32,FALSE)/100*$C58</f>
        <v>0</v>
      </c>
      <c r="AL58" s="3">
        <f>VLOOKUP($A58&amp;"Total",Rezepte!$D:$AK,33,FALSE)/100*$C58</f>
        <v>0</v>
      </c>
      <c r="AM58" s="3">
        <f>VLOOKUP($A58&amp;"Total",Rezepte!$D:$AK,34,FALSE)/100*$C58</f>
        <v>0</v>
      </c>
    </row>
    <row r="60" spans="1:39" x14ac:dyDescent="0.25">
      <c r="A60" t="s">
        <v>152</v>
      </c>
      <c r="B60">
        <v>5</v>
      </c>
      <c r="D60" s="30">
        <f>SUMIFS(Q:Q,P:P,A60)+SUMIFS(T:T,S:S,A60)+SUMIFS(W:W,V:V,A60)+SUMIFS(Z:Z,Y:Y,A60)</f>
        <v>0</v>
      </c>
      <c r="E60" s="30">
        <f>D60+C60</f>
        <v>0</v>
      </c>
      <c r="F60" s="32">
        <f>COUNTIFS(P:P,A60,Q:Q,"&gt;0")+COUNTIFS(S:S,A60,T:T,"&gt;0")+COUNTIFS(V:V,A60,W:W,"&gt;0")+COUNTIFS(Y:Y,A60,Z:Z,"&gt;0")</f>
        <v>0</v>
      </c>
      <c r="G60" s="27">
        <f>ROUNDUP((C60+D60)/M60,1)</f>
        <v>0</v>
      </c>
      <c r="H60" s="47">
        <f>G60*M60</f>
        <v>0</v>
      </c>
      <c r="I60" s="47">
        <f>MOD(H60,M60)</f>
        <v>0</v>
      </c>
      <c r="J60" s="34" t="str">
        <f>VLOOKUP($A60&amp;"Total",Rezepte!$D:$Z,19,FALSE)</f>
        <v>Manufactirer</v>
      </c>
      <c r="K60" s="32">
        <f>SUMIFS(R:R,P:P,A60)+SUMIFS(U:U,S:S,A60)+SUMIFS(X:X,V:V,A60)+SUMIFS(AA:AA,Y:Y,A60)</f>
        <v>0</v>
      </c>
      <c r="L60" s="27">
        <f>G60*N60</f>
        <v>0</v>
      </c>
      <c r="M60" s="4">
        <f>VLOOKUP($A60&amp;"Total",Rezepte!$D:$Z,21,FALSE)</f>
        <v>1</v>
      </c>
      <c r="N60" s="4">
        <f>VLOOKUP($A60&amp;"Total",Rezepte!$D:$Z,20,FALSE)</f>
        <v>55</v>
      </c>
      <c r="P60" t="str">
        <f>VLOOKUP($A60&amp;"Total",Rezepte!$D:$Z,4,FALSE)</f>
        <v>Motor</v>
      </c>
      <c r="Q60" s="3">
        <f>VLOOKUP($A60&amp;"Total",Rezepte!$D:$Z,5,FALSE)*G60</f>
        <v>0</v>
      </c>
      <c r="R60" s="32">
        <f>ROUNDUP(Q60/$P$78,0)</f>
        <v>0</v>
      </c>
      <c r="S60" t="str">
        <f>VLOOKUP($A60&amp;"Total",Rezepte!$D:$Z,7,FALSE)</f>
        <v>Rubber</v>
      </c>
      <c r="T60" s="3">
        <f>VLOOKUP($A60&amp;"Total",Rezepte!$D:$Z,8,FALSE)*G60</f>
        <v>0</v>
      </c>
      <c r="U60" s="32">
        <f>ROUNDUP(T60/$P$78,0)</f>
        <v>0</v>
      </c>
      <c r="V60" t="str">
        <f>VLOOKUP($A60&amp;"Total",Rezepte!$D:$Z,10,FALSE)</f>
        <v>Smart Plating</v>
      </c>
      <c r="W60" s="3">
        <f>VLOOKUP($A60&amp;"Total",Rezepte!$D:$Z,11,FALSE)*G60</f>
        <v>0</v>
      </c>
      <c r="X60" s="32">
        <f>ROUNDUP(W60/$P$78,0)</f>
        <v>0</v>
      </c>
      <c r="Y60" t="str">
        <f>VLOOKUP($A60&amp;"Total",Rezepte!$D:$Z,13,FALSE)</f>
        <v>nothing</v>
      </c>
      <c r="Z60" s="3">
        <f>VLOOKUP($A60&amp;"Total",Rezepte!$D:$Z,14,FALSE)*G60</f>
        <v>0</v>
      </c>
      <c r="AA60" s="32">
        <f>ROUNDUP(Z60/$P$78,0)</f>
        <v>0</v>
      </c>
      <c r="AC60" s="3">
        <f>VLOOKUP($A60&amp;"Total",Rezepte!$D:$AK,24,FALSE)/100*$C60</f>
        <v>0</v>
      </c>
      <c r="AD60" s="3">
        <f>VLOOKUP($A60&amp;"Total",Rezepte!$D:$AK,25,FALSE)/100*$C60</f>
        <v>0</v>
      </c>
      <c r="AE60" s="3">
        <f>VLOOKUP($A60&amp;"Total",Rezepte!$D:$AK,26,FALSE)/100*$C60</f>
        <v>0</v>
      </c>
      <c r="AF60" s="3">
        <f>VLOOKUP($A60&amp;"Total",Rezepte!$D:$AK,27,FALSE)/100*$C60</f>
        <v>0</v>
      </c>
      <c r="AG60" s="3">
        <f>VLOOKUP($A60&amp;"Total",Rezepte!$D:$AK,28,FALSE)/100*$C60</f>
        <v>0</v>
      </c>
      <c r="AH60" s="3">
        <f>VLOOKUP($A60&amp;"Total",Rezepte!$D:$AK,29,FALSE)/100*$C60</f>
        <v>0</v>
      </c>
      <c r="AI60" s="3">
        <f>VLOOKUP($A60&amp;"Total",Rezepte!$D:$AK,30,FALSE)/100*$C60</f>
        <v>0</v>
      </c>
      <c r="AJ60" s="3">
        <f>VLOOKUP($A60&amp;"Total",Rezepte!$D:$AK,31,FALSE)/100*$C60</f>
        <v>0</v>
      </c>
      <c r="AK60" s="3">
        <f>VLOOKUP($A60&amp;"Total",Rezepte!$D:$AK,32,FALSE)/100*$C60</f>
        <v>0</v>
      </c>
      <c r="AL60" s="3">
        <f>VLOOKUP($A60&amp;"Total",Rezepte!$D:$AK,33,FALSE)/100*$C60</f>
        <v>0</v>
      </c>
      <c r="AM60" s="3">
        <f>VLOOKUP($A60&amp;"Total",Rezepte!$D:$AK,34,FALSE)/100*$C60</f>
        <v>0</v>
      </c>
    </row>
    <row r="61" spans="1:39" x14ac:dyDescent="0.25">
      <c r="A61" t="s">
        <v>153</v>
      </c>
      <c r="B61">
        <v>1</v>
      </c>
      <c r="D61" s="30">
        <f>SUMIFS(Q:Q,P:P,A61)+SUMIFS(T:T,S:S,A61)+SUMIFS(W:W,V:V,A61)+SUMIFS(Z:Z,Y:Y,A61)</f>
        <v>0</v>
      </c>
      <c r="E61" s="30">
        <f>D61+C61</f>
        <v>0</v>
      </c>
      <c r="F61" s="32">
        <f>COUNTIFS(P:P,A61,Q:Q,"&gt;0")+COUNTIFS(S:S,A61,T:T,"&gt;0")+COUNTIFS(V:V,A61,W:W,"&gt;0")+COUNTIFS(Y:Y,A61,Z:Z,"&gt;0")</f>
        <v>0</v>
      </c>
      <c r="G61" s="27">
        <f>ROUNDUP((C61+D61)/M61,1)</f>
        <v>0</v>
      </c>
      <c r="H61" s="47">
        <f>G61*M61</f>
        <v>0</v>
      </c>
      <c r="I61" s="47">
        <f>MOD(H61,M61)</f>
        <v>0</v>
      </c>
      <c r="J61" s="34" t="str">
        <f>VLOOKUP($A61&amp;"Total",Rezepte!$D:$Z,19,FALSE)</f>
        <v>Manufactirer</v>
      </c>
      <c r="K61" s="32">
        <f>SUMIFS(R:R,P:P,A61)+SUMIFS(U:U,S:S,A61)+SUMIFS(X:X,V:V,A61)+SUMIFS(AA:AA,Y:Y,A61)</f>
        <v>0</v>
      </c>
      <c r="L61" s="27">
        <f>G61*N61</f>
        <v>0</v>
      </c>
      <c r="M61" s="4">
        <f>VLOOKUP($A61&amp;"Total",Rezepte!$D:$Z,21,FALSE)</f>
        <v>1</v>
      </c>
      <c r="N61" s="4">
        <f>VLOOKUP($A61&amp;"Total",Rezepte!$D:$Z,20,FALSE)</f>
        <v>55</v>
      </c>
      <c r="P61" t="str">
        <f>VLOOKUP($A61&amp;"Total",Rezepte!$D:$Z,4,FALSE)</f>
        <v>Automated Wiring</v>
      </c>
      <c r="Q61" s="3">
        <f>VLOOKUP($A61&amp;"Total",Rezepte!$D:$Z,5,FALSE)*G61</f>
        <v>0</v>
      </c>
      <c r="R61" s="32">
        <f>ROUNDUP(Q61/$P$78,0)</f>
        <v>0</v>
      </c>
      <c r="S61" t="str">
        <f>VLOOKUP($A61&amp;"Total",Rezepte!$D:$Z,7,FALSE)</f>
        <v>Circuit Board</v>
      </c>
      <c r="T61" s="3">
        <f>VLOOKUP($A61&amp;"Total",Rezepte!$D:$Z,8,FALSE)*G61</f>
        <v>0</v>
      </c>
      <c r="U61" s="32">
        <f>ROUNDUP(T61/$P$78,0)</f>
        <v>0</v>
      </c>
      <c r="V61" t="str">
        <f>VLOOKUP($A61&amp;"Total",Rezepte!$D:$Z,10,FALSE)</f>
        <v>heavy modular frame</v>
      </c>
      <c r="W61" s="3">
        <f>VLOOKUP($A61&amp;"Total",Rezepte!$D:$Z,11,FALSE)*G61</f>
        <v>0</v>
      </c>
      <c r="X61" s="32">
        <f>ROUNDUP(W61/$P$78,0)</f>
        <v>0</v>
      </c>
      <c r="Y61" t="str">
        <f>VLOOKUP($A61&amp;"Total",Rezepte!$D:$Z,13,FALSE)</f>
        <v>Computer</v>
      </c>
      <c r="Z61" s="3">
        <f>VLOOKUP($A61&amp;"Total",Rezepte!$D:$Z,14,FALSE)*G61</f>
        <v>0</v>
      </c>
      <c r="AA61" s="32">
        <f>ROUNDUP(Z61/$P$78,0)</f>
        <v>0</v>
      </c>
      <c r="AC61" s="3">
        <f>VLOOKUP($A61&amp;"Total",Rezepte!$D:$AK,24,FALSE)/100*$C61</f>
        <v>0</v>
      </c>
      <c r="AD61" s="3">
        <f>VLOOKUP($A61&amp;"Total",Rezepte!$D:$AK,25,FALSE)/100*$C61</f>
        <v>0</v>
      </c>
      <c r="AE61" s="3">
        <f>VLOOKUP($A61&amp;"Total",Rezepte!$D:$AK,26,FALSE)/100*$C61</f>
        <v>0</v>
      </c>
      <c r="AF61" s="3">
        <f>VLOOKUP($A61&amp;"Total",Rezepte!$D:$AK,27,FALSE)/100*$C61</f>
        <v>0</v>
      </c>
      <c r="AG61" s="3">
        <f>VLOOKUP($A61&amp;"Total",Rezepte!$D:$AK,28,FALSE)/100*$C61</f>
        <v>0</v>
      </c>
      <c r="AH61" s="3">
        <f>VLOOKUP($A61&amp;"Total",Rezepte!$D:$AK,29,FALSE)/100*$C61</f>
        <v>0</v>
      </c>
      <c r="AI61" s="3">
        <f>VLOOKUP($A61&amp;"Total",Rezepte!$D:$AK,30,FALSE)/100*$C61</f>
        <v>0</v>
      </c>
      <c r="AJ61" s="3">
        <f>VLOOKUP($A61&amp;"Total",Rezepte!$D:$AK,31,FALSE)/100*$C61</f>
        <v>0</v>
      </c>
      <c r="AK61" s="3">
        <f>VLOOKUP($A61&amp;"Total",Rezepte!$D:$AK,32,FALSE)/100*$C61</f>
        <v>0</v>
      </c>
      <c r="AL61" s="3">
        <f>VLOOKUP($A61&amp;"Total",Rezepte!$D:$AK,33,FALSE)/100*$C61</f>
        <v>0</v>
      </c>
      <c r="AM61" s="3">
        <f>VLOOKUP($A61&amp;"Total",Rezepte!$D:$AK,34,FALSE)/100*$C61</f>
        <v>0</v>
      </c>
    </row>
    <row r="63" spans="1:39" x14ac:dyDescent="0.25">
      <c r="A63" t="s">
        <v>82</v>
      </c>
      <c r="D63" s="30">
        <f>SUMIFS(Q:Q,P:P,A63)+SUMIFS(T:T,S:S,A63)+SUMIFS(W:W,V:V,A63)+SUMIFS(Z:Z,Y:Y,A63)</f>
        <v>0</v>
      </c>
      <c r="E63" s="30">
        <f>D63+C63</f>
        <v>0</v>
      </c>
      <c r="F63" s="32">
        <f>COUNTIFS(P:P,A63,Q:Q,"&gt;0")+COUNTIFS(S:S,A63,T:T,"&gt;0")+COUNTIFS(V:V,A63,W:W,"&gt;0")+COUNTIFS(Y:Y,A63,Z:Z,"&gt;0")</f>
        <v>0</v>
      </c>
      <c r="G63" s="27">
        <f>ROUNDUP((C63+D63)/M63,1)</f>
        <v>0</v>
      </c>
      <c r="H63" s="47">
        <f>G63*M63</f>
        <v>0</v>
      </c>
      <c r="I63" s="47">
        <f>MOD(H63,M63)</f>
        <v>0</v>
      </c>
      <c r="J63" s="34" t="str">
        <f>VLOOKUP($A63&amp;"Total",Rezepte!$D:$Z,19,FALSE)</f>
        <v>Refinery</v>
      </c>
      <c r="K63" s="32">
        <f>SUMIFS(R:R,P:P,A63)+SUMIFS(U:U,S:S,A63)+SUMIFS(X:X,V:V,A63)+SUMIFS(AA:AA,Y:Y,A63)</f>
        <v>0</v>
      </c>
      <c r="L63" s="27">
        <f>G63*N63</f>
        <v>0</v>
      </c>
      <c r="M63" s="4">
        <f>VLOOKUP($A63&amp;"Total",Rezepte!$D:$Z,21,FALSE)</f>
        <v>20</v>
      </c>
      <c r="N63" s="4">
        <f>VLOOKUP($A63&amp;"Total",Rezepte!$D:$Z,20,FALSE)</f>
        <v>30</v>
      </c>
      <c r="O63" s="47">
        <v>8</v>
      </c>
      <c r="P63" t="str">
        <f>VLOOKUP($A63&amp;"Total",Rezepte!$D:$Z,4,FALSE)</f>
        <v>Oil</v>
      </c>
      <c r="Q63" s="3">
        <f>VLOOKUP($A63&amp;"Total",Rezepte!$D:$Z,5,FALSE)*G63</f>
        <v>0</v>
      </c>
      <c r="R63" s="32">
        <f>ROUNDUP(Q63/$P$78,0)</f>
        <v>0</v>
      </c>
      <c r="T63" s="3">
        <f>VLOOKUP($A63&amp;"Total",Rezepte!$D:$Z,8,FALSE)*G63</f>
        <v>0</v>
      </c>
      <c r="U63" s="32">
        <f>ROUNDUP(T63/$P$78,0)</f>
        <v>0</v>
      </c>
      <c r="W63" s="3">
        <f>VLOOKUP($A63&amp;"Total",Rezepte!$D:$Z,11,FALSE)*G63</f>
        <v>0</v>
      </c>
      <c r="X63" s="32">
        <f>ROUNDUP(W63/$P$78,0)</f>
        <v>0</v>
      </c>
      <c r="Z63" s="3">
        <f>VLOOKUP($A63&amp;"Total",Rezepte!$D:$Z,14,FALSE)*G63</f>
        <v>0</v>
      </c>
      <c r="AA63" s="32">
        <f>ROUNDUP(Z63/$P$78,0)</f>
        <v>0</v>
      </c>
      <c r="AC63" s="3">
        <f>VLOOKUP($A63&amp;"Total",Rezepte!$D:$AK,24,FALSE)/100*$C63</f>
        <v>0</v>
      </c>
      <c r="AD63" s="3">
        <f>VLOOKUP($A63&amp;"Total",Rezepte!$D:$AK,25,FALSE)/100*$C63</f>
        <v>0</v>
      </c>
      <c r="AE63" s="3">
        <f>VLOOKUP($A63&amp;"Total",Rezepte!$D:$AK,26,FALSE)/100*$C63</f>
        <v>0</v>
      </c>
      <c r="AF63" s="3">
        <f>VLOOKUP($A63&amp;"Total",Rezepte!$D:$AK,27,FALSE)/100*$C63</f>
        <v>0</v>
      </c>
      <c r="AG63" s="3">
        <f>VLOOKUP($A63&amp;"Total",Rezepte!$D:$AK,28,FALSE)/100*$C63</f>
        <v>0</v>
      </c>
      <c r="AH63" s="3">
        <f>VLOOKUP($A63&amp;"Total",Rezepte!$D:$AK,29,FALSE)/100*$C63</f>
        <v>0</v>
      </c>
      <c r="AI63" s="3">
        <f>VLOOKUP($A63&amp;"Total",Rezepte!$D:$AK,30,FALSE)/100*$C63</f>
        <v>0</v>
      </c>
      <c r="AJ63" s="3">
        <f>VLOOKUP($A63&amp;"Total",Rezepte!$D:$AK,31,FALSE)/100*$C63</f>
        <v>0</v>
      </c>
      <c r="AK63" s="3">
        <f>VLOOKUP($A63&amp;"Total",Rezepte!$D:$AK,32,FALSE)/100*$C63</f>
        <v>0</v>
      </c>
      <c r="AL63" s="3">
        <f>VLOOKUP($A63&amp;"Total",Rezepte!$D:$AK,33,FALSE)/100*$C63</f>
        <v>0</v>
      </c>
      <c r="AM63" s="3">
        <f>VLOOKUP($A63&amp;"Total",Rezepte!$D:$AK,34,FALSE)/100*$C63</f>
        <v>0</v>
      </c>
    </row>
    <row r="64" spans="1:39" x14ac:dyDescent="0.25">
      <c r="A64" t="s">
        <v>72</v>
      </c>
      <c r="D64" s="30">
        <f>SUMIFS(Q:Q,P:P,A64)+SUMIFS(T:T,S:S,A64)+SUMIFS(W:W,V:V,A64)+SUMIFS(Z:Z,Y:Y,A64)</f>
        <v>49.125</v>
      </c>
      <c r="E64" s="30">
        <f>D64+C64</f>
        <v>49.125</v>
      </c>
      <c r="F64" s="32">
        <f>COUNTIFS(P:P,A64,Q:Q,"&gt;0")+COUNTIFS(S:S,A64,T:T,"&gt;0")+COUNTIFS(V:V,A64,W:W,"&gt;0")+COUNTIFS(Y:Y,A64,Z:Z,"&gt;0")</f>
        <v>2</v>
      </c>
      <c r="G64" s="27">
        <f>ROUNDUP((C64+D64)/M64,1)</f>
        <v>2.5</v>
      </c>
      <c r="H64" s="47">
        <f>G64*M64</f>
        <v>50</v>
      </c>
      <c r="I64" s="47">
        <f>MOD(H64,M64)</f>
        <v>10</v>
      </c>
      <c r="J64" s="34" t="str">
        <f>VLOOKUP($A64&amp;"Total",Rezepte!$D:$Z,19,FALSE)</f>
        <v>Refinery</v>
      </c>
      <c r="K64" s="32">
        <f>SUMIFS(R:R,P:P,A64)+SUMIFS(U:U,S:S,A64)+SUMIFS(X:X,V:V,A64)+SUMIFS(AA:AA,Y:Y,A64)</f>
        <v>2</v>
      </c>
      <c r="L64" s="27">
        <f>G64*N64</f>
        <v>75</v>
      </c>
      <c r="M64" s="4">
        <f>VLOOKUP($A64&amp;"Total",Rezepte!$D:$Z,21,FALSE)</f>
        <v>20</v>
      </c>
      <c r="N64" s="4">
        <f>VLOOKUP($A64&amp;"Total",Rezepte!$D:$Z,20,FALSE)</f>
        <v>30</v>
      </c>
      <c r="O64" s="47">
        <v>156</v>
      </c>
      <c r="P64" t="str">
        <f>VLOOKUP($A64&amp;"Total",Rezepte!$D:$Z,4,FALSE)</f>
        <v>Oil</v>
      </c>
      <c r="Q64" s="3">
        <f>VLOOKUP($A64&amp;"Total",Rezepte!$D:$Z,5,FALSE)*G64</f>
        <v>75</v>
      </c>
      <c r="R64" s="32">
        <f>ROUNDUP(Q64/$P$78,0)</f>
        <v>1</v>
      </c>
      <c r="T64" s="3">
        <f>VLOOKUP($A64&amp;"Total",Rezepte!$D:$Z,8,FALSE)*G64</f>
        <v>0</v>
      </c>
      <c r="U64" s="32">
        <f>ROUNDUP(T64/$P$78,0)</f>
        <v>0</v>
      </c>
      <c r="W64" s="3">
        <f>VLOOKUP($A64&amp;"Total",Rezepte!$D:$Z,11,FALSE)*G64</f>
        <v>0</v>
      </c>
      <c r="X64" s="32">
        <f>ROUNDUP(W64/$P$78,0)</f>
        <v>0</v>
      </c>
      <c r="Z64" s="3">
        <f>VLOOKUP($A64&amp;"Total",Rezepte!$D:$Z,14,FALSE)*G64</f>
        <v>0</v>
      </c>
      <c r="AA64" s="32">
        <f>ROUNDUP(Z64/$P$78,0)</f>
        <v>0</v>
      </c>
      <c r="AC64" s="3">
        <f>VLOOKUP($A64&amp;"Total",Rezepte!$D:$AK,24,FALSE)/100*$C64</f>
        <v>0</v>
      </c>
      <c r="AD64" s="3">
        <f>VLOOKUP($A64&amp;"Total",Rezepte!$D:$AK,25,FALSE)/100*$C64</f>
        <v>0</v>
      </c>
      <c r="AE64" s="3">
        <f>VLOOKUP($A64&amp;"Total",Rezepte!$D:$AK,26,FALSE)/100*$C64</f>
        <v>0</v>
      </c>
      <c r="AF64" s="3">
        <f>VLOOKUP($A64&amp;"Total",Rezepte!$D:$AK,27,FALSE)/100*$C64</f>
        <v>0</v>
      </c>
      <c r="AG64" s="3">
        <f>VLOOKUP($A64&amp;"Total",Rezepte!$D:$AK,28,FALSE)/100*$C64</f>
        <v>0</v>
      </c>
      <c r="AH64" s="3">
        <f>VLOOKUP($A64&amp;"Total",Rezepte!$D:$AK,29,FALSE)/100*$C64</f>
        <v>0</v>
      </c>
      <c r="AI64" s="3">
        <f>VLOOKUP($A64&amp;"Total",Rezepte!$D:$AK,30,FALSE)/100*$C64</f>
        <v>0</v>
      </c>
      <c r="AJ64" s="3">
        <f>VLOOKUP($A64&amp;"Total",Rezepte!$D:$AK,31,FALSE)/100*$C64</f>
        <v>0</v>
      </c>
      <c r="AK64" s="3">
        <f>VLOOKUP($A64&amp;"Total",Rezepte!$D:$AK,32,FALSE)/100*$C64</f>
        <v>0</v>
      </c>
      <c r="AL64" s="3">
        <f>VLOOKUP($A64&amp;"Total",Rezepte!$D:$AK,33,FALSE)/100*$C64</f>
        <v>0</v>
      </c>
      <c r="AM64" s="3">
        <f>VLOOKUP($A64&amp;"Total",Rezepte!$D:$AK,34,FALSE)/100*$C64</f>
        <v>0</v>
      </c>
    </row>
    <row r="67" spans="1:39" x14ac:dyDescent="0.25">
      <c r="A67" t="s">
        <v>155</v>
      </c>
      <c r="D67" s="30">
        <f t="shared" ref="D67:D72" si="35">SUMIFS(Q:Q,P:P,A67)+SUMIFS(T:T,S:S,A67)+SUMIFS(W:W,V:V,A67)+SUMIFS(Z:Z,Y:Y,A67)</f>
        <v>0</v>
      </c>
      <c r="E67" s="30">
        <f t="shared" si="5"/>
        <v>0</v>
      </c>
      <c r="F67" s="32">
        <f t="shared" ref="F67:F72" si="36">COUNTIFS(P:P,A67,Q:Q,"&gt;0")+COUNTIFS(S:S,A67,T:T,"&gt;0")+COUNTIFS(V:V,A67,W:W,"&gt;0")+COUNTIFS(Y:Y,A67,Z:Z,"&gt;0")</f>
        <v>0</v>
      </c>
      <c r="G67" s="27">
        <f t="shared" ref="G67:G72" si="37">ROUNDUP((C67+D67)/M67,1)</f>
        <v>0</v>
      </c>
      <c r="H67" s="47">
        <f t="shared" si="10"/>
        <v>0</v>
      </c>
      <c r="I67" s="47">
        <f t="shared" si="11"/>
        <v>0</v>
      </c>
      <c r="J67" s="34" t="str">
        <f>VLOOKUP($A67&amp;"Total",Rezepte!$D:$Z,19,FALSE)</f>
        <v>Refinery</v>
      </c>
      <c r="K67" s="32">
        <f t="shared" ref="K67:K72" si="38">SUMIFS(R:R,P:P,A67)+SUMIFS(U:U,S:S,A67)+SUMIFS(X:X,V:V,A67)+SUMIFS(AA:AA,Y:Y,A67)</f>
        <v>0</v>
      </c>
      <c r="L67" s="27">
        <f t="shared" ref="L67:L72" si="39">G67*N67</f>
        <v>0</v>
      </c>
      <c r="M67" s="4">
        <f>VLOOKUP($A67&amp;"Total",Rezepte!$D:$Z,21,FALSE)</f>
        <v>130</v>
      </c>
      <c r="N67" s="4">
        <f>VLOOKUP($A67&amp;"Total",Rezepte!$D:$Z,20,FALSE)</f>
        <v>30</v>
      </c>
      <c r="P67" t="str">
        <f>VLOOKUP($A67&amp;"Total",Rezepte!$D:$Z,4,FALSE)</f>
        <v>Oil</v>
      </c>
      <c r="Q67" s="3">
        <f>VLOOKUP($A67&amp;"Total",Rezepte!$D:$Z,5,FALSE)*G67</f>
        <v>0</v>
      </c>
      <c r="R67" s="32">
        <f t="shared" ref="R67:R72" si="40">ROUNDUP(Q67/$P$78,0)</f>
        <v>0</v>
      </c>
      <c r="T67" s="3">
        <f>VLOOKUP($A67&amp;"Total",Rezepte!$D:$Z,8,FALSE)*G67</f>
        <v>0</v>
      </c>
      <c r="U67" s="32">
        <f t="shared" ref="U67:U72" si="41">ROUNDUP(T67/$P$78,0)</f>
        <v>0</v>
      </c>
      <c r="W67" s="3">
        <f>VLOOKUP($A67&amp;"Total",Rezepte!$D:$Z,11,FALSE)*G67</f>
        <v>0</v>
      </c>
      <c r="X67" s="32">
        <f t="shared" ref="X67:X72" si="42">ROUNDUP(W67/$P$78,0)</f>
        <v>0</v>
      </c>
      <c r="Z67" s="3">
        <f>VLOOKUP($A67&amp;"Total",Rezepte!$D:$Z,14,FALSE)*G67</f>
        <v>0</v>
      </c>
      <c r="AA67" s="32">
        <f t="shared" ref="AA67:AA72" si="43">ROUNDUP(Z67/$P$78,0)</f>
        <v>0</v>
      </c>
      <c r="AC67" s="3">
        <f>VLOOKUP($A67&amp;"Total",Rezepte!$D:$AK,24,FALSE)/100*$C67</f>
        <v>0</v>
      </c>
      <c r="AD67" s="3">
        <f>VLOOKUP($A67&amp;"Total",Rezepte!$D:$AK,25,FALSE)/100*$C67</f>
        <v>0</v>
      </c>
      <c r="AE67" s="3">
        <f>VLOOKUP($A67&amp;"Total",Rezepte!$D:$AK,26,FALSE)/100*$C67</f>
        <v>0</v>
      </c>
      <c r="AF67" s="3">
        <f>VLOOKUP($A67&amp;"Total",Rezepte!$D:$AK,27,FALSE)/100*$C67</f>
        <v>0</v>
      </c>
      <c r="AG67" s="3">
        <f>VLOOKUP($A67&amp;"Total",Rezepte!$D:$AK,28,FALSE)/100*$C67</f>
        <v>0</v>
      </c>
      <c r="AH67" s="3">
        <f>VLOOKUP($A67&amp;"Total",Rezepte!$D:$AK,29,FALSE)/100*$C67</f>
        <v>0</v>
      </c>
      <c r="AI67" s="3">
        <f>VLOOKUP($A67&amp;"Total",Rezepte!$D:$AK,30,FALSE)/100*$C67</f>
        <v>0</v>
      </c>
      <c r="AJ67" s="3">
        <f>VLOOKUP($A67&amp;"Total",Rezepte!$D:$AK,31,FALSE)/100*$C67</f>
        <v>0</v>
      </c>
      <c r="AK67" s="3">
        <f>VLOOKUP($A67&amp;"Total",Rezepte!$D:$AK,32,FALSE)/100*$C67</f>
        <v>0</v>
      </c>
      <c r="AL67" s="3">
        <f>VLOOKUP($A67&amp;"Total",Rezepte!$D:$AK,33,FALSE)/100*$C67</f>
        <v>0</v>
      </c>
      <c r="AM67" s="3">
        <f>VLOOKUP($A67&amp;"Total",Rezepte!$D:$AK,34,FALSE)/100*$C67</f>
        <v>0</v>
      </c>
    </row>
    <row r="68" spans="1:39" x14ac:dyDescent="0.25">
      <c r="A68" t="s">
        <v>124</v>
      </c>
      <c r="D68" s="30">
        <f t="shared" si="35"/>
        <v>0</v>
      </c>
      <c r="E68" s="30">
        <f t="shared" si="5"/>
        <v>0</v>
      </c>
      <c r="F68" s="32">
        <f t="shared" si="36"/>
        <v>0</v>
      </c>
      <c r="G68" s="27">
        <f t="shared" si="37"/>
        <v>0</v>
      </c>
      <c r="H68" s="47">
        <f t="shared" si="10"/>
        <v>0</v>
      </c>
      <c r="I68" s="47">
        <f t="shared" si="11"/>
        <v>0</v>
      </c>
      <c r="J68" s="34" t="str">
        <f>VLOOKUP($A68&amp;"Total",Rezepte!$D:$Z,19,FALSE)</f>
        <v>Assembler</v>
      </c>
      <c r="K68" s="32">
        <f t="shared" si="38"/>
        <v>0</v>
      </c>
      <c r="L68" s="27">
        <f t="shared" si="39"/>
        <v>0</v>
      </c>
      <c r="M68" s="4">
        <f>VLOOKUP($A68&amp;"Total",Rezepte!$D:$Z,21,FALSE)</f>
        <v>5</v>
      </c>
      <c r="N68" s="4">
        <f>VLOOKUP($A68&amp;"Total",Rezepte!$D:$Z,20,FALSE)</f>
        <v>15</v>
      </c>
      <c r="P68" t="str">
        <f>VLOOKUP($A68&amp;"Total",Rezepte!$D:$Z,4,FALSE)</f>
        <v>coal</v>
      </c>
      <c r="Q68" s="3">
        <f>VLOOKUP($A68&amp;"Total",Rezepte!$D:$Z,5,FALSE)*G68</f>
        <v>0</v>
      </c>
      <c r="R68" s="32">
        <f t="shared" si="40"/>
        <v>0</v>
      </c>
      <c r="T68" s="3">
        <f>VLOOKUP($A68&amp;"Total",Rezepte!$D:$Z,8,FALSE)*G68</f>
        <v>0</v>
      </c>
      <c r="U68" s="32">
        <f t="shared" si="41"/>
        <v>0</v>
      </c>
      <c r="W68" s="3">
        <f>VLOOKUP($A68&amp;"Total",Rezepte!$D:$Z,11,FALSE)*G68</f>
        <v>0</v>
      </c>
      <c r="X68" s="32">
        <f t="shared" si="42"/>
        <v>0</v>
      </c>
      <c r="Z68" s="3">
        <f>VLOOKUP($A68&amp;"Total",Rezepte!$D:$Z,14,FALSE)*G68</f>
        <v>0</v>
      </c>
      <c r="AA68" s="32">
        <f t="shared" si="43"/>
        <v>0</v>
      </c>
      <c r="AC68" s="3">
        <f>VLOOKUP($A68&amp;"Total",Rezepte!$D:$AK,24,FALSE)/100*$C68</f>
        <v>0</v>
      </c>
      <c r="AD68" s="3">
        <f>VLOOKUP($A68&amp;"Total",Rezepte!$D:$AK,25,FALSE)/100*$C68</f>
        <v>0</v>
      </c>
      <c r="AE68" s="3">
        <f>VLOOKUP($A68&amp;"Total",Rezepte!$D:$AK,26,FALSE)/100*$C68</f>
        <v>0</v>
      </c>
      <c r="AF68" s="3">
        <f>VLOOKUP($A68&amp;"Total",Rezepte!$D:$AK,27,FALSE)/100*$C68</f>
        <v>0</v>
      </c>
      <c r="AG68" s="3">
        <f>VLOOKUP($A68&amp;"Total",Rezepte!$D:$AK,28,FALSE)/100*$C68</f>
        <v>0</v>
      </c>
      <c r="AH68" s="3">
        <f>VLOOKUP($A68&amp;"Total",Rezepte!$D:$AK,29,FALSE)/100*$C68</f>
        <v>0</v>
      </c>
      <c r="AI68" s="3">
        <f>VLOOKUP($A68&amp;"Total",Rezepte!$D:$AK,30,FALSE)/100*$C68</f>
        <v>0</v>
      </c>
      <c r="AJ68" s="3">
        <f>VLOOKUP($A68&amp;"Total",Rezepte!$D:$AK,31,FALSE)/100*$C68</f>
        <v>0</v>
      </c>
      <c r="AK68" s="3">
        <f>VLOOKUP($A68&amp;"Total",Rezepte!$D:$AK,32,FALSE)/100*$C68</f>
        <v>0</v>
      </c>
      <c r="AL68" s="3">
        <f>VLOOKUP($A68&amp;"Total",Rezepte!$D:$AK,33,FALSE)/100*$C68</f>
        <v>0</v>
      </c>
      <c r="AM68" s="3">
        <f>VLOOKUP($A68&amp;"Total",Rezepte!$D:$AK,34,FALSE)/100*$C68</f>
        <v>0</v>
      </c>
    </row>
    <row r="69" spans="1:39" x14ac:dyDescent="0.25">
      <c r="A69" t="s">
        <v>108</v>
      </c>
      <c r="D69" s="30">
        <f t="shared" si="35"/>
        <v>0</v>
      </c>
      <c r="E69" s="30">
        <f t="shared" si="5"/>
        <v>0</v>
      </c>
      <c r="F69" s="32">
        <f t="shared" si="36"/>
        <v>0</v>
      </c>
      <c r="G69" s="27">
        <f t="shared" si="37"/>
        <v>0</v>
      </c>
      <c r="H69" s="47">
        <f t="shared" si="10"/>
        <v>0</v>
      </c>
      <c r="I69" s="47">
        <f t="shared" si="11"/>
        <v>0</v>
      </c>
      <c r="J69" s="34" t="str">
        <f>VLOOKUP($A69&amp;"Total",Rezepte!$D:$Z,19,FALSE)</f>
        <v>Refinery</v>
      </c>
      <c r="K69" s="32">
        <f t="shared" si="38"/>
        <v>0</v>
      </c>
      <c r="L69" s="27">
        <f t="shared" si="39"/>
        <v>0</v>
      </c>
      <c r="M69" s="4">
        <f>VLOOKUP($A69&amp;"Total",Rezepte!$D:$Z,21,FALSE)</f>
        <v>120</v>
      </c>
      <c r="N69" s="4">
        <f>VLOOKUP($A69&amp;"Total",Rezepte!$D:$Z,20,FALSE)</f>
        <v>30</v>
      </c>
      <c r="P69" t="str">
        <f>VLOOKUP($A69&amp;"Total",Rezepte!$D:$Z,4,FALSE)</f>
        <v>Heavy Oil Residue</v>
      </c>
      <c r="Q69" s="3">
        <f>VLOOKUP($A69&amp;"Total",Rezepte!$D:$Z,5,FALSE)*G69</f>
        <v>0</v>
      </c>
      <c r="R69" s="32">
        <f t="shared" si="40"/>
        <v>0</v>
      </c>
      <c r="T69" s="3">
        <f>VLOOKUP($A69&amp;"Total",Rezepte!$D:$Z,8,FALSE)*G69</f>
        <v>0</v>
      </c>
      <c r="U69" s="32">
        <f t="shared" si="41"/>
        <v>0</v>
      </c>
      <c r="W69" s="3">
        <f>VLOOKUP($A69&amp;"Total",Rezepte!$D:$Z,11,FALSE)*G69</f>
        <v>0</v>
      </c>
      <c r="X69" s="32">
        <f t="shared" si="42"/>
        <v>0</v>
      </c>
      <c r="Z69" s="3">
        <f>VLOOKUP($A69&amp;"Total",Rezepte!$D:$Z,14,FALSE)*G69</f>
        <v>0</v>
      </c>
      <c r="AA69" s="32">
        <f t="shared" si="43"/>
        <v>0</v>
      </c>
      <c r="AC69" s="3">
        <f>VLOOKUP($A69&amp;"Total",Rezepte!$D:$AK,24,FALSE)/100*$C69</f>
        <v>0</v>
      </c>
      <c r="AD69" s="3">
        <f>VLOOKUP($A69&amp;"Total",Rezepte!$D:$AK,25,FALSE)/100*$C69</f>
        <v>0</v>
      </c>
      <c r="AE69" s="3">
        <f>VLOOKUP($A69&amp;"Total",Rezepte!$D:$AK,26,FALSE)/100*$C69</f>
        <v>0</v>
      </c>
      <c r="AF69" s="3">
        <f>VLOOKUP($A69&amp;"Total",Rezepte!$D:$AK,27,FALSE)/100*$C69</f>
        <v>0</v>
      </c>
      <c r="AG69" s="3">
        <f>VLOOKUP($A69&amp;"Total",Rezepte!$D:$AK,28,FALSE)/100*$C69</f>
        <v>0</v>
      </c>
      <c r="AH69" s="3">
        <f>VLOOKUP($A69&amp;"Total",Rezepte!$D:$AK,29,FALSE)/100*$C69</f>
        <v>0</v>
      </c>
      <c r="AI69" s="3">
        <f>VLOOKUP($A69&amp;"Total",Rezepte!$D:$AK,30,FALSE)/100*$C69</f>
        <v>0</v>
      </c>
      <c r="AJ69" s="3">
        <f>VLOOKUP($A69&amp;"Total",Rezepte!$D:$AK,31,FALSE)/100*$C69</f>
        <v>0</v>
      </c>
      <c r="AK69" s="3">
        <f>VLOOKUP($A69&amp;"Total",Rezepte!$D:$AK,32,FALSE)/100*$C69</f>
        <v>0</v>
      </c>
      <c r="AL69" s="3">
        <f>VLOOKUP($A69&amp;"Total",Rezepte!$D:$AK,33,FALSE)/100*$C69</f>
        <v>0</v>
      </c>
      <c r="AM69" s="3">
        <f>VLOOKUP($A69&amp;"Total",Rezepte!$D:$AK,34,FALSE)/100*$C69</f>
        <v>0</v>
      </c>
    </row>
    <row r="70" spans="1:39" x14ac:dyDescent="0.25">
      <c r="A70" t="s">
        <v>99</v>
      </c>
      <c r="D70" s="30">
        <f t="shared" si="35"/>
        <v>0</v>
      </c>
      <c r="E70" s="30">
        <f t="shared" si="5"/>
        <v>0</v>
      </c>
      <c r="F70" s="32">
        <f t="shared" si="36"/>
        <v>0</v>
      </c>
      <c r="G70" s="27">
        <f t="shared" si="37"/>
        <v>0</v>
      </c>
      <c r="H70" s="47">
        <f t="shared" si="10"/>
        <v>0</v>
      </c>
      <c r="I70" s="47">
        <f t="shared" si="11"/>
        <v>0</v>
      </c>
      <c r="J70" s="34" t="str">
        <f>VLOOKUP($A70&amp;"Total",Rezepte!$D:$Z,19,FALSE)</f>
        <v>Refinery</v>
      </c>
      <c r="K70" s="32">
        <f t="shared" si="38"/>
        <v>0</v>
      </c>
      <c r="L70" s="27">
        <f t="shared" si="39"/>
        <v>0</v>
      </c>
      <c r="M70" s="4">
        <f>VLOOKUP($A70&amp;"Total",Rezepte!$D:$Z,21,FALSE)</f>
        <v>40</v>
      </c>
      <c r="N70" s="4">
        <f>VLOOKUP($A70&amp;"Total",Rezepte!$D:$Z,20,FALSE)</f>
        <v>30</v>
      </c>
      <c r="P70" t="str">
        <f>VLOOKUP($A70&amp;"Total",Rezepte!$D:$Z,4,FALSE)</f>
        <v>Oil</v>
      </c>
      <c r="Q70" s="3">
        <f>VLOOKUP($A70&amp;"Total",Rezepte!$D:$Z,5,FALSE)*G70</f>
        <v>0</v>
      </c>
      <c r="R70" s="32">
        <f t="shared" si="40"/>
        <v>0</v>
      </c>
      <c r="T70" s="3">
        <f>VLOOKUP($A70&amp;"Total",Rezepte!$D:$Z,8,FALSE)*G70</f>
        <v>0</v>
      </c>
      <c r="U70" s="32">
        <f t="shared" si="41"/>
        <v>0</v>
      </c>
      <c r="W70" s="3">
        <f>VLOOKUP($A70&amp;"Total",Rezepte!$D:$Z,11,FALSE)*G70</f>
        <v>0</v>
      </c>
      <c r="X70" s="32">
        <f t="shared" si="42"/>
        <v>0</v>
      </c>
      <c r="Z70" s="3">
        <f>VLOOKUP($A70&amp;"Total",Rezepte!$D:$Z,14,FALSE)*G70</f>
        <v>0</v>
      </c>
      <c r="AA70" s="32">
        <f t="shared" si="43"/>
        <v>0</v>
      </c>
      <c r="AC70" s="3">
        <f>VLOOKUP($A70&amp;"Total",Rezepte!$D:$AK,24,FALSE)/100*$C70</f>
        <v>0</v>
      </c>
      <c r="AD70" s="3">
        <f>VLOOKUP($A70&amp;"Total",Rezepte!$D:$AK,25,FALSE)/100*$C70</f>
        <v>0</v>
      </c>
      <c r="AE70" s="3">
        <f>VLOOKUP($A70&amp;"Total",Rezepte!$D:$AK,26,FALSE)/100*$C70</f>
        <v>0</v>
      </c>
      <c r="AF70" s="3">
        <f>VLOOKUP($A70&amp;"Total",Rezepte!$D:$AK,27,FALSE)/100*$C70</f>
        <v>0</v>
      </c>
      <c r="AG70" s="3">
        <f>VLOOKUP($A70&amp;"Total",Rezepte!$D:$AK,28,FALSE)/100*$C70</f>
        <v>0</v>
      </c>
      <c r="AH70" s="3">
        <f>VLOOKUP($A70&amp;"Total",Rezepte!$D:$AK,29,FALSE)/100*$C70</f>
        <v>0</v>
      </c>
      <c r="AI70" s="3">
        <f>VLOOKUP($A70&amp;"Total",Rezepte!$D:$AK,30,FALSE)/100*$C70</f>
        <v>0</v>
      </c>
      <c r="AJ70" s="3">
        <f>VLOOKUP($A70&amp;"Total",Rezepte!$D:$AK,31,FALSE)/100*$C70</f>
        <v>0</v>
      </c>
      <c r="AK70" s="3">
        <f>VLOOKUP($A70&amp;"Total",Rezepte!$D:$AK,32,FALSE)/100*$C70</f>
        <v>0</v>
      </c>
      <c r="AL70" s="3">
        <f>VLOOKUP($A70&amp;"Total",Rezepte!$D:$AK,33,FALSE)/100*$C70</f>
        <v>0</v>
      </c>
      <c r="AM70" s="3">
        <f>VLOOKUP($A70&amp;"Total",Rezepte!$D:$AK,34,FALSE)/100*$C70</f>
        <v>0</v>
      </c>
    </row>
    <row r="71" spans="1:39" x14ac:dyDescent="0.25">
      <c r="A71" t="s">
        <v>157</v>
      </c>
      <c r="D71" s="30">
        <f t="shared" si="35"/>
        <v>0</v>
      </c>
      <c r="E71" s="30">
        <f t="shared" si="5"/>
        <v>0</v>
      </c>
      <c r="F71" s="32">
        <f t="shared" si="36"/>
        <v>0</v>
      </c>
      <c r="G71" s="27">
        <f t="shared" si="37"/>
        <v>0</v>
      </c>
      <c r="H71" s="47">
        <f t="shared" si="10"/>
        <v>0</v>
      </c>
      <c r="I71" s="47">
        <f t="shared" si="11"/>
        <v>0</v>
      </c>
      <c r="J71" s="34" t="str">
        <f>VLOOKUP($A71&amp;"Total",Rezepte!$D:$Z,19,FALSE)</f>
        <v>Refinery</v>
      </c>
      <c r="K71" s="32">
        <f t="shared" si="38"/>
        <v>0</v>
      </c>
      <c r="L71" s="27">
        <f t="shared" si="39"/>
        <v>0</v>
      </c>
      <c r="M71" s="4">
        <f>VLOOKUP($A71&amp;"Total",Rezepte!$D:$Z,21,FALSE)</f>
        <v>40</v>
      </c>
      <c r="N71" s="4">
        <f>VLOOKUP($A71&amp;"Total",Rezepte!$D:$Z,20,FALSE)</f>
        <v>30</v>
      </c>
      <c r="P71" t="str">
        <f>VLOOKUP($A71&amp;"Total",Rezepte!$D:$Z,4,FALSE)</f>
        <v>Oil</v>
      </c>
      <c r="Q71" s="3">
        <f>VLOOKUP($A71&amp;"Total",Rezepte!$D:$Z,5,FALSE)*G71</f>
        <v>0</v>
      </c>
      <c r="R71" s="32">
        <f t="shared" si="40"/>
        <v>0</v>
      </c>
      <c r="T71" s="3">
        <f>VLOOKUP($A71&amp;"Total",Rezepte!$D:$Z,8,FALSE)*G71</f>
        <v>0</v>
      </c>
      <c r="U71" s="32">
        <f t="shared" si="41"/>
        <v>0</v>
      </c>
      <c r="W71" s="3">
        <f>VLOOKUP($A71&amp;"Total",Rezepte!$D:$Z,11,FALSE)*G71</f>
        <v>0</v>
      </c>
      <c r="X71" s="32">
        <f t="shared" si="42"/>
        <v>0</v>
      </c>
      <c r="Z71" s="3">
        <f>VLOOKUP($A71&amp;"Total",Rezepte!$D:$Z,14,FALSE)*G71</f>
        <v>0</v>
      </c>
      <c r="AA71" s="32">
        <f t="shared" si="43"/>
        <v>0</v>
      </c>
      <c r="AC71" s="3">
        <f>VLOOKUP($A71&amp;"Total",Rezepte!$D:$AK,24,FALSE)/100*$C71</f>
        <v>0</v>
      </c>
      <c r="AD71" s="3">
        <f>VLOOKUP($A71&amp;"Total",Rezepte!$D:$AK,25,FALSE)/100*$C71</f>
        <v>0</v>
      </c>
      <c r="AE71" s="3">
        <f>VLOOKUP($A71&amp;"Total",Rezepte!$D:$AK,26,FALSE)/100*$C71</f>
        <v>0</v>
      </c>
      <c r="AF71" s="3">
        <f>VLOOKUP($A71&amp;"Total",Rezepte!$D:$AK,27,FALSE)/100*$C71</f>
        <v>0</v>
      </c>
      <c r="AG71" s="3">
        <f>VLOOKUP($A71&amp;"Total",Rezepte!$D:$AK,28,FALSE)/100*$C71</f>
        <v>0</v>
      </c>
      <c r="AH71" s="3">
        <f>VLOOKUP($A71&amp;"Total",Rezepte!$D:$AK,29,FALSE)/100*$C71</f>
        <v>0</v>
      </c>
      <c r="AI71" s="3">
        <f>VLOOKUP($A71&amp;"Total",Rezepte!$D:$AK,30,FALSE)/100*$C71</f>
        <v>0</v>
      </c>
      <c r="AJ71" s="3">
        <f>VLOOKUP($A71&amp;"Total",Rezepte!$D:$AK,31,FALSE)/100*$C71</f>
        <v>0</v>
      </c>
      <c r="AK71" s="3">
        <f>VLOOKUP($A71&amp;"Total",Rezepte!$D:$AK,32,FALSE)/100*$C71</f>
        <v>0</v>
      </c>
      <c r="AL71" s="3">
        <f>VLOOKUP($A71&amp;"Total",Rezepte!$D:$AK,33,FALSE)/100*$C71</f>
        <v>0</v>
      </c>
      <c r="AM71" s="3">
        <f>VLOOKUP($A71&amp;"Total",Rezepte!$D:$AK,34,FALSE)/100*$C71</f>
        <v>0</v>
      </c>
    </row>
    <row r="72" spans="1:39" x14ac:dyDescent="0.25">
      <c r="A72" t="s">
        <v>168</v>
      </c>
      <c r="D72" s="30">
        <f t="shared" si="35"/>
        <v>0</v>
      </c>
      <c r="E72" s="30">
        <f t="shared" si="5"/>
        <v>0</v>
      </c>
      <c r="F72" s="32">
        <f t="shared" si="36"/>
        <v>0</v>
      </c>
      <c r="G72" s="27">
        <f t="shared" si="37"/>
        <v>0</v>
      </c>
      <c r="H72" s="47">
        <f t="shared" si="10"/>
        <v>0</v>
      </c>
      <c r="I72" s="47">
        <f t="shared" si="11"/>
        <v>0</v>
      </c>
      <c r="J72" s="34" t="str">
        <f>VLOOKUP($A72&amp;"Total",Rezepte!$D:$Z,19,FALSE)</f>
        <v>Blender</v>
      </c>
      <c r="K72" s="32">
        <f t="shared" si="38"/>
        <v>0</v>
      </c>
      <c r="L72" s="27">
        <f t="shared" si="39"/>
        <v>0</v>
      </c>
      <c r="M72" s="4">
        <f>VLOOKUP($A72&amp;"Total",Rezepte!$D:$Z,21,FALSE)</f>
        <v>45</v>
      </c>
      <c r="N72" s="4">
        <f>VLOOKUP($A72&amp;"Total",Rezepte!$D:$Z,20,FALSE)</f>
        <v>75</v>
      </c>
      <c r="P72" t="str">
        <f>VLOOKUP($A72&amp;"Total",Rezepte!$D:$Z,4,FALSE)</f>
        <v>Fuel</v>
      </c>
      <c r="Q72" s="3">
        <f>VLOOKUP($A72&amp;"Total",Rezepte!$D:$Z,5,FALSE)*G72</f>
        <v>0</v>
      </c>
      <c r="R72" s="32">
        <f t="shared" si="40"/>
        <v>0</v>
      </c>
      <c r="T72" s="3">
        <f>VLOOKUP($A72&amp;"Total",Rezepte!$D:$Z,8,FALSE)*G72</f>
        <v>0</v>
      </c>
      <c r="U72" s="32">
        <f t="shared" si="41"/>
        <v>0</v>
      </c>
      <c r="W72" s="3">
        <f>VLOOKUP($A72&amp;"Total",Rezepte!$D:$Z,11,FALSE)*G72</f>
        <v>0</v>
      </c>
      <c r="X72" s="32">
        <f t="shared" si="42"/>
        <v>0</v>
      </c>
      <c r="Z72" s="3">
        <f>VLOOKUP($A72&amp;"Total",Rezepte!$D:$Z,14,FALSE)*G72</f>
        <v>0</v>
      </c>
      <c r="AA72" s="32">
        <f t="shared" si="43"/>
        <v>0</v>
      </c>
      <c r="AC72" s="3">
        <f>VLOOKUP($A72&amp;"Total",Rezepte!$D:$AK,24,FALSE)/100*$C72</f>
        <v>0</v>
      </c>
      <c r="AD72" s="3">
        <f>VLOOKUP($A72&amp;"Total",Rezepte!$D:$AK,25,FALSE)/100*$C72</f>
        <v>0</v>
      </c>
      <c r="AE72" s="3">
        <f>VLOOKUP($A72&amp;"Total",Rezepte!$D:$AK,26,FALSE)/100*$C72</f>
        <v>0</v>
      </c>
      <c r="AF72" s="3">
        <f>VLOOKUP($A72&amp;"Total",Rezepte!$D:$AK,27,FALSE)/100*$C72</f>
        <v>0</v>
      </c>
      <c r="AG72" s="3">
        <f>VLOOKUP($A72&amp;"Total",Rezepte!$D:$AK,28,FALSE)/100*$C72</f>
        <v>0</v>
      </c>
      <c r="AH72" s="3">
        <f>VLOOKUP($A72&amp;"Total",Rezepte!$D:$AK,29,FALSE)/100*$C72</f>
        <v>0</v>
      </c>
      <c r="AI72" s="3">
        <f>VLOOKUP($A72&amp;"Total",Rezepte!$D:$AK,30,FALSE)/100*$C72</f>
        <v>0</v>
      </c>
      <c r="AJ72" s="3">
        <f>VLOOKUP($A72&amp;"Total",Rezepte!$D:$AK,31,FALSE)/100*$C72</f>
        <v>0</v>
      </c>
      <c r="AK72" s="3">
        <f>VLOOKUP($A72&amp;"Total",Rezepte!$D:$AK,32,FALSE)/100*$C72</f>
        <v>0</v>
      </c>
      <c r="AL72" s="3">
        <f>VLOOKUP($A72&amp;"Total",Rezepte!$D:$AK,33,FALSE)/100*$C72</f>
        <v>0</v>
      </c>
      <c r="AM72" s="3">
        <f>VLOOKUP($A72&amp;"Total",Rezepte!$D:$AK,34,FALSE)/100*$C72</f>
        <v>0</v>
      </c>
    </row>
    <row r="76" spans="1:39" x14ac:dyDescent="0.25">
      <c r="G76" s="27" t="s">
        <v>230</v>
      </c>
      <c r="L76" s="27">
        <f>SUM(L2:L72)</f>
        <v>2009.3100000000002</v>
      </c>
      <c r="N76" s="4" t="s">
        <v>231</v>
      </c>
      <c r="P76">
        <v>480</v>
      </c>
    </row>
    <row r="77" spans="1:39" x14ac:dyDescent="0.25">
      <c r="G77" s="27" t="s">
        <v>232</v>
      </c>
      <c r="L77" s="31">
        <v>0.3</v>
      </c>
      <c r="N77" s="4" t="s">
        <v>233</v>
      </c>
      <c r="P77">
        <v>780</v>
      </c>
    </row>
    <row r="78" spans="1:39" x14ac:dyDescent="0.25">
      <c r="G78" s="27" t="s">
        <v>234</v>
      </c>
      <c r="L78" s="27">
        <f>L76*(L77+1)</f>
        <v>2612.1030000000005</v>
      </c>
      <c r="N78" s="4" t="s">
        <v>235</v>
      </c>
      <c r="P78">
        <f>P76</f>
        <v>480</v>
      </c>
    </row>
    <row r="81" spans="1:20" x14ac:dyDescent="0.25">
      <c r="A81" s="19" t="s">
        <v>172</v>
      </c>
      <c r="B81" s="30"/>
      <c r="C81">
        <v>1</v>
      </c>
      <c r="D81" s="33">
        <v>2300</v>
      </c>
      <c r="E81" s="33"/>
      <c r="G81" s="27">
        <f>ROUNDUP((C81+D81)/M81,0)</f>
        <v>13</v>
      </c>
      <c r="J81" s="34"/>
      <c r="K81" s="32"/>
      <c r="M81" s="4">
        <f>VLOOKUP($A81&amp;"Total",Rezepte!$D:$Z,19,FALSE)</f>
        <v>187.5</v>
      </c>
      <c r="P81" t="str">
        <f>VLOOKUP($A81&amp;"Total",Rezepte!$D:$Z,4,FALSE)</f>
        <v>coal</v>
      </c>
      <c r="Q81" s="3">
        <f>VLOOKUP($A81&amp;"Total",Rezepte!$D:$Z,5,FALSE)*G81</f>
        <v>195</v>
      </c>
      <c r="S81" t="str">
        <f>VLOOKUP($A81&amp;"Total",Rezepte!$D:$Z,7,FALSE)</f>
        <v>water</v>
      </c>
      <c r="T81" s="3">
        <f>VLOOKUP($A81&amp;"Total",Rezepte!$D:$Z,8,FALSE)*G81</f>
        <v>585</v>
      </c>
    </row>
    <row r="82" spans="1:20" x14ac:dyDescent="0.25">
      <c r="A82" t="s">
        <v>174</v>
      </c>
      <c r="B82" s="30"/>
      <c r="G82" s="27">
        <f>ROUNDUP((C82+D82)/M82,0)</f>
        <v>0</v>
      </c>
      <c r="J82" s="34"/>
      <c r="K82" s="32"/>
      <c r="M82" s="4">
        <f>VLOOKUP($A82&amp;"Total",Rezepte!$D:$Z,19,FALSE)</f>
        <v>375</v>
      </c>
      <c r="P82" t="str">
        <f>VLOOKUP($A82&amp;"Total",Rezepte!$D:$Z,4,FALSE)</f>
        <v>Turbofuel</v>
      </c>
      <c r="Q82" s="3">
        <f>VLOOKUP($A82&amp;"Total",Rezepte!$D:$Z,5,FALSE)*G82</f>
        <v>0</v>
      </c>
      <c r="S82" t="str">
        <f>VLOOKUP($A82&amp;"Total",Rezepte!$D:$Z,7,FALSE)</f>
        <v>nothing</v>
      </c>
      <c r="T82" s="3">
        <f>VLOOKUP($A82&amp;"Total",Rezepte!$D:$Z,8,FALSE)*G82</f>
        <v>0</v>
      </c>
    </row>
  </sheetData>
  <conditionalFormatting sqref="A14:AA14 J16:AA20 A23:AA23 J25:AA31 A32:AA33 J34:AA34 A35:AA37 J40:AA41 A44:AA49 A51:AA51 A56:AA58 A60:AA61 A63:AA64 A67:AA72 A73:Z1048576 AA1 A1:Z13 H14:I31 A16:G21 J21:N21 P21:AA21 A25:G32 J31:N32 P31:AA32 J34:N39 P34:AA40 A34:I42 J42:N42 P42:AA42 H43:I43 H54:I54">
    <cfRule type="cellIs" dxfId="9" priority="8" operator="equal">
      <formula>"nothing"</formula>
    </cfRule>
  </conditionalFormatting>
  <conditionalFormatting sqref="O14 O16:O20 O23 O25:O37 O40:O41 O44:O49 O51 O56:O58 O60:O61 O63:O64 O67:O1048576">
    <cfRule type="cellIs" dxfId="8" priority="1" operator="greaterThan">
      <formula>$H14</formula>
    </cfRule>
    <cfRule type="cellIs" dxfId="7" priority="2" operator="lessThan">
      <formula>$H14</formula>
    </cfRule>
    <cfRule type="cellIs" dxfId="6" priority="5" operator="equal">
      <formula>$H14</formula>
    </cfRule>
  </conditionalFormatting>
  <conditionalFormatting sqref="AC1:AM1">
    <cfRule type="cellIs" dxfId="5" priority="3" operator="equal">
      <formula>"nothing"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Rezepte</vt:lpstr>
      <vt:lpstr>Tabelle1</vt:lpstr>
      <vt:lpstr>Planung</vt:lpstr>
      <vt:lpstr>Tabelle2</vt:lpstr>
      <vt:lpstr>Miner Future</vt:lpstr>
      <vt:lpstr>Ressourcen</vt:lpstr>
      <vt:lpstr>Fuel &amp; Stuff</vt:lpstr>
      <vt:lpstr>Trains</vt:lpstr>
      <vt:lpstr>Planung alt 1</vt:lpstr>
      <vt:lpstr>Planung alt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Steudel</cp:lastModifiedBy>
  <cp:revision/>
  <dcterms:created xsi:type="dcterms:W3CDTF">2023-08-31T09:00:24Z</dcterms:created>
  <dcterms:modified xsi:type="dcterms:W3CDTF">2024-05-23T19:21:36Z</dcterms:modified>
  <cp:category/>
  <cp:contentStatus/>
</cp:coreProperties>
</file>