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los Dias\Documents\rcomp-21-22-dc-g3\doc\sprint1\1200991\"/>
    </mc:Choice>
  </mc:AlternateContent>
  <xr:revisionPtr revIDLastSave="0" documentId="13_ncr:1_{8707229E-C45D-4B00-BC20-C43A8E1360B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16" i="1" l="1"/>
  <c r="AG15" i="1"/>
  <c r="AF15" i="1"/>
  <c r="S9" i="1"/>
  <c r="R9" i="1"/>
  <c r="AF13" i="1" a="1"/>
  <c r="AF13" i="1" s="1"/>
  <c r="AF4" i="1"/>
  <c r="R4" i="1"/>
  <c r="R7" i="1"/>
  <c r="R8" i="1"/>
  <c r="AF16" i="1"/>
  <c r="AF6" i="1"/>
  <c r="T29" i="1"/>
  <c r="F30" i="1"/>
  <c r="T31" i="1"/>
  <c r="J175" i="1"/>
  <c r="F172" i="1"/>
  <c r="F156" i="1"/>
  <c r="F144" i="1"/>
  <c r="F127" i="1"/>
  <c r="F113" i="1"/>
  <c r="F98" i="1"/>
  <c r="F86" i="1"/>
  <c r="F68" i="1"/>
  <c r="F49" i="1"/>
  <c r="T54" i="1"/>
  <c r="T232" i="1"/>
  <c r="T215" i="1"/>
  <c r="T185" i="1"/>
  <c r="T199" i="1"/>
  <c r="T169" i="1"/>
  <c r="T155" i="1"/>
  <c r="T140" i="1"/>
  <c r="T110" i="1"/>
  <c r="T124" i="1"/>
  <c r="T94" i="1"/>
  <c r="T80" i="1"/>
  <c r="T69" i="1"/>
  <c r="T45" i="1"/>
  <c r="Y238" i="1"/>
  <c r="T230" i="1"/>
  <c r="T229" i="1"/>
  <c r="T228" i="1"/>
  <c r="T227" i="1"/>
  <c r="T226" i="1"/>
  <c r="T225" i="1"/>
  <c r="T224" i="1"/>
  <c r="U238" i="1"/>
  <c r="T213" i="1"/>
  <c r="T212" i="1"/>
  <c r="T211" i="1"/>
  <c r="T210" i="1"/>
  <c r="T209" i="1"/>
  <c r="T183" i="1"/>
  <c r="T197" i="1"/>
  <c r="T182" i="1"/>
  <c r="T167" i="1"/>
  <c r="T196" i="1"/>
  <c r="T181" i="1"/>
  <c r="T166" i="1"/>
  <c r="T195" i="1"/>
  <c r="T194" i="1"/>
  <c r="T180" i="1"/>
  <c r="T179" i="1"/>
  <c r="T165" i="1"/>
  <c r="T164" i="1"/>
  <c r="T153" i="1"/>
  <c r="T152" i="1"/>
  <c r="T151" i="1"/>
  <c r="T150" i="1"/>
  <c r="T149" i="1"/>
  <c r="T138" i="1"/>
  <c r="T137" i="1"/>
  <c r="T136" i="1"/>
  <c r="T135" i="1"/>
  <c r="T134" i="1"/>
  <c r="T122" i="1"/>
  <c r="T121" i="1"/>
  <c r="T120" i="1"/>
  <c r="T119" i="1"/>
  <c r="T108" i="1"/>
  <c r="T107" i="1"/>
  <c r="T106" i="1"/>
  <c r="T105" i="1"/>
  <c r="T104" i="1"/>
  <c r="T92" i="1"/>
  <c r="T91" i="1"/>
  <c r="T90" i="1"/>
  <c r="T89" i="1"/>
  <c r="T78" i="1"/>
  <c r="T77" i="1"/>
  <c r="T76" i="1"/>
  <c r="T75" i="1"/>
  <c r="T74" i="1"/>
  <c r="T68" i="1"/>
  <c r="T60" i="1"/>
  <c r="T67" i="1"/>
  <c r="T66" i="1"/>
  <c r="T65" i="1"/>
  <c r="T64" i="1"/>
  <c r="T63" i="1"/>
  <c r="T62" i="1"/>
  <c r="T61" i="1"/>
  <c r="T53" i="1"/>
  <c r="T50" i="1"/>
  <c r="T49" i="1"/>
  <c r="T48" i="1"/>
  <c r="T52" i="1"/>
  <c r="T51" i="1"/>
  <c r="T47" i="1"/>
  <c r="T46" i="1"/>
  <c r="F175" i="1"/>
  <c r="F94" i="1"/>
  <c r="F95" i="1"/>
  <c r="F96" i="1"/>
  <c r="F171" i="1"/>
  <c r="F168" i="1"/>
  <c r="F167" i="1"/>
  <c r="F166" i="1"/>
  <c r="F165" i="1"/>
  <c r="F164" i="1"/>
  <c r="F163" i="1"/>
  <c r="F170" i="1"/>
  <c r="F169" i="1"/>
  <c r="F154" i="1"/>
  <c r="F152" i="1"/>
  <c r="F151" i="1"/>
  <c r="F153" i="1"/>
  <c r="F137" i="1"/>
  <c r="F139" i="1"/>
  <c r="F138" i="1"/>
  <c r="F142" i="1"/>
  <c r="F140" i="1"/>
  <c r="F141" i="1"/>
  <c r="F123" i="1"/>
  <c r="F125" i="1"/>
  <c r="F124" i="1"/>
  <c r="F108" i="1"/>
  <c r="F110" i="1"/>
  <c r="F111" i="1"/>
  <c r="F109" i="1"/>
  <c r="F83" i="1"/>
  <c r="F82" i="1"/>
  <c r="F80" i="1"/>
  <c r="F81" i="1"/>
  <c r="F78" i="1"/>
  <c r="F84" i="1"/>
  <c r="F79" i="1"/>
  <c r="F77" i="1"/>
  <c r="F65" i="1"/>
  <c r="F64" i="1"/>
  <c r="F63" i="1"/>
  <c r="F62" i="1"/>
  <c r="F66" i="1"/>
  <c r="F61" i="1"/>
  <c r="F60" i="1"/>
  <c r="F59" i="1"/>
  <c r="F28" i="1"/>
  <c r="F42" i="1"/>
  <c r="F46" i="1"/>
  <c r="F45" i="1"/>
  <c r="F43" i="1"/>
  <c r="F44" i="1"/>
  <c r="F25" i="1"/>
  <c r="F26" i="1"/>
  <c r="F27" i="1"/>
  <c r="R5" i="1" s="1"/>
  <c r="AF5" i="1" s="1"/>
  <c r="E11" i="1"/>
  <c r="E10" i="1"/>
  <c r="E9" i="1"/>
  <c r="E8" i="1"/>
  <c r="S10" i="1" s="1"/>
  <c r="AF8" i="1" l="1"/>
  <c r="AF7" i="1"/>
  <c r="AD18" i="1" l="1" a="1"/>
  <c r="AD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<sst xmlns="http://schemas.openxmlformats.org/spreadsheetml/2006/main" count="400" uniqueCount="91">
  <si>
    <t>Campus - Building 1 to other buildings</t>
  </si>
  <si>
    <t>Type of cable - Fibre Cable</t>
  </si>
  <si>
    <t xml:space="preserve">Assuming an extra </t>
  </si>
  <si>
    <t>Building 1 to Building 2 =</t>
  </si>
  <si>
    <t>Building 1 to Building 3 =</t>
  </si>
  <si>
    <t>Building 1 to Building 4 =</t>
  </si>
  <si>
    <t>Building 1 to Building 5 =</t>
  </si>
  <si>
    <t>m</t>
  </si>
  <si>
    <t>m for each cable in order to accomudate future moving inside building, 15 m for each</t>
  </si>
  <si>
    <t>Building 1</t>
  </si>
  <si>
    <t>Room 1.0.1</t>
  </si>
  <si>
    <t>Floor 0</t>
  </si>
  <si>
    <t xml:space="preserve">This plan assumes na extra </t>
  </si>
  <si>
    <t>Single Outlet 1 =</t>
  </si>
  <si>
    <t>Single Outlet 2 =</t>
  </si>
  <si>
    <t>Double Outlet 1 =</t>
  </si>
  <si>
    <t xml:space="preserve">It also assume that EVERY outlet is </t>
  </si>
  <si>
    <t>m from the ground and every router is in the ceiling</t>
  </si>
  <si>
    <t xml:space="preserve">ceiling = </t>
  </si>
  <si>
    <t>Access Point 1 =</t>
  </si>
  <si>
    <t>m per cable to accomudate future changes to outlet or AP placement - 2.5 m per cable end</t>
  </si>
  <si>
    <t>Room 1.0.2</t>
  </si>
  <si>
    <t>Room 1.0.3</t>
  </si>
  <si>
    <t>Room 1.0.4</t>
  </si>
  <si>
    <t>Room 1.0.5</t>
  </si>
  <si>
    <t>Room 1.0.6</t>
  </si>
  <si>
    <t>Room 1.0.7</t>
  </si>
  <si>
    <t>Room 1.0.8</t>
  </si>
  <si>
    <t>Room 1.0.9</t>
  </si>
  <si>
    <t>Room 1.0.10</t>
  </si>
  <si>
    <t>Double Outlet 2 =</t>
  </si>
  <si>
    <t>Double Outlet 3 =</t>
  </si>
  <si>
    <t>Single Outlet 3 =</t>
  </si>
  <si>
    <t>Single Outlet 4 =</t>
  </si>
  <si>
    <t>Single Outlet 5 =</t>
  </si>
  <si>
    <t>Single Outlet 6 =</t>
  </si>
  <si>
    <t xml:space="preserve">Hallway AcessPoint = </t>
  </si>
  <si>
    <t>Floor 1</t>
  </si>
  <si>
    <t>Outlets in this area recieve the cables from the ceiling so the diference between the ceiling</t>
  </si>
  <si>
    <t xml:space="preserve">Height and the outlets is </t>
  </si>
  <si>
    <t>And since the Acess Points are in the ceiling the height difference is 0</t>
  </si>
  <si>
    <t>Room 1.1.1</t>
  </si>
  <si>
    <t>Room 1.1.2</t>
  </si>
  <si>
    <t>Room 1.1.3</t>
  </si>
  <si>
    <t>Room 1.1.4</t>
  </si>
  <si>
    <t>Room 1.1.5</t>
  </si>
  <si>
    <t>Room 1.1.6</t>
  </si>
  <si>
    <t>Room 1.1.7</t>
  </si>
  <si>
    <t>Room 1.1.8</t>
  </si>
  <si>
    <t>Room 1.1.9</t>
  </si>
  <si>
    <t>Room 1.1.10</t>
  </si>
  <si>
    <t>Room 1.1.11</t>
  </si>
  <si>
    <t>Room 1.1.12</t>
  </si>
  <si>
    <t>Room 1.1.13</t>
  </si>
  <si>
    <t>Room 1.1.14</t>
  </si>
  <si>
    <t>Hallway Acess Point</t>
  </si>
  <si>
    <t>Further more the HC is connected with the IC though a hole in the floor with 5,6m</t>
  </si>
  <si>
    <t xml:space="preserve">Also so that the cables can get into the fake cieling they need to rise from the HC at </t>
  </si>
  <si>
    <t>HC-IC conection =</t>
  </si>
  <si>
    <t>Single Outlet 3=</t>
  </si>
  <si>
    <t>Single Outlet 1=</t>
  </si>
  <si>
    <t>Single Outlet 2=</t>
  </si>
  <si>
    <t>Double Outlet 1=</t>
  </si>
  <si>
    <t>Double Outlet 4 =</t>
  </si>
  <si>
    <t>Single Outlet 4=</t>
  </si>
  <si>
    <t>Doube Outlet 2 =</t>
  </si>
  <si>
    <t>Total</t>
  </si>
  <si>
    <t>Number of Double Outlets =</t>
  </si>
  <si>
    <t>Number of Single Outlets =</t>
  </si>
  <si>
    <t>Number of Access Points =</t>
  </si>
  <si>
    <t>B.Cord Hiders =</t>
  </si>
  <si>
    <t>S.Cord Hiders =</t>
  </si>
  <si>
    <t>S.Cord Hider =</t>
  </si>
  <si>
    <t>S.Cord Hider  =</t>
  </si>
  <si>
    <t>B.Cord Hider  =</t>
  </si>
  <si>
    <t>B.Cord Hider =</t>
  </si>
  <si>
    <t>Total excluding cross connects</t>
  </si>
  <si>
    <t>Total cross-Connect</t>
  </si>
  <si>
    <t>Number/length of fibre cable =</t>
  </si>
  <si>
    <t>Number/length of copper cable=</t>
  </si>
  <si>
    <t>Number of Switches=</t>
  </si>
  <si>
    <t>Number of Patch panels=</t>
  </si>
  <si>
    <t>Price =</t>
  </si>
  <si>
    <t>Price</t>
  </si>
  <si>
    <t>Number of Fiber Switches=</t>
  </si>
  <si>
    <t>1.759,99</t>
  </si>
  <si>
    <t>Number of 32U racks =</t>
  </si>
  <si>
    <t>Number of 12U racks=</t>
  </si>
  <si>
    <t>Number of FIbre Patch panels=</t>
  </si>
  <si>
    <t>Number of Copper Patch panels=</t>
  </si>
  <si>
    <t>Number of Copper Switches=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</si>
</sst>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0" xfId="0" applyFont="1" applyBorder="1"/>
    <xf numFmtId="0" fontId="0" fillId="0" borderId="5" xfId="0" applyFill="1" applyBorder="1"/>
    <xf numFmtId="0" fontId="2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606286</xdr:colOff>
      <xdr:row>23</xdr:row>
      <xdr:rowOff>14173</xdr:rowOff>
    </xdr:from>
    <xdr:to>
      <xdr:col>8</xdr:col>
      <xdr:colOff>545225</xdr:colOff>
      <xdr:row>35</xdr:row>
      <xdr:rowOff>35585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73DE48-E7E6-4693-B396-CB98688A6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1769" y="3646811"/>
          <a:ext cx="1160766" cy="2315031"/>
        </a:xfrm>
        <a:prstGeom prst="rect">
          <a:avLst/>
        </a:prstGeom>
      </xdr:spPr>
    </xdr:pic>
    <xdr:clientData/>
  </xdr:twoCellAnchor>
  <xdr:twoCellAnchor editAs="oneCell">
    <xdr:from>
      <xdr:col>6</xdr:col>
      <xdr:colOff>608481</xdr:colOff>
      <xdr:row>39</xdr:row>
      <xdr:rowOff>13139</xdr:rowOff>
    </xdr:from>
    <xdr:to>
      <xdr:col>9</xdr:col>
      <xdr:colOff>421102</xdr:colOff>
      <xdr:row>51</xdr:row>
      <xdr:rowOff>129278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6ED021-D62A-42EA-B976-9E93A78E4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73964" y="7284984"/>
          <a:ext cx="1645362" cy="2417379"/>
        </a:xfrm>
        <a:prstGeom prst="rect">
          <a:avLst/>
        </a:prstGeom>
      </xdr:spPr>
    </xdr:pic>
    <xdr:clientData/>
  </xdr:twoCellAnchor>
  <xdr:twoCellAnchor editAs="oneCell">
    <xdr:from>
      <xdr:col>6</xdr:col>
      <xdr:colOff>584639</xdr:colOff>
      <xdr:row>55</xdr:row>
      <xdr:rowOff>177361</xdr:rowOff>
    </xdr:from>
    <xdr:to>
      <xdr:col>10</xdr:col>
      <xdr:colOff>23184</xdr:colOff>
      <xdr:row>70</xdr:row>
      <xdr:rowOff>84654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29BCF4-6419-4985-A05A-AA8EBCCB7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50122" y="10681137"/>
          <a:ext cx="1882200" cy="2780031"/>
        </a:xfrm>
        <a:prstGeom prst="rect">
          <a:avLst/>
        </a:prstGeom>
      </xdr:spPr>
    </xdr:pic>
    <xdr:clientData/>
  </xdr:twoCellAnchor>
  <xdr:twoCellAnchor editAs="oneCell">
    <xdr:from>
      <xdr:col>7</xdr:col>
      <xdr:colOff>1075</xdr:colOff>
      <xdr:row>73</xdr:row>
      <xdr:rowOff>179663</xdr:rowOff>
    </xdr:from>
    <xdr:to>
      <xdr:col>11</xdr:col>
      <xdr:colOff>32846</xdr:colOff>
      <xdr:row>86</xdr:row>
      <xdr:rowOff>149571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D6810A9-2A90-46C4-96B8-3EE30A8E5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77472" y="14112439"/>
          <a:ext cx="2475426" cy="246106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</xdr:row>
      <xdr:rowOff>1</xdr:rowOff>
    </xdr:from>
    <xdr:to>
      <xdr:col>9</xdr:col>
      <xdr:colOff>8770</xdr:colOff>
      <xdr:row>101</xdr:row>
      <xdr:rowOff>83881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B1EB156-3773-456A-8FF2-E32F9C561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76397" y="17552277"/>
          <a:ext cx="1230597" cy="200353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</xdr:row>
      <xdr:rowOff>1</xdr:rowOff>
    </xdr:from>
    <xdr:to>
      <xdr:col>9</xdr:col>
      <xdr:colOff>22146</xdr:colOff>
      <xdr:row>116</xdr:row>
      <xdr:rowOff>123295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C740FA4-75F2-48C5-A670-3EA63482F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76397" y="21552777"/>
          <a:ext cx="1243973" cy="2042948"/>
        </a:xfrm>
        <a:prstGeom prst="rect">
          <a:avLst/>
        </a:prstGeom>
      </xdr:spPr>
    </xdr:pic>
    <xdr:clientData/>
  </xdr:twoCellAnchor>
  <xdr:twoCellAnchor editAs="oneCell">
    <xdr:from>
      <xdr:col>7</xdr:col>
      <xdr:colOff>13138</xdr:colOff>
      <xdr:row>120</xdr:row>
      <xdr:rowOff>6569</xdr:rowOff>
    </xdr:from>
    <xdr:to>
      <xdr:col>9</xdr:col>
      <xdr:colOff>45848</xdr:colOff>
      <xdr:row>130</xdr:row>
      <xdr:rowOff>64930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B2DBBD7-4846-4672-9A89-B968975FD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89535" y="25178845"/>
          <a:ext cx="1254537" cy="1970689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134</xdr:row>
      <xdr:rowOff>0</xdr:rowOff>
    </xdr:from>
    <xdr:to>
      <xdr:col>10</xdr:col>
      <xdr:colOff>18066</xdr:colOff>
      <xdr:row>144</xdr:row>
      <xdr:rowOff>18949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E7E5249-2C11-4655-B35E-39AAB26F2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76398" y="28220276"/>
          <a:ext cx="1850806" cy="1931276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148</xdr:row>
      <xdr:rowOff>1</xdr:rowOff>
    </xdr:from>
    <xdr:to>
      <xdr:col>10</xdr:col>
      <xdr:colOff>13331</xdr:colOff>
      <xdr:row>156</xdr:row>
      <xdr:rowOff>1051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A2085C1-6A0D-4B4E-B934-D9F6B02CF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76398" y="32030277"/>
          <a:ext cx="1846071" cy="151743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160</xdr:row>
      <xdr:rowOff>1</xdr:rowOff>
    </xdr:from>
    <xdr:to>
      <xdr:col>10</xdr:col>
      <xdr:colOff>24122</xdr:colOff>
      <xdr:row>171</xdr:row>
      <xdr:rowOff>184222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F50462F-DCA1-4A98-8CD8-A7A8A0751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76398" y="36221277"/>
          <a:ext cx="1856862" cy="2279430"/>
        </a:xfrm>
        <a:prstGeom prst="rect">
          <a:avLst/>
        </a:prstGeom>
      </xdr:spPr>
    </xdr:pic>
    <xdr:clientData/>
  </xdr:twoCellAnchor>
  <xdr:twoCellAnchor editAs="oneCell">
    <xdr:from>
      <xdr:col>21</xdr:col>
      <xdr:colOff>19706</xdr:colOff>
      <xdr:row>26</xdr:row>
      <xdr:rowOff>6570</xdr:rowOff>
    </xdr:from>
    <xdr:to>
      <xdr:col>23</xdr:col>
      <xdr:colOff>26276</xdr:colOff>
      <xdr:row>39</xdr:row>
      <xdr:rowOff>12263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761D3BF-525B-4710-B0DA-B09A3C5F0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96103" y="35406725"/>
          <a:ext cx="1228397" cy="2495332"/>
        </a:xfrm>
        <a:prstGeom prst="rect">
          <a:avLst/>
        </a:prstGeom>
      </xdr:spPr>
    </xdr:pic>
    <xdr:clientData/>
  </xdr:twoCellAnchor>
  <xdr:twoCellAnchor editAs="oneCell">
    <xdr:from>
      <xdr:col>21</xdr:col>
      <xdr:colOff>1</xdr:colOff>
      <xdr:row>43</xdr:row>
      <xdr:rowOff>0</xdr:rowOff>
    </xdr:from>
    <xdr:to>
      <xdr:col>24</xdr:col>
      <xdr:colOff>546770</xdr:colOff>
      <xdr:row>54</xdr:row>
      <xdr:rowOff>6569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5F82CFF-0FB6-4B16-94FD-B8B836AE4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76398" y="38658362"/>
          <a:ext cx="2379510" cy="2108638"/>
        </a:xfrm>
        <a:prstGeom prst="rect">
          <a:avLst/>
        </a:prstGeom>
      </xdr:spPr>
    </xdr:pic>
    <xdr:clientData/>
  </xdr:twoCellAnchor>
  <xdr:twoCellAnchor editAs="oneCell">
    <xdr:from>
      <xdr:col>21</xdr:col>
      <xdr:colOff>2779</xdr:colOff>
      <xdr:row>58</xdr:row>
      <xdr:rowOff>0</xdr:rowOff>
    </xdr:from>
    <xdr:to>
      <xdr:col>24</xdr:col>
      <xdr:colOff>601351</xdr:colOff>
      <xdr:row>68</xdr:row>
      <xdr:rowOff>26276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E649458-51CD-41C1-A8A0-95829C98F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59721" y="41543654"/>
          <a:ext cx="2422976" cy="1931276"/>
        </a:xfrm>
        <a:prstGeom prst="rect">
          <a:avLst/>
        </a:prstGeom>
      </xdr:spPr>
    </xdr:pic>
    <xdr:clientData/>
  </xdr:twoCellAnchor>
  <xdr:twoCellAnchor editAs="oneCell">
    <xdr:from>
      <xdr:col>20</xdr:col>
      <xdr:colOff>604346</xdr:colOff>
      <xdr:row>71</xdr:row>
      <xdr:rowOff>177362</xdr:rowOff>
    </xdr:from>
    <xdr:to>
      <xdr:col>23</xdr:col>
      <xdr:colOff>52553</xdr:colOff>
      <xdr:row>83</xdr:row>
      <xdr:rowOff>105104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E16D8EE-E809-48B6-A94E-EE287ABBD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269829" y="44189431"/>
          <a:ext cx="1280948" cy="222031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87</xdr:row>
      <xdr:rowOff>1</xdr:rowOff>
    </xdr:from>
    <xdr:to>
      <xdr:col>23</xdr:col>
      <xdr:colOff>25376</xdr:colOff>
      <xdr:row>98</xdr:row>
      <xdr:rowOff>65691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3F0B772-4FEC-419B-B789-93C27AF93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276397" y="47060070"/>
          <a:ext cx="1247203" cy="21743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102</xdr:row>
      <xdr:rowOff>0</xdr:rowOff>
    </xdr:from>
    <xdr:to>
      <xdr:col>23</xdr:col>
      <xdr:colOff>19707</xdr:colOff>
      <xdr:row>113</xdr:row>
      <xdr:rowOff>72020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26F1F13-2577-4595-A70E-23AD3379F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276397" y="49943845"/>
          <a:ext cx="1241534" cy="217408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117</xdr:row>
      <xdr:rowOff>1</xdr:rowOff>
    </xdr:from>
    <xdr:to>
      <xdr:col>23</xdr:col>
      <xdr:colOff>0</xdr:colOff>
      <xdr:row>128</xdr:row>
      <xdr:rowOff>65691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47A0B3B-9861-407F-97BB-E45E98238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276397" y="52814484"/>
          <a:ext cx="1221827" cy="216775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132</xdr:row>
      <xdr:rowOff>0</xdr:rowOff>
    </xdr:from>
    <xdr:to>
      <xdr:col>23</xdr:col>
      <xdr:colOff>57597</xdr:colOff>
      <xdr:row>143</xdr:row>
      <xdr:rowOff>65690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DF64C49-C5BB-4C1D-8BE3-3289BEBEA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276397" y="55685121"/>
          <a:ext cx="1279424" cy="216775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147</xdr:row>
      <xdr:rowOff>0</xdr:rowOff>
    </xdr:from>
    <xdr:to>
      <xdr:col>23</xdr:col>
      <xdr:colOff>20951</xdr:colOff>
      <xdr:row>158</xdr:row>
      <xdr:rowOff>124811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48D43E9-5E27-44A9-BF8B-72B1D1872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76397" y="58555759"/>
          <a:ext cx="1242778" cy="222687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162</xdr:row>
      <xdr:rowOff>1</xdr:rowOff>
    </xdr:from>
    <xdr:to>
      <xdr:col>23</xdr:col>
      <xdr:colOff>56054</xdr:colOff>
      <xdr:row>173</xdr:row>
      <xdr:rowOff>85398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2552368-626B-4FD8-B96D-C378BB6AC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76397" y="61426398"/>
          <a:ext cx="1277881" cy="21874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177</xdr:row>
      <xdr:rowOff>1</xdr:rowOff>
    </xdr:from>
    <xdr:to>
      <xdr:col>23</xdr:col>
      <xdr:colOff>25355</xdr:colOff>
      <xdr:row>188</xdr:row>
      <xdr:rowOff>39415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44FBF29-6FE6-473F-9083-764E4AF47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76397" y="64310173"/>
          <a:ext cx="1247182" cy="213491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192</xdr:row>
      <xdr:rowOff>0</xdr:rowOff>
    </xdr:from>
    <xdr:to>
      <xdr:col>23</xdr:col>
      <xdr:colOff>32896</xdr:colOff>
      <xdr:row>203</xdr:row>
      <xdr:rowOff>72259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F1FBEA7-EF26-40BC-B441-6C2DF414B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76397" y="67180810"/>
          <a:ext cx="1254723" cy="216775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206</xdr:row>
      <xdr:rowOff>175260</xdr:rowOff>
    </xdr:from>
    <xdr:to>
      <xdr:col>23</xdr:col>
      <xdr:colOff>35578</xdr:colOff>
      <xdr:row>218</xdr:row>
      <xdr:rowOff>31794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7060364-2CE6-4FD3-8E2B-9E0EF56E9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801600" y="38069520"/>
          <a:ext cx="1254778" cy="205109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222</xdr:row>
      <xdr:rowOff>0</xdr:rowOff>
    </xdr:from>
    <xdr:to>
      <xdr:col>24</xdr:col>
      <xdr:colOff>28790</xdr:colOff>
      <xdr:row>233</xdr:row>
      <xdr:rowOff>144517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DEF9353-098A-42B6-83D0-260DF8275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276397" y="72922086"/>
          <a:ext cx="1861531" cy="2240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239"/>
  <sheetViews>
    <sheetView tabSelected="1" topLeftCell="M1" zoomScale="115" zoomScaleNormal="115" workbookViewId="0">
      <selection activeCell="AE18" sqref="AE18"/>
    </sheetView>
  </sheetViews>
  <sheetFormatPr defaultRowHeight="15" x14ac:dyDescent="0.25"/>
  <sheetData>
    <row r="1" spans="2:35" ht="15.75" thickBot="1" x14ac:dyDescent="0.3"/>
    <row r="2" spans="2:35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  <c r="O2" s="1" t="s">
        <v>76</v>
      </c>
      <c r="P2" s="2"/>
      <c r="Q2" s="2"/>
      <c r="R2" s="2"/>
      <c r="S2" s="2"/>
      <c r="T2" s="2"/>
      <c r="U2" s="2" t="s">
        <v>77</v>
      </c>
      <c r="V2" s="2"/>
      <c r="W2" s="2"/>
      <c r="X2" s="2"/>
      <c r="Y2" s="2"/>
      <c r="Z2" s="3"/>
      <c r="AC2" s="12" t="s">
        <v>66</v>
      </c>
      <c r="AD2" s="13"/>
      <c r="AE2" s="13"/>
      <c r="AF2" s="13"/>
      <c r="AG2" s="13"/>
      <c r="AH2" s="13"/>
      <c r="AI2" s="3"/>
    </row>
    <row r="3" spans="2:35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C3" s="14"/>
      <c r="AD3" s="15"/>
      <c r="AE3" s="15"/>
      <c r="AF3" s="15"/>
      <c r="AG3" s="15"/>
      <c r="AH3" s="15"/>
      <c r="AI3" s="6" t="s">
        <v>83</v>
      </c>
    </row>
    <row r="4" spans="2:35" x14ac:dyDescent="0.25">
      <c r="B4" s="4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6"/>
      <c r="O4" s="4" t="s">
        <v>68</v>
      </c>
      <c r="P4" s="5"/>
      <c r="Q4" s="5"/>
      <c r="R4" s="5">
        <f>COUNT(F25:F26,F42:F43,F59:F64,F77:F80,F94:F95,F108:F109,F123:F124,F137:F140,F163:F168,T224:T227,T209:T212,T194:T197,T179:T182,T164:T167,T149:T152,T134:T137,T119:T122,T104:T107,T89:T92,T74:T77,T60:T63,T45:T50)+18</f>
        <v>102</v>
      </c>
      <c r="S4" s="5"/>
      <c r="T4" s="5"/>
      <c r="U4" s="5" t="s">
        <v>80</v>
      </c>
      <c r="V4" s="5"/>
      <c r="W4" s="5"/>
      <c r="X4" s="5">
        <v>12</v>
      </c>
      <c r="Y4" s="5"/>
      <c r="Z4" s="6"/>
      <c r="AC4" s="14" t="s">
        <v>68</v>
      </c>
      <c r="AD4" s="15"/>
      <c r="AE4" s="15"/>
      <c r="AF4" s="15">
        <f>R4</f>
        <v>102</v>
      </c>
      <c r="AG4" s="15"/>
      <c r="AH4" s="15"/>
      <c r="AI4" s="6">
        <v>3.82</v>
      </c>
    </row>
    <row r="5" spans="2:35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6"/>
      <c r="O5" s="4" t="s">
        <v>67</v>
      </c>
      <c r="P5" s="5"/>
      <c r="Q5" s="5"/>
      <c r="R5" s="5">
        <f>COUNT(F27,F44:F46,F65,F81:F83,F96,F110,F125,F141,F151:F153,F169:F170,T228:T229,T64:T67,T51:T52)</f>
        <v>25</v>
      </c>
      <c r="S5" s="5"/>
      <c r="T5" s="5"/>
      <c r="U5" s="5" t="s">
        <v>81</v>
      </c>
      <c r="V5" s="5"/>
      <c r="W5" s="5"/>
      <c r="X5" s="5">
        <v>12</v>
      </c>
      <c r="Y5" s="5"/>
      <c r="Z5" s="6"/>
      <c r="AC5" s="14" t="s">
        <v>67</v>
      </c>
      <c r="AD5" s="15"/>
      <c r="AE5" s="15"/>
      <c r="AF5" s="15">
        <f>R5</f>
        <v>25</v>
      </c>
      <c r="AG5" s="15"/>
      <c r="AH5" s="15"/>
      <c r="AI5" s="6">
        <v>4.7699999999999996</v>
      </c>
    </row>
    <row r="6" spans="2:35" x14ac:dyDescent="0.25">
      <c r="B6" s="4" t="s">
        <v>2</v>
      </c>
      <c r="C6" s="5"/>
      <c r="D6" s="5">
        <v>30</v>
      </c>
      <c r="E6" s="5" t="s">
        <v>8</v>
      </c>
      <c r="F6" s="5"/>
      <c r="G6" s="5"/>
      <c r="H6" s="5"/>
      <c r="I6" s="5"/>
      <c r="J6" s="5"/>
      <c r="K6" s="5"/>
      <c r="L6" s="5"/>
      <c r="M6" s="6"/>
      <c r="O6" s="4" t="s">
        <v>69</v>
      </c>
      <c r="P6" s="5"/>
      <c r="Q6" s="5"/>
      <c r="R6" s="5">
        <v>18</v>
      </c>
      <c r="S6" s="5"/>
      <c r="T6" s="5"/>
      <c r="U6" s="5" t="s">
        <v>86</v>
      </c>
      <c r="V6" s="5"/>
      <c r="W6" s="5"/>
      <c r="X6" s="5">
        <v>2</v>
      </c>
      <c r="Y6" s="5"/>
      <c r="Z6" s="6"/>
      <c r="AC6" s="14" t="s">
        <v>69</v>
      </c>
      <c r="AD6" s="15"/>
      <c r="AE6" s="15"/>
      <c r="AF6" s="15">
        <f>R6</f>
        <v>18</v>
      </c>
      <c r="AG6" s="15"/>
      <c r="AH6" s="15"/>
      <c r="AI6" s="6">
        <v>169.94</v>
      </c>
    </row>
    <row r="7" spans="2:35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6"/>
      <c r="O7" s="4" t="s">
        <v>71</v>
      </c>
      <c r="P7" s="5"/>
      <c r="Q7" s="5"/>
      <c r="R7" s="5">
        <f>SUM(F30,F49,F68,F86,F98,F113,F144,F127,F156,F172,T80,T54,T69,T94,T110,T124,T140,T155,T169,T185,T199,T215,T232,Y238,J175)</f>
        <v>511.2</v>
      </c>
      <c r="S7" s="5" t="s">
        <v>7</v>
      </c>
      <c r="T7" s="5"/>
      <c r="U7" s="5" t="s">
        <v>87</v>
      </c>
      <c r="V7" s="5"/>
      <c r="W7" s="5"/>
      <c r="X7" s="5">
        <v>1</v>
      </c>
      <c r="Y7" s="5"/>
      <c r="Z7" s="6"/>
      <c r="AC7" s="14" t="s">
        <v>71</v>
      </c>
      <c r="AD7" s="15"/>
      <c r="AE7" s="15"/>
      <c r="AF7" s="15">
        <f>R7</f>
        <v>511.2</v>
      </c>
      <c r="AG7" s="15" t="s">
        <v>7</v>
      </c>
      <c r="AH7" s="15"/>
      <c r="AI7" s="16">
        <v>1.85</v>
      </c>
    </row>
    <row r="8" spans="2:35" x14ac:dyDescent="0.25">
      <c r="B8" s="4" t="s">
        <v>3</v>
      </c>
      <c r="C8" s="5"/>
      <c r="D8" s="5"/>
      <c r="E8" s="5">
        <f>ROUND(((26 + 250)/126)*20,0) + D6</f>
        <v>74</v>
      </c>
      <c r="F8" s="5" t="s">
        <v>7</v>
      </c>
      <c r="G8" s="5"/>
      <c r="H8" s="5"/>
      <c r="I8" s="5"/>
      <c r="J8" s="5"/>
      <c r="K8" s="5"/>
      <c r="L8" s="5"/>
      <c r="M8" s="6"/>
      <c r="O8" s="4" t="s">
        <v>70</v>
      </c>
      <c r="P8" s="5"/>
      <c r="Q8" s="5"/>
      <c r="R8" s="5">
        <f>SUM(T31,F48)</f>
        <v>4.4000000000000004</v>
      </c>
      <c r="S8" s="5" t="s">
        <v>7</v>
      </c>
      <c r="T8" s="5"/>
      <c r="U8" s="5"/>
      <c r="V8" s="5"/>
      <c r="W8" s="5"/>
      <c r="Y8" s="5"/>
      <c r="Z8" s="6"/>
      <c r="AC8" s="14" t="s">
        <v>70</v>
      </c>
      <c r="AD8" s="15"/>
      <c r="AE8" s="15"/>
      <c r="AF8" s="15">
        <f>R8</f>
        <v>4.4000000000000004</v>
      </c>
      <c r="AG8" s="15" t="s">
        <v>7</v>
      </c>
      <c r="AH8" s="15"/>
      <c r="AI8" s="16">
        <v>3.92</v>
      </c>
    </row>
    <row r="9" spans="2:35" x14ac:dyDescent="0.25">
      <c r="B9" s="4" t="s">
        <v>4</v>
      </c>
      <c r="C9" s="5"/>
      <c r="D9" s="5"/>
      <c r="E9" s="5">
        <f>ROUND(((26 + 608)/126)*20,0) + D6</f>
        <v>131</v>
      </c>
      <c r="F9" s="5" t="s">
        <v>7</v>
      </c>
      <c r="G9" s="5"/>
      <c r="H9" s="5"/>
      <c r="I9" s="5"/>
      <c r="J9" s="5"/>
      <c r="K9" s="5"/>
      <c r="L9" s="5"/>
      <c r="M9" s="6"/>
      <c r="O9" s="4" t="s">
        <v>79</v>
      </c>
      <c r="P9" s="5"/>
      <c r="Q9" s="5"/>
      <c r="R9" s="5">
        <f>R4+2*R5</f>
        <v>152</v>
      </c>
      <c r="S9" s="5">
        <f>SUM(F25:F26,F42:F43,F59:F64,F77:F80,F94:F95,F108:F109,F123:F124,F137:F140,F163:F168,T224:T227,T209:T212,T194:T197,T179:T182,T164:T167,T149:T152,T134:T137,T119:T122,T104:T107,T89:T92,T74:T77,T60:T63,T45:T50) +  2 * SUM(F27,F44:F46,F65,F81:F83,F96,F110,F125,F141,F151:F153,F169:F170,T228:T229,T64:T67,T51:T52) + SUM(F28,F66,F84,F111,F142,F154,F171,T230,T213,T183,T153,T138,T108,T78,T68,T53)</f>
        <v>4349.3</v>
      </c>
      <c r="T9" s="5" t="s">
        <v>7</v>
      </c>
      <c r="Y9" s="5"/>
      <c r="Z9" s="6"/>
      <c r="AC9" s="14" t="s">
        <v>90</v>
      </c>
      <c r="AD9" s="15"/>
      <c r="AE9" s="15"/>
      <c r="AF9" s="15">
        <v>11</v>
      </c>
      <c r="AG9" s="15"/>
      <c r="AH9" s="15"/>
      <c r="AI9" s="16">
        <v>525</v>
      </c>
    </row>
    <row r="10" spans="2:35" x14ac:dyDescent="0.25">
      <c r="B10" s="4" t="s">
        <v>5</v>
      </c>
      <c r="C10" s="5"/>
      <c r="D10" s="5"/>
      <c r="E10" s="5">
        <f>ROUND(((26 + 50 + 338 + 302)/126)*20,0) + D6</f>
        <v>144</v>
      </c>
      <c r="F10" s="5" t="s">
        <v>7</v>
      </c>
      <c r="G10" s="5"/>
      <c r="H10" s="5"/>
      <c r="I10" s="5"/>
      <c r="J10" s="5"/>
      <c r="K10" s="5"/>
      <c r="L10" s="5"/>
      <c r="M10" s="6"/>
      <c r="O10" s="4" t="s">
        <v>78</v>
      </c>
      <c r="P10" s="5"/>
      <c r="Q10" s="5"/>
      <c r="R10" s="5">
        <v>4</v>
      </c>
      <c r="S10" s="5">
        <f>SUM(E8:E11)</f>
        <v>549</v>
      </c>
      <c r="T10" s="5" t="s">
        <v>7</v>
      </c>
      <c r="Y10" s="5"/>
      <c r="Z10" s="6"/>
      <c r="AC10" s="14" t="s">
        <v>89</v>
      </c>
      <c r="AD10" s="15"/>
      <c r="AE10" s="15"/>
      <c r="AF10" s="15">
        <v>11</v>
      </c>
      <c r="AG10" s="15"/>
      <c r="AH10" s="15"/>
      <c r="AI10" s="16">
        <v>32.770000000000003</v>
      </c>
    </row>
    <row r="11" spans="2:35" ht="15.75" thickBot="1" x14ac:dyDescent="0.3">
      <c r="B11" s="7" t="s">
        <v>6</v>
      </c>
      <c r="C11" s="8"/>
      <c r="D11" s="8"/>
      <c r="E11" s="8">
        <f>ROUND(((26 + 50 + 338 + 658)/126)*20,0) + D6</f>
        <v>200</v>
      </c>
      <c r="F11" s="8" t="s">
        <v>7</v>
      </c>
      <c r="G11" s="8"/>
      <c r="H11" s="8"/>
      <c r="I11" s="8"/>
      <c r="J11" s="8"/>
      <c r="K11" s="8"/>
      <c r="L11" s="8"/>
      <c r="M11" s="9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  <c r="AC11" s="14" t="s">
        <v>84</v>
      </c>
      <c r="AD11" s="15"/>
      <c r="AE11" s="15"/>
      <c r="AF11" s="15">
        <v>1</v>
      </c>
      <c r="AG11" s="15"/>
      <c r="AH11" s="15"/>
      <c r="AI11" s="16" t="s">
        <v>85</v>
      </c>
    </row>
    <row r="12" spans="2:35" x14ac:dyDescent="0.25">
      <c r="AC12" s="14" t="s">
        <v>88</v>
      </c>
      <c r="AD12" s="15"/>
      <c r="AE12" s="15"/>
      <c r="AF12" s="15">
        <v>1</v>
      </c>
      <c r="AG12" s="15"/>
      <c r="AH12" s="15"/>
      <c r="AI12" s="16">
        <v>73.33</v>
      </c>
    </row>
    <row r="13" spans="2:35" x14ac:dyDescent="0.25">
      <c r="AC13" s="14" t="s">
        <v>86</v>
      </c>
      <c r="AD13" s="15"/>
      <c r="AE13" s="15"/>
      <c r="AF13" s="15" cm="1">
        <f t="array" ref="AF13:AF14">X6:X7</f>
        <v>2</v>
      </c>
      <c r="AG13" s="15"/>
      <c r="AH13" s="15"/>
      <c r="AI13" s="16">
        <v>466.05</v>
      </c>
    </row>
    <row r="14" spans="2:35" x14ac:dyDescent="0.25">
      <c r="B14" t="s">
        <v>9</v>
      </c>
      <c r="AC14" s="14" t="s">
        <v>87</v>
      </c>
      <c r="AD14" s="15"/>
      <c r="AE14" s="15"/>
      <c r="AF14" s="15">
        <v>1</v>
      </c>
      <c r="AG14" s="15"/>
      <c r="AH14" s="15"/>
      <c r="AI14" s="16">
        <v>187.78</v>
      </c>
    </row>
    <row r="15" spans="2:35" x14ac:dyDescent="0.25">
      <c r="AC15" s="14" t="s">
        <v>79</v>
      </c>
      <c r="AD15" s="15"/>
      <c r="AE15" s="15"/>
      <c r="AF15" s="15">
        <f>R9</f>
        <v>152</v>
      </c>
      <c r="AG15" s="15">
        <f>S9</f>
        <v>4349.3</v>
      </c>
      <c r="AH15" s="15" t="s">
        <v>7</v>
      </c>
      <c r="AI15" s="16">
        <v>1.7</v>
      </c>
    </row>
    <row r="16" spans="2:35" x14ac:dyDescent="0.25">
      <c r="C16" t="s">
        <v>12</v>
      </c>
      <c r="F16">
        <v>5</v>
      </c>
      <c r="G16" t="s">
        <v>20</v>
      </c>
      <c r="AC16" s="14" t="s">
        <v>78</v>
      </c>
      <c r="AD16" s="15"/>
      <c r="AE16" s="15"/>
      <c r="AF16" s="15">
        <f>R10+W8</f>
        <v>4</v>
      </c>
      <c r="AG16" s="15">
        <f>S10</f>
        <v>549</v>
      </c>
      <c r="AH16" s="15" t="s">
        <v>7</v>
      </c>
      <c r="AI16" s="16">
        <v>2.31</v>
      </c>
    </row>
    <row r="17" spans="3:35" x14ac:dyDescent="0.25">
      <c r="C17" t="s">
        <v>16</v>
      </c>
      <c r="G17">
        <v>0.5</v>
      </c>
      <c r="H17" t="s">
        <v>17</v>
      </c>
      <c r="AC17" s="4"/>
      <c r="AD17" s="5"/>
      <c r="AE17" s="5"/>
      <c r="AF17" s="5"/>
      <c r="AG17" s="5"/>
      <c r="AH17" s="5"/>
      <c r="AI17" s="6"/>
    </row>
    <row r="18" spans="3:35" ht="15.75" thickBot="1" x14ac:dyDescent="0.3">
      <c r="AC18" s="17" t="s">
        <v>82</v>
      </c>
      <c r="AD18" s="8" cm="1">
        <f t="array" ref="AD18">SUMPRODUCT(AF4:AF14,AI4:AI14)+SUMPRODUCT(AG15:AG16*AI15:AI16)</f>
        <v>20521.457999999999</v>
      </c>
      <c r="AE18" s="8"/>
      <c r="AF18" s="8"/>
      <c r="AG18" s="8"/>
      <c r="AH18" s="8"/>
      <c r="AI18" s="9"/>
    </row>
    <row r="19" spans="3:35" x14ac:dyDescent="0.25">
      <c r="C19" s="1" t="s">
        <v>11</v>
      </c>
      <c r="D19" s="2"/>
      <c r="E19" s="2"/>
      <c r="F19" s="2"/>
      <c r="G19" s="2"/>
      <c r="H19" s="2"/>
      <c r="I19" s="2"/>
      <c r="J19" s="2"/>
      <c r="K19" s="2"/>
      <c r="L19" s="3"/>
      <c r="Q19" s="1" t="s">
        <v>37</v>
      </c>
      <c r="R19" s="2"/>
      <c r="S19" s="2"/>
      <c r="T19" s="2"/>
      <c r="U19" s="2"/>
      <c r="V19" s="2"/>
      <c r="W19" s="2"/>
      <c r="X19" s="2"/>
      <c r="Y19" s="2"/>
      <c r="Z19" s="2"/>
      <c r="AA19" s="3"/>
    </row>
    <row r="20" spans="3:35" x14ac:dyDescent="0.25">
      <c r="C20" s="4"/>
      <c r="D20" s="5"/>
      <c r="E20" s="5"/>
      <c r="F20" s="5"/>
      <c r="G20" s="5"/>
      <c r="H20" s="5"/>
      <c r="I20" s="5"/>
      <c r="J20" s="5"/>
      <c r="K20" s="5"/>
      <c r="L20" s="6"/>
      <c r="Q20" s="4"/>
      <c r="R20" s="5" t="s">
        <v>38</v>
      </c>
      <c r="S20" s="5"/>
      <c r="T20" s="5"/>
      <c r="U20" s="5"/>
      <c r="V20" s="5"/>
      <c r="W20" s="5"/>
      <c r="X20" s="5"/>
      <c r="Y20" s="5"/>
      <c r="Z20" s="5"/>
      <c r="AA20" s="6"/>
    </row>
    <row r="21" spans="3:35" x14ac:dyDescent="0.25">
      <c r="C21" s="4"/>
      <c r="D21" s="5" t="s">
        <v>18</v>
      </c>
      <c r="E21" s="5">
        <v>4</v>
      </c>
      <c r="F21" s="5" t="s">
        <v>7</v>
      </c>
      <c r="G21" s="5"/>
      <c r="H21" s="5"/>
      <c r="I21" s="5"/>
      <c r="J21" s="5"/>
      <c r="K21" s="5"/>
      <c r="L21" s="6"/>
      <c r="Q21" s="4"/>
      <c r="R21" s="5" t="s">
        <v>39</v>
      </c>
      <c r="S21" s="5"/>
      <c r="T21" s="5"/>
      <c r="U21" s="5">
        <v>3</v>
      </c>
      <c r="V21" s="5" t="s">
        <v>7</v>
      </c>
      <c r="W21" s="5"/>
      <c r="X21" s="5"/>
      <c r="Y21" s="5"/>
      <c r="Z21" s="5"/>
      <c r="AA21" s="6"/>
    </row>
    <row r="22" spans="3:35" ht="15.75" thickBot="1" x14ac:dyDescent="0.3">
      <c r="C22" s="4"/>
      <c r="D22" s="5"/>
      <c r="E22" s="5"/>
      <c r="F22" s="5"/>
      <c r="G22" s="5"/>
      <c r="H22" s="5"/>
      <c r="I22" s="5"/>
      <c r="J22" s="5"/>
      <c r="K22" s="5"/>
      <c r="L22" s="6"/>
      <c r="Q22" s="4"/>
      <c r="R22" s="5" t="s">
        <v>40</v>
      </c>
      <c r="S22" s="5"/>
      <c r="T22" s="5"/>
      <c r="U22" s="5"/>
      <c r="V22" s="5"/>
      <c r="W22" s="5"/>
      <c r="X22" s="5"/>
      <c r="Y22" s="5"/>
      <c r="Z22" s="5"/>
      <c r="AA22" s="6"/>
    </row>
    <row r="23" spans="3:35" x14ac:dyDescent="0.25">
      <c r="C23" s="4"/>
      <c r="D23" s="1" t="s">
        <v>10</v>
      </c>
      <c r="E23" s="2"/>
      <c r="F23" s="2"/>
      <c r="G23" s="2"/>
      <c r="H23" s="2"/>
      <c r="I23" s="3"/>
      <c r="J23" s="5"/>
      <c r="K23" s="5"/>
      <c r="L23" s="6"/>
      <c r="Q23" s="4"/>
      <c r="R23" s="5" t="s">
        <v>56</v>
      </c>
      <c r="S23" s="5"/>
      <c r="T23" s="5"/>
      <c r="U23" s="5"/>
      <c r="V23" s="5"/>
      <c r="W23" s="5"/>
      <c r="X23" s="5"/>
      <c r="Y23" s="5"/>
      <c r="Z23" s="5"/>
      <c r="AA23" s="6"/>
    </row>
    <row r="24" spans="3:35" x14ac:dyDescent="0.25">
      <c r="C24" s="4"/>
      <c r="D24" s="4"/>
      <c r="E24" s="5"/>
      <c r="F24" s="5"/>
      <c r="G24" s="5"/>
      <c r="H24" s="5"/>
      <c r="I24" s="6"/>
      <c r="J24" s="5"/>
      <c r="K24" s="5"/>
      <c r="L24" s="6"/>
      <c r="Q24" s="4"/>
      <c r="R24" s="10" t="s">
        <v>57</v>
      </c>
      <c r="S24" s="5"/>
      <c r="T24" s="5"/>
      <c r="U24" s="5"/>
      <c r="V24" s="5"/>
      <c r="W24" s="5"/>
      <c r="X24" s="5"/>
      <c r="Y24" s="5"/>
      <c r="Z24" s="5">
        <v>3.1</v>
      </c>
      <c r="AA24" s="6" t="s">
        <v>7</v>
      </c>
    </row>
    <row r="25" spans="3:35" ht="15.75" thickBot="1" x14ac:dyDescent="0.3">
      <c r="C25" s="4"/>
      <c r="D25" s="4" t="s">
        <v>13</v>
      </c>
      <c r="E25" s="5"/>
      <c r="F25" s="5">
        <f>ROUND(((72 + 176)/126)*5, 1) + F16 + G17</f>
        <v>15.3</v>
      </c>
      <c r="G25" s="5" t="s">
        <v>7</v>
      </c>
      <c r="H25" s="5"/>
      <c r="I25" s="6"/>
      <c r="J25" s="5"/>
      <c r="K25" s="5"/>
      <c r="L25" s="6"/>
      <c r="Q25" s="4"/>
      <c r="R25" s="5"/>
      <c r="S25" s="5"/>
      <c r="T25" s="5"/>
      <c r="U25" s="5"/>
      <c r="V25" s="5"/>
      <c r="W25" s="5"/>
      <c r="X25" s="5"/>
      <c r="Y25" s="5"/>
      <c r="Z25" s="5"/>
      <c r="AA25" s="6"/>
    </row>
    <row r="26" spans="3:35" x14ac:dyDescent="0.25">
      <c r="C26" s="4"/>
      <c r="D26" s="4" t="s">
        <v>14</v>
      </c>
      <c r="E26" s="5"/>
      <c r="F26" s="5">
        <f>ROUND(((72 + 120 + 102)/126)*5, 1) + F16 + G17</f>
        <v>17.2</v>
      </c>
      <c r="G26" s="5" t="s">
        <v>7</v>
      </c>
      <c r="H26" s="5"/>
      <c r="I26" s="6"/>
      <c r="J26" s="5"/>
      <c r="K26" s="5"/>
      <c r="L26" s="6"/>
      <c r="Q26" s="4"/>
      <c r="R26" s="1" t="s">
        <v>41</v>
      </c>
      <c r="S26" s="2"/>
      <c r="T26" s="2"/>
      <c r="U26" s="2"/>
      <c r="V26" s="2"/>
      <c r="W26" s="2"/>
      <c r="X26" s="3"/>
      <c r="Y26" s="5"/>
      <c r="Z26" s="5"/>
      <c r="AA26" s="6"/>
    </row>
    <row r="27" spans="3:35" x14ac:dyDescent="0.25">
      <c r="C27" s="4"/>
      <c r="D27" s="4" t="s">
        <v>15</v>
      </c>
      <c r="E27" s="5"/>
      <c r="F27" s="5">
        <f>ROUND(((72 + 187 + 87)/126)*5, 1) + F16 + G17</f>
        <v>19.2</v>
      </c>
      <c r="G27" s="5" t="s">
        <v>7</v>
      </c>
      <c r="H27" s="5"/>
      <c r="I27" s="6"/>
      <c r="J27" s="5"/>
      <c r="K27" s="5"/>
      <c r="L27" s="6"/>
      <c r="Q27" s="4"/>
      <c r="R27" s="4"/>
      <c r="S27" s="5"/>
      <c r="T27" s="5"/>
      <c r="U27" s="5"/>
      <c r="V27" s="5"/>
      <c r="W27" s="5"/>
      <c r="X27" s="6"/>
      <c r="Y27" s="5"/>
      <c r="Z27" s="5"/>
      <c r="AA27" s="6"/>
    </row>
    <row r="28" spans="3:35" x14ac:dyDescent="0.25">
      <c r="C28" s="4"/>
      <c r="D28" s="4" t="s">
        <v>19</v>
      </c>
      <c r="E28" s="5"/>
      <c r="F28" s="5">
        <f>ROUND(((72 + 120 + 16)/126)*5, 1) + F16 +E21</f>
        <v>17.3</v>
      </c>
      <c r="G28" s="5" t="s">
        <v>7</v>
      </c>
      <c r="H28" s="5"/>
      <c r="I28" s="6"/>
      <c r="J28" s="5"/>
      <c r="K28" s="5"/>
      <c r="L28" s="6"/>
      <c r="Q28" s="4"/>
      <c r="R28" s="4"/>
      <c r="S28" s="5"/>
      <c r="T28" s="5"/>
      <c r="U28" s="5"/>
      <c r="V28" s="5"/>
      <c r="W28" s="5"/>
      <c r="X28" s="6"/>
      <c r="Y28" s="5"/>
      <c r="Z28" s="5"/>
      <c r="AA28" s="6"/>
    </row>
    <row r="29" spans="3:35" x14ac:dyDescent="0.25">
      <c r="C29" s="4"/>
      <c r="D29" s="4"/>
      <c r="E29" s="5"/>
      <c r="F29" s="5"/>
      <c r="G29" s="5"/>
      <c r="H29" s="5"/>
      <c r="I29" s="6"/>
      <c r="J29" s="5"/>
      <c r="K29" s="5"/>
      <c r="L29" s="6"/>
      <c r="Q29" s="4"/>
      <c r="R29" s="4" t="s">
        <v>58</v>
      </c>
      <c r="S29" s="5"/>
      <c r="T29" s="5">
        <f>5.6+F16</f>
        <v>10.6</v>
      </c>
      <c r="U29" s="5" t="s">
        <v>7</v>
      </c>
      <c r="V29" s="5"/>
      <c r="W29" s="5"/>
      <c r="X29" s="6"/>
      <c r="Y29" s="5"/>
      <c r="Z29" s="5"/>
      <c r="AA29" s="6"/>
    </row>
    <row r="30" spans="3:35" x14ac:dyDescent="0.25">
      <c r="C30" s="4"/>
      <c r="D30" s="4" t="s">
        <v>72</v>
      </c>
      <c r="E30" s="5"/>
      <c r="F30" s="5">
        <f>ROUND(((88+14+89)/126)*5,1) + 3 *G17 + 1 * E21</f>
        <v>13.1</v>
      </c>
      <c r="G30" s="10" t="s">
        <v>7</v>
      </c>
      <c r="H30" s="5"/>
      <c r="I30" s="6"/>
      <c r="J30" s="5"/>
      <c r="K30" s="5"/>
      <c r="L30" s="6"/>
      <c r="Q30" s="4"/>
      <c r="R30" s="4"/>
      <c r="S30" s="5"/>
      <c r="T30" s="5"/>
      <c r="U30" s="5"/>
      <c r="V30" s="5"/>
      <c r="W30" s="5"/>
      <c r="X30" s="6"/>
      <c r="Y30" s="5"/>
      <c r="Z30" s="5"/>
      <c r="AA30" s="6"/>
    </row>
    <row r="31" spans="3:35" x14ac:dyDescent="0.25">
      <c r="C31" s="4"/>
      <c r="D31" s="4"/>
      <c r="E31" s="5"/>
      <c r="F31" s="5"/>
      <c r="G31" s="5"/>
      <c r="H31" s="5"/>
      <c r="I31" s="6"/>
      <c r="J31" s="5"/>
      <c r="K31" s="5"/>
      <c r="L31" s="6"/>
      <c r="Q31" s="4"/>
      <c r="R31" s="4" t="s">
        <v>75</v>
      </c>
      <c r="S31" s="5"/>
      <c r="T31" s="5">
        <f>ROUND(((4+19)/126)*5,1) + 3</f>
        <v>3.9</v>
      </c>
      <c r="U31" s="5" t="s">
        <v>7</v>
      </c>
      <c r="V31" s="5"/>
      <c r="W31" s="5"/>
      <c r="X31" s="6"/>
      <c r="Y31" s="5"/>
      <c r="Z31" s="5"/>
      <c r="AA31" s="6"/>
    </row>
    <row r="32" spans="3:35" x14ac:dyDescent="0.25">
      <c r="C32" s="4"/>
      <c r="D32" s="4"/>
      <c r="E32" s="5"/>
      <c r="F32" s="5"/>
      <c r="G32" s="5"/>
      <c r="H32" s="5"/>
      <c r="I32" s="6"/>
      <c r="J32" s="5"/>
      <c r="K32" s="5"/>
      <c r="L32" s="6"/>
      <c r="Q32" s="4"/>
      <c r="R32" s="4"/>
      <c r="S32" s="5"/>
      <c r="T32" s="5"/>
      <c r="U32" s="5"/>
      <c r="V32" s="5"/>
      <c r="W32" s="5"/>
      <c r="X32" s="6"/>
      <c r="Y32" s="5"/>
      <c r="Z32" s="5"/>
      <c r="AA32" s="6"/>
    </row>
    <row r="33" spans="3:27" x14ac:dyDescent="0.25">
      <c r="C33" s="4"/>
      <c r="D33" s="4"/>
      <c r="E33" s="5"/>
      <c r="F33" s="5"/>
      <c r="G33" s="5"/>
      <c r="H33" s="5"/>
      <c r="I33" s="6"/>
      <c r="J33" s="5"/>
      <c r="K33" s="5"/>
      <c r="L33" s="6"/>
      <c r="Q33" s="4"/>
      <c r="R33" s="4"/>
      <c r="S33" s="5"/>
      <c r="T33" s="5"/>
      <c r="U33" s="5"/>
      <c r="V33" s="5"/>
      <c r="W33" s="5"/>
      <c r="X33" s="6"/>
      <c r="Y33" s="5"/>
      <c r="Z33" s="5"/>
      <c r="AA33" s="6"/>
    </row>
    <row r="34" spans="3:27" x14ac:dyDescent="0.25">
      <c r="C34" s="4"/>
      <c r="D34" s="4"/>
      <c r="E34" s="5"/>
      <c r="F34" s="5"/>
      <c r="G34" s="5"/>
      <c r="H34" s="5"/>
      <c r="I34" s="6"/>
      <c r="J34" s="5"/>
      <c r="K34" s="5"/>
      <c r="L34" s="6"/>
      <c r="Q34" s="4"/>
      <c r="R34" s="4"/>
      <c r="S34" s="5"/>
      <c r="T34" s="5"/>
      <c r="U34" s="5"/>
      <c r="V34" s="5"/>
      <c r="W34" s="5"/>
      <c r="X34" s="6"/>
      <c r="Y34" s="5"/>
      <c r="Z34" s="5"/>
      <c r="AA34" s="6"/>
    </row>
    <row r="35" spans="3:27" x14ac:dyDescent="0.25">
      <c r="C35" s="4"/>
      <c r="D35" s="4"/>
      <c r="E35" s="5"/>
      <c r="F35" s="5"/>
      <c r="G35" s="5"/>
      <c r="H35" s="5"/>
      <c r="I35" s="6"/>
      <c r="J35" s="5"/>
      <c r="K35" s="5"/>
      <c r="L35" s="6"/>
      <c r="Q35" s="4"/>
      <c r="R35" s="4"/>
      <c r="S35" s="5"/>
      <c r="T35" s="5"/>
      <c r="U35" s="5"/>
      <c r="V35" s="5"/>
      <c r="W35" s="5"/>
      <c r="X35" s="6"/>
      <c r="Y35" s="5"/>
      <c r="Z35" s="5"/>
      <c r="AA35" s="6"/>
    </row>
    <row r="36" spans="3:27" ht="15.75" thickBot="1" x14ac:dyDescent="0.3">
      <c r="C36" s="4"/>
      <c r="D36" s="7"/>
      <c r="E36" s="8"/>
      <c r="F36" s="8"/>
      <c r="G36" s="8"/>
      <c r="H36" s="8"/>
      <c r="I36" s="9"/>
      <c r="J36" s="5"/>
      <c r="K36" s="5"/>
      <c r="L36" s="6"/>
      <c r="Q36" s="4"/>
      <c r="R36" s="4"/>
      <c r="S36" s="5"/>
      <c r="T36" s="5"/>
      <c r="U36" s="5"/>
      <c r="V36" s="5"/>
      <c r="W36" s="5"/>
      <c r="X36" s="6"/>
      <c r="Y36" s="5"/>
      <c r="Z36" s="5"/>
      <c r="AA36" s="6"/>
    </row>
    <row r="37" spans="3:27" x14ac:dyDescent="0.25">
      <c r="C37" s="4"/>
      <c r="D37" s="5"/>
      <c r="E37" s="5"/>
      <c r="F37" s="5"/>
      <c r="G37" s="5"/>
      <c r="H37" s="5"/>
      <c r="I37" s="5"/>
      <c r="J37" s="5"/>
      <c r="K37" s="5"/>
      <c r="L37" s="6"/>
      <c r="Q37" s="4"/>
      <c r="R37" s="4"/>
      <c r="S37" s="5"/>
      <c r="T37" s="5"/>
      <c r="U37" s="5"/>
      <c r="V37" s="5"/>
      <c r="W37" s="5"/>
      <c r="X37" s="6"/>
      <c r="Y37" s="5"/>
      <c r="Z37" s="5"/>
      <c r="AA37" s="6"/>
    </row>
    <row r="38" spans="3:27" ht="15.75" thickBot="1" x14ac:dyDescent="0.3">
      <c r="C38" s="4"/>
      <c r="D38" s="5"/>
      <c r="E38" s="5"/>
      <c r="F38" s="5"/>
      <c r="G38" s="5"/>
      <c r="H38" s="5"/>
      <c r="I38" s="5"/>
      <c r="J38" s="5"/>
      <c r="K38" s="5"/>
      <c r="L38" s="6"/>
      <c r="Q38" s="4"/>
      <c r="R38" s="4"/>
      <c r="S38" s="5"/>
      <c r="T38" s="5"/>
      <c r="U38" s="5"/>
      <c r="V38" s="5"/>
      <c r="W38" s="5"/>
      <c r="X38" s="6"/>
      <c r="Y38" s="5"/>
      <c r="Z38" s="5"/>
      <c r="AA38" s="6"/>
    </row>
    <row r="39" spans="3:27" x14ac:dyDescent="0.25">
      <c r="C39" s="4"/>
      <c r="D39" s="1" t="s">
        <v>21</v>
      </c>
      <c r="E39" s="2"/>
      <c r="F39" s="2"/>
      <c r="G39" s="2"/>
      <c r="H39" s="2"/>
      <c r="I39" s="2"/>
      <c r="J39" s="3"/>
      <c r="K39" s="5"/>
      <c r="L39" s="6"/>
      <c r="Q39" s="4"/>
      <c r="R39" s="4"/>
      <c r="S39" s="5"/>
      <c r="T39" s="5"/>
      <c r="U39" s="5"/>
      <c r="V39" s="5"/>
      <c r="W39" s="5"/>
      <c r="X39" s="6"/>
      <c r="Y39" s="5"/>
      <c r="Z39" s="5"/>
      <c r="AA39" s="6"/>
    </row>
    <row r="40" spans="3:27" ht="15.75" thickBot="1" x14ac:dyDescent="0.3">
      <c r="C40" s="4"/>
      <c r="D40" s="4"/>
      <c r="E40" s="5"/>
      <c r="F40" s="5"/>
      <c r="G40" s="5"/>
      <c r="H40" s="5"/>
      <c r="I40" s="5"/>
      <c r="J40" s="6"/>
      <c r="K40" s="5"/>
      <c r="L40" s="6"/>
      <c r="Q40" s="4"/>
      <c r="R40" s="7"/>
      <c r="S40" s="8"/>
      <c r="T40" s="8"/>
      <c r="U40" s="8"/>
      <c r="V40" s="8"/>
      <c r="W40" s="8"/>
      <c r="X40" s="9"/>
      <c r="Y40" s="5"/>
      <c r="Z40" s="5"/>
      <c r="AA40" s="6"/>
    </row>
    <row r="41" spans="3:27" x14ac:dyDescent="0.25">
      <c r="C41" s="4"/>
      <c r="D41" s="4"/>
      <c r="E41" s="5"/>
      <c r="F41" s="5"/>
      <c r="G41" s="5"/>
      <c r="H41" s="5"/>
      <c r="I41" s="5"/>
      <c r="J41" s="6"/>
      <c r="K41" s="5"/>
      <c r="L41" s="6"/>
      <c r="Q41" s="4"/>
      <c r="R41" s="5"/>
      <c r="S41" s="5"/>
      <c r="T41" s="5"/>
      <c r="U41" s="5"/>
      <c r="V41" s="5"/>
      <c r="W41" s="5"/>
      <c r="X41" s="5"/>
      <c r="Y41" s="5"/>
      <c r="Z41" s="5"/>
      <c r="AA41" s="6"/>
    </row>
    <row r="42" spans="3:27" ht="15.75" thickBot="1" x14ac:dyDescent="0.3">
      <c r="C42" s="4"/>
      <c r="D42" s="4" t="s">
        <v>13</v>
      </c>
      <c r="E42" s="5"/>
      <c r="F42" s="5">
        <f>ROUND(((76 + 57)/126)*5, 1) + F16 + G17</f>
        <v>10.8</v>
      </c>
      <c r="G42" s="5" t="s">
        <v>7</v>
      </c>
      <c r="H42" s="5"/>
      <c r="I42" s="5"/>
      <c r="J42" s="6"/>
      <c r="K42" s="5"/>
      <c r="L42" s="6"/>
      <c r="Q42" s="4"/>
      <c r="R42" s="5"/>
      <c r="S42" s="5"/>
      <c r="T42" s="5"/>
      <c r="U42" s="5"/>
      <c r="V42" s="5"/>
      <c r="W42" s="5"/>
      <c r="X42" s="5"/>
      <c r="Y42" s="5"/>
      <c r="Z42" s="5"/>
      <c r="AA42" s="6"/>
    </row>
    <row r="43" spans="3:27" x14ac:dyDescent="0.25">
      <c r="C43" s="4"/>
      <c r="D43" s="4" t="s">
        <v>14</v>
      </c>
      <c r="E43" s="5"/>
      <c r="F43" s="5">
        <f>ROUND(((82 + 50)/126)*5, 1) + F16 + G17</f>
        <v>10.7</v>
      </c>
      <c r="G43" s="5" t="s">
        <v>7</v>
      </c>
      <c r="H43" s="5"/>
      <c r="I43" s="5"/>
      <c r="J43" s="6"/>
      <c r="K43" s="5"/>
      <c r="L43" s="6"/>
      <c r="Q43" s="4"/>
      <c r="R43" s="1" t="s">
        <v>42</v>
      </c>
      <c r="S43" s="2"/>
      <c r="T43" s="2"/>
      <c r="U43" s="2"/>
      <c r="V43" s="2"/>
      <c r="W43" s="2"/>
      <c r="X43" s="2"/>
      <c r="Y43" s="3"/>
      <c r="Z43" s="5"/>
      <c r="AA43" s="6"/>
    </row>
    <row r="44" spans="3:27" x14ac:dyDescent="0.25">
      <c r="C44" s="4"/>
      <c r="D44" s="4" t="s">
        <v>15</v>
      </c>
      <c r="E44" s="5"/>
      <c r="F44" s="5">
        <f>ROUND(((76 + 57)/126)*5, 1) + F16 + G17</f>
        <v>10.8</v>
      </c>
      <c r="G44" s="5" t="s">
        <v>7</v>
      </c>
      <c r="H44" s="5"/>
      <c r="I44" s="5"/>
      <c r="J44" s="6"/>
      <c r="K44" s="5"/>
      <c r="L44" s="6"/>
      <c r="Q44" s="4"/>
      <c r="R44" s="4"/>
      <c r="S44" s="5"/>
      <c r="T44" s="5"/>
      <c r="U44" s="5"/>
      <c r="V44" s="5"/>
      <c r="W44" s="5"/>
      <c r="X44" s="5"/>
      <c r="Y44" s="6"/>
      <c r="Z44" s="5"/>
      <c r="AA44" s="6"/>
    </row>
    <row r="45" spans="3:27" x14ac:dyDescent="0.25">
      <c r="C45" s="4"/>
      <c r="D45" s="4" t="s">
        <v>30</v>
      </c>
      <c r="E45" s="5"/>
      <c r="F45" s="5">
        <f>ROUND(((82 + 50)/126)*5, 1) + F16 + G17</f>
        <v>10.7</v>
      </c>
      <c r="G45" s="5" t="s">
        <v>7</v>
      </c>
      <c r="H45" s="5"/>
      <c r="I45" s="5"/>
      <c r="J45" s="6"/>
      <c r="K45" s="5"/>
      <c r="L45" s="6"/>
      <c r="Q45" s="4"/>
      <c r="R45" s="4" t="s">
        <v>13</v>
      </c>
      <c r="S45" s="5"/>
      <c r="T45" s="5">
        <f>ROUND(((19+112)/126)*5,1) + U21 + Z24 +F16</f>
        <v>16.299999999999997</v>
      </c>
      <c r="U45" s="5" t="s">
        <v>7</v>
      </c>
      <c r="V45" s="5"/>
      <c r="W45" s="5"/>
      <c r="X45" s="5"/>
      <c r="Y45" s="6"/>
      <c r="Z45" s="5"/>
      <c r="AA45" s="6"/>
    </row>
    <row r="46" spans="3:27" x14ac:dyDescent="0.25">
      <c r="C46" s="4"/>
      <c r="D46" s="4" t="s">
        <v>31</v>
      </c>
      <c r="E46" s="5"/>
      <c r="F46" s="5">
        <f>ROUND(((82 + 106 + 82 + 9)/126)*5, 1) + F16 + G17</f>
        <v>16.600000000000001</v>
      </c>
      <c r="G46" s="5" t="s">
        <v>7</v>
      </c>
      <c r="H46" s="5"/>
      <c r="I46" s="5"/>
      <c r="J46" s="6"/>
      <c r="K46" s="5"/>
      <c r="L46" s="6"/>
      <c r="Q46" s="4"/>
      <c r="R46" s="4" t="s">
        <v>14</v>
      </c>
      <c r="S46" s="5"/>
      <c r="T46" s="5">
        <f>ROUND(((19+31+157)/126)*5,1) + U21 + Z24+F16</f>
        <v>19.299999999999997</v>
      </c>
      <c r="U46" s="5" t="s">
        <v>7</v>
      </c>
      <c r="V46" s="5"/>
      <c r="W46" s="5"/>
      <c r="X46" s="5"/>
      <c r="Y46" s="6"/>
      <c r="Z46" s="5"/>
      <c r="AA46" s="6"/>
    </row>
    <row r="47" spans="3:27" x14ac:dyDescent="0.25">
      <c r="C47" s="4"/>
      <c r="D47" s="4"/>
      <c r="E47" s="5"/>
      <c r="F47" s="5"/>
      <c r="G47" s="5"/>
      <c r="H47" s="5"/>
      <c r="I47" s="5"/>
      <c r="J47" s="6"/>
      <c r="K47" s="5"/>
      <c r="L47" s="6"/>
      <c r="Q47" s="4"/>
      <c r="R47" s="4" t="s">
        <v>32</v>
      </c>
      <c r="S47" s="5"/>
      <c r="T47" s="5">
        <f>ROUND(((19+100+157)/126)*5,1) + U21 + Z24+F16</f>
        <v>22.1</v>
      </c>
      <c r="U47" s="5" t="s">
        <v>7</v>
      </c>
      <c r="V47" s="5"/>
      <c r="W47" s="5"/>
      <c r="X47" s="5"/>
      <c r="Y47" s="6"/>
      <c r="Z47" s="5"/>
      <c r="AA47" s="6"/>
    </row>
    <row r="48" spans="3:27" x14ac:dyDescent="0.25">
      <c r="C48" s="4"/>
      <c r="D48" s="4" t="s">
        <v>74</v>
      </c>
      <c r="E48" s="5"/>
      <c r="F48" s="5">
        <v>0.5</v>
      </c>
      <c r="G48" s="10" t="s">
        <v>7</v>
      </c>
      <c r="H48" s="5"/>
      <c r="I48" s="5"/>
      <c r="J48" s="6"/>
      <c r="K48" s="5"/>
      <c r="L48" s="6"/>
      <c r="Q48" s="4"/>
      <c r="R48" s="4" t="s">
        <v>33</v>
      </c>
      <c r="S48" s="5"/>
      <c r="T48" s="5">
        <f>ROUND(((19+124)/126)*5,1) + U21 + Z24+F16</f>
        <v>16.799999999999997</v>
      </c>
      <c r="U48" s="10" t="s">
        <v>7</v>
      </c>
      <c r="V48" s="5"/>
      <c r="W48" s="5"/>
      <c r="X48" s="5"/>
      <c r="Y48" s="6"/>
      <c r="Z48" s="5"/>
      <c r="AA48" s="6"/>
    </row>
    <row r="49" spans="3:27" x14ac:dyDescent="0.25">
      <c r="C49" s="4"/>
      <c r="D49" s="4" t="s">
        <v>73</v>
      </c>
      <c r="E49" s="5"/>
      <c r="F49" s="5">
        <f>ROUND(((5+9)/126)*5,1) + 5 *G17 + 0 * E21</f>
        <v>3.1</v>
      </c>
      <c r="G49" s="10" t="s">
        <v>7</v>
      </c>
      <c r="H49" s="5"/>
      <c r="I49" s="5"/>
      <c r="J49" s="6"/>
      <c r="K49" s="5"/>
      <c r="L49" s="6"/>
      <c r="Q49" s="4"/>
      <c r="R49" s="4" t="s">
        <v>34</v>
      </c>
      <c r="S49" s="5"/>
      <c r="T49" s="5">
        <f>ROUND(((19+181+51)/126)*5,1) + U21 + Z24+F16</f>
        <v>21.1</v>
      </c>
      <c r="U49" s="10" t="s">
        <v>7</v>
      </c>
      <c r="V49" s="5"/>
      <c r="W49" s="5"/>
      <c r="X49" s="5"/>
      <c r="Y49" s="6"/>
      <c r="Z49" s="5"/>
      <c r="AA49" s="6"/>
    </row>
    <row r="50" spans="3:27" x14ac:dyDescent="0.25">
      <c r="C50" s="4"/>
      <c r="D50" s="4"/>
      <c r="E50" s="5"/>
      <c r="F50" s="5"/>
      <c r="G50" s="5"/>
      <c r="H50" s="5"/>
      <c r="I50" s="5"/>
      <c r="J50" s="6"/>
      <c r="K50" s="5"/>
      <c r="L50" s="6"/>
      <c r="Q50" s="4"/>
      <c r="R50" s="4" t="s">
        <v>35</v>
      </c>
      <c r="S50" s="5"/>
      <c r="T50" s="5">
        <f>ROUND(((19+179+116)/126)*5,1) + U21 + Z24+F16</f>
        <v>23.6</v>
      </c>
      <c r="U50" s="10" t="s">
        <v>7</v>
      </c>
      <c r="V50" s="5"/>
      <c r="W50" s="5"/>
      <c r="X50" s="5"/>
      <c r="Y50" s="6"/>
      <c r="Z50" s="5"/>
      <c r="AA50" s="6"/>
    </row>
    <row r="51" spans="3:27" x14ac:dyDescent="0.25">
      <c r="C51" s="4"/>
      <c r="D51" s="4"/>
      <c r="E51" s="5"/>
      <c r="F51" s="5"/>
      <c r="G51" s="5"/>
      <c r="H51" s="5"/>
      <c r="I51" s="5"/>
      <c r="J51" s="6"/>
      <c r="K51" s="5"/>
      <c r="L51" s="6"/>
      <c r="Q51" s="4"/>
      <c r="R51" s="11" t="s">
        <v>15</v>
      </c>
      <c r="S51" s="5"/>
      <c r="T51" s="5">
        <f>ROUND(((19 + 64)/126)*5,1) + U21 + Z24+F16</f>
        <v>14.4</v>
      </c>
      <c r="U51" s="10" t="s">
        <v>7</v>
      </c>
      <c r="V51" s="5"/>
      <c r="W51" s="5"/>
      <c r="X51" s="5"/>
      <c r="Y51" s="6"/>
      <c r="Z51" s="5"/>
      <c r="AA51" s="6"/>
    </row>
    <row r="52" spans="3:27" x14ac:dyDescent="0.25">
      <c r="C52" s="4"/>
      <c r="D52" s="4"/>
      <c r="E52" s="5"/>
      <c r="F52" s="5"/>
      <c r="G52" s="5"/>
      <c r="H52" s="5"/>
      <c r="I52" s="5"/>
      <c r="J52" s="6"/>
      <c r="K52" s="5"/>
      <c r="L52" s="6"/>
      <c r="Q52" s="4"/>
      <c r="R52" s="11" t="s">
        <v>30</v>
      </c>
      <c r="S52" s="5"/>
      <c r="T52" s="5">
        <f>ROUND(((19+82)/126)*5,1) + U21 + Z24+F16</f>
        <v>15.1</v>
      </c>
      <c r="U52" s="10" t="s">
        <v>7</v>
      </c>
      <c r="V52" s="5"/>
      <c r="W52" s="5"/>
      <c r="X52" s="5"/>
      <c r="Y52" s="6"/>
      <c r="Z52" s="5"/>
      <c r="AA52" s="6"/>
    </row>
    <row r="53" spans="3:27" ht="15.75" thickBot="1" x14ac:dyDescent="0.3">
      <c r="C53" s="4"/>
      <c r="D53" s="7"/>
      <c r="E53" s="8"/>
      <c r="F53" s="8"/>
      <c r="G53" s="8"/>
      <c r="H53" s="8"/>
      <c r="I53" s="8"/>
      <c r="J53" s="9"/>
      <c r="K53" s="5"/>
      <c r="L53" s="6"/>
      <c r="Q53" s="4"/>
      <c r="R53" s="11" t="s">
        <v>19</v>
      </c>
      <c r="S53" s="5"/>
      <c r="T53" s="5">
        <f>ROUND(((19+85+82)/126)*5,1) + Z24+F16</f>
        <v>15.5</v>
      </c>
      <c r="U53" s="10" t="s">
        <v>7</v>
      </c>
      <c r="V53" s="5"/>
      <c r="W53" s="5"/>
      <c r="X53" s="5"/>
      <c r="Y53" s="6"/>
      <c r="Z53" s="5"/>
      <c r="AA53" s="6"/>
    </row>
    <row r="54" spans="3:27" x14ac:dyDescent="0.25">
      <c r="C54" s="4"/>
      <c r="D54" s="5"/>
      <c r="E54" s="5"/>
      <c r="F54" s="5"/>
      <c r="G54" s="5"/>
      <c r="H54" s="5"/>
      <c r="I54" s="5"/>
      <c r="J54" s="5"/>
      <c r="K54" s="5"/>
      <c r="L54" s="6"/>
      <c r="Q54" s="4"/>
      <c r="R54" s="4" t="s">
        <v>73</v>
      </c>
      <c r="S54" s="5"/>
      <c r="T54" s="5">
        <f>ROUND(((158+101+179+117+82)/126)*5,1) + 8 *U21</f>
        <v>49.3</v>
      </c>
      <c r="U54" s="10" t="s">
        <v>7</v>
      </c>
      <c r="V54" s="5"/>
      <c r="W54" s="5"/>
      <c r="X54" s="5"/>
      <c r="Y54" s="6"/>
      <c r="Z54" s="5"/>
      <c r="AA54" s="6"/>
    </row>
    <row r="55" spans="3:27" ht="15.75" thickBot="1" x14ac:dyDescent="0.3">
      <c r="C55" s="4"/>
      <c r="D55" s="5"/>
      <c r="E55" s="5"/>
      <c r="F55" s="5"/>
      <c r="G55" s="5"/>
      <c r="H55" s="5"/>
      <c r="I55" s="5"/>
      <c r="J55" s="5"/>
      <c r="K55" s="5"/>
      <c r="L55" s="6"/>
      <c r="Q55" s="4"/>
      <c r="R55" s="7"/>
      <c r="S55" s="8"/>
      <c r="T55" s="8"/>
      <c r="U55" s="8"/>
      <c r="V55" s="8"/>
      <c r="W55" s="8"/>
      <c r="X55" s="8"/>
      <c r="Y55" s="9"/>
      <c r="Z55" s="5"/>
      <c r="AA55" s="6"/>
    </row>
    <row r="56" spans="3:27" x14ac:dyDescent="0.25">
      <c r="C56" s="4"/>
      <c r="D56" s="1" t="s">
        <v>22</v>
      </c>
      <c r="E56" s="2"/>
      <c r="F56" s="2"/>
      <c r="G56" s="2"/>
      <c r="H56" s="2"/>
      <c r="I56" s="2"/>
      <c r="J56" s="2"/>
      <c r="K56" s="3"/>
      <c r="L56" s="6"/>
      <c r="Q56" s="4"/>
      <c r="R56" s="5"/>
      <c r="S56" s="5"/>
      <c r="T56" s="5"/>
      <c r="U56" s="5"/>
      <c r="V56" s="5"/>
      <c r="W56" s="5"/>
      <c r="X56" s="5"/>
      <c r="Y56" s="5"/>
      <c r="Z56" s="5"/>
      <c r="AA56" s="6"/>
    </row>
    <row r="57" spans="3:27" ht="15.75" thickBot="1" x14ac:dyDescent="0.3">
      <c r="C57" s="4"/>
      <c r="D57" s="4"/>
      <c r="E57" s="5"/>
      <c r="F57" s="5"/>
      <c r="G57" s="5"/>
      <c r="H57" s="5"/>
      <c r="I57" s="5"/>
      <c r="J57" s="5"/>
      <c r="K57" s="6"/>
      <c r="L57" s="6"/>
      <c r="Q57" s="4"/>
      <c r="R57" s="5"/>
      <c r="S57" s="5"/>
      <c r="T57" s="5"/>
      <c r="U57" s="5"/>
      <c r="V57" s="5"/>
      <c r="W57" s="5"/>
      <c r="X57" s="5"/>
      <c r="Y57" s="5"/>
      <c r="Z57" s="5"/>
      <c r="AA57" s="6"/>
    </row>
    <row r="58" spans="3:27" x14ac:dyDescent="0.25">
      <c r="C58" s="4"/>
      <c r="D58" s="4"/>
      <c r="E58" s="5"/>
      <c r="F58" s="5"/>
      <c r="G58" s="5"/>
      <c r="H58" s="5"/>
      <c r="I58" s="5"/>
      <c r="J58" s="5"/>
      <c r="K58" s="6"/>
      <c r="L58" s="6"/>
      <c r="Q58" s="4"/>
      <c r="R58" s="1" t="s">
        <v>43</v>
      </c>
      <c r="S58" s="2"/>
      <c r="T58" s="2"/>
      <c r="U58" s="2"/>
      <c r="V58" s="2"/>
      <c r="W58" s="2"/>
      <c r="X58" s="2"/>
      <c r="Y58" s="2"/>
      <c r="Z58" s="3"/>
      <c r="AA58" s="6"/>
    </row>
    <row r="59" spans="3:27" x14ac:dyDescent="0.25">
      <c r="C59" s="4"/>
      <c r="D59" s="4" t="s">
        <v>13</v>
      </c>
      <c r="E59" s="5"/>
      <c r="F59" s="5">
        <f>ROUND(((79+16 + 21)/126)*5, 1) + F16 + G17</f>
        <v>10.1</v>
      </c>
      <c r="G59" s="5" t="s">
        <v>7</v>
      </c>
      <c r="H59" s="5"/>
      <c r="I59" s="5"/>
      <c r="J59" s="5"/>
      <c r="K59" s="6"/>
      <c r="L59" s="6"/>
      <c r="Q59" s="4"/>
      <c r="R59" s="4"/>
      <c r="S59" s="5"/>
      <c r="T59" s="5"/>
      <c r="U59" s="5"/>
      <c r="V59" s="5"/>
      <c r="W59" s="5"/>
      <c r="X59" s="5"/>
      <c r="Y59" s="5"/>
      <c r="Z59" s="6"/>
      <c r="AA59" s="6"/>
    </row>
    <row r="60" spans="3:27" x14ac:dyDescent="0.25">
      <c r="C60" s="4"/>
      <c r="D60" s="4" t="s">
        <v>14</v>
      </c>
      <c r="E60" s="5"/>
      <c r="F60" s="5">
        <f>ROUND(((79+16+40)/126)*5, 1) + F16 + G17</f>
        <v>10.9</v>
      </c>
      <c r="G60" s="5" t="s">
        <v>7</v>
      </c>
      <c r="H60" s="5"/>
      <c r="I60" s="5"/>
      <c r="J60" s="5"/>
      <c r="K60" s="6"/>
      <c r="L60" s="6"/>
      <c r="Q60" s="4"/>
      <c r="R60" s="4" t="s">
        <v>60</v>
      </c>
      <c r="S60" s="5"/>
      <c r="T60" s="5">
        <f>ROUND(((214+37)/126)*5,1) + U21 + Z24 +F16</f>
        <v>21.1</v>
      </c>
      <c r="U60" s="5" t="s">
        <v>7</v>
      </c>
      <c r="V60" s="5"/>
      <c r="W60" s="5"/>
      <c r="X60" s="5"/>
      <c r="Y60" s="5"/>
      <c r="Z60" s="6"/>
      <c r="AA60" s="6"/>
    </row>
    <row r="61" spans="3:27" x14ac:dyDescent="0.25">
      <c r="C61" s="4"/>
      <c r="D61" s="4" t="s">
        <v>32</v>
      </c>
      <c r="E61" s="5"/>
      <c r="F61" s="5">
        <f>ROUND(((79+16+94)/126)*5, 1) + F16 + G17</f>
        <v>13</v>
      </c>
      <c r="G61" s="5" t="s">
        <v>7</v>
      </c>
      <c r="H61" s="5"/>
      <c r="I61" s="5"/>
      <c r="J61" s="5"/>
      <c r="K61" s="6"/>
      <c r="L61" s="6"/>
      <c r="Q61" s="4"/>
      <c r="R61" s="4" t="s">
        <v>61</v>
      </c>
      <c r="S61" s="5"/>
      <c r="T61" s="5">
        <f>ROUND(((214+104)/126)*5,1) + U21 + Z24 +F16</f>
        <v>23.7</v>
      </c>
      <c r="U61" s="5" t="s">
        <v>7</v>
      </c>
      <c r="V61" s="5"/>
      <c r="W61" s="5"/>
      <c r="X61" s="5"/>
      <c r="Y61" s="5"/>
      <c r="Z61" s="6"/>
      <c r="AA61" s="6"/>
    </row>
    <row r="62" spans="3:27" x14ac:dyDescent="0.25">
      <c r="C62" s="4"/>
      <c r="D62" s="4" t="s">
        <v>33</v>
      </c>
      <c r="E62" s="5"/>
      <c r="F62" s="5">
        <f>ROUND(((79+16 + 104 + 19)/126)*5, 1) + F16 + G17</f>
        <v>14.2</v>
      </c>
      <c r="G62" s="5" t="s">
        <v>7</v>
      </c>
      <c r="H62" s="5"/>
      <c r="I62" s="5"/>
      <c r="J62" s="5"/>
      <c r="K62" s="6"/>
      <c r="L62" s="6"/>
      <c r="Q62" s="4"/>
      <c r="R62" s="4" t="s">
        <v>59</v>
      </c>
      <c r="S62" s="5"/>
      <c r="T62" s="5">
        <f>ROUND(((214+77+156)/126)*5,1) + U21 + Z24 +F16</f>
        <v>28.8</v>
      </c>
      <c r="U62" s="5" t="s">
        <v>7</v>
      </c>
      <c r="V62" s="5"/>
      <c r="W62" s="5"/>
      <c r="X62" s="5"/>
      <c r="Y62" s="5"/>
      <c r="Z62" s="6"/>
      <c r="AA62" s="6"/>
    </row>
    <row r="63" spans="3:27" x14ac:dyDescent="0.25">
      <c r="C63" s="4"/>
      <c r="D63" s="4" t="s">
        <v>34</v>
      </c>
      <c r="E63" s="5"/>
      <c r="F63" s="5">
        <f>ROUND(((79+16 + 104+52)/126)*5, 1) + F16 + G17</f>
        <v>15.5</v>
      </c>
      <c r="G63" s="5" t="s">
        <v>7</v>
      </c>
      <c r="H63" s="5"/>
      <c r="I63" s="5"/>
      <c r="J63" s="5"/>
      <c r="K63" s="6"/>
      <c r="L63" s="6"/>
      <c r="Q63" s="4"/>
      <c r="R63" s="4" t="s">
        <v>64</v>
      </c>
      <c r="S63" s="5"/>
      <c r="T63" s="5">
        <f>ROUND(((214+145+158)/126)*5,1) + U21 + Z24 +F16</f>
        <v>31.6</v>
      </c>
      <c r="U63" s="10" t="s">
        <v>7</v>
      </c>
      <c r="V63" s="5"/>
      <c r="W63" s="5"/>
      <c r="X63" s="5"/>
      <c r="Y63" s="5"/>
      <c r="Z63" s="6"/>
      <c r="AA63" s="6"/>
    </row>
    <row r="64" spans="3:27" x14ac:dyDescent="0.25">
      <c r="C64" s="4"/>
      <c r="D64" s="4" t="s">
        <v>35</v>
      </c>
      <c r="E64" s="5"/>
      <c r="F64" s="5">
        <f>ROUND(((79+16 + 104+105)/126)*5, 1) + F16 + G17</f>
        <v>17.600000000000001</v>
      </c>
      <c r="G64" s="5" t="s">
        <v>7</v>
      </c>
      <c r="H64" s="5"/>
      <c r="I64" s="5"/>
      <c r="J64" s="5"/>
      <c r="K64" s="6"/>
      <c r="L64" s="6"/>
      <c r="Q64" s="4"/>
      <c r="R64" s="11" t="s">
        <v>62</v>
      </c>
      <c r="S64" s="5"/>
      <c r="T64" s="5">
        <f>ROUND(((214+41)/126)*5,1) + U21 + Z24 +F16</f>
        <v>21.2</v>
      </c>
      <c r="U64" s="10" t="s">
        <v>7</v>
      </c>
      <c r="V64" s="5"/>
      <c r="W64" s="5"/>
      <c r="X64" s="5"/>
      <c r="Y64" s="5"/>
      <c r="Z64" s="6"/>
      <c r="AA64" s="6"/>
    </row>
    <row r="65" spans="3:27" x14ac:dyDescent="0.25">
      <c r="C65" s="4"/>
      <c r="D65" s="4" t="s">
        <v>15</v>
      </c>
      <c r="E65" s="5"/>
      <c r="F65" s="5">
        <f>ROUND(((79+16 + 104+25+160)/126)*5, 1) + F16 + G17</f>
        <v>20.7</v>
      </c>
      <c r="G65" s="5" t="s">
        <v>7</v>
      </c>
      <c r="H65" s="5"/>
      <c r="I65" s="5"/>
      <c r="J65" s="5"/>
      <c r="K65" s="6"/>
      <c r="L65" s="6"/>
      <c r="Q65" s="4"/>
      <c r="R65" s="11" t="s">
        <v>30</v>
      </c>
      <c r="S65" s="5"/>
      <c r="T65" s="5">
        <f>ROUND(((214+142)/126)*5,1) + U21 + Z24 +F16</f>
        <v>25.200000000000003</v>
      </c>
      <c r="U65" s="10" t="s">
        <v>7</v>
      </c>
      <c r="V65" s="5"/>
      <c r="W65" s="5"/>
      <c r="X65" s="5"/>
      <c r="Y65" s="5"/>
      <c r="Z65" s="6"/>
      <c r="AA65" s="6"/>
    </row>
    <row r="66" spans="3:27" x14ac:dyDescent="0.25">
      <c r="C66" s="4"/>
      <c r="D66" s="4" t="s">
        <v>19</v>
      </c>
      <c r="E66" s="5"/>
      <c r="F66" s="5">
        <f>ROUND(((79+79+16+46)/126)*5, 1) + F16 +E21</f>
        <v>17.7</v>
      </c>
      <c r="G66" s="5" t="s">
        <v>7</v>
      </c>
      <c r="H66" s="5"/>
      <c r="I66" s="5"/>
      <c r="J66" s="5"/>
      <c r="K66" s="6"/>
      <c r="L66" s="6"/>
      <c r="Q66" s="4"/>
      <c r="R66" s="11" t="s">
        <v>31</v>
      </c>
      <c r="S66" s="5"/>
      <c r="T66" s="5">
        <f>ROUND(((214+198+38)/126)*5,1) + U21 + Z24 +F16</f>
        <v>29</v>
      </c>
      <c r="U66" s="10" t="s">
        <v>7</v>
      </c>
      <c r="V66" s="5"/>
      <c r="W66" s="5"/>
      <c r="X66" s="5"/>
      <c r="Y66" s="5"/>
      <c r="Z66" s="6"/>
      <c r="AA66" s="6"/>
    </row>
    <row r="67" spans="3:27" x14ac:dyDescent="0.25">
      <c r="C67" s="4"/>
      <c r="D67" s="4"/>
      <c r="E67" s="5"/>
      <c r="F67" s="5"/>
      <c r="G67" s="5"/>
      <c r="H67" s="5"/>
      <c r="I67" s="5"/>
      <c r="J67" s="5"/>
      <c r="K67" s="6"/>
      <c r="L67" s="6"/>
      <c r="Q67" s="4"/>
      <c r="R67" s="11" t="s">
        <v>63</v>
      </c>
      <c r="S67" s="5"/>
      <c r="T67" s="5">
        <f>ROUND(((214+198+110)/126)*5,1) + U21 + Z24 +F16</f>
        <v>31.8</v>
      </c>
      <c r="U67" s="10" t="s">
        <v>7</v>
      </c>
      <c r="V67" s="5"/>
      <c r="W67" s="5"/>
      <c r="X67" s="5"/>
      <c r="Y67" s="5"/>
      <c r="Z67" s="6"/>
      <c r="AA67" s="6"/>
    </row>
    <row r="68" spans="3:27" x14ac:dyDescent="0.25">
      <c r="C68" s="4"/>
      <c r="D68" s="4" t="s">
        <v>73</v>
      </c>
      <c r="E68" s="5"/>
      <c r="F68" s="5">
        <f>ROUND(((22+86+42+17+146+18)/126)*5,1) + 7 *G17 + 1 * E21</f>
        <v>20.6</v>
      </c>
      <c r="G68" s="10" t="s">
        <v>7</v>
      </c>
      <c r="H68" s="5"/>
      <c r="I68" s="5"/>
      <c r="J68" s="5"/>
      <c r="K68" s="6"/>
      <c r="L68" s="6"/>
      <c r="Q68" s="4"/>
      <c r="R68" s="11" t="s">
        <v>19</v>
      </c>
      <c r="S68" s="5"/>
      <c r="T68" s="5">
        <f>ROUND(((214+108+72)/126)*5,1) + Z24+F16</f>
        <v>23.7</v>
      </c>
      <c r="U68" s="10" t="s">
        <v>7</v>
      </c>
      <c r="V68" s="5"/>
      <c r="W68" s="5"/>
      <c r="X68" s="5"/>
      <c r="Y68" s="5"/>
      <c r="Z68" s="6"/>
      <c r="AA68" s="6"/>
    </row>
    <row r="69" spans="3:27" ht="15.75" thickBot="1" x14ac:dyDescent="0.3">
      <c r="C69" s="4"/>
      <c r="D69" s="4"/>
      <c r="E69" s="5"/>
      <c r="F69" s="5"/>
      <c r="G69" s="5"/>
      <c r="H69" s="5"/>
      <c r="I69" s="5"/>
      <c r="J69" s="5"/>
      <c r="K69" s="6"/>
      <c r="L69" s="6"/>
      <c r="Q69" s="4"/>
      <c r="R69" s="7" t="s">
        <v>73</v>
      </c>
      <c r="S69" s="8"/>
      <c r="T69" s="8">
        <f>ROUND(((145+157+198+112+69)/126)*5,1) + 8*U21</f>
        <v>51</v>
      </c>
      <c r="U69" s="8" t="s">
        <v>7</v>
      </c>
      <c r="V69" s="8"/>
      <c r="W69" s="8"/>
      <c r="X69" s="8"/>
      <c r="Y69" s="8"/>
      <c r="Z69" s="9"/>
      <c r="AA69" s="6"/>
    </row>
    <row r="70" spans="3:27" x14ac:dyDescent="0.25">
      <c r="C70" s="4"/>
      <c r="D70" s="4"/>
      <c r="E70" s="5"/>
      <c r="F70" s="5"/>
      <c r="G70" s="5"/>
      <c r="H70" s="5"/>
      <c r="I70" s="5"/>
      <c r="J70" s="5"/>
      <c r="K70" s="6"/>
      <c r="L70" s="6"/>
      <c r="Q70" s="4"/>
      <c r="R70" s="5"/>
      <c r="S70" s="5"/>
      <c r="T70" s="5"/>
      <c r="U70" s="5"/>
      <c r="V70" s="5"/>
      <c r="W70" s="5"/>
      <c r="X70" s="5"/>
      <c r="Y70" s="5"/>
      <c r="Z70" s="5"/>
      <c r="AA70" s="6"/>
    </row>
    <row r="71" spans="3:27" ht="15.75" thickBot="1" x14ac:dyDescent="0.3">
      <c r="C71" s="4"/>
      <c r="D71" s="7"/>
      <c r="E71" s="8"/>
      <c r="F71" s="8"/>
      <c r="G71" s="8"/>
      <c r="H71" s="8"/>
      <c r="I71" s="8"/>
      <c r="J71" s="8"/>
      <c r="K71" s="9"/>
      <c r="L71" s="6"/>
      <c r="Q71" s="4"/>
      <c r="R71" s="5"/>
      <c r="S71" s="5"/>
      <c r="T71" s="5"/>
      <c r="U71" s="5"/>
      <c r="V71" s="5"/>
      <c r="W71" s="5"/>
      <c r="X71" s="5"/>
      <c r="Y71" s="5"/>
      <c r="Z71" s="5"/>
      <c r="AA71" s="6"/>
    </row>
    <row r="72" spans="3:27" x14ac:dyDescent="0.25">
      <c r="C72" s="4"/>
      <c r="D72" s="5"/>
      <c r="E72" s="5"/>
      <c r="F72" s="5"/>
      <c r="G72" s="5"/>
      <c r="H72" s="5"/>
      <c r="I72" s="5"/>
      <c r="J72" s="5"/>
      <c r="K72" s="5"/>
      <c r="L72" s="6"/>
      <c r="Q72" s="4"/>
      <c r="R72" s="1" t="s">
        <v>44</v>
      </c>
      <c r="S72" s="2"/>
      <c r="T72" s="2"/>
      <c r="U72" s="2"/>
      <c r="V72" s="2"/>
      <c r="W72" s="2"/>
      <c r="X72" s="3"/>
      <c r="Y72" s="5"/>
      <c r="Z72" s="5"/>
      <c r="AA72" s="6"/>
    </row>
    <row r="73" spans="3:27" ht="15.75" thickBot="1" x14ac:dyDescent="0.3">
      <c r="C73" s="4"/>
      <c r="D73" s="5"/>
      <c r="E73" s="5"/>
      <c r="F73" s="5"/>
      <c r="G73" s="5"/>
      <c r="H73" s="5"/>
      <c r="I73" s="5"/>
      <c r="J73" s="5"/>
      <c r="K73" s="5"/>
      <c r="L73" s="6"/>
      <c r="Q73" s="4"/>
      <c r="R73" s="4"/>
      <c r="S73" s="5"/>
      <c r="T73" s="5"/>
      <c r="U73" s="5"/>
      <c r="V73" s="5"/>
      <c r="W73" s="5"/>
      <c r="X73" s="6"/>
      <c r="Y73" s="5"/>
      <c r="Z73" s="5"/>
      <c r="AA73" s="6"/>
    </row>
    <row r="74" spans="3:27" x14ac:dyDescent="0.25">
      <c r="C74" s="4"/>
      <c r="D74" s="1" t="s">
        <v>23</v>
      </c>
      <c r="E74" s="2"/>
      <c r="F74" s="2"/>
      <c r="G74" s="2"/>
      <c r="H74" s="2"/>
      <c r="I74" s="2"/>
      <c r="J74" s="2"/>
      <c r="K74" s="2"/>
      <c r="L74" s="3"/>
      <c r="Q74" s="4"/>
      <c r="R74" s="4" t="s">
        <v>13</v>
      </c>
      <c r="S74" s="5"/>
      <c r="T74" s="5">
        <f>ROUND(((230+47)/126)*5,1) + U21 + Z24 +F16</f>
        <v>22.1</v>
      </c>
      <c r="U74" s="5" t="s">
        <v>7</v>
      </c>
      <c r="V74" s="5"/>
      <c r="W74" s="5"/>
      <c r="X74" s="6"/>
      <c r="Y74" s="5"/>
      <c r="Z74" s="5"/>
      <c r="AA74" s="6"/>
    </row>
    <row r="75" spans="3:27" x14ac:dyDescent="0.25">
      <c r="C75" s="4"/>
      <c r="D75" s="4"/>
      <c r="E75" s="5"/>
      <c r="F75" s="5"/>
      <c r="G75" s="5"/>
      <c r="H75" s="5"/>
      <c r="I75" s="5"/>
      <c r="J75" s="5"/>
      <c r="K75" s="5"/>
      <c r="L75" s="6"/>
      <c r="Q75" s="4"/>
      <c r="R75" s="4" t="s">
        <v>14</v>
      </c>
      <c r="S75" s="5"/>
      <c r="T75" s="5">
        <f>ROUND(((230+10)/126)*5,1) + U21 + Z24 +F16</f>
        <v>20.6</v>
      </c>
      <c r="U75" s="5" t="s">
        <v>7</v>
      </c>
      <c r="V75" s="5"/>
      <c r="W75" s="5"/>
      <c r="X75" s="6"/>
      <c r="Y75" s="5"/>
      <c r="Z75" s="5"/>
      <c r="AA75" s="6"/>
    </row>
    <row r="76" spans="3:27" x14ac:dyDescent="0.25">
      <c r="C76" s="4"/>
      <c r="D76" s="4"/>
      <c r="E76" s="5"/>
      <c r="F76" s="5"/>
      <c r="G76" s="5"/>
      <c r="H76" s="5"/>
      <c r="I76" s="5"/>
      <c r="J76" s="5"/>
      <c r="K76" s="5"/>
      <c r="L76" s="6"/>
      <c r="Q76" s="4"/>
      <c r="R76" s="4" t="s">
        <v>32</v>
      </c>
      <c r="S76" s="5"/>
      <c r="T76" s="5">
        <f>ROUND(((230+59+23)/126)*5,1) + U21 + Z24 +F16</f>
        <v>23.5</v>
      </c>
      <c r="U76" s="5" t="s">
        <v>7</v>
      </c>
      <c r="V76" s="5"/>
      <c r="W76" s="5"/>
      <c r="X76" s="6"/>
      <c r="Y76" s="5"/>
      <c r="Z76" s="5"/>
      <c r="AA76" s="6"/>
    </row>
    <row r="77" spans="3:27" x14ac:dyDescent="0.25">
      <c r="C77" s="4"/>
      <c r="D77" s="4" t="s">
        <v>13</v>
      </c>
      <c r="E77" s="5"/>
      <c r="F77" s="5">
        <f>ROUND(((76 + 133+46)/126)*5, 1) + F16 + G17</f>
        <v>15.6</v>
      </c>
      <c r="G77" s="5" t="s">
        <v>7</v>
      </c>
      <c r="H77" s="5"/>
      <c r="I77" s="5"/>
      <c r="J77" s="5"/>
      <c r="K77" s="5"/>
      <c r="L77" s="6"/>
      <c r="Q77" s="4"/>
      <c r="R77" s="4" t="s">
        <v>33</v>
      </c>
      <c r="S77" s="5"/>
      <c r="T77" s="5">
        <f>ROUND(((230+59+83)/126)*5,1) + U21 + Z24 +F16</f>
        <v>25.900000000000002</v>
      </c>
      <c r="U77" s="10" t="s">
        <v>7</v>
      </c>
      <c r="V77" s="5"/>
      <c r="W77" s="5"/>
      <c r="X77" s="6"/>
      <c r="Y77" s="5"/>
      <c r="Z77" s="5"/>
      <c r="AA77" s="6"/>
    </row>
    <row r="78" spans="3:27" x14ac:dyDescent="0.25">
      <c r="C78" s="4"/>
      <c r="D78" s="4" t="s">
        <v>14</v>
      </c>
      <c r="E78" s="5"/>
      <c r="F78" s="5">
        <f>ROUND(((76 + 133 + 105 +44)/126)*5, 1) + F16 + G17</f>
        <v>19.7</v>
      </c>
      <c r="G78" s="5" t="s">
        <v>7</v>
      </c>
      <c r="H78" s="5"/>
      <c r="I78" s="5"/>
      <c r="J78" s="5"/>
      <c r="K78" s="5"/>
      <c r="L78" s="6"/>
      <c r="Q78" s="4"/>
      <c r="R78" s="11" t="s">
        <v>19</v>
      </c>
      <c r="S78" s="5"/>
      <c r="T78" s="5">
        <f>ROUND(((230+55+31)/126)*5,1) + Z24+F16</f>
        <v>20.6</v>
      </c>
      <c r="U78" s="10" t="s">
        <v>7</v>
      </c>
      <c r="V78" s="5"/>
      <c r="W78" s="5"/>
      <c r="X78" s="6"/>
      <c r="Y78" s="5"/>
      <c r="Z78" s="5"/>
      <c r="AA78" s="6"/>
    </row>
    <row r="79" spans="3:27" x14ac:dyDescent="0.25">
      <c r="C79" s="4"/>
      <c r="D79" s="4" t="s">
        <v>32</v>
      </c>
      <c r="E79" s="5"/>
      <c r="F79" s="5">
        <f>ROUND(((76 + 133+104)/126)*5, 1) + F16 + G17</f>
        <v>17.899999999999999</v>
      </c>
      <c r="G79" s="5" t="s">
        <v>7</v>
      </c>
      <c r="H79" s="5"/>
      <c r="I79" s="5"/>
      <c r="J79" s="5"/>
      <c r="K79" s="5"/>
      <c r="L79" s="6"/>
      <c r="Q79" s="4"/>
      <c r="R79" s="4"/>
      <c r="S79" s="5"/>
      <c r="T79" s="5"/>
      <c r="U79" s="5"/>
      <c r="V79" s="5"/>
      <c r="W79" s="5"/>
      <c r="X79" s="6"/>
      <c r="Y79" s="5"/>
      <c r="Z79" s="5"/>
      <c r="AA79" s="6"/>
    </row>
    <row r="80" spans="3:27" x14ac:dyDescent="0.25">
      <c r="C80" s="4"/>
      <c r="D80" s="4" t="s">
        <v>33</v>
      </c>
      <c r="E80" s="5"/>
      <c r="F80" s="5">
        <f>ROUND(((76 + 133+105+51+83)/126)*5, 1) + F16 + G17</f>
        <v>23.3</v>
      </c>
      <c r="G80" s="5" t="s">
        <v>7</v>
      </c>
      <c r="H80" s="5"/>
      <c r="I80" s="5"/>
      <c r="J80" s="5"/>
      <c r="K80" s="5"/>
      <c r="L80" s="6"/>
      <c r="Q80" s="4"/>
      <c r="R80" s="4" t="s">
        <v>73</v>
      </c>
      <c r="S80" s="5"/>
      <c r="T80" s="5">
        <f>ROUND(((45+61+83+57)/126)*5,1) + 4*U21</f>
        <v>21.8</v>
      </c>
      <c r="U80" s="10" t="s">
        <v>7</v>
      </c>
      <c r="V80" s="5"/>
      <c r="W80" s="5"/>
      <c r="X80" s="6"/>
      <c r="Y80" s="5"/>
      <c r="Z80" s="5"/>
      <c r="AA80" s="6"/>
    </row>
    <row r="81" spans="3:27" x14ac:dyDescent="0.25">
      <c r="C81" s="4"/>
      <c r="D81" s="4" t="s">
        <v>15</v>
      </c>
      <c r="E81" s="5"/>
      <c r="F81" s="5">
        <f>ROUND(((76 + 133+105+44)/126)*5, 1) + F16 + G17</f>
        <v>19.7</v>
      </c>
      <c r="G81" s="5" t="s">
        <v>7</v>
      </c>
      <c r="H81" s="5"/>
      <c r="I81" s="5"/>
      <c r="J81" s="5"/>
      <c r="K81" s="5"/>
      <c r="L81" s="6"/>
      <c r="Q81" s="4"/>
      <c r="R81" s="4"/>
      <c r="S81" s="5"/>
      <c r="T81" s="5"/>
      <c r="U81" s="5"/>
      <c r="V81" s="5"/>
      <c r="W81" s="5"/>
      <c r="X81" s="6"/>
      <c r="Y81" s="5"/>
      <c r="Z81" s="5"/>
      <c r="AA81" s="6"/>
    </row>
    <row r="82" spans="3:27" x14ac:dyDescent="0.25">
      <c r="C82" s="4"/>
      <c r="D82" s="4" t="s">
        <v>30</v>
      </c>
      <c r="E82" s="5"/>
      <c r="F82" s="5">
        <f>ROUND(((76 + 133+105+51+83)/126)*5, 1) + F16 + G17</f>
        <v>23.3</v>
      </c>
      <c r="G82" s="5" t="s">
        <v>7</v>
      </c>
      <c r="H82" s="5"/>
      <c r="I82" s="5"/>
      <c r="J82" s="5"/>
      <c r="K82" s="5"/>
      <c r="L82" s="6"/>
      <c r="Q82" s="4"/>
      <c r="R82" s="4"/>
      <c r="S82" s="5"/>
      <c r="T82" s="5"/>
      <c r="U82" s="5"/>
      <c r="V82" s="5"/>
      <c r="W82" s="5"/>
      <c r="X82" s="6"/>
      <c r="Y82" s="5"/>
      <c r="Z82" s="5"/>
      <c r="AA82" s="6"/>
    </row>
    <row r="83" spans="3:27" x14ac:dyDescent="0.25">
      <c r="C83" s="4"/>
      <c r="D83" s="4" t="s">
        <v>31</v>
      </c>
      <c r="E83" s="5"/>
      <c r="F83" s="5">
        <f>ROUND(((76 + 133+105+161)/126)*5, 1) + F16 + G17</f>
        <v>24.3</v>
      </c>
      <c r="G83" s="5" t="s">
        <v>7</v>
      </c>
      <c r="H83" s="5"/>
      <c r="I83" s="5"/>
      <c r="J83" s="5"/>
      <c r="K83" s="5"/>
      <c r="L83" s="6"/>
      <c r="Q83" s="4"/>
      <c r="R83" s="4"/>
      <c r="S83" s="5"/>
      <c r="T83" s="5"/>
      <c r="U83" s="5"/>
      <c r="V83" s="5"/>
      <c r="W83" s="5"/>
      <c r="X83" s="6"/>
      <c r="Y83" s="5"/>
      <c r="Z83" s="5"/>
      <c r="AA83" s="6"/>
    </row>
    <row r="84" spans="3:27" ht="15.75" thickBot="1" x14ac:dyDescent="0.3">
      <c r="C84" s="4"/>
      <c r="D84" s="4" t="s">
        <v>19</v>
      </c>
      <c r="E84" s="5"/>
      <c r="F84" s="5">
        <f>ROUND(((76+133+84+87)/126)*5, 1) + F16 +E21</f>
        <v>24.1</v>
      </c>
      <c r="G84" s="5" t="s">
        <v>7</v>
      </c>
      <c r="H84" s="5"/>
      <c r="I84" s="5"/>
      <c r="J84" s="5"/>
      <c r="K84" s="5"/>
      <c r="L84" s="6"/>
      <c r="Q84" s="4"/>
      <c r="R84" s="7"/>
      <c r="S84" s="8"/>
      <c r="T84" s="8"/>
      <c r="U84" s="8"/>
      <c r="V84" s="8"/>
      <c r="W84" s="8"/>
      <c r="X84" s="9"/>
      <c r="Y84" s="5"/>
      <c r="Z84" s="5"/>
      <c r="AA84" s="6"/>
    </row>
    <row r="85" spans="3:27" x14ac:dyDescent="0.25">
      <c r="C85" s="4"/>
      <c r="D85" s="4"/>
      <c r="E85" s="5"/>
      <c r="F85" s="5"/>
      <c r="G85" s="5"/>
      <c r="H85" s="5"/>
      <c r="I85" s="5"/>
      <c r="J85" s="5"/>
      <c r="K85" s="5"/>
      <c r="L85" s="6"/>
      <c r="Q85" s="4"/>
      <c r="R85" s="5"/>
      <c r="S85" s="5"/>
      <c r="T85" s="5"/>
      <c r="U85" s="5"/>
      <c r="V85" s="5"/>
      <c r="W85" s="5"/>
      <c r="X85" s="5"/>
      <c r="Y85" s="5"/>
      <c r="Z85" s="5"/>
      <c r="AA85" s="6"/>
    </row>
    <row r="86" spans="3:27" ht="15.75" thickBot="1" x14ac:dyDescent="0.3">
      <c r="C86" s="4"/>
      <c r="D86" s="4" t="s">
        <v>73</v>
      </c>
      <c r="E86" s="5"/>
      <c r="F86" s="5">
        <f>ROUND(((100+85+30+7+52+68)/126)*5,1) + 7 *G17 + 1 * E21</f>
        <v>21.1</v>
      </c>
      <c r="G86" s="10" t="s">
        <v>7</v>
      </c>
      <c r="H86" s="5"/>
      <c r="I86" s="5"/>
      <c r="J86" s="5"/>
      <c r="K86" s="5"/>
      <c r="L86" s="6"/>
      <c r="Q86" s="4"/>
      <c r="R86" s="5"/>
      <c r="S86" s="5"/>
      <c r="T86" s="5"/>
      <c r="U86" s="5"/>
      <c r="V86" s="5"/>
      <c r="W86" s="5"/>
      <c r="X86" s="5"/>
      <c r="Y86" s="5"/>
      <c r="Z86" s="5"/>
      <c r="AA86" s="6"/>
    </row>
    <row r="87" spans="3:27" x14ac:dyDescent="0.25">
      <c r="C87" s="4"/>
      <c r="D87" s="4"/>
      <c r="E87" s="5"/>
      <c r="F87" s="5"/>
      <c r="G87" s="5"/>
      <c r="H87" s="5"/>
      <c r="I87" s="5"/>
      <c r="J87" s="5"/>
      <c r="K87" s="5"/>
      <c r="L87" s="6"/>
      <c r="Q87" s="4"/>
      <c r="R87" s="1" t="s">
        <v>45</v>
      </c>
      <c r="S87" s="2"/>
      <c r="T87" s="2"/>
      <c r="U87" s="2"/>
      <c r="V87" s="2"/>
      <c r="W87" s="2"/>
      <c r="X87" s="3"/>
      <c r="Y87" s="5"/>
      <c r="Z87" s="5"/>
      <c r="AA87" s="6"/>
    </row>
    <row r="88" spans="3:27" ht="15.75" thickBot="1" x14ac:dyDescent="0.3">
      <c r="C88" s="4"/>
      <c r="D88" s="7"/>
      <c r="E88" s="8"/>
      <c r="F88" s="8"/>
      <c r="G88" s="8"/>
      <c r="H88" s="8"/>
      <c r="I88" s="8"/>
      <c r="J88" s="8"/>
      <c r="K88" s="8"/>
      <c r="L88" s="9"/>
      <c r="Q88" s="4"/>
      <c r="R88" s="4"/>
      <c r="S88" s="5"/>
      <c r="T88" s="5"/>
      <c r="U88" s="5"/>
      <c r="V88" s="5"/>
      <c r="W88" s="5"/>
      <c r="X88" s="6"/>
      <c r="Y88" s="5"/>
      <c r="Z88" s="5"/>
      <c r="AA88" s="6"/>
    </row>
    <row r="89" spans="3:27" x14ac:dyDescent="0.25">
      <c r="C89" s="4"/>
      <c r="D89" s="5"/>
      <c r="E89" s="5"/>
      <c r="F89" s="5"/>
      <c r="G89" s="5"/>
      <c r="H89" s="5"/>
      <c r="I89" s="5"/>
      <c r="J89" s="5"/>
      <c r="K89" s="5"/>
      <c r="L89" s="6"/>
      <c r="Q89" s="4"/>
      <c r="R89" s="4" t="s">
        <v>13</v>
      </c>
      <c r="S89" s="5"/>
      <c r="T89" s="5">
        <f>ROUND(((240+29)/126)*5,1) + U21 + Z24 +F16</f>
        <v>21.8</v>
      </c>
      <c r="U89" s="5" t="s">
        <v>7</v>
      </c>
      <c r="V89" s="5"/>
      <c r="W89" s="5"/>
      <c r="X89" s="6"/>
      <c r="Y89" s="5"/>
      <c r="Z89" s="5"/>
      <c r="AA89" s="6"/>
    </row>
    <row r="90" spans="3:27" ht="15.75" thickBot="1" x14ac:dyDescent="0.3">
      <c r="C90" s="4"/>
      <c r="D90" s="5"/>
      <c r="E90" s="5"/>
      <c r="F90" s="5"/>
      <c r="G90" s="5"/>
      <c r="H90" s="5"/>
      <c r="I90" s="5"/>
      <c r="J90" s="5"/>
      <c r="K90" s="5"/>
      <c r="L90" s="6"/>
      <c r="Q90" s="4"/>
      <c r="R90" s="4" t="s">
        <v>14</v>
      </c>
      <c r="S90" s="5"/>
      <c r="T90" s="5">
        <f>ROUND(((240+87)/126)*5,1) + U21 + Z24 +F16</f>
        <v>24.1</v>
      </c>
      <c r="U90" s="5" t="s">
        <v>7</v>
      </c>
      <c r="V90" s="5"/>
      <c r="W90" s="5"/>
      <c r="X90" s="6"/>
      <c r="Y90" s="5"/>
      <c r="Z90" s="5"/>
      <c r="AA90" s="6"/>
    </row>
    <row r="91" spans="3:27" x14ac:dyDescent="0.25">
      <c r="C91" s="4"/>
      <c r="D91" s="1" t="s">
        <v>24</v>
      </c>
      <c r="E91" s="2"/>
      <c r="F91" s="2"/>
      <c r="G91" s="2"/>
      <c r="H91" s="2"/>
      <c r="I91" s="2"/>
      <c r="J91" s="3"/>
      <c r="K91" s="5"/>
      <c r="L91" s="6"/>
      <c r="Q91" s="4"/>
      <c r="R91" s="4" t="s">
        <v>32</v>
      </c>
      <c r="S91" s="5"/>
      <c r="T91" s="5">
        <f>ROUND(((240+59+12)/126)*5,1) + U21 + Z24 +F16</f>
        <v>23.400000000000002</v>
      </c>
      <c r="U91" s="5" t="s">
        <v>7</v>
      </c>
      <c r="V91" s="5"/>
      <c r="W91" s="5"/>
      <c r="X91" s="6"/>
      <c r="Y91" s="5"/>
      <c r="Z91" s="5"/>
      <c r="AA91" s="6"/>
    </row>
    <row r="92" spans="3:27" x14ac:dyDescent="0.25">
      <c r="C92" s="4"/>
      <c r="D92" s="4"/>
      <c r="E92" s="5"/>
      <c r="F92" s="5"/>
      <c r="G92" s="5"/>
      <c r="H92" s="5"/>
      <c r="I92" s="5"/>
      <c r="J92" s="6"/>
      <c r="K92" s="5"/>
      <c r="L92" s="6"/>
      <c r="Q92" s="4"/>
      <c r="R92" s="4" t="s">
        <v>33</v>
      </c>
      <c r="S92" s="5"/>
      <c r="T92" s="5">
        <f>ROUND(((240+58+73)/126)*5,1) + U21 + Z24 +F16</f>
        <v>25.8</v>
      </c>
      <c r="U92" s="10" t="s">
        <v>7</v>
      </c>
      <c r="V92" s="5"/>
      <c r="W92" s="5"/>
      <c r="X92" s="6"/>
      <c r="Y92" s="5"/>
      <c r="Z92" s="5"/>
      <c r="AA92" s="6"/>
    </row>
    <row r="93" spans="3:27" x14ac:dyDescent="0.25">
      <c r="C93" s="4"/>
      <c r="D93" s="4"/>
      <c r="E93" s="5"/>
      <c r="F93" s="5"/>
      <c r="G93" s="5"/>
      <c r="H93" s="5"/>
      <c r="I93" s="5"/>
      <c r="J93" s="6"/>
      <c r="K93" s="5"/>
      <c r="L93" s="6"/>
      <c r="Q93" s="4"/>
      <c r="R93" s="11"/>
      <c r="S93" s="5"/>
      <c r="T93" s="5"/>
      <c r="U93" s="5"/>
      <c r="V93" s="5"/>
      <c r="W93" s="5"/>
      <c r="X93" s="6"/>
      <c r="Y93" s="5"/>
      <c r="Z93" s="5"/>
      <c r="AA93" s="6"/>
    </row>
    <row r="94" spans="3:27" x14ac:dyDescent="0.25">
      <c r="C94" s="4"/>
      <c r="D94" s="4" t="s">
        <v>13</v>
      </c>
      <c r="E94" s="5"/>
      <c r="F94" s="5">
        <f>ROUND(((76 + 133+105+348+301+70+22)/126)*5, 1) + F16 + G17</f>
        <v>47.4</v>
      </c>
      <c r="G94" s="5" t="s">
        <v>7</v>
      </c>
      <c r="H94" s="5"/>
      <c r="I94" s="5"/>
      <c r="J94" s="6"/>
      <c r="K94" s="5"/>
      <c r="L94" s="6"/>
      <c r="Q94" s="4"/>
      <c r="R94" s="4" t="s">
        <v>73</v>
      </c>
      <c r="S94" s="5"/>
      <c r="T94" s="5">
        <f>ROUND(((89+89+60)/126)*5,1) + 4*U21</f>
        <v>21.4</v>
      </c>
      <c r="U94" s="10" t="s">
        <v>7</v>
      </c>
      <c r="V94" s="5"/>
      <c r="W94" s="5"/>
      <c r="X94" s="6"/>
      <c r="Y94" s="5"/>
      <c r="Z94" s="5"/>
      <c r="AA94" s="6"/>
    </row>
    <row r="95" spans="3:27" x14ac:dyDescent="0.25">
      <c r="C95" s="4"/>
      <c r="D95" s="4" t="s">
        <v>14</v>
      </c>
      <c r="E95" s="5"/>
      <c r="F95" s="5">
        <f>ROUND(((76 + 133+105+348+301+70+125)/126)*5, 1) + F16 + G17</f>
        <v>51.5</v>
      </c>
      <c r="G95" s="5" t="s">
        <v>7</v>
      </c>
      <c r="H95" s="5"/>
      <c r="I95" s="5"/>
      <c r="J95" s="6"/>
      <c r="K95" s="5"/>
      <c r="L95" s="6"/>
      <c r="Q95" s="4"/>
      <c r="R95" s="4"/>
      <c r="S95" s="5"/>
      <c r="T95" s="5"/>
      <c r="U95" s="5"/>
      <c r="V95" s="5"/>
      <c r="W95" s="5"/>
      <c r="X95" s="6"/>
      <c r="Y95" s="5"/>
      <c r="Z95" s="5"/>
      <c r="AA95" s="6"/>
    </row>
    <row r="96" spans="3:27" x14ac:dyDescent="0.25">
      <c r="C96" s="4"/>
      <c r="D96" s="4" t="s">
        <v>15</v>
      </c>
      <c r="E96" s="5"/>
      <c r="F96" s="5">
        <f>ROUND(((76 + 133+105+348+301+40)/126)*5, 1) + F16 + G17</f>
        <v>45.3</v>
      </c>
      <c r="G96" s="5" t="s">
        <v>7</v>
      </c>
      <c r="H96" s="5"/>
      <c r="I96" s="5"/>
      <c r="J96" s="6"/>
      <c r="K96" s="5"/>
      <c r="L96" s="6"/>
      <c r="Q96" s="4"/>
      <c r="R96" s="4"/>
      <c r="S96" s="5"/>
      <c r="T96" s="5"/>
      <c r="U96" s="5"/>
      <c r="V96" s="5"/>
      <c r="W96" s="5"/>
      <c r="X96" s="6"/>
      <c r="Y96" s="5"/>
      <c r="Z96" s="5"/>
      <c r="AA96" s="6"/>
    </row>
    <row r="97" spans="3:27" x14ac:dyDescent="0.25">
      <c r="C97" s="4"/>
      <c r="D97" s="4"/>
      <c r="E97" s="5"/>
      <c r="F97" s="5"/>
      <c r="G97" s="5"/>
      <c r="H97" s="5"/>
      <c r="I97" s="5"/>
      <c r="J97" s="6"/>
      <c r="K97" s="5"/>
      <c r="L97" s="6"/>
      <c r="Q97" s="4"/>
      <c r="R97" s="4"/>
      <c r="S97" s="5"/>
      <c r="T97" s="5"/>
      <c r="U97" s="5"/>
      <c r="V97" s="5"/>
      <c r="W97" s="5"/>
      <c r="X97" s="6"/>
      <c r="Y97" s="5"/>
      <c r="Z97" s="5"/>
      <c r="AA97" s="6"/>
    </row>
    <row r="98" spans="3:27" x14ac:dyDescent="0.25">
      <c r="C98" s="4"/>
      <c r="D98" s="4" t="s">
        <v>73</v>
      </c>
      <c r="E98" s="5"/>
      <c r="F98" s="5">
        <f>ROUND(((71+113+7+40)/126)*5,1) + 3*G17 + 0 * E21</f>
        <v>10.7</v>
      </c>
      <c r="G98" s="10" t="s">
        <v>7</v>
      </c>
      <c r="H98" s="5"/>
      <c r="I98" s="5"/>
      <c r="J98" s="6"/>
      <c r="K98" s="5"/>
      <c r="L98" s="6"/>
      <c r="Q98" s="4"/>
      <c r="R98" s="4"/>
      <c r="S98" s="5"/>
      <c r="T98" s="5"/>
      <c r="U98" s="5"/>
      <c r="V98" s="5"/>
      <c r="W98" s="5"/>
      <c r="X98" s="6"/>
      <c r="Y98" s="5"/>
      <c r="Z98" s="5"/>
      <c r="AA98" s="6"/>
    </row>
    <row r="99" spans="3:27" ht="15.75" thickBot="1" x14ac:dyDescent="0.3">
      <c r="C99" s="4"/>
      <c r="D99" s="4"/>
      <c r="E99" s="5"/>
      <c r="F99" s="5"/>
      <c r="G99" s="5"/>
      <c r="H99" s="5"/>
      <c r="I99" s="5"/>
      <c r="J99" s="6"/>
      <c r="K99" s="5"/>
      <c r="L99" s="6"/>
      <c r="Q99" s="4"/>
      <c r="R99" s="7"/>
      <c r="S99" s="8"/>
      <c r="T99" s="8"/>
      <c r="U99" s="8"/>
      <c r="V99" s="8"/>
      <c r="W99" s="8"/>
      <c r="X99" s="9"/>
      <c r="Y99" s="5"/>
      <c r="Z99" s="5"/>
      <c r="AA99" s="6"/>
    </row>
    <row r="100" spans="3:27" x14ac:dyDescent="0.25">
      <c r="C100" s="4"/>
      <c r="D100" s="4"/>
      <c r="E100" s="5"/>
      <c r="F100" s="5"/>
      <c r="G100" s="5"/>
      <c r="H100" s="5"/>
      <c r="I100" s="5"/>
      <c r="J100" s="6"/>
      <c r="K100" s="5"/>
      <c r="L100" s="6"/>
      <c r="Q100" s="4"/>
      <c r="R100" s="5"/>
      <c r="S100" s="5"/>
      <c r="T100" s="5"/>
      <c r="U100" s="5"/>
      <c r="V100" s="5"/>
      <c r="W100" s="5"/>
      <c r="X100" s="5"/>
      <c r="Y100" s="5"/>
      <c r="Z100" s="5"/>
      <c r="AA100" s="6"/>
    </row>
    <row r="101" spans="3:27" ht="15.75" thickBot="1" x14ac:dyDescent="0.3">
      <c r="C101" s="4"/>
      <c r="D101" s="4"/>
      <c r="E101" s="5"/>
      <c r="F101" s="5"/>
      <c r="G101" s="5"/>
      <c r="H101" s="5"/>
      <c r="I101" s="5"/>
      <c r="J101" s="6"/>
      <c r="K101" s="5"/>
      <c r="L101" s="6"/>
      <c r="Q101" s="4"/>
      <c r="R101" s="5"/>
      <c r="S101" s="5"/>
      <c r="T101" s="5"/>
      <c r="U101" s="5"/>
      <c r="V101" s="5"/>
      <c r="W101" s="5"/>
      <c r="X101" s="5"/>
      <c r="Y101" s="5"/>
      <c r="Z101" s="5"/>
      <c r="AA101" s="6"/>
    </row>
    <row r="102" spans="3:27" ht="15.75" thickBot="1" x14ac:dyDescent="0.3">
      <c r="C102" s="4"/>
      <c r="D102" s="7"/>
      <c r="E102" s="8"/>
      <c r="F102" s="8"/>
      <c r="G102" s="8"/>
      <c r="H102" s="8"/>
      <c r="I102" s="8"/>
      <c r="J102" s="9"/>
      <c r="K102" s="5"/>
      <c r="L102" s="6"/>
      <c r="Q102" s="4"/>
      <c r="R102" s="1" t="s">
        <v>46</v>
      </c>
      <c r="S102" s="2"/>
      <c r="T102" s="2"/>
      <c r="U102" s="2"/>
      <c r="V102" s="2"/>
      <c r="W102" s="2"/>
      <c r="X102" s="3"/>
      <c r="Y102" s="5"/>
      <c r="Z102" s="5"/>
      <c r="AA102" s="6"/>
    </row>
    <row r="103" spans="3:27" x14ac:dyDescent="0.25">
      <c r="C103" s="4"/>
      <c r="D103" s="5"/>
      <c r="E103" s="5"/>
      <c r="F103" s="5"/>
      <c r="G103" s="5"/>
      <c r="H103" s="5"/>
      <c r="I103" s="5"/>
      <c r="J103" s="5"/>
      <c r="K103" s="5"/>
      <c r="L103" s="6"/>
      <c r="Q103" s="4"/>
      <c r="R103" s="4"/>
      <c r="S103" s="5"/>
      <c r="T103" s="5"/>
      <c r="U103" s="5"/>
      <c r="V103" s="5"/>
      <c r="W103" s="5"/>
      <c r="X103" s="6"/>
      <c r="Y103" s="5"/>
      <c r="Z103" s="5"/>
      <c r="AA103" s="6"/>
    </row>
    <row r="104" spans="3:27" ht="15.75" thickBot="1" x14ac:dyDescent="0.3">
      <c r="C104" s="4"/>
      <c r="D104" s="5"/>
      <c r="E104" s="5"/>
      <c r="F104" s="5"/>
      <c r="G104" s="5"/>
      <c r="H104" s="5"/>
      <c r="I104" s="5"/>
      <c r="J104" s="5"/>
      <c r="K104" s="5"/>
      <c r="L104" s="6"/>
      <c r="Q104" s="4"/>
      <c r="R104" s="4" t="s">
        <v>13</v>
      </c>
      <c r="S104" s="5"/>
      <c r="T104" s="5">
        <f>ROUND(((272+32)/126)*5,1) + U21 + Z24 +F16</f>
        <v>23.2</v>
      </c>
      <c r="U104" s="5" t="s">
        <v>7</v>
      </c>
      <c r="V104" s="5"/>
      <c r="W104" s="5"/>
      <c r="X104" s="6"/>
      <c r="Y104" s="5"/>
      <c r="Z104" s="5"/>
      <c r="AA104" s="6"/>
    </row>
    <row r="105" spans="3:27" x14ac:dyDescent="0.25">
      <c r="C105" s="4"/>
      <c r="D105" s="1" t="s">
        <v>25</v>
      </c>
      <c r="E105" s="2"/>
      <c r="F105" s="2"/>
      <c r="G105" s="2"/>
      <c r="H105" s="2"/>
      <c r="I105" s="2"/>
      <c r="J105" s="3"/>
      <c r="K105" s="5"/>
      <c r="L105" s="6"/>
      <c r="Q105" s="4"/>
      <c r="R105" s="4" t="s">
        <v>14</v>
      </c>
      <c r="S105" s="5"/>
      <c r="T105" s="5">
        <f>ROUND(((272+89)/126)*5,1) + U21 + Z24 +F16</f>
        <v>25.400000000000002</v>
      </c>
      <c r="U105" s="5" t="s">
        <v>7</v>
      </c>
      <c r="V105" s="5"/>
      <c r="W105" s="5"/>
      <c r="X105" s="6"/>
      <c r="Y105" s="5"/>
      <c r="Z105" s="5"/>
      <c r="AA105" s="6"/>
    </row>
    <row r="106" spans="3:27" x14ac:dyDescent="0.25">
      <c r="C106" s="4"/>
      <c r="D106" s="4"/>
      <c r="E106" s="5"/>
      <c r="F106" s="5"/>
      <c r="G106" s="5"/>
      <c r="H106" s="5"/>
      <c r="I106" s="5"/>
      <c r="J106" s="6"/>
      <c r="K106" s="5"/>
      <c r="L106" s="6"/>
      <c r="Q106" s="4"/>
      <c r="R106" s="4" t="s">
        <v>32</v>
      </c>
      <c r="S106" s="5"/>
      <c r="T106" s="5">
        <f>ROUND(((272+32+60)/126)*5,1) + U21 + Z24 +F16</f>
        <v>25.5</v>
      </c>
      <c r="U106" s="5" t="s">
        <v>7</v>
      </c>
      <c r="V106" s="5"/>
      <c r="W106" s="5"/>
      <c r="X106" s="6"/>
      <c r="Y106" s="5"/>
      <c r="Z106" s="5"/>
      <c r="AA106" s="6"/>
    </row>
    <row r="107" spans="3:27" x14ac:dyDescent="0.25">
      <c r="C107" s="4"/>
      <c r="D107" s="4"/>
      <c r="E107" s="5"/>
      <c r="F107" s="5"/>
      <c r="G107" s="5"/>
      <c r="H107" s="5"/>
      <c r="I107" s="5"/>
      <c r="J107" s="6"/>
      <c r="K107" s="5"/>
      <c r="L107" s="6"/>
      <c r="Q107" s="4"/>
      <c r="R107" s="4" t="s">
        <v>33</v>
      </c>
      <c r="S107" s="5"/>
      <c r="T107" s="5">
        <f>ROUND(((272+59+90)/126)*5,1) + U21 + Z24 +F16</f>
        <v>27.8</v>
      </c>
      <c r="U107" s="10" t="s">
        <v>7</v>
      </c>
      <c r="V107" s="5"/>
      <c r="W107" s="5"/>
      <c r="X107" s="6"/>
      <c r="Y107" s="5"/>
      <c r="Z107" s="5"/>
      <c r="AA107" s="6"/>
    </row>
    <row r="108" spans="3:27" x14ac:dyDescent="0.25">
      <c r="C108" s="4"/>
      <c r="D108" s="4" t="s">
        <v>13</v>
      </c>
      <c r="E108" s="5"/>
      <c r="F108" s="5">
        <f>ROUND(((76 + 133+105+348+217+21)/126)*5, 1) + F16 + G17</f>
        <v>41.2</v>
      </c>
      <c r="G108" s="5" t="s">
        <v>7</v>
      </c>
      <c r="H108" s="5"/>
      <c r="I108" s="5"/>
      <c r="J108" s="6"/>
      <c r="K108" s="5"/>
      <c r="L108" s="6"/>
      <c r="Q108" s="4"/>
      <c r="R108" s="11" t="s">
        <v>19</v>
      </c>
      <c r="S108" s="5"/>
      <c r="T108" s="5">
        <f>ROUND(((272+27+62)/126)*5,1) + Z24+F16</f>
        <v>22.400000000000002</v>
      </c>
      <c r="U108" s="10" t="s">
        <v>7</v>
      </c>
      <c r="V108" s="5"/>
      <c r="W108" s="5"/>
      <c r="X108" s="6"/>
      <c r="Y108" s="5"/>
      <c r="Z108" s="5"/>
      <c r="AA108" s="6"/>
    </row>
    <row r="109" spans="3:27" x14ac:dyDescent="0.25">
      <c r="C109" s="4"/>
      <c r="D109" s="4" t="s">
        <v>14</v>
      </c>
      <c r="E109" s="5"/>
      <c r="F109" s="5">
        <f>ROUND(((76 + 133+105+348+217+117+7)/126)*5, 1) + F16 + G17</f>
        <v>45.3</v>
      </c>
      <c r="G109" s="5" t="s">
        <v>7</v>
      </c>
      <c r="H109" s="5"/>
      <c r="I109" s="5"/>
      <c r="J109" s="6"/>
      <c r="K109" s="5"/>
      <c r="L109" s="6"/>
      <c r="Q109" s="4"/>
      <c r="R109" s="4"/>
      <c r="S109" s="5"/>
      <c r="T109" s="5"/>
      <c r="U109" s="5"/>
      <c r="V109" s="5"/>
      <c r="W109" s="5"/>
      <c r="X109" s="6"/>
      <c r="Y109" s="5"/>
      <c r="Z109" s="5"/>
      <c r="AA109" s="6"/>
    </row>
    <row r="110" spans="3:27" x14ac:dyDescent="0.25">
      <c r="C110" s="4"/>
      <c r="D110" s="4" t="s">
        <v>15</v>
      </c>
      <c r="E110" s="5"/>
      <c r="F110" s="5">
        <f>ROUND(((76 + 133+105+348+217+69+39)/126)*5, 1) + F16 + G17</f>
        <v>44.7</v>
      </c>
      <c r="G110" s="5" t="s">
        <v>7</v>
      </c>
      <c r="H110" s="5"/>
      <c r="I110" s="5"/>
      <c r="J110" s="6"/>
      <c r="K110" s="5"/>
      <c r="L110" s="6"/>
      <c r="Q110" s="4"/>
      <c r="R110" s="4" t="s">
        <v>73</v>
      </c>
      <c r="S110" s="5"/>
      <c r="T110" s="5">
        <f>ROUND(((89+89+60+24)/126)*5,1) + 4*U21</f>
        <v>22.4</v>
      </c>
      <c r="U110" s="10" t="s">
        <v>7</v>
      </c>
      <c r="V110" s="5"/>
      <c r="W110" s="5"/>
      <c r="X110" s="6"/>
      <c r="Y110" s="5"/>
      <c r="Z110" s="5"/>
      <c r="AA110" s="6"/>
    </row>
    <row r="111" spans="3:27" x14ac:dyDescent="0.25">
      <c r="C111" s="4"/>
      <c r="D111" s="4" t="s">
        <v>19</v>
      </c>
      <c r="E111" s="5"/>
      <c r="F111" s="5">
        <f>ROUND(((76 + 133+105+348+217+66+24)/126)*5, 1) + F16 +E21</f>
        <v>47.5</v>
      </c>
      <c r="G111" s="10" t="s">
        <v>7</v>
      </c>
      <c r="H111" s="5"/>
      <c r="I111" s="5"/>
      <c r="J111" s="6"/>
      <c r="K111" s="5"/>
      <c r="L111" s="6"/>
      <c r="Q111" s="4"/>
      <c r="R111" s="4"/>
      <c r="S111" s="5"/>
      <c r="T111" s="5"/>
      <c r="U111" s="5"/>
      <c r="V111" s="5"/>
      <c r="W111" s="5"/>
      <c r="X111" s="6"/>
      <c r="Y111" s="5"/>
      <c r="Z111" s="5"/>
      <c r="AA111" s="6"/>
    </row>
    <row r="112" spans="3:27" x14ac:dyDescent="0.25">
      <c r="C112" s="4"/>
      <c r="D112" s="4"/>
      <c r="E112" s="5"/>
      <c r="F112" s="5"/>
      <c r="G112" s="5"/>
      <c r="H112" s="5"/>
      <c r="I112" s="5"/>
      <c r="J112" s="6"/>
      <c r="K112" s="5"/>
      <c r="L112" s="6"/>
      <c r="Q112" s="4"/>
      <c r="R112" s="4"/>
      <c r="S112" s="5"/>
      <c r="T112" s="5"/>
      <c r="U112" s="5"/>
      <c r="V112" s="5"/>
      <c r="W112" s="5"/>
      <c r="X112" s="6"/>
      <c r="Y112" s="5"/>
      <c r="Z112" s="5"/>
      <c r="AA112" s="6"/>
    </row>
    <row r="113" spans="3:27" x14ac:dyDescent="0.25">
      <c r="C113" s="4"/>
      <c r="D113" s="4" t="s">
        <v>73</v>
      </c>
      <c r="E113" s="5"/>
      <c r="F113" s="5">
        <f>ROUND(((68+35+27+112)/126)*5,1) + 3*G17 + 1 * E21</f>
        <v>15.1</v>
      </c>
      <c r="G113" s="10" t="s">
        <v>7</v>
      </c>
      <c r="H113" s="5"/>
      <c r="I113" s="5"/>
      <c r="J113" s="6"/>
      <c r="K113" s="5"/>
      <c r="L113" s="6"/>
      <c r="Q113" s="4"/>
      <c r="R113" s="4"/>
      <c r="S113" s="5"/>
      <c r="T113" s="5"/>
      <c r="U113" s="5"/>
      <c r="V113" s="5"/>
      <c r="W113" s="5"/>
      <c r="X113" s="6"/>
      <c r="Y113" s="5"/>
      <c r="Z113" s="5"/>
      <c r="AA113" s="6"/>
    </row>
    <row r="114" spans="3:27" ht="15.75" thickBot="1" x14ac:dyDescent="0.3">
      <c r="C114" s="4"/>
      <c r="D114" s="4"/>
      <c r="E114" s="5"/>
      <c r="F114" s="5"/>
      <c r="G114" s="5"/>
      <c r="H114" s="5"/>
      <c r="I114" s="5"/>
      <c r="J114" s="6"/>
      <c r="K114" s="5"/>
      <c r="L114" s="6"/>
      <c r="Q114" s="4"/>
      <c r="R114" s="7"/>
      <c r="S114" s="8"/>
      <c r="T114" s="8"/>
      <c r="U114" s="8"/>
      <c r="V114" s="8"/>
      <c r="W114" s="8"/>
      <c r="X114" s="9"/>
      <c r="Y114" s="5"/>
      <c r="Z114" s="5"/>
      <c r="AA114" s="6"/>
    </row>
    <row r="115" spans="3:27" x14ac:dyDescent="0.25">
      <c r="C115" s="4"/>
      <c r="D115" s="4"/>
      <c r="E115" s="5"/>
      <c r="F115" s="5"/>
      <c r="G115" s="5"/>
      <c r="H115" s="5"/>
      <c r="I115" s="5"/>
      <c r="J115" s="6"/>
      <c r="K115" s="5"/>
      <c r="L115" s="6"/>
      <c r="Q115" s="4"/>
      <c r="R115" s="5"/>
      <c r="S115" s="5"/>
      <c r="T115" s="5"/>
      <c r="U115" s="5"/>
      <c r="V115" s="5"/>
      <c r="W115" s="5"/>
      <c r="X115" s="5"/>
      <c r="Y115" s="5"/>
      <c r="Z115" s="5"/>
      <c r="AA115" s="6"/>
    </row>
    <row r="116" spans="3:27" ht="15.75" thickBot="1" x14ac:dyDescent="0.3">
      <c r="C116" s="4"/>
      <c r="D116" s="4"/>
      <c r="E116" s="5"/>
      <c r="F116" s="5"/>
      <c r="G116" s="5"/>
      <c r="H116" s="5"/>
      <c r="I116" s="5"/>
      <c r="J116" s="6"/>
      <c r="K116" s="5"/>
      <c r="L116" s="6"/>
      <c r="Q116" s="4"/>
      <c r="R116" s="5"/>
      <c r="S116" s="5"/>
      <c r="T116" s="5"/>
      <c r="U116" s="5"/>
      <c r="V116" s="5"/>
      <c r="W116" s="5"/>
      <c r="X116" s="5"/>
      <c r="Y116" s="5"/>
      <c r="Z116" s="5"/>
      <c r="AA116" s="6"/>
    </row>
    <row r="117" spans="3:27" ht="15.75" thickBot="1" x14ac:dyDescent="0.3">
      <c r="C117" s="4"/>
      <c r="D117" s="7"/>
      <c r="E117" s="8"/>
      <c r="F117" s="8"/>
      <c r="G117" s="8"/>
      <c r="H117" s="8"/>
      <c r="I117" s="8"/>
      <c r="J117" s="9"/>
      <c r="K117" s="5"/>
      <c r="L117" s="6"/>
      <c r="Q117" s="4"/>
      <c r="R117" s="1" t="s">
        <v>47</v>
      </c>
      <c r="S117" s="2"/>
      <c r="T117" s="2"/>
      <c r="U117" s="2"/>
      <c r="V117" s="2"/>
      <c r="W117" s="2"/>
      <c r="X117" s="3"/>
      <c r="Y117" s="5"/>
      <c r="Z117" s="5"/>
      <c r="AA117" s="6"/>
    </row>
    <row r="118" spans="3:27" x14ac:dyDescent="0.25">
      <c r="C118" s="4"/>
      <c r="D118" s="5"/>
      <c r="E118" s="5"/>
      <c r="F118" s="5"/>
      <c r="G118" s="5"/>
      <c r="H118" s="5"/>
      <c r="I118" s="5"/>
      <c r="J118" s="5"/>
      <c r="K118" s="5"/>
      <c r="L118" s="6"/>
      <c r="Q118" s="4"/>
      <c r="R118" s="4"/>
      <c r="S118" s="5"/>
      <c r="T118" s="5"/>
      <c r="U118" s="5"/>
      <c r="V118" s="5"/>
      <c r="W118" s="5"/>
      <c r="X118" s="6"/>
      <c r="Y118" s="5"/>
      <c r="Z118" s="5"/>
      <c r="AA118" s="6"/>
    </row>
    <row r="119" spans="3:27" ht="15.75" thickBot="1" x14ac:dyDescent="0.3">
      <c r="C119" s="4"/>
      <c r="D119" s="5"/>
      <c r="E119" s="5"/>
      <c r="F119" s="5"/>
      <c r="G119" s="5"/>
      <c r="H119" s="5"/>
      <c r="I119" s="5"/>
      <c r="J119" s="5"/>
      <c r="K119" s="5"/>
      <c r="L119" s="6"/>
      <c r="Q119" s="4"/>
      <c r="R119" s="4" t="s">
        <v>13</v>
      </c>
      <c r="S119" s="5"/>
      <c r="T119" s="5">
        <f>ROUND(((319+34)/126)*5,1) + U21 + Z24 +F16</f>
        <v>25.1</v>
      </c>
      <c r="U119" s="5" t="s">
        <v>7</v>
      </c>
      <c r="V119" s="5"/>
      <c r="W119" s="5"/>
      <c r="X119" s="6"/>
      <c r="Y119" s="5"/>
      <c r="Z119" s="5"/>
      <c r="AA119" s="6"/>
    </row>
    <row r="120" spans="3:27" x14ac:dyDescent="0.25">
      <c r="C120" s="4"/>
      <c r="D120" s="1" t="s">
        <v>26</v>
      </c>
      <c r="E120" s="2"/>
      <c r="F120" s="2"/>
      <c r="G120" s="2"/>
      <c r="H120" s="2"/>
      <c r="I120" s="2"/>
      <c r="J120" s="3"/>
      <c r="K120" s="5"/>
      <c r="L120" s="6"/>
      <c r="Q120" s="4"/>
      <c r="R120" s="4" t="s">
        <v>14</v>
      </c>
      <c r="S120" s="5"/>
      <c r="T120" s="5">
        <f>ROUND(((319+90)/126)*5,1) + U21 + Z24 +F16</f>
        <v>27.3</v>
      </c>
      <c r="U120" s="5" t="s">
        <v>7</v>
      </c>
      <c r="V120" s="5"/>
      <c r="W120" s="5"/>
      <c r="X120" s="6"/>
      <c r="Y120" s="5"/>
      <c r="Z120" s="5"/>
      <c r="AA120" s="6"/>
    </row>
    <row r="121" spans="3:27" x14ac:dyDescent="0.25">
      <c r="C121" s="4"/>
      <c r="D121" s="4"/>
      <c r="E121" s="5"/>
      <c r="F121" s="5"/>
      <c r="G121" s="5"/>
      <c r="H121" s="5"/>
      <c r="I121" s="5"/>
      <c r="J121" s="6"/>
      <c r="K121" s="5"/>
      <c r="L121" s="6"/>
      <c r="Q121" s="4"/>
      <c r="R121" s="4" t="s">
        <v>32</v>
      </c>
      <c r="S121" s="5"/>
      <c r="T121" s="5">
        <f>ROUND(((319+32+60)/126)*5,1) + U21 + Z24 +F16</f>
        <v>27.400000000000002</v>
      </c>
      <c r="U121" s="5" t="s">
        <v>7</v>
      </c>
      <c r="V121" s="5"/>
      <c r="W121" s="5"/>
      <c r="X121" s="6"/>
      <c r="Y121" s="5"/>
      <c r="Z121" s="5"/>
      <c r="AA121" s="6"/>
    </row>
    <row r="122" spans="3:27" x14ac:dyDescent="0.25">
      <c r="C122" s="4"/>
      <c r="D122" s="4"/>
      <c r="E122" s="5"/>
      <c r="F122" s="5"/>
      <c r="G122" s="5"/>
      <c r="H122" s="5"/>
      <c r="I122" s="5"/>
      <c r="J122" s="6"/>
      <c r="K122" s="5"/>
      <c r="L122" s="6"/>
      <c r="Q122" s="4"/>
      <c r="R122" s="4" t="s">
        <v>33</v>
      </c>
      <c r="S122" s="5"/>
      <c r="T122" s="5">
        <f>ROUND(((319+61+91)/126)*5,1) + U21 + Z24 +F16</f>
        <v>29.8</v>
      </c>
      <c r="U122" s="10" t="s">
        <v>7</v>
      </c>
      <c r="V122" s="5"/>
      <c r="W122" s="5"/>
      <c r="X122" s="6"/>
      <c r="Y122" s="5"/>
      <c r="Z122" s="5"/>
      <c r="AA122" s="6"/>
    </row>
    <row r="123" spans="3:27" x14ac:dyDescent="0.25">
      <c r="C123" s="4"/>
      <c r="D123" s="4" t="s">
        <v>13</v>
      </c>
      <c r="E123" s="5"/>
      <c r="F123" s="5">
        <f>ROUND(((76 + 133+105+348+133+70+24)/126)*5, 1) + F16 + G17</f>
        <v>40.799999999999997</v>
      </c>
      <c r="G123" s="5" t="s">
        <v>7</v>
      </c>
      <c r="H123" s="5"/>
      <c r="I123" s="5"/>
      <c r="J123" s="6"/>
      <c r="K123" s="5"/>
      <c r="L123" s="6"/>
      <c r="Q123" s="4"/>
      <c r="R123" s="4"/>
      <c r="S123" s="5"/>
      <c r="T123" s="5"/>
      <c r="U123" s="5"/>
      <c r="V123" s="5"/>
      <c r="W123" s="5"/>
      <c r="X123" s="6"/>
      <c r="Y123" s="5"/>
      <c r="Z123" s="5"/>
      <c r="AA123" s="6"/>
    </row>
    <row r="124" spans="3:27" x14ac:dyDescent="0.25">
      <c r="C124" s="4"/>
      <c r="D124" s="4" t="s">
        <v>14</v>
      </c>
      <c r="E124" s="5"/>
      <c r="F124" s="5">
        <f>ROUND(((76 + 133+105+348+133+70+118+5)/126)*5, 1) + F16 + G17</f>
        <v>44.7</v>
      </c>
      <c r="G124" s="5" t="s">
        <v>7</v>
      </c>
      <c r="H124" s="5"/>
      <c r="I124" s="5"/>
      <c r="J124" s="6"/>
      <c r="K124" s="5"/>
      <c r="L124" s="6"/>
      <c r="Q124" s="4"/>
      <c r="R124" s="4" t="s">
        <v>73</v>
      </c>
      <c r="S124" s="5"/>
      <c r="T124" s="5">
        <f>ROUND(((89+89+60)/126)*5,1) + 4*U21</f>
        <v>21.4</v>
      </c>
      <c r="U124" s="10" t="s">
        <v>7</v>
      </c>
      <c r="V124" s="5"/>
      <c r="W124" s="5"/>
      <c r="X124" s="6"/>
      <c r="Y124" s="5"/>
      <c r="Z124" s="5"/>
      <c r="AA124" s="6"/>
    </row>
    <row r="125" spans="3:27" x14ac:dyDescent="0.25">
      <c r="C125" s="4"/>
      <c r="D125" s="4" t="s">
        <v>15</v>
      </c>
      <c r="E125" s="5"/>
      <c r="F125" s="5">
        <f>ROUND(((76 + 133+105+348+133+31)/126)*5, 1) + F16 + G17</f>
        <v>38.299999999999997</v>
      </c>
      <c r="G125" s="5" t="s">
        <v>7</v>
      </c>
      <c r="H125" s="5"/>
      <c r="I125" s="5"/>
      <c r="J125" s="6"/>
      <c r="K125" s="5"/>
      <c r="L125" s="6"/>
      <c r="Q125" s="4"/>
      <c r="R125" s="4"/>
      <c r="S125" s="5"/>
      <c r="T125" s="5"/>
      <c r="U125" s="5"/>
      <c r="V125" s="5"/>
      <c r="W125" s="5"/>
      <c r="X125" s="6"/>
      <c r="Y125" s="5"/>
      <c r="Z125" s="5"/>
      <c r="AA125" s="6"/>
    </row>
    <row r="126" spans="3:27" x14ac:dyDescent="0.25">
      <c r="C126" s="4"/>
      <c r="D126" s="4"/>
      <c r="E126" s="5"/>
      <c r="F126" s="5"/>
      <c r="G126" s="5"/>
      <c r="H126" s="5"/>
      <c r="I126" s="5"/>
      <c r="J126" s="6"/>
      <c r="K126" s="5"/>
      <c r="L126" s="6"/>
      <c r="Q126" s="4"/>
      <c r="R126" s="4"/>
      <c r="S126" s="5"/>
      <c r="T126" s="5"/>
      <c r="U126" s="5"/>
      <c r="V126" s="5"/>
      <c r="W126" s="5"/>
      <c r="X126" s="6"/>
      <c r="Y126" s="5"/>
      <c r="Z126" s="5"/>
      <c r="AA126" s="6"/>
    </row>
    <row r="127" spans="3:27" x14ac:dyDescent="0.25">
      <c r="C127" s="4"/>
      <c r="D127" s="4" t="s">
        <v>73</v>
      </c>
      <c r="E127" s="5"/>
      <c r="F127" s="5">
        <f>ROUND(((70+113+3+25)/126)*5,1) + 3*G17 + 0 * E21</f>
        <v>9.9</v>
      </c>
      <c r="G127" s="10" t="s">
        <v>7</v>
      </c>
      <c r="H127" s="5"/>
      <c r="I127" s="5"/>
      <c r="J127" s="6"/>
      <c r="K127" s="5"/>
      <c r="L127" s="6"/>
      <c r="Q127" s="4"/>
      <c r="R127" s="4"/>
      <c r="S127" s="5"/>
      <c r="T127" s="5"/>
      <c r="U127" s="5"/>
      <c r="V127" s="5"/>
      <c r="W127" s="5"/>
      <c r="X127" s="6"/>
      <c r="Y127" s="5"/>
      <c r="Z127" s="5"/>
      <c r="AA127" s="6"/>
    </row>
    <row r="128" spans="3:27" x14ac:dyDescent="0.25">
      <c r="C128" s="4"/>
      <c r="D128" s="4"/>
      <c r="E128" s="5"/>
      <c r="F128" s="5"/>
      <c r="G128" s="5"/>
      <c r="H128" s="5"/>
      <c r="I128" s="5"/>
      <c r="J128" s="6"/>
      <c r="K128" s="5"/>
      <c r="L128" s="6"/>
      <c r="Q128" s="4"/>
      <c r="R128" s="4"/>
      <c r="S128" s="5"/>
      <c r="T128" s="5"/>
      <c r="U128" s="5"/>
      <c r="V128" s="5"/>
      <c r="W128" s="5"/>
      <c r="X128" s="6"/>
      <c r="Y128" s="5"/>
      <c r="Z128" s="5"/>
      <c r="AA128" s="6"/>
    </row>
    <row r="129" spans="3:27" ht="15.75" thickBot="1" x14ac:dyDescent="0.3">
      <c r="C129" s="4"/>
      <c r="D129" s="4"/>
      <c r="E129" s="5"/>
      <c r="F129" s="5"/>
      <c r="G129" s="5"/>
      <c r="H129" s="5"/>
      <c r="I129" s="5"/>
      <c r="J129" s="6"/>
      <c r="K129" s="5"/>
      <c r="L129" s="6"/>
      <c r="Q129" s="4"/>
      <c r="R129" s="7"/>
      <c r="S129" s="8"/>
      <c r="T129" s="8"/>
      <c r="U129" s="8"/>
      <c r="V129" s="8"/>
      <c r="W129" s="8"/>
      <c r="X129" s="9"/>
      <c r="Y129" s="5"/>
      <c r="Z129" s="5"/>
      <c r="AA129" s="6"/>
    </row>
    <row r="130" spans="3:27" x14ac:dyDescent="0.25">
      <c r="C130" s="4"/>
      <c r="D130" s="4"/>
      <c r="E130" s="5"/>
      <c r="F130" s="5"/>
      <c r="G130" s="5"/>
      <c r="H130" s="5"/>
      <c r="I130" s="5"/>
      <c r="J130" s="6"/>
      <c r="K130" s="5"/>
      <c r="L130" s="6"/>
      <c r="Q130" s="4"/>
      <c r="R130" s="5"/>
      <c r="S130" s="5"/>
      <c r="T130" s="5"/>
      <c r="U130" s="5"/>
      <c r="V130" s="5"/>
      <c r="W130" s="5"/>
      <c r="X130" s="5"/>
      <c r="Y130" s="5"/>
      <c r="Z130" s="5"/>
      <c r="AA130" s="6"/>
    </row>
    <row r="131" spans="3:27" ht="15.75" thickBot="1" x14ac:dyDescent="0.3">
      <c r="C131" s="4"/>
      <c r="D131" s="7"/>
      <c r="E131" s="8"/>
      <c r="F131" s="8"/>
      <c r="G131" s="8"/>
      <c r="H131" s="8"/>
      <c r="I131" s="8"/>
      <c r="J131" s="9"/>
      <c r="K131" s="5"/>
      <c r="L131" s="6"/>
      <c r="Q131" s="4"/>
      <c r="R131" s="5"/>
      <c r="S131" s="5"/>
      <c r="T131" s="5"/>
      <c r="U131" s="5"/>
      <c r="V131" s="5"/>
      <c r="W131" s="5"/>
      <c r="X131" s="5"/>
      <c r="Y131" s="5"/>
      <c r="Z131" s="5"/>
      <c r="AA131" s="6"/>
    </row>
    <row r="132" spans="3:27" x14ac:dyDescent="0.25">
      <c r="C132" s="4"/>
      <c r="D132" s="5"/>
      <c r="E132" s="5"/>
      <c r="F132" s="5"/>
      <c r="G132" s="5"/>
      <c r="H132" s="5"/>
      <c r="I132" s="5"/>
      <c r="J132" s="5"/>
      <c r="K132" s="5"/>
      <c r="L132" s="6"/>
      <c r="Q132" s="4"/>
      <c r="R132" s="1" t="s">
        <v>48</v>
      </c>
      <c r="S132" s="2"/>
      <c r="T132" s="2"/>
      <c r="U132" s="2"/>
      <c r="V132" s="2"/>
      <c r="W132" s="2"/>
      <c r="X132" s="3"/>
      <c r="Y132" s="5"/>
      <c r="Z132" s="5"/>
      <c r="AA132" s="6"/>
    </row>
    <row r="133" spans="3:27" ht="15.75" thickBot="1" x14ac:dyDescent="0.3">
      <c r="C133" s="4"/>
      <c r="D133" s="5"/>
      <c r="E133" s="5"/>
      <c r="F133" s="5"/>
      <c r="G133" s="5"/>
      <c r="H133" s="5"/>
      <c r="I133" s="5"/>
      <c r="J133" s="5"/>
      <c r="K133" s="5"/>
      <c r="L133" s="6"/>
      <c r="Q133" s="4"/>
      <c r="R133" s="4"/>
      <c r="S133" s="5"/>
      <c r="T133" s="5"/>
      <c r="U133" s="5"/>
      <c r="V133" s="5"/>
      <c r="W133" s="5"/>
      <c r="X133" s="6"/>
      <c r="Y133" s="5"/>
      <c r="Z133" s="5"/>
      <c r="AA133" s="6"/>
    </row>
    <row r="134" spans="3:27" x14ac:dyDescent="0.25">
      <c r="C134" s="4"/>
      <c r="D134" s="1" t="s">
        <v>27</v>
      </c>
      <c r="E134" s="2"/>
      <c r="F134" s="2"/>
      <c r="G134" s="2"/>
      <c r="H134" s="2"/>
      <c r="I134" s="2"/>
      <c r="J134" s="2"/>
      <c r="K134" s="3"/>
      <c r="L134" s="6"/>
      <c r="Q134" s="4"/>
      <c r="R134" s="4" t="s">
        <v>13</v>
      </c>
      <c r="S134" s="5"/>
      <c r="T134" s="5">
        <f>ROUND(((375+34)/126)*5,1) + U21 + Z24 +F16</f>
        <v>27.3</v>
      </c>
      <c r="U134" s="5" t="s">
        <v>7</v>
      </c>
      <c r="V134" s="5"/>
      <c r="W134" s="5"/>
      <c r="X134" s="6"/>
      <c r="Y134" s="5"/>
      <c r="Z134" s="5"/>
      <c r="AA134" s="6"/>
    </row>
    <row r="135" spans="3:27" x14ac:dyDescent="0.25">
      <c r="C135" s="4"/>
      <c r="D135" s="4"/>
      <c r="E135" s="5"/>
      <c r="F135" s="5"/>
      <c r="G135" s="5"/>
      <c r="H135" s="5"/>
      <c r="I135" s="5"/>
      <c r="J135" s="5"/>
      <c r="K135" s="6"/>
      <c r="L135" s="6"/>
      <c r="Q135" s="4"/>
      <c r="R135" s="4" t="s">
        <v>14</v>
      </c>
      <c r="S135" s="5"/>
      <c r="T135" s="5">
        <f>ROUND(((375+90)/126)*5,1) + U21 + Z24 +F16</f>
        <v>29.6</v>
      </c>
      <c r="U135" s="5" t="s">
        <v>7</v>
      </c>
      <c r="V135" s="5"/>
      <c r="W135" s="5"/>
      <c r="X135" s="6"/>
      <c r="Y135" s="5"/>
      <c r="Z135" s="5"/>
      <c r="AA135" s="6"/>
    </row>
    <row r="136" spans="3:27" x14ac:dyDescent="0.25">
      <c r="C136" s="4"/>
      <c r="D136" s="4"/>
      <c r="E136" s="5"/>
      <c r="F136" s="5"/>
      <c r="G136" s="5"/>
      <c r="H136" s="5"/>
      <c r="I136" s="5"/>
      <c r="J136" s="5"/>
      <c r="K136" s="6"/>
      <c r="L136" s="6"/>
      <c r="Q136" s="4"/>
      <c r="R136" s="4" t="s">
        <v>32</v>
      </c>
      <c r="S136" s="5"/>
      <c r="T136" s="5">
        <f>ROUND(((375+34)/126)*5,1) + U21 + Z24 +F16</f>
        <v>27.3</v>
      </c>
      <c r="U136" s="5" t="s">
        <v>7</v>
      </c>
      <c r="V136" s="5"/>
      <c r="W136" s="5"/>
      <c r="X136" s="6"/>
      <c r="Y136" s="5"/>
      <c r="Z136" s="5"/>
      <c r="AA136" s="6"/>
    </row>
    <row r="137" spans="3:27" x14ac:dyDescent="0.25">
      <c r="C137" s="4"/>
      <c r="D137" s="4" t="s">
        <v>13</v>
      </c>
      <c r="E137" s="5"/>
      <c r="F137" s="5">
        <f>ROUND(((76 + 133+105+348+36)/126)*5, 1) + F16 + G17</f>
        <v>33.200000000000003</v>
      </c>
      <c r="G137" s="5" t="s">
        <v>7</v>
      </c>
      <c r="H137" s="5"/>
      <c r="I137" s="5"/>
      <c r="J137" s="5"/>
      <c r="K137" s="6"/>
      <c r="L137" s="6"/>
      <c r="Q137" s="4"/>
      <c r="R137" s="4" t="s">
        <v>33</v>
      </c>
      <c r="S137" s="5"/>
      <c r="T137" s="5">
        <f>ROUND(((375+61+36)/126)*5,1) + U21 + Z24 +F16</f>
        <v>29.8</v>
      </c>
      <c r="U137" s="10" t="s">
        <v>7</v>
      </c>
      <c r="V137" s="5"/>
      <c r="W137" s="5"/>
      <c r="X137" s="6"/>
      <c r="Y137" s="5"/>
      <c r="Z137" s="5"/>
      <c r="AA137" s="6"/>
    </row>
    <row r="138" spans="3:27" x14ac:dyDescent="0.25">
      <c r="C138" s="4"/>
      <c r="D138" s="4" t="s">
        <v>14</v>
      </c>
      <c r="E138" s="5"/>
      <c r="F138" s="5">
        <f>ROUND(((76 + 133+105+348+80)/126)*5, 1) + F16 + G17</f>
        <v>34.9</v>
      </c>
      <c r="G138" s="5" t="s">
        <v>7</v>
      </c>
      <c r="H138" s="5"/>
      <c r="I138" s="5"/>
      <c r="J138" s="5"/>
      <c r="K138" s="6"/>
      <c r="L138" s="6"/>
      <c r="Q138" s="4"/>
      <c r="R138" s="11" t="s">
        <v>19</v>
      </c>
      <c r="S138" s="5"/>
      <c r="T138" s="5">
        <f>ROUND(((375+21+61)/126)*5,1) + Z24+F16</f>
        <v>26.200000000000003</v>
      </c>
      <c r="U138" s="10" t="s">
        <v>7</v>
      </c>
      <c r="V138" s="5"/>
      <c r="W138" s="5"/>
      <c r="X138" s="6"/>
      <c r="Y138" s="5"/>
      <c r="Z138" s="5"/>
      <c r="AA138" s="6"/>
    </row>
    <row r="139" spans="3:27" x14ac:dyDescent="0.25">
      <c r="C139" s="4"/>
      <c r="D139" s="4" t="s">
        <v>32</v>
      </c>
      <c r="E139" s="5"/>
      <c r="F139" s="5">
        <f>ROUND(((76 + 133+105+348+29+118)/126)*5, 1) + F16 + G17</f>
        <v>37.6</v>
      </c>
      <c r="G139" s="5" t="s">
        <v>7</v>
      </c>
      <c r="H139" s="5"/>
      <c r="I139" s="5"/>
      <c r="J139" s="5"/>
      <c r="K139" s="6"/>
      <c r="L139" s="6"/>
      <c r="Q139" s="4"/>
      <c r="R139" s="4"/>
      <c r="S139" s="5"/>
      <c r="T139" s="5"/>
      <c r="U139" s="5"/>
      <c r="V139" s="5"/>
      <c r="W139" s="5"/>
      <c r="X139" s="6"/>
      <c r="Y139" s="5"/>
      <c r="Z139" s="5"/>
      <c r="AA139" s="6"/>
    </row>
    <row r="140" spans="3:27" x14ac:dyDescent="0.25">
      <c r="C140" s="4"/>
      <c r="D140" s="4" t="s">
        <v>33</v>
      </c>
      <c r="E140" s="5"/>
      <c r="F140" s="5">
        <f>ROUND(((76 + 133+105+348+29)/126)*5, 1) + F16 + G17</f>
        <v>32.9</v>
      </c>
      <c r="G140" s="10" t="s">
        <v>7</v>
      </c>
      <c r="H140" s="5"/>
      <c r="I140" s="5"/>
      <c r="J140" s="5"/>
      <c r="K140" s="6"/>
      <c r="L140" s="6"/>
      <c r="Q140" s="4"/>
      <c r="R140" s="4" t="s">
        <v>73</v>
      </c>
      <c r="S140" s="5"/>
      <c r="T140" s="5">
        <f>ROUND(((59+35+95+19)/126)*5,1) + 4*U21</f>
        <v>20.3</v>
      </c>
      <c r="U140" s="10" t="s">
        <v>7</v>
      </c>
      <c r="V140" s="5"/>
      <c r="W140" s="5"/>
      <c r="X140" s="6"/>
      <c r="Y140" s="5"/>
      <c r="Z140" s="5"/>
      <c r="AA140" s="6"/>
    </row>
    <row r="141" spans="3:27" x14ac:dyDescent="0.25">
      <c r="C141" s="4"/>
      <c r="D141" s="4" t="s">
        <v>15</v>
      </c>
      <c r="E141" s="5"/>
      <c r="F141" s="5">
        <f>ROUND(((76 + 133+105+348+119+54)/126)*5, 1) + F16 + G17</f>
        <v>38.6</v>
      </c>
      <c r="G141" s="10" t="s">
        <v>7</v>
      </c>
      <c r="H141" s="5"/>
      <c r="I141" s="5"/>
      <c r="J141" s="5"/>
      <c r="K141" s="6"/>
      <c r="L141" s="6"/>
      <c r="Q141" s="4"/>
      <c r="R141" s="4"/>
      <c r="S141" s="5"/>
      <c r="T141" s="5"/>
      <c r="U141" s="5"/>
      <c r="V141" s="5"/>
      <c r="W141" s="5"/>
      <c r="X141" s="6"/>
      <c r="Y141" s="5"/>
      <c r="Z141" s="5"/>
      <c r="AA141" s="6"/>
    </row>
    <row r="142" spans="3:27" x14ac:dyDescent="0.25">
      <c r="C142" s="4"/>
      <c r="D142" s="4" t="s">
        <v>19</v>
      </c>
      <c r="E142" s="5"/>
      <c r="F142" s="5">
        <f>ROUND(((76 + 133+105+348+43+56)/126)*5, 1) + F16 +E21</f>
        <v>39.200000000000003</v>
      </c>
      <c r="G142" s="10" t="s">
        <v>7</v>
      </c>
      <c r="H142" s="5"/>
      <c r="I142" s="5"/>
      <c r="J142" s="5"/>
      <c r="K142" s="6"/>
      <c r="L142" s="6"/>
      <c r="Q142" s="4"/>
      <c r="R142" s="4"/>
      <c r="S142" s="5"/>
      <c r="T142" s="5"/>
      <c r="U142" s="5"/>
      <c r="V142" s="5"/>
      <c r="W142" s="5"/>
      <c r="X142" s="6"/>
      <c r="Y142" s="5"/>
      <c r="Z142" s="5"/>
      <c r="AA142" s="6"/>
    </row>
    <row r="143" spans="3:27" x14ac:dyDescent="0.25">
      <c r="C143" s="4"/>
      <c r="D143" s="4"/>
      <c r="E143" s="5"/>
      <c r="F143" s="5"/>
      <c r="G143" s="5"/>
      <c r="H143" s="5"/>
      <c r="I143" s="5"/>
      <c r="J143" s="5"/>
      <c r="K143" s="6"/>
      <c r="L143" s="6"/>
      <c r="Q143" s="4"/>
      <c r="R143" s="4"/>
      <c r="S143" s="5"/>
      <c r="T143" s="5"/>
      <c r="U143" s="5"/>
      <c r="V143" s="5"/>
      <c r="W143" s="5"/>
      <c r="X143" s="6"/>
      <c r="Y143" s="5"/>
      <c r="Z143" s="5"/>
      <c r="AA143" s="6"/>
    </row>
    <row r="144" spans="3:27" ht="15.75" thickBot="1" x14ac:dyDescent="0.3">
      <c r="C144" s="4"/>
      <c r="D144" s="4" t="s">
        <v>73</v>
      </c>
      <c r="E144" s="5"/>
      <c r="F144" s="5">
        <f>ROUND(((55+23+23+111+36)/126)*5,1) + 5*G17 + 1 * E21</f>
        <v>16.3</v>
      </c>
      <c r="G144" s="10" t="s">
        <v>7</v>
      </c>
      <c r="H144" s="5"/>
      <c r="I144" s="5"/>
      <c r="J144" s="5"/>
      <c r="K144" s="6"/>
      <c r="L144" s="6"/>
      <c r="Q144" s="4"/>
      <c r="R144" s="7"/>
      <c r="S144" s="8"/>
      <c r="T144" s="8"/>
      <c r="U144" s="8"/>
      <c r="V144" s="8"/>
      <c r="W144" s="8"/>
      <c r="X144" s="9"/>
      <c r="Y144" s="5"/>
      <c r="Z144" s="5"/>
      <c r="AA144" s="6"/>
    </row>
    <row r="145" spans="3:27" ht="15.75" thickBot="1" x14ac:dyDescent="0.3">
      <c r="C145" s="4"/>
      <c r="D145" s="7"/>
      <c r="E145" s="8"/>
      <c r="F145" s="8"/>
      <c r="G145" s="8"/>
      <c r="H145" s="8"/>
      <c r="I145" s="8"/>
      <c r="J145" s="8"/>
      <c r="K145" s="9"/>
      <c r="L145" s="6"/>
      <c r="Q145" s="4"/>
      <c r="R145" s="5"/>
      <c r="S145" s="5"/>
      <c r="T145" s="5"/>
      <c r="U145" s="5"/>
      <c r="V145" s="5"/>
      <c r="W145" s="5"/>
      <c r="X145" s="5"/>
      <c r="Y145" s="5"/>
      <c r="Z145" s="5"/>
      <c r="AA145" s="6"/>
    </row>
    <row r="146" spans="3:27" ht="15.75" thickBot="1" x14ac:dyDescent="0.3">
      <c r="C146" s="4"/>
      <c r="D146" s="5"/>
      <c r="E146" s="5"/>
      <c r="F146" s="5"/>
      <c r="G146" s="5"/>
      <c r="H146" s="5"/>
      <c r="I146" s="5"/>
      <c r="J146" s="5"/>
      <c r="K146" s="5"/>
      <c r="L146" s="6"/>
      <c r="Q146" s="4"/>
      <c r="R146" s="5"/>
      <c r="S146" s="5"/>
      <c r="T146" s="5"/>
      <c r="U146" s="5"/>
      <c r="V146" s="5"/>
      <c r="W146" s="5"/>
      <c r="X146" s="5"/>
      <c r="Y146" s="5"/>
      <c r="Z146" s="5"/>
      <c r="AA146" s="6"/>
    </row>
    <row r="147" spans="3:27" ht="15.75" thickBot="1" x14ac:dyDescent="0.3">
      <c r="C147" s="4"/>
      <c r="D147" s="5"/>
      <c r="E147" s="5"/>
      <c r="F147" s="5"/>
      <c r="G147" s="5"/>
      <c r="H147" s="5"/>
      <c r="I147" s="5"/>
      <c r="J147" s="5"/>
      <c r="K147" s="5"/>
      <c r="L147" s="6"/>
      <c r="Q147" s="4"/>
      <c r="R147" s="1" t="s">
        <v>49</v>
      </c>
      <c r="S147" s="2"/>
      <c r="T147" s="2"/>
      <c r="U147" s="2"/>
      <c r="V147" s="2"/>
      <c r="W147" s="2"/>
      <c r="X147" s="3"/>
      <c r="Y147" s="5"/>
      <c r="Z147" s="5"/>
      <c r="AA147" s="6"/>
    </row>
    <row r="148" spans="3:27" x14ac:dyDescent="0.25">
      <c r="C148" s="4"/>
      <c r="D148" s="1" t="s">
        <v>28</v>
      </c>
      <c r="E148" s="2"/>
      <c r="F148" s="2"/>
      <c r="G148" s="2"/>
      <c r="H148" s="2"/>
      <c r="I148" s="2"/>
      <c r="J148" s="2"/>
      <c r="K148" s="3"/>
      <c r="L148" s="6"/>
      <c r="Q148" s="4"/>
      <c r="R148" s="4"/>
      <c r="S148" s="5"/>
      <c r="T148" s="5"/>
      <c r="U148" s="5"/>
      <c r="V148" s="5"/>
      <c r="W148" s="5"/>
      <c r="X148" s="6"/>
      <c r="Y148" s="5"/>
      <c r="Z148" s="5"/>
      <c r="AA148" s="6"/>
    </row>
    <row r="149" spans="3:27" x14ac:dyDescent="0.25">
      <c r="C149" s="4"/>
      <c r="D149" s="4"/>
      <c r="E149" s="5"/>
      <c r="F149" s="5"/>
      <c r="G149" s="5"/>
      <c r="H149" s="5"/>
      <c r="I149" s="5"/>
      <c r="J149" s="5"/>
      <c r="K149" s="6"/>
      <c r="L149" s="6"/>
      <c r="Q149" s="4"/>
      <c r="R149" s="4" t="s">
        <v>13</v>
      </c>
      <c r="S149" s="5"/>
      <c r="T149" s="5">
        <f>ROUND(((361+63)/126)*5,1) + U21 + Z24 +F16</f>
        <v>27.900000000000002</v>
      </c>
      <c r="U149" s="5" t="s">
        <v>7</v>
      </c>
      <c r="V149" s="5"/>
      <c r="W149" s="5"/>
      <c r="X149" s="6"/>
      <c r="Y149" s="5"/>
      <c r="Z149" s="5"/>
      <c r="AA149" s="6"/>
    </row>
    <row r="150" spans="3:27" x14ac:dyDescent="0.25">
      <c r="C150" s="4"/>
      <c r="D150" s="4"/>
      <c r="E150" s="5"/>
      <c r="F150" s="5"/>
      <c r="G150" s="5"/>
      <c r="H150" s="5"/>
      <c r="I150" s="5"/>
      <c r="J150" s="5"/>
      <c r="K150" s="6"/>
      <c r="L150" s="6"/>
      <c r="Q150" s="4"/>
      <c r="R150" s="4" t="s">
        <v>14</v>
      </c>
      <c r="S150" s="5"/>
      <c r="T150" s="5">
        <f>ROUND(((361+4+115)/126)*5,1) + U21 + Z24 +F16</f>
        <v>30.1</v>
      </c>
      <c r="U150" s="5" t="s">
        <v>7</v>
      </c>
      <c r="V150" s="5"/>
      <c r="W150" s="5"/>
      <c r="X150" s="6"/>
      <c r="Y150" s="5"/>
      <c r="Z150" s="5"/>
      <c r="AA150" s="6"/>
    </row>
    <row r="151" spans="3:27" x14ac:dyDescent="0.25">
      <c r="C151" s="4"/>
      <c r="D151" s="4" t="s">
        <v>15</v>
      </c>
      <c r="E151" s="5"/>
      <c r="F151" s="5">
        <f>ROUND(((76 + 133+105+429)/126)*5, 1) + F16 + G17</f>
        <v>35</v>
      </c>
      <c r="G151" s="5" t="s">
        <v>7</v>
      </c>
      <c r="H151" s="5"/>
      <c r="I151" s="5"/>
      <c r="J151" s="5"/>
      <c r="K151" s="6"/>
      <c r="L151" s="6"/>
      <c r="Q151" s="4"/>
      <c r="R151" s="4" t="s">
        <v>32</v>
      </c>
      <c r="S151" s="5"/>
      <c r="T151" s="5">
        <f>ROUND(((361+61+13)/126)*5,1) + U21 + Z24 +F16</f>
        <v>28.400000000000002</v>
      </c>
      <c r="U151" s="5" t="s">
        <v>7</v>
      </c>
      <c r="V151" s="5"/>
      <c r="W151" s="5"/>
      <c r="X151" s="6"/>
      <c r="Y151" s="5"/>
      <c r="Z151" s="5"/>
      <c r="AA151" s="6"/>
    </row>
    <row r="152" spans="3:27" x14ac:dyDescent="0.25">
      <c r="C152" s="4"/>
      <c r="D152" s="4" t="s">
        <v>30</v>
      </c>
      <c r="E152" s="5"/>
      <c r="F152" s="5">
        <f>ROUND(((76 + 133+105+429+84+22)/126)*5, 1) + F16 + G17</f>
        <v>39.200000000000003</v>
      </c>
      <c r="G152" s="5" t="s">
        <v>7</v>
      </c>
      <c r="H152" s="5"/>
      <c r="I152" s="5"/>
      <c r="J152" s="5"/>
      <c r="K152" s="6"/>
      <c r="L152" s="6"/>
      <c r="Q152" s="4"/>
      <c r="R152" s="4" t="s">
        <v>33</v>
      </c>
      <c r="S152" s="5"/>
      <c r="T152" s="5">
        <f>ROUND(((361+61+73)/126)*5,1) + U21 + Z24 +F16</f>
        <v>30.700000000000003</v>
      </c>
      <c r="U152" s="10" t="s">
        <v>7</v>
      </c>
      <c r="V152" s="5"/>
      <c r="W152" s="5"/>
      <c r="X152" s="6"/>
      <c r="Y152" s="5"/>
      <c r="Z152" s="5"/>
      <c r="AA152" s="6"/>
    </row>
    <row r="153" spans="3:27" x14ac:dyDescent="0.25">
      <c r="C153" s="4"/>
      <c r="D153" s="4" t="s">
        <v>31</v>
      </c>
      <c r="E153" s="5"/>
      <c r="F153" s="5">
        <f>ROUND(((76 + 133+105+540)/126)*5, 1) + F16 + G17</f>
        <v>39.4</v>
      </c>
      <c r="G153" s="5" t="s">
        <v>7</v>
      </c>
      <c r="H153" s="5"/>
      <c r="I153" s="5"/>
      <c r="J153" s="5"/>
      <c r="K153" s="6"/>
      <c r="L153" s="6"/>
      <c r="Q153" s="4"/>
      <c r="R153" s="11" t="s">
        <v>19</v>
      </c>
      <c r="S153" s="5"/>
      <c r="T153" s="5">
        <f>ROUND(((361+23+58)/126)*5,1) + Z24+F16</f>
        <v>25.6</v>
      </c>
      <c r="U153" s="10" t="s">
        <v>7</v>
      </c>
      <c r="V153" s="5"/>
      <c r="W153" s="5"/>
      <c r="X153" s="6"/>
      <c r="Y153" s="5"/>
      <c r="Z153" s="5"/>
      <c r="AA153" s="6"/>
    </row>
    <row r="154" spans="3:27" x14ac:dyDescent="0.25">
      <c r="C154" s="4"/>
      <c r="D154" s="4" t="s">
        <v>19</v>
      </c>
      <c r="E154" s="5"/>
      <c r="F154" s="5">
        <f>ROUND(((76 + 133+105+429+26+47)/126)*5, 1) + F16 +E21</f>
        <v>41.4</v>
      </c>
      <c r="G154" s="10" t="s">
        <v>7</v>
      </c>
      <c r="H154" s="5"/>
      <c r="I154" s="5"/>
      <c r="J154" s="5"/>
      <c r="K154" s="6"/>
      <c r="L154" s="6"/>
      <c r="Q154" s="4"/>
      <c r="R154" s="4"/>
      <c r="S154" s="5"/>
      <c r="T154" s="5"/>
      <c r="U154" s="5"/>
      <c r="V154" s="5"/>
      <c r="W154" s="5"/>
      <c r="X154" s="6"/>
      <c r="Y154" s="5"/>
      <c r="Z154" s="5"/>
      <c r="AA154" s="6"/>
    </row>
    <row r="155" spans="3:27" x14ac:dyDescent="0.25">
      <c r="C155" s="4"/>
      <c r="D155" s="4"/>
      <c r="E155" s="5"/>
      <c r="F155" s="5"/>
      <c r="G155" s="5"/>
      <c r="H155" s="5"/>
      <c r="I155" s="5"/>
      <c r="J155" s="5"/>
      <c r="K155" s="6"/>
      <c r="L155" s="6"/>
      <c r="Q155" s="4"/>
      <c r="R155" s="4" t="s">
        <v>73</v>
      </c>
      <c r="S155" s="5"/>
      <c r="T155" s="5">
        <f>ROUND(((113+5+54+73+22)/126)*5,1) + 4*U21</f>
        <v>22.6</v>
      </c>
      <c r="U155" s="10" t="s">
        <v>7</v>
      </c>
      <c r="V155" s="5"/>
      <c r="W155" s="5"/>
      <c r="X155" s="6"/>
      <c r="Y155" s="5"/>
      <c r="Z155" s="5"/>
      <c r="AA155" s="6"/>
    </row>
    <row r="156" spans="3:27" x14ac:dyDescent="0.25">
      <c r="C156" s="4"/>
      <c r="D156" s="4" t="s">
        <v>72</v>
      </c>
      <c r="E156" s="5"/>
      <c r="F156" s="5">
        <f>ROUND(((25+78+44)/126)*5,1) + 3*G17 + 1 * E21</f>
        <v>11.3</v>
      </c>
      <c r="G156" s="10" t="s">
        <v>7</v>
      </c>
      <c r="H156" s="5"/>
      <c r="I156" s="5"/>
      <c r="J156" s="5"/>
      <c r="K156" s="6"/>
      <c r="L156" s="6"/>
      <c r="Q156" s="4"/>
      <c r="R156" s="4"/>
      <c r="S156" s="5"/>
      <c r="T156" s="5"/>
      <c r="U156" s="5"/>
      <c r="V156" s="5"/>
      <c r="W156" s="5"/>
      <c r="X156" s="6"/>
      <c r="Y156" s="5"/>
      <c r="Z156" s="5"/>
      <c r="AA156" s="6"/>
    </row>
    <row r="157" spans="3:27" ht="15.75" thickBot="1" x14ac:dyDescent="0.3">
      <c r="C157" s="4"/>
      <c r="D157" s="7"/>
      <c r="E157" s="8"/>
      <c r="F157" s="8"/>
      <c r="G157" s="8"/>
      <c r="H157" s="8"/>
      <c r="I157" s="8"/>
      <c r="J157" s="8"/>
      <c r="K157" s="9"/>
      <c r="L157" s="6"/>
      <c r="Q157" s="4"/>
      <c r="R157" s="4"/>
      <c r="S157" s="5"/>
      <c r="T157" s="5"/>
      <c r="U157" s="5"/>
      <c r="V157" s="5"/>
      <c r="W157" s="5"/>
      <c r="X157" s="6"/>
      <c r="Y157" s="5"/>
      <c r="Z157" s="5"/>
      <c r="AA157" s="6"/>
    </row>
    <row r="158" spans="3:27" x14ac:dyDescent="0.25">
      <c r="C158" s="4"/>
      <c r="D158" s="5"/>
      <c r="E158" s="5"/>
      <c r="F158" s="5"/>
      <c r="G158" s="5"/>
      <c r="H158" s="5"/>
      <c r="I158" s="5"/>
      <c r="J158" s="5"/>
      <c r="K158" s="5"/>
      <c r="L158" s="6"/>
      <c r="Q158" s="4"/>
      <c r="R158" s="4"/>
      <c r="S158" s="5"/>
      <c r="T158" s="5"/>
      <c r="U158" s="5"/>
      <c r="V158" s="5"/>
      <c r="W158" s="5"/>
      <c r="X158" s="6"/>
      <c r="Y158" s="5"/>
      <c r="Z158" s="5"/>
      <c r="AA158" s="6"/>
    </row>
    <row r="159" spans="3:27" ht="15.75" thickBot="1" x14ac:dyDescent="0.3">
      <c r="C159" s="4"/>
      <c r="D159" s="5"/>
      <c r="E159" s="5"/>
      <c r="F159" s="5"/>
      <c r="G159" s="5"/>
      <c r="H159" s="5"/>
      <c r="I159" s="5"/>
      <c r="J159" s="5"/>
      <c r="K159" s="5"/>
      <c r="L159" s="6"/>
      <c r="Q159" s="4"/>
      <c r="R159" s="7"/>
      <c r="S159" s="8"/>
      <c r="T159" s="8"/>
      <c r="U159" s="8"/>
      <c r="V159" s="8"/>
      <c r="W159" s="8"/>
      <c r="X159" s="9"/>
      <c r="Y159" s="5"/>
      <c r="Z159" s="5"/>
      <c r="AA159" s="6"/>
    </row>
    <row r="160" spans="3:27" x14ac:dyDescent="0.25">
      <c r="C160" s="4"/>
      <c r="D160" s="1" t="s">
        <v>29</v>
      </c>
      <c r="E160" s="2"/>
      <c r="F160" s="2"/>
      <c r="G160" s="2"/>
      <c r="H160" s="2"/>
      <c r="I160" s="2"/>
      <c r="J160" s="2"/>
      <c r="K160" s="3"/>
      <c r="L160" s="6"/>
      <c r="Q160" s="4"/>
      <c r="R160" s="5"/>
      <c r="S160" s="5"/>
      <c r="T160" s="5"/>
      <c r="U160" s="5"/>
      <c r="V160" s="5"/>
      <c r="W160" s="5"/>
      <c r="X160" s="5"/>
      <c r="Y160" s="5"/>
      <c r="Z160" s="5"/>
      <c r="AA160" s="6"/>
    </row>
    <row r="161" spans="3:27" ht="15.75" thickBot="1" x14ac:dyDescent="0.3">
      <c r="C161" s="4"/>
      <c r="D161" s="4"/>
      <c r="E161" s="5"/>
      <c r="F161" s="5"/>
      <c r="G161" s="5"/>
      <c r="H161" s="5"/>
      <c r="I161" s="5"/>
      <c r="J161" s="5"/>
      <c r="K161" s="6"/>
      <c r="L161" s="6"/>
      <c r="Q161" s="4"/>
      <c r="R161" s="5"/>
      <c r="S161" s="5"/>
      <c r="T161" s="5"/>
      <c r="U161" s="5"/>
      <c r="V161" s="5"/>
      <c r="W161" s="5"/>
      <c r="X161" s="5"/>
      <c r="Y161" s="5"/>
      <c r="Z161" s="5"/>
      <c r="AA161" s="6"/>
    </row>
    <row r="162" spans="3:27" x14ac:dyDescent="0.25">
      <c r="C162" s="4"/>
      <c r="D162" s="4"/>
      <c r="E162" s="5"/>
      <c r="F162" s="5"/>
      <c r="G162" s="5"/>
      <c r="H162" s="5"/>
      <c r="I162" s="5"/>
      <c r="J162" s="5"/>
      <c r="K162" s="6"/>
      <c r="L162" s="6"/>
      <c r="Q162" s="4"/>
      <c r="R162" s="1" t="s">
        <v>50</v>
      </c>
      <c r="S162" s="2"/>
      <c r="T162" s="2"/>
      <c r="U162" s="2"/>
      <c r="V162" s="2"/>
      <c r="W162" s="2"/>
      <c r="X162" s="3"/>
      <c r="Y162" s="5"/>
      <c r="Z162" s="5"/>
      <c r="AA162" s="6"/>
    </row>
    <row r="163" spans="3:27" x14ac:dyDescent="0.25">
      <c r="C163" s="4"/>
      <c r="D163" s="4" t="s">
        <v>13</v>
      </c>
      <c r="E163" s="5"/>
      <c r="F163" s="5">
        <f>ROUND(((76 + 133+105+554+57+37)/126)*5, 1) + F16 + G17</f>
        <v>43.7</v>
      </c>
      <c r="G163" s="5" t="s">
        <v>7</v>
      </c>
      <c r="H163" s="5"/>
      <c r="I163" s="5"/>
      <c r="J163" s="5"/>
      <c r="K163" s="6"/>
      <c r="L163" s="6"/>
      <c r="Q163" s="4"/>
      <c r="R163" s="4"/>
      <c r="S163" s="5"/>
      <c r="T163" s="5"/>
      <c r="U163" s="5"/>
      <c r="V163" s="5"/>
      <c r="W163" s="5"/>
      <c r="X163" s="6"/>
      <c r="Y163" s="5"/>
      <c r="Z163" s="5"/>
      <c r="AA163" s="6"/>
    </row>
    <row r="164" spans="3:27" x14ac:dyDescent="0.25">
      <c r="C164" s="4"/>
      <c r="D164" s="4" t="s">
        <v>14</v>
      </c>
      <c r="E164" s="5"/>
      <c r="F164" s="5">
        <f>ROUND(((76 + 133+105+554+57+81)/126)*5, 1) + F16 + G17</f>
        <v>45.4</v>
      </c>
      <c r="G164" s="5" t="s">
        <v>7</v>
      </c>
      <c r="H164" s="5"/>
      <c r="I164" s="5"/>
      <c r="J164" s="5"/>
      <c r="K164" s="6"/>
      <c r="L164" s="6"/>
      <c r="Q164" s="4"/>
      <c r="R164" s="4" t="s">
        <v>13</v>
      </c>
      <c r="S164" s="5"/>
      <c r="T164" s="5">
        <f>ROUND(((368+13)/126)*5,1) + U21 + Z24 +F16</f>
        <v>26.200000000000003</v>
      </c>
      <c r="U164" s="5" t="s">
        <v>7</v>
      </c>
      <c r="V164" s="5"/>
      <c r="W164" s="5"/>
      <c r="X164" s="6"/>
      <c r="Y164" s="5"/>
      <c r="Z164" s="5"/>
      <c r="AA164" s="6"/>
    </row>
    <row r="165" spans="3:27" x14ac:dyDescent="0.25">
      <c r="C165" s="4"/>
      <c r="D165" s="4" t="s">
        <v>32</v>
      </c>
      <c r="E165" s="5"/>
      <c r="F165" s="5">
        <f>ROUND(((76 + 133+105+554+57+125)/126)*5, 1) + F16 + G17</f>
        <v>47.2</v>
      </c>
      <c r="G165" s="5" t="s">
        <v>7</v>
      </c>
      <c r="H165" s="5"/>
      <c r="I165" s="5"/>
      <c r="J165" s="5"/>
      <c r="K165" s="6"/>
      <c r="L165" s="6"/>
      <c r="Q165" s="4"/>
      <c r="R165" s="4" t="s">
        <v>14</v>
      </c>
      <c r="S165" s="5"/>
      <c r="T165" s="5">
        <f>ROUND(((368+72)/126)*5,1) + U21 + Z24 +F16</f>
        <v>28.6</v>
      </c>
      <c r="U165" s="5" t="s">
        <v>7</v>
      </c>
      <c r="V165" s="5"/>
      <c r="W165" s="5"/>
      <c r="X165" s="6"/>
      <c r="Y165" s="5"/>
      <c r="Z165" s="5"/>
      <c r="AA165" s="6"/>
    </row>
    <row r="166" spans="3:27" x14ac:dyDescent="0.25">
      <c r="C166" s="4"/>
      <c r="D166" s="4" t="s">
        <v>33</v>
      </c>
      <c r="E166" s="5"/>
      <c r="F166" s="5">
        <f>ROUND(((76 + 133+105+727+84+92)/126)*5, 1) + F16 + G17</f>
        <v>53.8</v>
      </c>
      <c r="G166" s="5" t="s">
        <v>7</v>
      </c>
      <c r="H166" s="5"/>
      <c r="I166" s="5"/>
      <c r="J166" s="5"/>
      <c r="K166" s="6"/>
      <c r="L166" s="6"/>
      <c r="Q166" s="4"/>
      <c r="R166" s="4" t="s">
        <v>32</v>
      </c>
      <c r="S166" s="5"/>
      <c r="T166" s="5">
        <f>ROUND(((368+60+13)/126)*5,1) + U21 + Z24 +F16</f>
        <v>28.6</v>
      </c>
      <c r="U166" s="5" t="s">
        <v>7</v>
      </c>
      <c r="V166" s="5"/>
      <c r="W166" s="5"/>
      <c r="X166" s="6"/>
      <c r="Y166" s="5"/>
      <c r="Z166" s="5"/>
      <c r="AA166" s="6"/>
    </row>
    <row r="167" spans="3:27" x14ac:dyDescent="0.25">
      <c r="C167" s="4"/>
      <c r="D167" s="4" t="s">
        <v>34</v>
      </c>
      <c r="E167" s="5"/>
      <c r="F167" s="5">
        <f>ROUND(((76 + 133+105+727+83+57)/126)*5, 1) + F16 + G17</f>
        <v>52.4</v>
      </c>
      <c r="G167" s="5" t="s">
        <v>7</v>
      </c>
      <c r="H167" s="5"/>
      <c r="I167" s="5"/>
      <c r="J167" s="5"/>
      <c r="K167" s="6"/>
      <c r="L167" s="6"/>
      <c r="Q167" s="4"/>
      <c r="R167" s="4" t="s">
        <v>33</v>
      </c>
      <c r="S167" s="5"/>
      <c r="T167" s="5">
        <f>ROUND(((368+60+72)/126)*5,1) + U21 + Z24 +F16</f>
        <v>30.900000000000002</v>
      </c>
      <c r="U167" s="10" t="s">
        <v>7</v>
      </c>
      <c r="V167" s="5"/>
      <c r="W167" s="5"/>
      <c r="X167" s="6"/>
      <c r="Y167" s="5"/>
      <c r="Z167" s="5"/>
      <c r="AA167" s="6"/>
    </row>
    <row r="168" spans="3:27" x14ac:dyDescent="0.25">
      <c r="C168" s="4"/>
      <c r="D168" s="4" t="s">
        <v>35</v>
      </c>
      <c r="E168" s="5"/>
      <c r="F168" s="5">
        <f>ROUND(((76 + 133+105+727+84+20)/126)*5, 1) + F16 + G17</f>
        <v>50.9</v>
      </c>
      <c r="G168" s="5" t="s">
        <v>7</v>
      </c>
      <c r="H168" s="5"/>
      <c r="I168" s="5"/>
      <c r="J168" s="5"/>
      <c r="K168" s="6"/>
      <c r="L168" s="6"/>
      <c r="Q168" s="4"/>
      <c r="R168" s="4"/>
      <c r="S168" s="5"/>
      <c r="T168" s="5"/>
      <c r="U168" s="5"/>
      <c r="V168" s="5"/>
      <c r="W168" s="5"/>
      <c r="X168" s="6"/>
      <c r="Y168" s="5"/>
      <c r="Z168" s="5"/>
      <c r="AA168" s="6"/>
    </row>
    <row r="169" spans="3:27" x14ac:dyDescent="0.25">
      <c r="C169" s="4"/>
      <c r="D169" s="4" t="s">
        <v>15</v>
      </c>
      <c r="E169" s="5"/>
      <c r="F169" s="5">
        <f>ROUND(((76 + 133+105+554)/126)*5, 1) + F16 + G17</f>
        <v>39.9</v>
      </c>
      <c r="G169" s="5" t="s">
        <v>7</v>
      </c>
      <c r="H169" s="5"/>
      <c r="I169" s="5"/>
      <c r="J169" s="5"/>
      <c r="K169" s="6"/>
      <c r="L169" s="6"/>
      <c r="Q169" s="4"/>
      <c r="R169" s="4" t="s">
        <v>73</v>
      </c>
      <c r="S169" s="5"/>
      <c r="T169" s="5">
        <f>ROUND(((59+72+72)/126)*5,1) + 4*U21</f>
        <v>20.100000000000001</v>
      </c>
      <c r="U169" s="10" t="s">
        <v>7</v>
      </c>
      <c r="V169" s="5"/>
      <c r="W169" s="5"/>
      <c r="X169" s="6"/>
      <c r="Y169" s="5"/>
      <c r="Z169" s="5"/>
      <c r="AA169" s="6"/>
    </row>
    <row r="170" spans="3:27" x14ac:dyDescent="0.25">
      <c r="C170" s="4"/>
      <c r="D170" s="4" t="s">
        <v>30</v>
      </c>
      <c r="E170" s="5"/>
      <c r="F170" s="5">
        <f>ROUND(((76 + 133+105+727)/126)*5, 1) + F16 + G17</f>
        <v>46.8</v>
      </c>
      <c r="G170" s="5" t="s">
        <v>7</v>
      </c>
      <c r="H170" s="5"/>
      <c r="I170" s="5"/>
      <c r="J170" s="5"/>
      <c r="K170" s="6"/>
      <c r="L170" s="6"/>
      <c r="Q170" s="4"/>
      <c r="R170" s="4"/>
      <c r="S170" s="5"/>
      <c r="T170" s="5"/>
      <c r="U170" s="5"/>
      <c r="V170" s="5"/>
      <c r="W170" s="5"/>
      <c r="X170" s="6"/>
      <c r="Y170" s="5"/>
      <c r="Z170" s="5"/>
      <c r="AA170" s="6"/>
    </row>
    <row r="171" spans="3:27" x14ac:dyDescent="0.25">
      <c r="C171" s="4"/>
      <c r="D171" s="4" t="s">
        <v>19</v>
      </c>
      <c r="E171" s="5"/>
      <c r="F171" s="5">
        <f>ROUND(((76 + 133+105+554+10+99)/126)*5, 1) + F16 +E21</f>
        <v>47.8</v>
      </c>
      <c r="G171" s="5" t="s">
        <v>7</v>
      </c>
      <c r="H171" s="5"/>
      <c r="I171" s="5"/>
      <c r="J171" s="5"/>
      <c r="K171" s="6"/>
      <c r="L171" s="6"/>
      <c r="Q171" s="4"/>
      <c r="R171" s="4"/>
      <c r="S171" s="5"/>
      <c r="T171" s="5"/>
      <c r="U171" s="5"/>
      <c r="V171" s="5"/>
      <c r="W171" s="5"/>
      <c r="X171" s="6"/>
      <c r="Y171" s="5"/>
      <c r="Z171" s="5"/>
      <c r="AA171" s="6"/>
    </row>
    <row r="172" spans="3:27" x14ac:dyDescent="0.25">
      <c r="C172" s="4"/>
      <c r="D172" s="4" t="s">
        <v>72</v>
      </c>
      <c r="E172" s="5"/>
      <c r="F172" s="5">
        <f>ROUND(((50+131+81+92+87+98)/126)*5,1) + 8*G17 + 1 * E21</f>
        <v>29.4</v>
      </c>
      <c r="G172" s="10" t="s">
        <v>7</v>
      </c>
      <c r="H172" s="5"/>
      <c r="I172" s="5"/>
      <c r="J172" s="5"/>
      <c r="K172" s="6"/>
      <c r="L172" s="6"/>
      <c r="Q172" s="4"/>
      <c r="R172" s="4"/>
      <c r="S172" s="5"/>
      <c r="T172" s="5"/>
      <c r="U172" s="5"/>
      <c r="V172" s="5"/>
      <c r="W172" s="5"/>
      <c r="X172" s="6"/>
      <c r="Y172" s="5"/>
      <c r="Z172" s="5"/>
      <c r="AA172" s="6"/>
    </row>
    <row r="173" spans="3:27" ht="15.75" thickBot="1" x14ac:dyDescent="0.3">
      <c r="C173" s="4"/>
      <c r="D173" s="7"/>
      <c r="E173" s="8"/>
      <c r="F173" s="8"/>
      <c r="G173" s="8"/>
      <c r="H173" s="8"/>
      <c r="I173" s="8"/>
      <c r="J173" s="8"/>
      <c r="K173" s="9"/>
      <c r="L173" s="6"/>
      <c r="Q173" s="4"/>
      <c r="R173" s="4"/>
      <c r="S173" s="5"/>
      <c r="T173" s="5"/>
      <c r="U173" s="5"/>
      <c r="V173" s="5"/>
      <c r="W173" s="5"/>
      <c r="X173" s="6"/>
      <c r="Y173" s="5"/>
      <c r="Z173" s="5"/>
      <c r="AA173" s="6"/>
    </row>
    <row r="174" spans="3:27" ht="15.75" thickBot="1" x14ac:dyDescent="0.3">
      <c r="C174" s="4"/>
      <c r="D174" s="5"/>
      <c r="E174" s="5"/>
      <c r="F174" s="5"/>
      <c r="G174" s="5"/>
      <c r="H174" s="5"/>
      <c r="I174" s="5"/>
      <c r="J174" s="5"/>
      <c r="K174" s="5"/>
      <c r="L174" s="6"/>
      <c r="Q174" s="4"/>
      <c r="R174" s="7"/>
      <c r="S174" s="8"/>
      <c r="T174" s="8"/>
      <c r="U174" s="8"/>
      <c r="V174" s="8"/>
      <c r="W174" s="8"/>
      <c r="X174" s="9"/>
      <c r="Y174" s="5"/>
      <c r="Z174" s="5"/>
      <c r="AA174" s="6"/>
    </row>
    <row r="175" spans="3:27" ht="15.75" thickBot="1" x14ac:dyDescent="0.3">
      <c r="C175" s="7"/>
      <c r="D175" s="8" t="s">
        <v>36</v>
      </c>
      <c r="E175" s="8"/>
      <c r="F175" s="8">
        <f>ROUND(((76 + 133+105+554+299+6)/126)*5, 1) + F16 + G17</f>
        <v>52</v>
      </c>
      <c r="G175" s="8" t="s">
        <v>7</v>
      </c>
      <c r="H175" s="8" t="s">
        <v>73</v>
      </c>
      <c r="I175" s="8"/>
      <c r="J175" s="8">
        <f>ROUND(((211+6)/126)*5,1)</f>
        <v>8.6</v>
      </c>
      <c r="K175" s="8" t="s">
        <v>7</v>
      </c>
      <c r="L175" s="9"/>
      <c r="Q175" s="4"/>
      <c r="R175" s="5"/>
      <c r="S175" s="5"/>
      <c r="T175" s="5"/>
      <c r="U175" s="5"/>
      <c r="V175" s="5"/>
      <c r="W175" s="5"/>
      <c r="X175" s="5"/>
      <c r="Y175" s="5"/>
      <c r="Z175" s="5"/>
      <c r="AA175" s="6"/>
    </row>
    <row r="176" spans="3:27" ht="15.75" thickBot="1" x14ac:dyDescent="0.3">
      <c r="Q176" s="4"/>
      <c r="R176" s="5"/>
      <c r="S176" s="5"/>
      <c r="T176" s="5"/>
      <c r="U176" s="5"/>
      <c r="V176" s="5"/>
      <c r="W176" s="5"/>
      <c r="X176" s="5"/>
      <c r="Y176" s="5"/>
      <c r="Z176" s="5"/>
      <c r="AA176" s="6"/>
    </row>
    <row r="177" spans="17:27" x14ac:dyDescent="0.25">
      <c r="Q177" s="4"/>
      <c r="R177" s="1" t="s">
        <v>51</v>
      </c>
      <c r="S177" s="2"/>
      <c r="T177" s="2"/>
      <c r="U177" s="2"/>
      <c r="V177" s="2"/>
      <c r="W177" s="2"/>
      <c r="X177" s="3"/>
      <c r="Y177" s="5"/>
      <c r="Z177" s="5"/>
      <c r="AA177" s="6"/>
    </row>
    <row r="178" spans="17:27" x14ac:dyDescent="0.25">
      <c r="Q178" s="4"/>
      <c r="R178" s="4"/>
      <c r="S178" s="5"/>
      <c r="T178" s="5"/>
      <c r="U178" s="5"/>
      <c r="V178" s="5"/>
      <c r="W178" s="5"/>
      <c r="X178" s="6"/>
      <c r="Y178" s="5"/>
      <c r="Z178" s="5"/>
      <c r="AA178" s="6"/>
    </row>
    <row r="179" spans="17:27" x14ac:dyDescent="0.25">
      <c r="Q179" s="4"/>
      <c r="R179" s="4" t="s">
        <v>13</v>
      </c>
      <c r="S179" s="5"/>
      <c r="T179" s="5">
        <f>ROUND(((387+13)/126)*5,1) + U21 + Z24 +F16</f>
        <v>27</v>
      </c>
      <c r="U179" s="5" t="s">
        <v>7</v>
      </c>
      <c r="V179" s="5"/>
      <c r="W179" s="5"/>
      <c r="X179" s="6"/>
      <c r="Y179" s="5"/>
      <c r="Z179" s="5"/>
      <c r="AA179" s="6"/>
    </row>
    <row r="180" spans="17:27" x14ac:dyDescent="0.25">
      <c r="Q180" s="4"/>
      <c r="R180" s="4" t="s">
        <v>14</v>
      </c>
      <c r="S180" s="5"/>
      <c r="T180" s="5">
        <f>ROUND(((387+72)/126)*5,1) + U21 + Z24 +F16</f>
        <v>29.3</v>
      </c>
      <c r="U180" s="5" t="s">
        <v>7</v>
      </c>
      <c r="V180" s="5"/>
      <c r="W180" s="5"/>
      <c r="X180" s="6"/>
      <c r="Y180" s="5"/>
      <c r="Z180" s="5"/>
      <c r="AA180" s="6"/>
    </row>
    <row r="181" spans="17:27" x14ac:dyDescent="0.25">
      <c r="Q181" s="4"/>
      <c r="R181" s="4" t="s">
        <v>32</v>
      </c>
      <c r="S181" s="5"/>
      <c r="T181" s="5">
        <f>ROUND(((387+60+13)/126)*5,1) + U21 + Z24 +F16</f>
        <v>29.400000000000002</v>
      </c>
      <c r="U181" s="5" t="s">
        <v>7</v>
      </c>
      <c r="V181" s="5"/>
      <c r="W181" s="5"/>
      <c r="X181" s="6"/>
      <c r="Y181" s="5"/>
      <c r="Z181" s="5"/>
      <c r="AA181" s="6"/>
    </row>
    <row r="182" spans="17:27" x14ac:dyDescent="0.25">
      <c r="Q182" s="4"/>
      <c r="R182" s="4" t="s">
        <v>33</v>
      </c>
      <c r="S182" s="5"/>
      <c r="T182" s="5">
        <f>ROUND(((387+60+72)/126)*5,1) + U21 + Z24 +F16</f>
        <v>31.700000000000003</v>
      </c>
      <c r="U182" s="10" t="s">
        <v>7</v>
      </c>
      <c r="V182" s="5"/>
      <c r="W182" s="5"/>
      <c r="X182" s="6"/>
      <c r="Y182" s="5"/>
      <c r="Z182" s="5"/>
      <c r="AA182" s="6"/>
    </row>
    <row r="183" spans="17:27" x14ac:dyDescent="0.25">
      <c r="Q183" s="4"/>
      <c r="R183" s="11" t="s">
        <v>19</v>
      </c>
      <c r="S183" s="5"/>
      <c r="T183" s="5">
        <f>ROUND(((387+22+60)/126)*5,1) + Z24+F16</f>
        <v>26.700000000000003</v>
      </c>
      <c r="U183" s="10" t="s">
        <v>7</v>
      </c>
      <c r="V183" s="5"/>
      <c r="W183" s="5"/>
      <c r="X183" s="6"/>
      <c r="Y183" s="5"/>
      <c r="Z183" s="5"/>
      <c r="AA183" s="6"/>
    </row>
    <row r="184" spans="17:27" x14ac:dyDescent="0.25">
      <c r="Q184" s="4"/>
      <c r="R184" s="4"/>
      <c r="S184" s="5"/>
      <c r="T184" s="5"/>
      <c r="U184" s="5"/>
      <c r="V184" s="5"/>
      <c r="W184" s="5"/>
      <c r="X184" s="6"/>
      <c r="Y184" s="5"/>
      <c r="Z184" s="5"/>
      <c r="AA184" s="6"/>
    </row>
    <row r="185" spans="17:27" x14ac:dyDescent="0.25">
      <c r="Q185" s="4"/>
      <c r="R185" s="4" t="s">
        <v>73</v>
      </c>
      <c r="S185" s="5"/>
      <c r="T185" s="5">
        <f>ROUND(((59+72+72+21)/126)*5,1) + 4*U21</f>
        <v>20.9</v>
      </c>
      <c r="U185" s="10" t="s">
        <v>7</v>
      </c>
      <c r="V185" s="5"/>
      <c r="W185" s="5"/>
      <c r="X185" s="6"/>
      <c r="Y185" s="5"/>
      <c r="Z185" s="5"/>
      <c r="AA185" s="6"/>
    </row>
    <row r="186" spans="17:27" x14ac:dyDescent="0.25">
      <c r="Q186" s="4"/>
      <c r="R186" s="4"/>
      <c r="S186" s="5"/>
      <c r="T186" s="5"/>
      <c r="U186" s="5"/>
      <c r="V186" s="5"/>
      <c r="W186" s="5"/>
      <c r="X186" s="6"/>
      <c r="Y186" s="5"/>
      <c r="Z186" s="5"/>
      <c r="AA186" s="6"/>
    </row>
    <row r="187" spans="17:27" x14ac:dyDescent="0.25">
      <c r="Q187" s="4"/>
      <c r="R187" s="4"/>
      <c r="S187" s="5"/>
      <c r="T187" s="5"/>
      <c r="U187" s="5"/>
      <c r="V187" s="5"/>
      <c r="W187" s="5"/>
      <c r="X187" s="6"/>
      <c r="Y187" s="5"/>
      <c r="Z187" s="5"/>
      <c r="AA187" s="6"/>
    </row>
    <row r="188" spans="17:27" x14ac:dyDescent="0.25">
      <c r="Q188" s="4"/>
      <c r="R188" s="4"/>
      <c r="S188" s="5"/>
      <c r="T188" s="5"/>
      <c r="U188" s="5"/>
      <c r="V188" s="5"/>
      <c r="W188" s="5"/>
      <c r="X188" s="6"/>
      <c r="Y188" s="5"/>
      <c r="Z188" s="5"/>
      <c r="AA188" s="6"/>
    </row>
    <row r="189" spans="17:27" ht="15.75" thickBot="1" x14ac:dyDescent="0.3">
      <c r="Q189" s="4"/>
      <c r="R189" s="7"/>
      <c r="S189" s="8"/>
      <c r="T189" s="8"/>
      <c r="U189" s="8"/>
      <c r="V189" s="8"/>
      <c r="W189" s="8"/>
      <c r="X189" s="9"/>
      <c r="Y189" s="5"/>
      <c r="Z189" s="5"/>
      <c r="AA189" s="6"/>
    </row>
    <row r="190" spans="17:27" x14ac:dyDescent="0.25">
      <c r="Q190" s="4"/>
      <c r="R190" s="5"/>
      <c r="S190" s="5"/>
      <c r="T190" s="5"/>
      <c r="U190" s="5"/>
      <c r="V190" s="5"/>
      <c r="W190" s="5"/>
      <c r="X190" s="5"/>
      <c r="Y190" s="5"/>
      <c r="Z190" s="5"/>
      <c r="AA190" s="6"/>
    </row>
    <row r="191" spans="17:27" ht="15.75" thickBot="1" x14ac:dyDescent="0.3">
      <c r="Q191" s="4"/>
      <c r="R191" s="5"/>
      <c r="S191" s="5"/>
      <c r="T191" s="5"/>
      <c r="U191" s="5"/>
      <c r="V191" s="5"/>
      <c r="W191" s="5"/>
      <c r="X191" s="5"/>
      <c r="Y191" s="5"/>
      <c r="Z191" s="5"/>
      <c r="AA191" s="6"/>
    </row>
    <row r="192" spans="17:27" x14ac:dyDescent="0.25">
      <c r="Q192" s="4"/>
      <c r="R192" s="1" t="s">
        <v>52</v>
      </c>
      <c r="S192" s="2"/>
      <c r="T192" s="2"/>
      <c r="U192" s="2"/>
      <c r="V192" s="2"/>
      <c r="W192" s="2"/>
      <c r="X192" s="3"/>
      <c r="Y192" s="5"/>
      <c r="Z192" s="5"/>
      <c r="AA192" s="6"/>
    </row>
    <row r="193" spans="17:27" x14ac:dyDescent="0.25">
      <c r="Q193" s="4"/>
      <c r="R193" s="4"/>
      <c r="S193" s="5"/>
      <c r="T193" s="5"/>
      <c r="U193" s="5"/>
      <c r="V193" s="5"/>
      <c r="W193" s="5"/>
      <c r="X193" s="6"/>
      <c r="Y193" s="5"/>
      <c r="Z193" s="5"/>
      <c r="AA193" s="6"/>
    </row>
    <row r="194" spans="17:27" x14ac:dyDescent="0.25">
      <c r="Q194" s="4"/>
      <c r="R194" s="4" t="s">
        <v>13</v>
      </c>
      <c r="S194" s="5"/>
      <c r="T194" s="5">
        <f>ROUND(((423+13)/126)*5,1) + U21 + Z24 +F16</f>
        <v>28.400000000000002</v>
      </c>
      <c r="U194" s="5" t="s">
        <v>7</v>
      </c>
      <c r="V194" s="5"/>
      <c r="W194" s="5"/>
      <c r="X194" s="6"/>
      <c r="Y194" s="5"/>
      <c r="Z194" s="5"/>
      <c r="AA194" s="6"/>
    </row>
    <row r="195" spans="17:27" x14ac:dyDescent="0.25">
      <c r="Q195" s="4"/>
      <c r="R195" s="4" t="s">
        <v>14</v>
      </c>
      <c r="S195" s="5"/>
      <c r="T195" s="5">
        <f>ROUND(((423+72)/126)*5,1) + U21 + Z24 +F16</f>
        <v>30.700000000000003</v>
      </c>
      <c r="U195" s="5" t="s">
        <v>7</v>
      </c>
      <c r="V195" s="5"/>
      <c r="W195" s="5"/>
      <c r="X195" s="6"/>
      <c r="Y195" s="5"/>
      <c r="Z195" s="5"/>
      <c r="AA195" s="6"/>
    </row>
    <row r="196" spans="17:27" x14ac:dyDescent="0.25">
      <c r="Q196" s="4"/>
      <c r="R196" s="4" t="s">
        <v>32</v>
      </c>
      <c r="S196" s="5"/>
      <c r="T196" s="5">
        <f>ROUND(((423+60+13)/126)*5,1) + U21 + Z24 +F16</f>
        <v>30.8</v>
      </c>
      <c r="U196" s="5" t="s">
        <v>7</v>
      </c>
      <c r="V196" s="5"/>
      <c r="W196" s="5"/>
      <c r="X196" s="6"/>
      <c r="Y196" s="5"/>
      <c r="Z196" s="5"/>
      <c r="AA196" s="6"/>
    </row>
    <row r="197" spans="17:27" x14ac:dyDescent="0.25">
      <c r="Q197" s="4"/>
      <c r="R197" s="4" t="s">
        <v>33</v>
      </c>
      <c r="S197" s="5"/>
      <c r="T197" s="5">
        <f>ROUND(((423+60+72)/126)*5,1) + U21 + Z24 +F16</f>
        <v>33.1</v>
      </c>
      <c r="U197" s="10" t="s">
        <v>7</v>
      </c>
      <c r="V197" s="5"/>
      <c r="W197" s="5"/>
      <c r="X197" s="6"/>
      <c r="Y197" s="5"/>
      <c r="Z197" s="5"/>
      <c r="AA197" s="6"/>
    </row>
    <row r="198" spans="17:27" x14ac:dyDescent="0.25">
      <c r="Q198" s="4"/>
      <c r="R198" s="4"/>
      <c r="S198" s="5"/>
      <c r="T198" s="5"/>
      <c r="U198" s="5"/>
      <c r="V198" s="5"/>
      <c r="W198" s="5"/>
      <c r="X198" s="6"/>
      <c r="Y198" s="5"/>
      <c r="Z198" s="5"/>
      <c r="AA198" s="6"/>
    </row>
    <row r="199" spans="17:27" x14ac:dyDescent="0.25">
      <c r="Q199" s="4"/>
      <c r="R199" s="4" t="s">
        <v>73</v>
      </c>
      <c r="S199" s="5"/>
      <c r="T199" s="5">
        <f>ROUND(((59+72+72)/126)*5,1) + 4*U21</f>
        <v>20.100000000000001</v>
      </c>
      <c r="U199" s="10" t="s">
        <v>7</v>
      </c>
      <c r="V199" s="5"/>
      <c r="W199" s="5"/>
      <c r="X199" s="6"/>
      <c r="Y199" s="5"/>
      <c r="Z199" s="5"/>
      <c r="AA199" s="6"/>
    </row>
    <row r="200" spans="17:27" x14ac:dyDescent="0.25">
      <c r="Q200" s="4"/>
      <c r="R200" s="4"/>
      <c r="S200" s="5"/>
      <c r="T200" s="5"/>
      <c r="U200" s="5"/>
      <c r="V200" s="5"/>
      <c r="W200" s="5"/>
      <c r="X200" s="6"/>
      <c r="Y200" s="5"/>
      <c r="Z200" s="5"/>
      <c r="AA200" s="6"/>
    </row>
    <row r="201" spans="17:27" x14ac:dyDescent="0.25">
      <c r="Q201" s="4"/>
      <c r="R201" s="4"/>
      <c r="S201" s="5"/>
      <c r="T201" s="5"/>
      <c r="U201" s="5"/>
      <c r="V201" s="5"/>
      <c r="W201" s="5"/>
      <c r="X201" s="6"/>
      <c r="Y201" s="5"/>
      <c r="Z201" s="5"/>
      <c r="AA201" s="6"/>
    </row>
    <row r="202" spans="17:27" x14ac:dyDescent="0.25">
      <c r="Q202" s="4"/>
      <c r="R202" s="4"/>
      <c r="S202" s="5"/>
      <c r="T202" s="5"/>
      <c r="U202" s="5"/>
      <c r="V202" s="5"/>
      <c r="W202" s="5"/>
      <c r="X202" s="6"/>
      <c r="Y202" s="5"/>
      <c r="Z202" s="5"/>
      <c r="AA202" s="6"/>
    </row>
    <row r="203" spans="17:27" x14ac:dyDescent="0.25">
      <c r="Q203" s="4"/>
      <c r="R203" s="4"/>
      <c r="S203" s="5"/>
      <c r="T203" s="5"/>
      <c r="U203" s="5"/>
      <c r="V203" s="5"/>
      <c r="W203" s="5"/>
      <c r="X203" s="6"/>
      <c r="Y203" s="5"/>
      <c r="Z203" s="5"/>
      <c r="AA203" s="6"/>
    </row>
    <row r="204" spans="17:27" ht="15.75" thickBot="1" x14ac:dyDescent="0.3">
      <c r="Q204" s="4"/>
      <c r="R204" s="7"/>
      <c r="S204" s="8"/>
      <c r="T204" s="8"/>
      <c r="U204" s="8"/>
      <c r="V204" s="8"/>
      <c r="W204" s="8"/>
      <c r="X204" s="9"/>
      <c r="Y204" s="5"/>
      <c r="Z204" s="5"/>
      <c r="AA204" s="6"/>
    </row>
    <row r="205" spans="17:27" x14ac:dyDescent="0.25">
      <c r="Q205" s="4"/>
      <c r="R205" s="5"/>
      <c r="S205" s="5"/>
      <c r="T205" s="5"/>
      <c r="U205" s="5"/>
      <c r="V205" s="5"/>
      <c r="W205" s="5"/>
      <c r="X205" s="5"/>
      <c r="Y205" s="5"/>
      <c r="Z205" s="5"/>
      <c r="AA205" s="6"/>
    </row>
    <row r="206" spans="17:27" ht="15.75" thickBot="1" x14ac:dyDescent="0.3">
      <c r="Q206" s="4"/>
      <c r="R206" s="5"/>
      <c r="S206" s="5"/>
      <c r="T206" s="5"/>
      <c r="U206" s="5"/>
      <c r="V206" s="5"/>
      <c r="W206" s="5"/>
      <c r="X206" s="5"/>
      <c r="Y206" s="5"/>
      <c r="Z206" s="5"/>
      <c r="AA206" s="6"/>
    </row>
    <row r="207" spans="17:27" x14ac:dyDescent="0.25">
      <c r="Q207" s="4"/>
      <c r="R207" s="1" t="s">
        <v>53</v>
      </c>
      <c r="S207" s="2"/>
      <c r="T207" s="2"/>
      <c r="U207" s="2"/>
      <c r="V207" s="2"/>
      <c r="W207" s="2"/>
      <c r="X207" s="3"/>
      <c r="Y207" s="5"/>
      <c r="Z207" s="5"/>
      <c r="AA207" s="6"/>
    </row>
    <row r="208" spans="17:27" x14ac:dyDescent="0.25">
      <c r="Q208" s="4"/>
      <c r="R208" s="4"/>
      <c r="S208" s="5"/>
      <c r="T208" s="5"/>
      <c r="U208" s="5"/>
      <c r="V208" s="5"/>
      <c r="W208" s="5"/>
      <c r="X208" s="6"/>
      <c r="Y208" s="5"/>
      <c r="Z208" s="5"/>
      <c r="AA208" s="6"/>
    </row>
    <row r="209" spans="17:27" x14ac:dyDescent="0.25">
      <c r="Q209" s="4"/>
      <c r="R209" s="4" t="s">
        <v>13</v>
      </c>
      <c r="S209" s="5"/>
      <c r="T209" s="5">
        <f>ROUND(((468+17)/126)*5,1) + U21 + Z24 +F16</f>
        <v>30.3</v>
      </c>
      <c r="U209" s="5" t="s">
        <v>7</v>
      </c>
      <c r="V209" s="5"/>
      <c r="W209" s="5"/>
      <c r="X209" s="6"/>
      <c r="Y209" s="5"/>
      <c r="Z209" s="5"/>
      <c r="AA209" s="6"/>
    </row>
    <row r="210" spans="17:27" x14ac:dyDescent="0.25">
      <c r="Q210" s="4"/>
      <c r="R210" s="4" t="s">
        <v>14</v>
      </c>
      <c r="S210" s="5"/>
      <c r="T210" s="5">
        <f>ROUND(((468+76)/126)*5,1) + U21 + Z24 +F16</f>
        <v>32.700000000000003</v>
      </c>
      <c r="U210" s="5" t="s">
        <v>7</v>
      </c>
      <c r="V210" s="5"/>
      <c r="W210" s="5"/>
      <c r="X210" s="6"/>
      <c r="Y210" s="5"/>
      <c r="Z210" s="5"/>
      <c r="AA210" s="6"/>
    </row>
    <row r="211" spans="17:27" x14ac:dyDescent="0.25">
      <c r="Q211" s="4"/>
      <c r="R211" s="4" t="s">
        <v>32</v>
      </c>
      <c r="S211" s="5"/>
      <c r="T211" s="5">
        <f>ROUND(((468+61+61)/126)*5,1) + U21 + Z24 +F16</f>
        <v>34.5</v>
      </c>
      <c r="U211" s="5" t="s">
        <v>7</v>
      </c>
      <c r="V211" s="5"/>
      <c r="W211" s="5"/>
      <c r="X211" s="6"/>
      <c r="Y211" s="5"/>
      <c r="Z211" s="5"/>
      <c r="AA211" s="6"/>
    </row>
    <row r="212" spans="17:27" x14ac:dyDescent="0.25">
      <c r="Q212" s="4"/>
      <c r="R212" s="4" t="s">
        <v>33</v>
      </c>
      <c r="S212" s="5"/>
      <c r="T212" s="5">
        <f>ROUND(((468+37+116)/126)*5,1) + U21 + Z24 +F16</f>
        <v>35.700000000000003</v>
      </c>
      <c r="U212" s="10" t="s">
        <v>7</v>
      </c>
      <c r="V212" s="5"/>
      <c r="W212" s="5"/>
      <c r="X212" s="6"/>
      <c r="Y212" s="5"/>
      <c r="Z212" s="5"/>
      <c r="AA212" s="6"/>
    </row>
    <row r="213" spans="17:27" x14ac:dyDescent="0.25">
      <c r="Q213" s="4"/>
      <c r="R213" s="11" t="s">
        <v>19</v>
      </c>
      <c r="S213" s="5"/>
      <c r="T213" s="5">
        <f>ROUND(((468+23+60)/126)*5,1) + Z24+F16</f>
        <v>30</v>
      </c>
      <c r="U213" s="10" t="s">
        <v>7</v>
      </c>
      <c r="V213" s="5"/>
      <c r="W213" s="5"/>
      <c r="X213" s="6"/>
      <c r="Y213" s="5"/>
      <c r="Z213" s="5"/>
      <c r="AA213" s="6"/>
    </row>
    <row r="214" spans="17:27" x14ac:dyDescent="0.25">
      <c r="Q214" s="4"/>
      <c r="R214" s="4"/>
      <c r="S214" s="5"/>
      <c r="T214" s="5"/>
      <c r="U214" s="5"/>
      <c r="V214" s="5"/>
      <c r="W214" s="5"/>
      <c r="X214" s="6"/>
      <c r="Y214" s="5"/>
      <c r="Z214" s="5"/>
      <c r="AA214" s="6"/>
    </row>
    <row r="215" spans="17:27" x14ac:dyDescent="0.25">
      <c r="Q215" s="4"/>
      <c r="R215" s="4" t="s">
        <v>73</v>
      </c>
      <c r="S215" s="5"/>
      <c r="T215" s="5">
        <f>ROUND(((38+117+61+60+20)/126)*5,1) + 4*U21</f>
        <v>23.7</v>
      </c>
      <c r="U215" s="10" t="s">
        <v>7</v>
      </c>
      <c r="V215" s="5"/>
      <c r="W215" s="5"/>
      <c r="X215" s="6"/>
      <c r="Y215" s="5"/>
      <c r="Z215" s="5"/>
      <c r="AA215" s="6"/>
    </row>
    <row r="216" spans="17:27" x14ac:dyDescent="0.25">
      <c r="Q216" s="4"/>
      <c r="R216" s="4"/>
      <c r="S216" s="5"/>
      <c r="T216" s="5"/>
      <c r="U216" s="5"/>
      <c r="V216" s="5"/>
      <c r="W216" s="5"/>
      <c r="X216" s="6"/>
      <c r="Y216" s="5"/>
      <c r="Z216" s="5"/>
      <c r="AA216" s="6"/>
    </row>
    <row r="217" spans="17:27" x14ac:dyDescent="0.25">
      <c r="Q217" s="4"/>
      <c r="R217" s="4"/>
      <c r="S217" s="5"/>
      <c r="T217" s="5"/>
      <c r="U217" s="5"/>
      <c r="V217" s="5"/>
      <c r="W217" s="5"/>
      <c r="X217" s="6"/>
      <c r="Y217" s="5"/>
      <c r="Z217" s="5"/>
      <c r="AA217" s="6"/>
    </row>
    <row r="218" spans="17:27" x14ac:dyDescent="0.25">
      <c r="Q218" s="4"/>
      <c r="R218" s="4"/>
      <c r="S218" s="5"/>
      <c r="T218" s="5"/>
      <c r="U218" s="5"/>
      <c r="V218" s="5"/>
      <c r="W218" s="5"/>
      <c r="X218" s="6"/>
      <c r="Y218" s="5"/>
      <c r="Z218" s="5"/>
      <c r="AA218" s="6"/>
    </row>
    <row r="219" spans="17:27" ht="15.75" thickBot="1" x14ac:dyDescent="0.3">
      <c r="Q219" s="4"/>
      <c r="R219" s="7"/>
      <c r="S219" s="8"/>
      <c r="T219" s="8"/>
      <c r="U219" s="8"/>
      <c r="V219" s="8"/>
      <c r="W219" s="8"/>
      <c r="X219" s="9"/>
      <c r="Y219" s="5"/>
      <c r="Z219" s="5"/>
      <c r="AA219" s="6"/>
    </row>
    <row r="220" spans="17:27" x14ac:dyDescent="0.25">
      <c r="Q220" s="4"/>
      <c r="R220" s="5"/>
      <c r="S220" s="5"/>
      <c r="T220" s="5"/>
      <c r="U220" s="5"/>
      <c r="V220" s="5"/>
      <c r="W220" s="5"/>
      <c r="X220" s="5"/>
      <c r="Y220" s="5"/>
      <c r="Z220" s="5"/>
      <c r="AA220" s="6"/>
    </row>
    <row r="221" spans="17:27" ht="15.75" thickBot="1" x14ac:dyDescent="0.3">
      <c r="Q221" s="4"/>
      <c r="R221" s="5"/>
      <c r="S221" s="5"/>
      <c r="T221" s="5"/>
      <c r="U221" s="5"/>
      <c r="V221" s="5"/>
      <c r="W221" s="5"/>
      <c r="X221" s="5"/>
      <c r="Y221" s="5"/>
      <c r="Z221" s="5"/>
      <c r="AA221" s="6"/>
    </row>
    <row r="222" spans="17:27" x14ac:dyDescent="0.25">
      <c r="Q222" s="4"/>
      <c r="R222" s="1" t="s">
        <v>54</v>
      </c>
      <c r="S222" s="2"/>
      <c r="T222" s="2"/>
      <c r="U222" s="2"/>
      <c r="V222" s="2"/>
      <c r="W222" s="2"/>
      <c r="X222" s="2"/>
      <c r="Y222" s="3"/>
      <c r="Z222" s="5"/>
      <c r="AA222" s="6"/>
    </row>
    <row r="223" spans="17:27" x14ac:dyDescent="0.25">
      <c r="Q223" s="4"/>
      <c r="R223" s="4"/>
      <c r="S223" s="5"/>
      <c r="T223" s="5"/>
      <c r="U223" s="5"/>
      <c r="V223" s="5"/>
      <c r="W223" s="5"/>
      <c r="X223" s="5"/>
      <c r="Y223" s="6"/>
      <c r="Z223" s="5"/>
      <c r="AA223" s="6"/>
    </row>
    <row r="224" spans="17:27" x14ac:dyDescent="0.25">
      <c r="Q224" s="4"/>
      <c r="R224" s="4" t="s">
        <v>13</v>
      </c>
      <c r="S224" s="5"/>
      <c r="T224" s="5">
        <f>ROUND(((620+63)/126)*5,1) + U21 + Z24 +F16</f>
        <v>38.200000000000003</v>
      </c>
      <c r="U224" s="5" t="s">
        <v>7</v>
      </c>
      <c r="V224" s="5"/>
      <c r="W224" s="5"/>
      <c r="X224" s="5"/>
      <c r="Y224" s="6"/>
      <c r="Z224" s="5"/>
      <c r="AA224" s="6"/>
    </row>
    <row r="225" spans="17:27" x14ac:dyDescent="0.25">
      <c r="Q225" s="4"/>
      <c r="R225" s="4" t="s">
        <v>14</v>
      </c>
      <c r="S225" s="5"/>
      <c r="T225" s="5">
        <f>ROUND(((620+124)/126)*5,1) + U21 + Z24 +F16</f>
        <v>40.6</v>
      </c>
      <c r="U225" s="5" t="s">
        <v>7</v>
      </c>
      <c r="V225" s="5"/>
      <c r="W225" s="5"/>
      <c r="X225" s="5"/>
      <c r="Y225" s="6"/>
      <c r="Z225" s="5"/>
      <c r="AA225" s="6"/>
    </row>
    <row r="226" spans="17:27" x14ac:dyDescent="0.25">
      <c r="Q226" s="4"/>
      <c r="R226" s="4" t="s">
        <v>32</v>
      </c>
      <c r="S226" s="5"/>
      <c r="T226" s="5">
        <f>ROUND(((620+43)/126)*5,1) + U21 + Z24 +F16</f>
        <v>37.4</v>
      </c>
      <c r="U226" s="5" t="s">
        <v>7</v>
      </c>
      <c r="V226" s="5"/>
      <c r="W226" s="5"/>
      <c r="X226" s="5"/>
      <c r="Y226" s="6"/>
      <c r="Z226" s="5"/>
      <c r="AA226" s="6"/>
    </row>
    <row r="227" spans="17:27" x14ac:dyDescent="0.25">
      <c r="Q227" s="4"/>
      <c r="R227" s="4" t="s">
        <v>33</v>
      </c>
      <c r="S227" s="5"/>
      <c r="T227" s="5">
        <f>ROUND(((620+106)/126)*5,1) + U21 + Z24 +F16</f>
        <v>39.9</v>
      </c>
      <c r="U227" s="10" t="s">
        <v>7</v>
      </c>
      <c r="V227" s="5"/>
      <c r="W227" s="5"/>
      <c r="X227" s="5"/>
      <c r="Y227" s="6"/>
      <c r="Z227" s="5"/>
      <c r="AA227" s="6"/>
    </row>
    <row r="228" spans="17:27" x14ac:dyDescent="0.25">
      <c r="Q228" s="4"/>
      <c r="R228" s="11" t="s">
        <v>15</v>
      </c>
      <c r="S228" s="5"/>
      <c r="T228" s="5">
        <f>ROUND(((620+34+170)/126)*5,1) + U21 + Z24 +F16</f>
        <v>43.800000000000004</v>
      </c>
      <c r="U228" s="10" t="s">
        <v>7</v>
      </c>
      <c r="V228" s="5"/>
      <c r="W228" s="5"/>
      <c r="X228" s="5"/>
      <c r="Y228" s="6"/>
      <c r="Z228" s="5"/>
      <c r="AA228" s="6"/>
    </row>
    <row r="229" spans="17:27" x14ac:dyDescent="0.25">
      <c r="Q229" s="4"/>
      <c r="R229" s="11" t="s">
        <v>65</v>
      </c>
      <c r="S229" s="5"/>
      <c r="T229" s="5">
        <f>ROUND(((620+137+52)/126)*5,1) + U21 + Z24 +F16</f>
        <v>43.2</v>
      </c>
      <c r="U229" s="10" t="s">
        <v>7</v>
      </c>
      <c r="V229" s="5"/>
      <c r="W229" s="5"/>
      <c r="X229" s="5"/>
      <c r="Y229" s="6"/>
      <c r="Z229" s="5"/>
      <c r="AA229" s="6"/>
    </row>
    <row r="230" spans="17:27" x14ac:dyDescent="0.25">
      <c r="Q230" s="4"/>
      <c r="R230" s="11" t="s">
        <v>19</v>
      </c>
      <c r="S230" s="5"/>
      <c r="T230" s="5">
        <f>ROUND(((620+65+77)/126)*5,1) + Z24+F16</f>
        <v>38.299999999999997</v>
      </c>
      <c r="U230" s="10" t="s">
        <v>7</v>
      </c>
      <c r="V230" s="5"/>
      <c r="W230" s="5"/>
      <c r="X230" s="5"/>
      <c r="Y230" s="6"/>
      <c r="Z230" s="5"/>
      <c r="AA230" s="6"/>
    </row>
    <row r="231" spans="17:27" x14ac:dyDescent="0.25">
      <c r="Q231" s="4"/>
      <c r="R231" s="4"/>
      <c r="S231" s="5"/>
      <c r="T231" s="5"/>
      <c r="U231" s="5"/>
      <c r="V231" s="5"/>
      <c r="W231" s="5"/>
      <c r="X231" s="5"/>
      <c r="Y231" s="6"/>
      <c r="Z231" s="5"/>
      <c r="AA231" s="6"/>
    </row>
    <row r="232" spans="17:27" x14ac:dyDescent="0.25">
      <c r="Q232" s="4"/>
      <c r="R232" s="4" t="s">
        <v>73</v>
      </c>
      <c r="S232" s="5"/>
      <c r="T232" s="5">
        <f>ROUND(((34+172+137+54+76)/126)*5,1) +6*U21</f>
        <v>36.799999999999997</v>
      </c>
      <c r="U232" s="10" t="s">
        <v>7</v>
      </c>
      <c r="V232" s="5"/>
      <c r="W232" s="5"/>
      <c r="X232" s="5"/>
      <c r="Y232" s="6"/>
      <c r="Z232" s="5"/>
      <c r="AA232" s="6"/>
    </row>
    <row r="233" spans="17:27" x14ac:dyDescent="0.25">
      <c r="Q233" s="4"/>
      <c r="R233" s="4"/>
      <c r="S233" s="5"/>
      <c r="T233" s="5"/>
      <c r="U233" s="5"/>
      <c r="V233" s="5"/>
      <c r="W233" s="5"/>
      <c r="X233" s="5"/>
      <c r="Y233" s="6"/>
      <c r="Z233" s="5"/>
      <c r="AA233" s="6"/>
    </row>
    <row r="234" spans="17:27" x14ac:dyDescent="0.25">
      <c r="Q234" s="4"/>
      <c r="R234" s="4"/>
      <c r="S234" s="5"/>
      <c r="T234" s="5"/>
      <c r="U234" s="5"/>
      <c r="V234" s="5"/>
      <c r="W234" s="5"/>
      <c r="X234" s="5"/>
      <c r="Y234" s="6"/>
      <c r="Z234" s="5"/>
      <c r="AA234" s="6"/>
    </row>
    <row r="235" spans="17:27" ht="15.75" thickBot="1" x14ac:dyDescent="0.3">
      <c r="Q235" s="4"/>
      <c r="R235" s="7"/>
      <c r="S235" s="8"/>
      <c r="T235" s="8"/>
      <c r="U235" s="8"/>
      <c r="V235" s="8"/>
      <c r="W235" s="8"/>
      <c r="X235" s="8"/>
      <c r="Y235" s="9"/>
      <c r="Z235" s="5"/>
      <c r="AA235" s="6"/>
    </row>
    <row r="236" spans="17:27" x14ac:dyDescent="0.25">
      <c r="Q236" s="4"/>
      <c r="R236" s="5"/>
      <c r="S236" s="5"/>
      <c r="T236" s="5"/>
      <c r="U236" s="5"/>
      <c r="V236" s="5"/>
      <c r="W236" s="5"/>
      <c r="X236" s="5"/>
      <c r="Y236" s="5"/>
      <c r="Z236" s="5"/>
      <c r="AA236" s="6"/>
    </row>
    <row r="237" spans="17:27" x14ac:dyDescent="0.25">
      <c r="Q237" s="4"/>
      <c r="R237" s="5"/>
      <c r="S237" s="5"/>
      <c r="T237" s="5"/>
      <c r="U237" s="5"/>
      <c r="V237" s="5"/>
      <c r="W237" s="5"/>
      <c r="X237" s="5"/>
      <c r="Y237" s="5"/>
      <c r="Z237" s="5"/>
      <c r="AA237" s="6"/>
    </row>
    <row r="238" spans="17:27" x14ac:dyDescent="0.25">
      <c r="Q238" s="4"/>
      <c r="R238" s="5" t="s">
        <v>55</v>
      </c>
      <c r="S238" s="5"/>
      <c r="T238" s="5"/>
      <c r="U238" s="5">
        <f>ROUND(((610+18+11)/126)*5,1) + Z24+F16</f>
        <v>33.5</v>
      </c>
      <c r="V238" s="5" t="s">
        <v>7</v>
      </c>
      <c r="W238" s="5" t="s">
        <v>73</v>
      </c>
      <c r="X238" s="5"/>
      <c r="Y238" s="5">
        <f>ROUND((10+19)/126,1)</f>
        <v>0.2</v>
      </c>
      <c r="Z238" s="5" t="s">
        <v>7</v>
      </c>
      <c r="AA238" s="6"/>
    </row>
    <row r="239" spans="17:27" ht="15.75" thickBot="1" x14ac:dyDescent="0.3">
      <c r="Q239" s="7"/>
      <c r="R239" s="8"/>
      <c r="S239" s="8"/>
      <c r="T239" s="8"/>
      <c r="U239" s="8"/>
      <c r="V239" s="8"/>
      <c r="W239" s="8"/>
      <c r="X239" s="8"/>
      <c r="Y239" s="8"/>
      <c r="Z239" s="8"/>
      <c r="AA239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</dc:creator>
  <cp:lastModifiedBy>Carlos Dias</cp:lastModifiedBy>
  <dcterms:created xsi:type="dcterms:W3CDTF">2015-06-05T18:17:20Z</dcterms:created>
  <dcterms:modified xsi:type="dcterms:W3CDTF">2022-03-20T16:03:32Z</dcterms:modified>
</cp:coreProperties>
</file>