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drawings/drawing3.xml" ContentType="application/vnd.openxmlformats-officedocument.drawing+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drawings/drawing4.xml" ContentType="application/vnd.openxmlformats-officedocument.drawing+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drawings/drawing5.xml" ContentType="application/vnd.openxmlformats-officedocument.drawing+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drawings/drawing6.xml" ContentType="application/vnd.openxmlformats-officedocument.drawing+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defaultThemeVersion="124226"/>
  <mc:AlternateContent xmlns:mc="http://schemas.openxmlformats.org/markup-compatibility/2006">
    <mc:Choice Requires="x15">
      <x15ac:absPath xmlns:x15ac="http://schemas.microsoft.com/office/spreadsheetml/2010/11/ac" url="C:\Users\JoeCarmelAng\Downloads\"/>
    </mc:Choice>
  </mc:AlternateContent>
  <xr:revisionPtr revIDLastSave="0" documentId="13_ncr:1_{A1B552B3-689C-48C8-A488-28C303B40E0A}" xr6:coauthVersionLast="47" xr6:coauthVersionMax="47" xr10:uidLastSave="{00000000-0000-0000-0000-000000000000}"/>
  <bookViews>
    <workbookView xWindow="-108" yWindow="-108" windowWidth="23256" windowHeight="13896" tabRatio="812" activeTab="9" xr2:uid="{00000000-000D-0000-FFFF-FFFF00000000}"/>
  </bookViews>
  <sheets>
    <sheet name="Instructions" sheetId="1" r:id="rId1"/>
    <sheet name="Summary" sheetId="72" r:id="rId2"/>
    <sheet name="Config(1)" sheetId="21" r:id="rId3"/>
    <sheet name="Config(2)" sheetId="90" r:id="rId4"/>
    <sheet name="Config(3)" sheetId="91" r:id="rId5"/>
    <sheet name="Config(4)" sheetId="92" r:id="rId6"/>
    <sheet name="Config(5)" sheetId="93" r:id="rId7"/>
    <sheet name="Options" sheetId="71" r:id="rId8"/>
    <sheet name="Data_3.3V_BUCK=1.1V" sheetId="70" r:id="rId9"/>
    <sheet name="Data_3.3V_BUCK=0.9V" sheetId="94" r:id="rId10"/>
    <sheet name="Data_3.3V_LDO=1.1V" sheetId="95" r:id="rId11"/>
    <sheet name="Data_3.3V_LDO=0.9V" sheetId="96" r:id="rId12"/>
    <sheet name="Data_1.8V_BUCK=1.1V" sheetId="97" r:id="rId13"/>
    <sheet name="Data_1.8V_BUCK=0.9V" sheetId="98" r:id="rId14"/>
    <sheet name="Data_1.8V_LDO=1.1V" sheetId="99" r:id="rId15"/>
    <sheet name="Data_1.8V_LDO=0.9V" sheetId="100" r:id="rId16"/>
    <sheet name="UDBData" sheetId="46" r:id="rId17"/>
  </sheets>
  <definedNames>
    <definedName name="CapSense_Coef">"C95"</definedName>
    <definedName name="CapSense_Ped">"C94"</definedName>
    <definedName name="CM0p_Active_Coef">"C4"</definedName>
    <definedName name="CM0p_Sleep_Coef">"C5"</definedName>
    <definedName name="CM4_Active_Coef">"C6"</definedName>
    <definedName name="CM4_Off_Coef">"C8"</definedName>
    <definedName name="CM4_Sleep_Coef">"C7"</definedName>
    <definedName name="Config1_AllClocksOff">OR(Config1_SystemMode=SystemDeepSleep,Config1_SystemMode=SystemHibernate)</definedName>
    <definedName name="Config1_AllClocksOn">NOT(Config1_AllClocksOff)</definedName>
    <definedName name="Config1_CapSense_Coef">INDIRECT("'Data_"&amp;IF(Config1_Voltage&gt;2.5,"3.3","1.8")&amp;"V_"&amp;Config1_Regulator&amp;"="&amp;Config1_VoltageCore&amp;"V'!"&amp;CapSense_Coef)</definedName>
    <definedName name="Config1_CapSense_Ped">INDIRECT("'Data_"&amp;IF(Config1_Voltage&gt;2.5,"3.3","1.8")&amp;"V_"&amp;Config1_Regulator&amp;"="&amp;Config1_VoltageCore&amp;"V'!"&amp;CapSense_Ped)</definedName>
    <definedName name="Config1_CM0p_Coef">IF(Config1_CM0p_CpuMode=CpuActive,INDIRECT("'Data_"&amp;IF(Config1_Voltage&gt;2.5,"3.3","1.8")&amp;"V_"&amp;Config1_Regulator&amp;"="&amp;Config1_VoltageCore&amp;"V'!"&amp;CM0p_Active_Coef),INDIRECT("'Data_"&amp;IF(Config1_Voltage&gt;2.5,"3.3","1.8")&amp;"V_"&amp;Config1_Regulator&amp;"="&amp;Config1_VoltageCore&amp;"V'!"&amp;CM0p_Sleep_Coef))</definedName>
    <definedName name="Config1_CM0p_CpuMode">'Config(1)'!$D$9</definedName>
    <definedName name="Config1_CM4_CpuMode">'Config(1)'!$D$10</definedName>
    <definedName name="Config1_DAC_Ped">INDIRECT("'Data_"&amp;IF(Config1_Voltage&gt;2.5,"3.3","1.8")&amp;"V_"&amp;Config1_Regulator&amp;"="&amp;Config1_VoltageCore&amp;"V'!"&amp;DAC_Ped)</definedName>
    <definedName name="Config1_DeepSleep_Cur">INDIRECT("'Data_"&amp;IF(Config1_Voltage&gt;2.5,"3.3","1.8")&amp;"V_"&amp;Config1_Regulator&amp;"="&amp;Config1_VoltageCore&amp;"V'!"&amp;DeepSleep_Cur)</definedName>
    <definedName name="Config1_ECO_Coef">INDIRECT("'Data_"&amp;IF(Config1_Voltage&gt;2.5,"3.3","1.8")&amp;"V_"&amp;Config1_Regulator&amp;"="&amp;Config1_VoltageCore&amp;"V'!"&amp;ECO_Coef)</definedName>
    <definedName name="Config1_Fast_Coef">IF(Config1_CM4_CpuMode=CpuActive,INDIRECT("'Data_"&amp;IF(Config1_Voltage&gt;2.5,"3.3","1.8")&amp;"V_"&amp;Config1_Regulator&amp;"="&amp;Config1_VoltageCore&amp;"V'!"&amp;CM4_Active_Coef),IF(Config1_CM4_CpuMode=CpuOff,INDIRECT("'Data_"&amp;IF(Config1_Voltage&gt;2.5,"3.3","1.8")&amp;"V_"&amp;Config1_Regulator&amp;"="&amp;Config1_VoltageCore&amp;"V'!"&amp;CM4_Off_Coef),INDIRECT("'Data_"&amp;IF(Config1_Voltage&gt;2.5,"3.3","1.8")&amp;"V_"&amp;Config1_Regulator&amp;"="&amp;Config1_VoltageCore&amp;"V'!"&amp;CM4_Sleep_Coef)))</definedName>
    <definedName name="Config1_FLL_Coef">INDIRECT("'Data_"&amp;IF(Config1_Voltage&gt;2.5,"3.3","1.8")&amp;"V_"&amp;Config1_Regulator&amp;"="&amp;Config1_VoltageCore&amp;"V'!"&amp;FLL_Coef)</definedName>
    <definedName name="Config1_HFCLK_Coefs">INDIRECT("'Data_"&amp;IF(Config1_Voltage&gt;2.5,"3.3","1.8")&amp;"V_"&amp;Config1_Regulator&amp;"="&amp;Config1_VoltageCore&amp;"V'!"&amp;HFCLK_Coefs)</definedName>
    <definedName name="Config1_HFCLK0">IF('Config(1)'!$E$21="FLL",'Config(1)'!$D$13,IF('Config(1)'!$E$21="PLL",'Config(1)'!$D$14,IF('Config(1)'!$E$21="IMO",8,0)))/POWER(2,MATCH('Config(1)'!$D$21,Dividers)-1)</definedName>
    <definedName name="Config1_HFCLK1">IF('Config(1)'!$E$22="FLL",'Config(1)'!$D$13,IF('Config(1)'!$E$22="PLL",'Config(1)'!$D$14,IF('Config(1)'!$E$22="IMO",8,0)))/POWER(2,MATCH('Config(1)'!$D$22,Dividers)-1)</definedName>
    <definedName name="Config1_HFCLK2">IF('Config(1)'!$E$23="FLL",'Config(1)'!$D$13,IF('Config(1)'!$E$23="PLL",'Config(1)'!$D$14,IF('Config(1)'!$E$23="IMO",8,0)))/POWER(2,MATCH('Config(1)'!$D$23,Dividers)-1)</definedName>
    <definedName name="Config1_HFCLK3">IF('Config(1)'!$E$24="FLL",'Config(1)'!$D$13,IF('Config(1)'!$E$24="PLL",'Config(1)'!$D$14,IF('Config(1)'!$E$24="IMO",8,0)))/POWER(2,MATCH('Config(1)'!$D$24,Dividers)-1)</definedName>
    <definedName name="Config1_HFCLK4">IF('Config(1)'!$E$25="FLL",'Config(1)'!$D$13,IF('Config(1)'!$E$25="PLL",'Config(1)'!$D$14,IF('Config(1)'!$E$25="IMO",8,0)))/POWER(2,MATCH('Config(1)'!$D$25,Dividers)-1)</definedName>
    <definedName name="Config1_HFCLK5">IF('Config(1)'!$E$26="FLL",'Config(1)'!$D$13,IF('Config(1)'!$E$26="PLL",'Config(1)'!$D$14,IF('Config(1)'!$E$26="IMO",8,0)))/POWER(2,MATCH('Config(1)'!$D$26,Dividers)-1)</definedName>
    <definedName name="Config1_Hibernate_Cur">INDIRECT("'Data_"&amp;IF(Config1_Voltage&gt;2.5,"3.3","1.8")&amp;"V_"&amp;Config1_Regulator&amp;"="&amp;Config1_VoltageCore&amp;"V'!"&amp;Hibernate_Cur)</definedName>
    <definedName name="Config1_I2C_Coef">INDIRECT("'Data_"&amp;IF(Config1_Voltage&gt;2.5,"3.3","1.8")&amp;"V_"&amp;Config1_Regulator&amp;"="&amp;Config1_VoltageCore&amp;"V'!"&amp;I2c_Coef)</definedName>
    <definedName name="Config1_I2C_EnableCoef">INDIRECT("'Data_"&amp;IF(Config1_Voltage&gt;2.5,"3.3","1.8")&amp;"V_"&amp;Config1_Regulator&amp;"="&amp;Config1_VoltageCore&amp;"V'!"&amp;I2c_EnableCoef)</definedName>
    <definedName name="Config1_I2C_EnablePed">INDIRECT("'Data_"&amp;IF(Config1_Voltage&gt;2.5,"3.3","1.8")&amp;"V_"&amp;Config1_Regulator&amp;"="&amp;Config1_VoltageCore&amp;"V'!"&amp;I2c_EnablePed)</definedName>
    <definedName name="Config1_I2C_RunPed">INDIRECT("'Data_"&amp;IF(Config1_Voltage&gt;2.5,"3.3","1.8")&amp;"V_"&amp;Config1_Regulator&amp;"="&amp;Config1_VoltageCore&amp;"V'!"&amp;I2c_RunPed)</definedName>
    <definedName name="Config1_ILO_Ped">INDIRECT("'Data_"&amp;IF(Config1_Voltage&gt;2.5,"3.3","1.8")&amp;"V_"&amp;Config1_Regulator&amp;"="&amp;Config1_VoltageCore&amp;"V'!"&amp;ILO_Ped)</definedName>
    <definedName name="Config1_IMO_Ped">INDIRECT("'Data_"&amp;IF(Config1_Voltage&gt;2.5,"3.3","1.8")&amp;"V_"&amp;Config1_Regulator&amp;"="&amp;Config1_VoltageCore&amp;"V'!"&amp;IMO_Ped)</definedName>
    <definedName name="Config1_LP_Fast">INDIRECT("'Data_"&amp;IF(Config1_Voltage&gt;2.5,"3.3","1.8")&amp;"V_"&amp;Config1_Regulator&amp;"="&amp;Config1_VoltageCore&amp;"V'!"&amp;LP_Fast)</definedName>
    <definedName name="Config1_LP_Med">INDIRECT("'Data_"&amp;IF(Config1_Voltage&gt;2.5,"3.3","1.8")&amp;"V_"&amp;Config1_Regulator&amp;"="&amp;Config1_VoltageCore&amp;"V'!"&amp;LP_Med)</definedName>
    <definedName name="Config1_LP_Slow">INDIRECT("'Data_"&amp;IF(Config1_Voltage&gt;2.5,"3.3","1.8")&amp;"V_"&amp;Config1_Regulator&amp;"="&amp;Config1_VoltageCore&amp;"V'!"&amp;LP_Slow)</definedName>
    <definedName name="Config1_OpAmp_High_100nA">INDIRECT("'Data_"&amp;IF(Config1_Voltage&gt;2.5,"3.3","1.8")&amp;"V_"&amp;Config1_Regulator&amp;"="&amp;Config1_VoltageCore&amp;"V'!"&amp;OpAmp_High_100nA)</definedName>
    <definedName name="Config1_OpAmp_High_1uA">INDIRECT("'Data_"&amp;IF(Config1_Voltage&gt;2.5,"3.3","1.8")&amp;"V_"&amp;Config1_Regulator&amp;"="&amp;Config1_VoltageCore&amp;"V'!"&amp;OpAmp_High_1uA)</definedName>
    <definedName name="Config1_OpAmp_High_nLoad">INDIRECT("'Data_"&amp;IF(Config1_Voltage&gt;2.5,"3.3","1.8")&amp;"V_"&amp;Config1_Regulator&amp;"="&amp;Config1_VoltageCore&amp;"V'!"&amp;OpAmp_High_nLoad)</definedName>
    <definedName name="Config1_OpAmp_High_wLoad">INDIRECT("'Data_"&amp;IF(Config1_Voltage&gt;2.5,"3.3","1.8")&amp;"V_"&amp;Config1_Regulator&amp;"="&amp;Config1_VoltageCore&amp;"V'!"&amp;OpAmp_High_wLoad)</definedName>
    <definedName name="Config1_OpAmp_Low_100nA">INDIRECT("'Data_"&amp;IF(Config1_Voltage&gt;2.5,"3.3","1.8")&amp;"V_"&amp;Config1_Regulator&amp;"="&amp;Config1_VoltageCore&amp;"V'!"&amp;OpAmp_Low_100nA)</definedName>
    <definedName name="Config1_OpAmp_Low_1uA">INDIRECT("'Data_"&amp;IF(Config1_Voltage&gt;2.5,"3.3","1.8")&amp;"V_"&amp;Config1_Regulator&amp;"="&amp;Config1_VoltageCore&amp;"V'!"&amp;OpAmp_Low_1uA)</definedName>
    <definedName name="Config1_OpAmp_Low_nLoad">INDIRECT("'Data_"&amp;IF(Config1_Voltage&gt;2.5,"3.3","1.8")&amp;"V_"&amp;Config1_Regulator&amp;"="&amp;Config1_VoltageCore&amp;"V'!"&amp;OpAmp_Low_nLoad)</definedName>
    <definedName name="Config1_OpAmp_Low_wLoad">INDIRECT("'Data_"&amp;IF(Config1_Voltage&gt;2.5,"3.3","1.8")&amp;"V_"&amp;Config1_Regulator&amp;"="&amp;Config1_VoltageCore&amp;"V'!"&amp;OpAmp_Low_wLoad)</definedName>
    <definedName name="Config1_OpAmp_Med_100nA">INDIRECT("'Data_"&amp;IF(Config1_Voltage&gt;2.5,"3.3","1.8")&amp;"V_"&amp;Config1_Regulator&amp;"="&amp;Config1_VoltageCore&amp;"V'!"&amp;OpAmp_Med_100nA)</definedName>
    <definedName name="Config1_OpAmp_Med_1uA">INDIRECT("'Data_"&amp;IF(Config1_Voltage&gt;2.5,"3.3","1.8")&amp;"V_"&amp;Config1_Regulator&amp;"="&amp;Config1_VoltageCore&amp;"V'!"&amp;OpAmp_Med_1uA)</definedName>
    <definedName name="Config1_OpAmp_Med_nLoad">INDIRECT("'Data_"&amp;IF(Config1_Voltage&gt;2.5,"3.3","1.8")&amp;"V_"&amp;Config1_Regulator&amp;"="&amp;Config1_VoltageCore&amp;"V'!"&amp;OpAmp_Med_nLoad)</definedName>
    <definedName name="Config1_OpAmp_Med_wLoad">INDIRECT("'Data_"&amp;IF(Config1_Voltage&gt;2.5,"3.3","1.8")&amp;"V_"&amp;Config1_Regulator&amp;"="&amp;Config1_VoltageCore&amp;"V'!"&amp;OpAmp_Med_wLoad)</definedName>
    <definedName name="Config1_Peri_Coef">INDIRECT("'Data_"&amp;IF(Config1_Voltage&gt;2.5,"3.3","1.8")&amp;"V_"&amp;Config1_Regulator&amp;"="&amp;Config1_VoltageCore&amp;"V'!"&amp;Peri_Coef)</definedName>
    <definedName name="Config1_PILO_Ped">INDIRECT("'Data_"&amp;IF(Config1_Voltage&gt;2.5,"3.3","1.8")&amp;"V_"&amp;Config1_Regulator&amp;"="&amp;Config1_VoltageCore&amp;"V'!"&amp;PILO_Ped)</definedName>
    <definedName name="Config1_PLL_Coef">INDIRECT("'Data_"&amp;IF(Config1_Voltage&gt;2.5,"3.3","1.8")&amp;"V_"&amp;Config1_Regulator&amp;"="&amp;Config1_VoltageCore&amp;"V'!"&amp;PLL_Coef)</definedName>
    <definedName name="Config1_PLL_Coef_h40">INDIRECT("'Data_"&amp;IF(Config1_Voltage&gt;2.5,"3.3","1.8")&amp;"V_"&amp;Config1_Regulator&amp;"="&amp;Config1_VoltageCore&amp;"V'!"&amp;PLL_Coef_h40)</definedName>
    <definedName name="Config1_PLL_Coef_l40">INDIRECT("'Data_"&amp;IF(Config1_Voltage&gt;2.5,"3.3","1.8")&amp;"V_"&amp;Config1_Regulator&amp;"="&amp;Config1_VoltageCore&amp;"V'!"&amp;PLL_Coef_l40)</definedName>
    <definedName name="Config1_PLL_Ped_h40">INDIRECT("'Data_"&amp;IF(Config1_Voltage&gt;2.5,"3.3","1.8")&amp;"V_"&amp;Config1_Regulator&amp;"="&amp;Config1_VoltageCore&amp;"V'!"&amp;PLL_Ped_h40)</definedName>
    <definedName name="Config1_PLL_Ped_l40">INDIRECT("'Data_"&amp;IF(Config1_Voltage&gt;2.5,"3.3","1.8")&amp;"V_"&amp;Config1_Regulator&amp;"="&amp;Config1_VoltageCore&amp;"V'!"&amp;PLL_Ped_l40)</definedName>
    <definedName name="Config1_Regulator">'Config(1)'!$D$6</definedName>
    <definedName name="Config1_SAR_1_8MHz_ExtRef">INDIRECT("'Data_"&amp;IF(Config1_Voltage&gt;2.5,"3.3","1.8")&amp;"V_"&amp;Config1_Regulator&amp;"="&amp;Config1_VoltageCore&amp;"V'!"&amp;SAR_1_8MHz_ExtRef)</definedName>
    <definedName name="Config1_SAR_1_8MHz_Idle_Diff">INDIRECT("'Data_"&amp;IF(Config1_Voltage&gt;2.5,"3.3","1.8")&amp;"V_"&amp;Config1_Regulator&amp;"="&amp;Config1_VoltageCore&amp;"V'!"&amp;SAR_Idle_Diff_1_8MHz)</definedName>
    <definedName name="Config1_SAR_1_8MHz_IntRef">INDIRECT("'Data_"&amp;IF(Config1_Voltage&gt;2.5,"3.3","1.8")&amp;"V_"&amp;Config1_Regulator&amp;"="&amp;Config1_VoltageCore&amp;"V'!"&amp;SAR_1_8MHz_IntRef)</definedName>
    <definedName name="Config1_SAR_1_8MHz_Vdda_2Ref">INDIRECT("'Data_"&amp;IF(Config1_Voltage&gt;2.5,"3.3","1.8")&amp;"V_"&amp;Config1_Regulator&amp;"="&amp;Config1_VoltageCore&amp;"V'!"&amp;SAR_1_8MHz_Vdda_2Ref)</definedName>
    <definedName name="Config1_SAR_1_8MHz_VddaRef">INDIRECT("'Data_"&amp;IF(Config1_Voltage&gt;2.5,"3.3","1.8")&amp;"V_"&amp;Config1_Regulator&amp;"="&amp;Config1_VoltageCore&amp;"V'!"&amp;SAR_1_8MHz_VddaRef)</definedName>
    <definedName name="Config1_SAR_18MHz_ExtRef">INDIRECT("'Data_"&amp;IF(Config1_Voltage&gt;2.5,"3.3","1.8")&amp;"V_"&amp;Config1_Regulator&amp;"="&amp;Config1_VoltageCore&amp;"V'!"&amp;SAR_18MHz_ExtRef)</definedName>
    <definedName name="Config1_SAR_18MHz_Idle_Diff">INDIRECT("'Data_"&amp;IF(Config1_Voltage&gt;2.5,"3.3","1.8")&amp;"V_"&amp;Config1_Regulator&amp;"="&amp;Config1_VoltageCore&amp;"V'!"&amp;SAR_Idle_Diff_18MHz)</definedName>
    <definedName name="Config1_SAR_18MHz_IntRef">INDIRECT("'Data_"&amp;IF(Config1_Voltage&gt;2.5,"3.3","1.8")&amp;"V_"&amp;Config1_Regulator&amp;"="&amp;Config1_VoltageCore&amp;"V'!"&amp;SAR_18MHz_IntRef)</definedName>
    <definedName name="Config1_SAR_18MHz_Vdda_2Ref">INDIRECT("'Data_"&amp;IF(Config1_Voltage&gt;2.5,"3.3","1.8")&amp;"V_"&amp;Config1_Regulator&amp;"="&amp;Config1_VoltageCore&amp;"V'!"&amp;SAR_18MHz_Vdda_2Ref)</definedName>
    <definedName name="Config1_SAR_18MHz_VddaRef">INDIRECT("'Data_"&amp;IF(Config1_Voltage&gt;2.5,"3.3","1.8")&amp;"V_"&amp;Config1_Regulator&amp;"="&amp;Config1_VoltageCore&amp;"V'!"&amp;SAR_18MHz_VddaRef)</definedName>
    <definedName name="Config1_SAR_36MHz_ExtRef">INDIRECT("'Data_"&amp;IF(Config1_Voltage&gt;2.5,"3.3","1.8")&amp;"V_"&amp;Config1_Regulator&amp;"="&amp;Config1_VoltageCore&amp;"V'!"&amp;SAR_36MHz_ExtRef)</definedName>
    <definedName name="Config1_SAR_36MHz_Idle_Diff">INDIRECT("'Data_"&amp;IF(Config1_Voltage&gt;2.5,"3.3","1.8")&amp;"V_"&amp;Config1_Regulator&amp;"="&amp;Config1_VoltageCore&amp;"V'!"&amp;SAR_Idle_Diff_36MHz)</definedName>
    <definedName name="Config1_SAR_36MHz_IntRef">INDIRECT("'Data_"&amp;IF(Config1_Voltage&gt;2.5,"3.3","1.8")&amp;"V_"&amp;Config1_Regulator&amp;"="&amp;Config1_VoltageCore&amp;"V'!"&amp;SAR_36MHz_IntRef)</definedName>
    <definedName name="Config1_SAR_36MHz_Vdda_2Ref">INDIRECT("'Data_"&amp;IF(Config1_Voltage&gt;2.5,"3.3","1.8")&amp;"V_"&amp;Config1_Regulator&amp;"="&amp;Config1_VoltageCore&amp;"V'!"&amp;SAR_36MHz_Vdda_2Ref)</definedName>
    <definedName name="Config1_SAR_36MHz_VddaRef">INDIRECT("'Data_"&amp;IF(Config1_Voltage&gt;2.5,"3.3","1.8")&amp;"V_"&amp;Config1_Regulator&amp;"="&amp;Config1_VoltageCore&amp;"V'!"&amp;SAR_36MHz_VddaRef)</definedName>
    <definedName name="Config1_SAR_Coef">INDIRECT("'Data_"&amp;IF(Config1_Voltage&gt;2.5,"3.3","1.8")&amp;"V_"&amp;Config1_Regulator&amp;"="&amp;Config1_VoltageCore&amp;"V'!"&amp;SAR_Coef)</definedName>
    <definedName name="Config1_SAR_DPSLP">INDIRECT("'Data_"&amp;IF(Config1_Voltage&gt;2.5,"3.3","1.8")&amp;"V_"&amp;Config1_Regulator&amp;"="&amp;Config1_VoltageCore&amp;"V'!"&amp;SAR_DPSLP)</definedName>
    <definedName name="Config1_SAR_DPSLP_ExtRef">INDIRECT("'Data_"&amp;IF(Config1_Voltage&gt;2.5,"3.3","1.8")&amp;"V_"&amp;Config1_Regulator&amp;"="&amp;Config1_VoltageCore&amp;"V'!"&amp;SAR_DPSLP_ExtRef)</definedName>
    <definedName name="Config1_SAR_DPSLP_Idle_Diff">INDIRECT("'Data_"&amp;IF(Config1_Voltage&gt;2.5,"3.3","1.8")&amp;"V_"&amp;Config1_Regulator&amp;"="&amp;Config1_VoltageCore&amp;"V'!"&amp;SAR_Idle_Diff_DPSLP)</definedName>
    <definedName name="Config1_SAR_DPSLP_IntRef">INDIRECT("'Data_"&amp;IF(Config1_Voltage&gt;2.5,"3.3","1.8")&amp;"V_"&amp;Config1_Regulator&amp;"="&amp;Config1_VoltageCore&amp;"V'!"&amp;SAR_DPSLP_IntRef)</definedName>
    <definedName name="Config1_SAR_DPSLP_Vdda_2Ref">INDIRECT("'Data_"&amp;IF(Config1_Voltage&gt;2.5,"3.3","1.8")&amp;"V_"&amp;Config1_Regulator&amp;"="&amp;Config1_VoltageCore&amp;"V'!"&amp;SAR_DPSLP_Vdda_2Ref)</definedName>
    <definedName name="Config1_SAR_Ped">INDIRECT("'Data_"&amp;IF(Config1_Voltage&gt;2.5,"3.3","1.8")&amp;"V_"&amp;Config1_Regulator&amp;"="&amp;Config1_VoltageCore&amp;"V'!"&amp;SAR_Ped)</definedName>
    <definedName name="Config1_SAR_Ped_SysGap">INDIRECT("'Data_"&amp;IF(Config1_Voltage&gt;2.5,"3.3","1.8")&amp;"V_"&amp;Config1_Regulator&amp;"="&amp;Config1_VoltageCore&amp;"V'!"&amp;SAR_Ped_SysGap)</definedName>
    <definedName name="Config1_SAR_Ped_Vdda">INDIRECT("'Data_"&amp;IF(Config1_Voltage&gt;2.5,"3.3","1.8")&amp;"V_"&amp;Config1_Regulator&amp;"="&amp;Config1_VoltageCore&amp;"V'!"&amp;SAR_Ped_Vdda)</definedName>
    <definedName name="Config1_SAR_Ped_Vdda2">INDIRECT("'Data_"&amp;IF(Config1_Voltage&gt;2.5,"3.3","1.8")&amp;"V_"&amp;Config1_Regulator&amp;"="&amp;Config1_VoltageCore&amp;"V'!"&amp;SAR_Ped_Vdda2)</definedName>
    <definedName name="Config1_Slow_Coef">IF(Config1_CM0p_CpuMode=CpuActive,INDIRECT("'Data_"&amp;IF(Config1_Voltage&gt;2.5,"3.3","1.8")&amp;"V_"&amp;Config1_Regulator&amp;"="&amp;Config1_VoltageCore&amp;"V'!"&amp;CM0p_Active_Coef),INDIRECT("'Data_"&amp;IF(Config1_Voltage&gt;2.5,"3.3","1.8")&amp;"V_"&amp;Config1_Regulator&amp;"="&amp;Config1_VoltageCore&amp;"V'!"&amp;CM0p_Sleep_Coef))</definedName>
    <definedName name="Config1_SMIF_Clk">INDIRECT("'Data_"&amp;IF(Config1_Voltage&gt;2.5,"3.3","1.8")&amp;"V_"&amp;Config1_Regulator&amp;"="&amp;Config1_VoltageCore&amp;"V'!"&amp;SMIF_Clk)</definedName>
    <definedName name="Config1_SMIF_Dis">INDIRECT("'Data_"&amp;IF(Config1_Voltage&gt;2.5,"3.3","1.8")&amp;"V_"&amp;Config1_Regulator&amp;"="&amp;Config1_VoltageCore&amp;"V'!"&amp;SMIF_Dis)</definedName>
    <definedName name="Config1_SMIF_DMA">INDIRECT("'Data_"&amp;IF(Config1_Voltage&gt;2.5,"3.3","1.8")&amp;"V_"&amp;Config1_Regulator&amp;"="&amp;Config1_VoltageCore&amp;"V'!"&amp;SMIF_DMA)</definedName>
    <definedName name="Config1_SMIF_En">INDIRECT("'Data_"&amp;IF(Config1_Voltage&gt;2.5,"3.3","1.8")&amp;"V_"&amp;Config1_Regulator&amp;"="&amp;Config1_VoltageCore&amp;"V'!"&amp;SMIF_En)</definedName>
    <definedName name="Config1_SMIF_Trans">INDIRECT("'Data_"&amp;IF(Config1_Voltage&gt;2.5,"3.3","1.8")&amp;"V_"&amp;Config1_Regulator&amp;"="&amp;Config1_VoltageCore&amp;"V'!"&amp;SMIF_Trans)</definedName>
    <definedName name="Config1_SPI_Coef">INDIRECT("'Data_"&amp;IF(Config1_Voltage&gt;2.5,"3.3","1.8")&amp;"V_"&amp;Config1_Regulator&amp;"="&amp;Config1_VoltageCore&amp;"V'!"&amp;Spi_Coef)</definedName>
    <definedName name="Config1_SPI_EnableCoef">INDIRECT("'Data_"&amp;IF(Config1_Voltage&gt;2.5,"3.3","1.8")&amp;"V_"&amp;Config1_Regulator&amp;"="&amp;Config1_VoltageCore&amp;"V'!"&amp;Spi_EnableCoef)</definedName>
    <definedName name="Config1_SPI_EnablePed">INDIRECT("'Data_"&amp;IF(Config1_Voltage&gt;2.5,"3.3","1.8")&amp;"V_"&amp;Config1_Regulator&amp;"="&amp;Config1_VoltageCore&amp;"V'!"&amp;Spi_EnablePed)</definedName>
    <definedName name="Config1_SPI_EnablePeriCoef">INDIRECT("'Data_"&amp;IF(Config1_Voltage&gt;2.5,"3.3","1.8")&amp;"V_"&amp;Config1_Regulator&amp;"="&amp;Config1_VoltageCore&amp;"V'!"&amp;Spi_EnablePeriCoef)</definedName>
    <definedName name="Config1_SystemMode">'Config(1)'!$D$8</definedName>
    <definedName name="Config1_Tcpwm_Count">COUNTIF('Config(1)'!$B$118:$B$181,TRUE)</definedName>
    <definedName name="Config1_Tcpwm_EnPed">INDIRECT("'Data_"&amp;IF(Config1_Voltage&gt;2.5,"3.3","1.8")&amp;"V_"&amp;Config1_Regulator&amp;"="&amp;Config1_VoltageCore&amp;"V'!"&amp;Tcpwm_EnPed)</definedName>
    <definedName name="Config1_Tcpwm_TrigCoef">INDIRECT("'Data_"&amp;IF(Config1_Voltage&gt;2.5,"3.3","1.8")&amp;"V_"&amp;Config1_Regulator&amp;"="&amp;Config1_VoltageCore&amp;"V'!"&amp;Tcpwm_TrigCoef)</definedName>
    <definedName name="Config1_Tcpwm_TrigPeriCoef">INDIRECT("'Data_"&amp;IF(Config1_Voltage&gt;2.5,"3.3","1.8")&amp;"V_"&amp;Config1_Regulator&amp;"="&amp;Config1_VoltageCore&amp;"V'!"&amp;Tcpwm_TrigPeriCoef)</definedName>
    <definedName name="Config1_UART_Coef">INDIRECT("'Data_"&amp;IF(Config1_Voltage&gt;2.5,"3.3","1.8")&amp;"V_"&amp;Config1_Regulator&amp;"="&amp;Config1_VoltageCore&amp;"V'!"&amp;Uart_Coef)</definedName>
    <definedName name="Config1_UART_EnableCoef">INDIRECT("'Data_"&amp;IF(Config1_Voltage&gt;2.5,"3.3","1.8")&amp;"V_"&amp;Config1_Regulator&amp;"="&amp;Config1_VoltageCore&amp;"V'!"&amp;Uart_EnableCoef)</definedName>
    <definedName name="Config1_UART_EnablePed">INDIRECT("'Data_"&amp;IF(Config1_Voltage&gt;2.5,"3.3","1.8")&amp;"V_"&amp;Config1_Regulator&amp;"="&amp;Config1_VoltageCore&amp;"V'!"&amp;UART_EnablePed)</definedName>
    <definedName name="Config1_UART_RunPed">INDIRECT("'Data_"&amp;IF(Config1_Voltage&gt;2.5,"3.3","1.8")&amp;"V_"&amp;Config1_Regulator&amp;"="&amp;Config1_VoltageCore&amp;"V'!"&amp;UART_RunPed)</definedName>
    <definedName name="Config1_Usb_ConfigCon">INDIRECT("'Data_"&amp;IF(Config1_Voltage&gt;2.5,"3.3","1.8")&amp;"V_"&amp;Config1_Regulator&amp;"="&amp;Config1_VoltageCore&amp;"V'!"&amp;Usb_ConfigCon)</definedName>
    <definedName name="Config1_Usb_Off">INDIRECT("'Data_"&amp;IF(Config1_Voltage&gt;2.5,"3.3","1.8")&amp;"V_"&amp;Config1_Regulator&amp;"="&amp;Config1_VoltageCore&amp;"V'!"&amp;Usb_Off)</definedName>
    <definedName name="Config1_Usb_SuspendCon">INDIRECT("'Data_"&amp;IF(Config1_Voltage&gt;2.5,"3.3","1.8")&amp;"V_"&amp;Config1_Regulator&amp;"="&amp;Config1_VoltageCore&amp;"V'!"&amp;Usb_SuspendCon)</definedName>
    <definedName name="Config1_Usb_SuspendDis">INDIRECT("'Data_"&amp;IF(Config1_Voltage&gt;2.5,"3.3","1.8")&amp;"V_"&amp;Config1_Regulator&amp;"="&amp;Config1_VoltageCore&amp;"V'!"&amp;Usb_SuspendDis)</definedName>
    <definedName name="Config1_Voltage">'Config(1)'!$D$5</definedName>
    <definedName name="Config1_VoltageCore">'Config(1)'!$D$7</definedName>
    <definedName name="Config1_WCO_Ped">INDIRECT("'Data_"&amp;IF(Config1_Voltage&gt;2.5,"3.3","1.8")&amp;"V_"&amp;Config1_Regulator&amp;"="&amp;Config1_VoltageCore&amp;"V'!"&amp;WCO_Ped)</definedName>
    <definedName name="Config2_AllClocksOff">OR(Config2_SystemMode=SystemDeepSleep,Config2_SystemMode=SystemHibernate)</definedName>
    <definedName name="Config2_AllClocksOn">NOT(Config2_AllClocksOff)</definedName>
    <definedName name="Config2_CapSense_Coef">INDIRECT("'Data_"&amp;IF(Config2_Voltage&gt;2.5,"3.3","1.8")&amp;"V_"&amp;Config2_Regulator&amp;"="&amp;Config2_VoltageCore&amp;"V'!"&amp;CapSense_Coef)</definedName>
    <definedName name="Config2_CapSense_Ped">INDIRECT("'Data_"&amp;IF(Config2_Voltage&gt;2.5,"3.3","1.8")&amp;"V_"&amp;Config2_Regulator&amp;"="&amp;Config2_VoltageCore&amp;"V'!"&amp;CapSense_Ped)</definedName>
    <definedName name="Config2_CM0p_Coef">IF(Config2_CM0p_CpuMode=CpuActive,INDIRECT("'Data_"&amp;IF(Config2_Voltage&gt;2.5,"3.3","1.8")&amp;"V_"&amp;Config2_Regulator&amp;"="&amp;Config2_VoltageCore&amp;"V'!"&amp;CM0p_Active_Coef),INDIRECT("'Data_"&amp;IF(Config2_Voltage&gt;2.5,"3.3","1.8")&amp;"V_"&amp;Config2_Regulator&amp;"="&amp;Config2_VoltageCore&amp;"V'!"&amp;CM0p_Sleep_Coef))</definedName>
    <definedName name="Config2_CM0p_CpuMode">'Config(2)'!$D$9</definedName>
    <definedName name="Config2_CM4_CpuMode">'Config(2)'!$D$10</definedName>
    <definedName name="Config2_DAC_Ped">INDIRECT("'Data_"&amp;IF(Config2_Voltage&gt;2.5,"3.3","1.8")&amp;"V_"&amp;Config2_Regulator&amp;"="&amp;Config2_VoltageCore&amp;"V'!"&amp;DAC_Ped)</definedName>
    <definedName name="Config2_DeepSleep_Cur">INDIRECT("'Data_"&amp;IF(Config2_Voltage&gt;2.5,"3.3","1.8")&amp;"V_"&amp;Config2_Regulator&amp;"="&amp;Config2_VoltageCore&amp;"V'!"&amp;DeepSleep_Cur)</definedName>
    <definedName name="Config2_ECO_Coef">INDIRECT("'Data_"&amp;IF(Config2_Voltage&gt;2.5,"3.3","1.8")&amp;"V_"&amp;Config2_Regulator&amp;"="&amp;Config2_VoltageCore&amp;"V'!"&amp;ECO_Coef)</definedName>
    <definedName name="Config2_Fast_Coef">IF(Config2_CM4_CpuMode=CpuActive,INDIRECT("'Data_"&amp;IF(Config2_Voltage&gt;2.5,"3.3","1.8")&amp;"V_"&amp;Config2_Regulator&amp;"="&amp;Config2_VoltageCore&amp;"V'!"&amp;CM4_Active_Coef),IF(Config2_CM4_CpuMode=CpuOff,INDIRECT("'Data_"&amp;IF(Config2_Voltage&gt;2.5,"3.3","1.8")&amp;"V_"&amp;Config2_Regulator&amp;"="&amp;Config2_VoltageCore&amp;"V'!"&amp;CM4_Off_Coef),INDIRECT("'Data_"&amp;IF(Config2_Voltage&gt;2.5,"3.3","1.8")&amp;"V_"&amp;Config2_Regulator&amp;"="&amp;Config2_VoltageCore&amp;"V'!"&amp;CM4_Sleep_Coef)))</definedName>
    <definedName name="Config2_FLL_Coef">INDIRECT("'Data_"&amp;IF(Config2_Voltage&gt;2.5,"3.3","1.8")&amp;"V_"&amp;Config2_Regulator&amp;"="&amp;Config2_VoltageCore&amp;"V'!"&amp;FLL_Coef)</definedName>
    <definedName name="Config2_HFCLK_Coefs">INDIRECT("'Data_"&amp;IF(Config2_Voltage&gt;2.5,"3.3","1.8")&amp;"V_"&amp;Config2_Regulator&amp;"="&amp;Config2_VoltageCore&amp;"V'!"&amp;HFCLK_Coefs)</definedName>
    <definedName name="Config2_HFCLK0">IF('Config(2)'!$E$21="FLL",'Config(2)'!$D$13,IF('Config(2)'!$E$21="PLL",'Config(2)'!$D$14,IF('Config(2)'!$E$21="IMO",8,0)))/POWER(2,MATCH('Config(2)'!$D$21,Dividers)-1)</definedName>
    <definedName name="Config2_HFCLK1">IF('Config(2)'!$E$22="FLL",'Config(2)'!$D$13,IF('Config(2)'!$E$22="PLL",'Config(2)'!$D$14,IF('Config(2)'!$E$22="IMO",8,0)))/POWER(2,MATCH('Config(2)'!$D$22,Dividers)-1)</definedName>
    <definedName name="Config2_HFCLK2">IF('Config(2)'!$E$23="FLL",'Config(2)'!$D$13,IF('Config(2)'!$E$23="PLL",'Config(2)'!$D$14,IF('Config(2)'!$E$23="IMO",8,0)))/POWER(2,MATCH('Config(2)'!$D$23,Dividers)-1)</definedName>
    <definedName name="Config2_HFCLK3">IF('Config(2)'!$E$24="FLL",'Config(2)'!$D$13,IF('Config(2)'!$E$24="PLL",'Config(2)'!$D$14,IF('Config(2)'!$E$24="IMO",8,0)))/POWER(2,MATCH('Config(2)'!$D$24,Dividers)-1)</definedName>
    <definedName name="Config2_HFCLK4">IF('Config(2)'!$E$25="FLL",'Config(2)'!$D$13,IF('Config(2)'!$E$25="PLL",'Config(2)'!$D$14,IF('Config(2)'!$E$25="IMO",8,0)))/POWER(2,MATCH('Config(2)'!$D$25,Dividers)-1)</definedName>
    <definedName name="Config2_HFCLK5">IF('Config(2)'!$E$26="FLL",'Config(2)'!$D$13,IF('Config(2)'!$E$26="PLL",'Config(2)'!$D$14,IF('Config(2)'!$E$26="IMO",8,0)))/POWER(2,MATCH('Config(2)'!$D$26,Dividers)-1)</definedName>
    <definedName name="Config2_Hibernate_Cur">INDIRECT("'Data_"&amp;IF(Config2_Voltage&gt;2.5,"3.3","1.8")&amp;"V_"&amp;Config2_Regulator&amp;"="&amp;Config2_VoltageCore&amp;"V'!"&amp;Hibernate_Cur)</definedName>
    <definedName name="Config2_I2C_Coef">INDIRECT("'Data_"&amp;IF(Config2_Voltage&gt;2.5,"3.3","1.8")&amp;"V_"&amp;Config2_Regulator&amp;"="&amp;Config2_VoltageCore&amp;"V'!"&amp;I2c_Coef)</definedName>
    <definedName name="Config2_I2C_EnableCoef">INDIRECT("'Data_"&amp;IF(Config2_Voltage&gt;2.5,"3.3","1.8")&amp;"V_"&amp;Config2_Regulator&amp;"="&amp;Config2_VoltageCore&amp;"V'!"&amp;I2c_EnableCoef)</definedName>
    <definedName name="Config2_I2C_EnablePed">INDIRECT("'Data_"&amp;IF(Config2_Voltage&gt;2.5,"3.3","1.8")&amp;"V_"&amp;Config2_Regulator&amp;"="&amp;Config2_VoltageCore&amp;"V'!"&amp;I2c_EnablePed)</definedName>
    <definedName name="Config2_I2C_RunPed">INDIRECT("'Data_"&amp;IF(Config2_Voltage&gt;2.5,"3.3","1.8")&amp;"V_"&amp;Config2_Regulator&amp;"="&amp;Config2_VoltageCore&amp;"V'!"&amp;I2c_RunPed)</definedName>
    <definedName name="Config2_ILO_Ped">INDIRECT("'Data_"&amp;IF(Config2_Voltage&gt;2.5,"3.3","1.8")&amp;"V_"&amp;Config2_Regulator&amp;"="&amp;Config2_VoltageCore&amp;"V'!"&amp;ILO_Ped)</definedName>
    <definedName name="Config2_IMO_Ped">INDIRECT("'Data_"&amp;IF(Config2_Voltage&gt;2.5,"3.3","1.8")&amp;"V_"&amp;Config2_Regulator&amp;"="&amp;Config2_VoltageCore&amp;"V'!"&amp;IMO_Ped)</definedName>
    <definedName name="Config2_LP_Fast">INDIRECT("'Data_"&amp;IF(Config2_Voltage&gt;2.5,"3.3","1.8")&amp;"V_"&amp;Config2_Regulator&amp;"="&amp;Config2_VoltageCore&amp;"V'!"&amp;LP_Fast)</definedName>
    <definedName name="Config2_LP_Med">INDIRECT("'Data_"&amp;IF(Config2_Voltage&gt;2.5,"3.3","1.8")&amp;"V_"&amp;Config2_Regulator&amp;"="&amp;Config2_VoltageCore&amp;"V'!"&amp;LP_Med)</definedName>
    <definedName name="Config2_LP_Slow">INDIRECT("'Data_"&amp;IF(Config2_Voltage&gt;2.5,"3.3","1.8")&amp;"V_"&amp;Config2_Regulator&amp;"="&amp;Config2_VoltageCore&amp;"V'!"&amp;LP_Slow)</definedName>
    <definedName name="Config2_OpAmp_High_nLoad">INDIRECT("'Data_"&amp;IF(Config2_Voltage&gt;2.5,"3.3","1.8")&amp;"V_"&amp;Config2_Regulator&amp;"="&amp;Config2_VoltageCore&amp;"V'!"&amp;OpAmp_High_nLoad)</definedName>
    <definedName name="Config2_OpAmp_High_wLoad">INDIRECT("'Data_"&amp;IF(Config2_Voltage&gt;2.5,"3.3","1.8")&amp;"V_"&amp;Config2_Regulator&amp;"="&amp;Config2_VoltageCore&amp;"V'!"&amp;OpAmp_High_wLoad)</definedName>
    <definedName name="Config2_OpAmp_Low_nLoad">INDIRECT("'Data_"&amp;IF(Config2_Voltage&gt;2.5,"3.3","1.8")&amp;"V_"&amp;Config2_Regulator&amp;"="&amp;Config2_VoltageCore&amp;"V'!"&amp;OpAmp_Low_nLoad)</definedName>
    <definedName name="Config2_OpAmp_Low_wLoad">INDIRECT("'Data_"&amp;IF(Config2_Voltage&gt;2.5,"3.3","1.8")&amp;"V_"&amp;Config2_Regulator&amp;"="&amp;Config2_VoltageCore&amp;"V'!"&amp;OpAmp_Low_wLoad)</definedName>
    <definedName name="Config2_OpAmp_Med_nLoad">INDIRECT("'Data_"&amp;IF(Config2_Voltage&gt;2.5,"3.3","1.8")&amp;"V_"&amp;Config2_Regulator&amp;"="&amp;Config2_VoltageCore&amp;"V'!"&amp;OpAmp_Med_nLoad)</definedName>
    <definedName name="Config2_OpAmp_Med_wLoad">INDIRECT("'Data_"&amp;IF(Config2_Voltage&gt;2.5,"3.3","1.8")&amp;"V_"&amp;Config2_Regulator&amp;"="&amp;Config2_VoltageCore&amp;"V'!"&amp;OpAmp_Med_wLoad)</definedName>
    <definedName name="Config2_Peri_Coef">INDIRECT("'Data_"&amp;IF(Config2_Voltage&gt;2.5,"3.3","1.8")&amp;"V_"&amp;Config2_Regulator&amp;"="&amp;Config2_VoltageCore&amp;"V'!"&amp;Peri_Coef)</definedName>
    <definedName name="Config2_PILO_Ped">INDIRECT("'Data_"&amp;IF(Config2_Voltage&gt;2.5,"3.3","1.8")&amp;"V_"&amp;Config2_Regulator&amp;"="&amp;Config2_VoltageCore&amp;"V'!"&amp;PILO_Ped)</definedName>
    <definedName name="Config2_PLL_Coef">INDIRECT("'Data_"&amp;IF(Config2_Voltage&gt;2.5,"3.3","1.8")&amp;"V_"&amp;Config2_Regulator&amp;"="&amp;Config2_VoltageCore&amp;"V'!"&amp;PLL_Coef)</definedName>
    <definedName name="Config2_PLL_Coef_h40">INDIRECT("'Data_"&amp;IF(Config2_Voltage&gt;2.5,"3.3","1.8")&amp;"V_"&amp;Config2_Regulator&amp;"="&amp;Config2_VoltageCore&amp;"V'!"&amp;PLL_Coef_h40)</definedName>
    <definedName name="Config2_PLL_Coef_l40">INDIRECT("'Data_"&amp;IF(Config2_Voltage&gt;2.5,"3.3","1.8")&amp;"V_"&amp;Config2_Regulator&amp;"="&amp;Config2_VoltageCore&amp;"V'!"&amp;PLL_Coef_l40)</definedName>
    <definedName name="Config2_PLL_Ped_h40">INDIRECT("'Data_"&amp;IF(Config2_Voltage&gt;2.5,"3.3","1.8")&amp;"V_"&amp;Config2_Regulator&amp;"="&amp;Config2_VoltageCore&amp;"V'!"&amp;PLL_Ped_h40)</definedName>
    <definedName name="Config2_PLL_Ped_l40">INDIRECT("'Data_"&amp;IF(Config2_Voltage&gt;2.5,"3.3","1.8")&amp;"V_"&amp;Config2_Regulator&amp;"="&amp;Config2_VoltageCore&amp;"V'!"&amp;PLL_Ped_l40)</definedName>
    <definedName name="Config2_Regulator">'Config(2)'!$D$6</definedName>
    <definedName name="Config2_SAR_Coef">INDIRECT("'Data_"&amp;IF(Config2_Voltage&gt;2.5,"3.3","1.8")&amp;"V_"&amp;Config2_Regulator&amp;"="&amp;Config2_VoltageCore&amp;"V'!"&amp;SAR_Coef)</definedName>
    <definedName name="Config2_SAR_Ped">INDIRECT("'Data_"&amp;IF(Config2_Voltage&gt;2.5,"3.3","1.8")&amp;"V_"&amp;Config2_Regulator&amp;"="&amp;Config2_VoltageCore&amp;"V'!"&amp;SAR_Ped)</definedName>
    <definedName name="Config2_SAR_Ped_SysGap">INDIRECT("'Data_"&amp;IF(Config2_Voltage&gt;2.5,"3.3","1.8")&amp;"V_"&amp;Config2_Regulator&amp;"="&amp;Config2_VoltageCore&amp;"V'!"&amp;SAR_Ped_SysGap)</definedName>
    <definedName name="Config2_SAR_Ped_Vdda">INDIRECT("'Data_"&amp;IF(Config2_Voltage&gt;2.5,"3.3","1.8")&amp;"V_"&amp;Config2_Regulator&amp;"="&amp;Config2_VoltageCore&amp;"V'!"&amp;SAR_Ped_Vdda)</definedName>
    <definedName name="Config2_SAR_Ped_Vdda2">INDIRECT("'Data_"&amp;IF(Config2_Voltage&gt;2.5,"3.3","1.8")&amp;"V_"&amp;Config2_Regulator&amp;"="&amp;Config2_VoltageCore&amp;"V'!"&amp;SAR_Ped_Vdda2)</definedName>
    <definedName name="Config2_Slow_Coef">IF(Config2_CM0p_CpuMode=CpuActive,INDIRECT("'Data_"&amp;IF(Config2_Voltage&gt;2.5,"3.3","1.8")&amp;"V_"&amp;Config2_Regulator&amp;"="&amp;Config1_VoltageCore&amp;"V'!"&amp;CM0p_Active_Coef),INDIRECT("'Data_"&amp;IF(Config2_Voltage&gt;2.5,"3.3","1.8")&amp;"V_"&amp;Config2_Regulator&amp;"="&amp;Config2_VoltageCore&amp;"V'!"&amp;CM0p_Sleep_Coef))</definedName>
    <definedName name="Config2_SMIF_Clk">INDIRECT("'Data_"&amp;IF(Config2_Voltage&gt;2.5,"3.3","1.8")&amp;"V_"&amp;Config2_Regulator&amp;"="&amp;Config2_VoltageCore&amp;"V'!"&amp;SMIF_Clk)</definedName>
    <definedName name="Config2_SMIF_Dis">INDIRECT("'Data_"&amp;IF(Config2_Voltage&gt;2.5,"3.3","1.8")&amp;"V_"&amp;Config2_Regulator&amp;"="&amp;Config2_VoltageCore&amp;"V'!"&amp;SMIF_Dis)</definedName>
    <definedName name="Config2_SMIF_DMA">INDIRECT("'Data_"&amp;IF(Config2_Voltage&gt;2.5,"3.3","1.8")&amp;"V_"&amp;Config2_Regulator&amp;"="&amp;Config2_VoltageCore&amp;"V'!"&amp;SMIF_DMA)</definedName>
    <definedName name="Config2_SMIF_En">INDIRECT("'Data_"&amp;IF(Config2_Voltage&gt;2.5,"3.3","1.8")&amp;"V_"&amp;Config2_Regulator&amp;"="&amp;Config2_VoltageCore&amp;"V'!"&amp;SMIF_En)</definedName>
    <definedName name="Config2_SMIF_Trans">INDIRECT("'Data_"&amp;IF(Config2_Voltage&gt;2.5,"3.3","1.8")&amp;"V_"&amp;Config2_Regulator&amp;"="&amp;Config2_VoltageCore&amp;"V'!"&amp;SMIF_Trans)</definedName>
    <definedName name="Config2_SPI_Coef">INDIRECT("'Data_"&amp;IF(Config2_Voltage&gt;2.5,"3.3","1.8")&amp;"V_"&amp;Config2_Regulator&amp;"="&amp;Config2_VoltageCore&amp;"V'!"&amp;Spi_Coef)</definedName>
    <definedName name="Config2_SPI_EnableCoef">INDIRECT("'Data_"&amp;IF(Config2_Voltage&gt;2.5,"3.3","1.8")&amp;"V_"&amp;Config2_Regulator&amp;"="&amp;Config2_VoltageCore&amp;"V'!"&amp;Spi_EnableCoef)</definedName>
    <definedName name="Config2_SPI_EnablePed">INDIRECT("'Data_"&amp;IF(Config2_Voltage&gt;2.5,"3.3","1.8")&amp;"V_"&amp;Config2_Regulator&amp;"="&amp;Config2_VoltageCore&amp;"V'!"&amp;Spi_EnablePed)</definedName>
    <definedName name="Config2_SPI_EnablePeriCoef">INDIRECT("'Data_"&amp;IF(Config2_Voltage&gt;2.5,"3.3","1.8")&amp;"V_"&amp;Config2_Regulator&amp;"="&amp;Config2_VoltageCore&amp;"V'!"&amp;Spi_EnablePeriCoef)</definedName>
    <definedName name="Config2_SystemMode">'Config(2)'!$D$8</definedName>
    <definedName name="Config2_Tcpwm_Count">COUNTIF('Config(2)'!$B$118:$B$181,TRUE)</definedName>
    <definedName name="Config2_Tcpwm_EnPed">INDIRECT("'Data_"&amp;IF(Config2_Voltage&gt;2.5,"3.3","1.8")&amp;"V_"&amp;Config2_Regulator&amp;"="&amp;Config2_VoltageCore&amp;"V'!"&amp;Tcpwm_EnPed)</definedName>
    <definedName name="Config2_Tcpwm_TrigCoef">INDIRECT("'Data_"&amp;IF(Config2_Voltage&gt;2.5,"3.3","1.8")&amp;"V_"&amp;Config2_Regulator&amp;"="&amp;Config2_VoltageCore&amp;"V'!"&amp;Tcpwm_TrigCoef)</definedName>
    <definedName name="Config2_Tcpwm_TrigPeriCoef">INDIRECT("'Data_"&amp;IF(Config2_Voltage&gt;2.5,"3.3","1.8")&amp;"V_"&amp;Config2_Regulator&amp;"="&amp;Config2_VoltageCore&amp;"V'!"&amp;Tcpwm_TrigPeriCoef)</definedName>
    <definedName name="Config2_UART_Coef">INDIRECT("'Data_"&amp;IF(Config2_Voltage&gt;2.5,"3.3","1.8")&amp;"V_"&amp;Config2_Regulator&amp;"="&amp;Config2_VoltageCore&amp;"V'!"&amp;Uart_Coef)</definedName>
    <definedName name="Config2_UART_EnableCoef">INDIRECT("'Data_"&amp;IF(Config2_Voltage&gt;2.5,"3.3","1.8")&amp;"V_"&amp;Config2_Regulator&amp;"="&amp;Config2_VoltageCore&amp;"V'!"&amp;Uart_EnableCoef)</definedName>
    <definedName name="Config2_UART_EnablePed">INDIRECT("'Data_"&amp;IF(Config2_Voltage&gt;2.5,"3.3","1.8")&amp;"V_"&amp;Config2_Regulator&amp;"="&amp;Config2_VoltageCore&amp;"V'!"&amp;UART_EnablePed)</definedName>
    <definedName name="Config2_UART_RunPed">INDIRECT("'Data_"&amp;IF(Config2_Voltage&gt;2.5,"3.3","1.8")&amp;"V_"&amp;Config2_Regulator&amp;"="&amp;Config2_VoltageCore&amp;"V'!"&amp;UART_RunPed)</definedName>
    <definedName name="Config2_Usb_ConfigCon">INDIRECT("'Data_"&amp;IF(Config2_Voltage&gt;2.5,"3.3","1.8")&amp;"V_"&amp;Config2_Regulator&amp;"="&amp;Config2_VoltageCore&amp;"V'!"&amp;Usb_ConfigCon)</definedName>
    <definedName name="Config2_Usb_Off">INDIRECT("'Data_"&amp;IF(Config2_Voltage&gt;2.5,"3.3","1.8")&amp;"V_"&amp;Config2_Regulator&amp;"="&amp;Config2_VoltageCore&amp;"V'!"&amp;Usb_Off)</definedName>
    <definedName name="Config2_Usb_SuspendCon">INDIRECT("'Data_"&amp;IF(Config2_Voltage&gt;2.5,"3.3","1.8")&amp;"V_"&amp;Config2_Regulator&amp;"="&amp;Config2_VoltageCore&amp;"V'!"&amp;Usb_SuspendCon)</definedName>
    <definedName name="Config2_Usb_SuspendDis">INDIRECT("'Data_"&amp;IF(Config2_Voltage&gt;2.5,"3.3","1.8")&amp;"V_"&amp;Config2_Regulator&amp;"="&amp;Config2_VoltageCore&amp;"V'!"&amp;Usb_SuspendDis)</definedName>
    <definedName name="Config2_Voltage">'Config(2)'!$D$5</definedName>
    <definedName name="Config2_VoltageCore">'Config(2)'!$D$7</definedName>
    <definedName name="Config2_WCO_Ped">INDIRECT("'Data_"&amp;IF(Config2_Voltage&gt;2.5,"3.3","1.8")&amp;"V_"&amp;Config2_Regulator&amp;"="&amp;Config2_VoltageCore&amp;"V'!"&amp;WCO_Ped)</definedName>
    <definedName name="Config3_AllClocksOff">OR(Config3_SystemMode=SystemDeepSleep,Config3_SystemMode=SystemHibernate)</definedName>
    <definedName name="Config3_AllClocksOn">NOT(Config3_AllClocksOff)</definedName>
    <definedName name="Config3_CapSense_Coef">INDIRECT("'Data_"&amp;IF(Config3_Voltage&gt;2.5,"3.3","1.8")&amp;"V_"&amp;Config3_Regulator&amp;"="&amp;Config3_VoltageCore&amp;"V'!"&amp;CapSense_Coef)</definedName>
    <definedName name="Config3_CapSense_Ped">INDIRECT("'Data_"&amp;IF(Config3_Voltage&gt;2.5,"3.3","1.8")&amp;"V_"&amp;Config3_Regulator&amp;"="&amp;Config3_VoltageCore&amp;"V'!"&amp;CapSense_Ped)</definedName>
    <definedName name="Config3_CM0p_Coef">IF(Config3_CM0p_CpuMode=CpuActive,INDIRECT("'Data_"&amp;IF(Config3_Voltage&gt;2.5,"3.3","1.8")&amp;"V_"&amp;Config3_Regulator&amp;"="&amp;Config3_VoltageCore&amp;"V'!"&amp;CM0p_Active_Coef),INDIRECT("'Data_"&amp;IF(Config3_Voltage&gt;2.5,"3.3","1.8")&amp;"V_"&amp;Config3_Regulator&amp;"="&amp;Config3_VoltageCore&amp;"V'!"&amp;CM0p_Sleep_Coef))</definedName>
    <definedName name="Config3_CM0p_CpuMode">'Config(3)'!$D$9</definedName>
    <definedName name="Config3_CM4_CpuMode">'Config(3)'!$D$10</definedName>
    <definedName name="Config3_DAC_Ped">INDIRECT("'Data_"&amp;IF(Config3_Voltage&gt;2.5,"3.3","1.8")&amp;"V_"&amp;Config3_Regulator&amp;"="&amp;Config3_VoltageCore&amp;"V'!"&amp;DAC_Ped)</definedName>
    <definedName name="Config3_DeepSleep_Cur">INDIRECT("'Data_"&amp;IF(Config3_Voltage&gt;2.5,"3.3","1.8")&amp;"V_"&amp;Config3_Regulator&amp;"="&amp;Config3_VoltageCore&amp;"V'!"&amp;DeepSleep_Cur)</definedName>
    <definedName name="Config3_ECO_Coef">INDIRECT("'Data_"&amp;IF(Config3_Voltage&gt;2.5,"3.3","1.8")&amp;"V_"&amp;Config3_Regulator&amp;"="&amp;Config3_VoltageCore&amp;"V'!"&amp;ECO_Coef)</definedName>
    <definedName name="Config3_Fast_Coef">IF(Config3_CM4_CpuMode=CpuActive,INDIRECT("'Data_"&amp;IF(Config3_Voltage&gt;2.5,"3.3","1.8")&amp;"V_"&amp;Config3_Regulator&amp;"="&amp;Config3_VoltageCore&amp;"V'!"&amp;CM4_Active_Coef),IF(Config3_CM4_CpuMode=CpuOff,INDIRECT("'Data_"&amp;IF(Config3_Voltage&gt;2.5,"3.3","1.8")&amp;"V_"&amp;Config3_Regulator&amp;"="&amp;Config3_VoltageCore&amp;"V'!"&amp;CM4_Off_Coef),INDIRECT("'Data_"&amp;IF(Config3_Voltage&gt;2.5,"3.3","1.8")&amp;"V_"&amp;Config3_Regulator&amp;"="&amp;Config3_VoltageCore&amp;"V'!"&amp;CM4_Sleep_Coef)))</definedName>
    <definedName name="Config3_FLL_Coef">INDIRECT("'Data_"&amp;IF(Config3_Voltage&gt;2.5,"3.3","1.8")&amp;"V_"&amp;Config3_Regulator&amp;"="&amp;Config3_VoltageCore&amp;"V'!"&amp;FLL_Coef)</definedName>
    <definedName name="Config3_HFCLK_Coefs">INDIRECT("'Data_"&amp;IF(Config3_Voltage&gt;2.5,"3.3","1.8")&amp;"V_"&amp;Config3_Regulator&amp;"="&amp;Config3_VoltageCore&amp;"V'!"&amp;HFCLK_Coefs)</definedName>
    <definedName name="Config3_HFCLK0">IF('Config(3)'!$E$21="FLL",'Config(3)'!$D$13,IF('Config(3)'!$E$21="PLL",'Config(3)'!$D$14,IF('Config(3)'!$E$21="IMO",8,0)))/POWER(2,MATCH('Config(3)'!$D$21,Dividers)-1)</definedName>
    <definedName name="Config3_HFCLK1">IF('Config(3)'!$E$22="FLL",'Config(3)'!$D$13,IF('Config(3)'!$E$22="PLL",'Config(3)'!$D$14,IF('Config(3)'!$E$22="IMO",8,0)))/POWER(2,MATCH('Config(3)'!$D$22,Dividers)-1)</definedName>
    <definedName name="Config3_HFCLK2">IF('Config(3)'!$E$23="FLL",'Config(3)'!$D$13,IF('Config(3)'!$E$23="PLL",'Config(3)'!$D$14,IF('Config(3)'!$E$23="IMO",8,0)))/POWER(2,MATCH('Config(3)'!$D$23,Dividers)-1)</definedName>
    <definedName name="Config3_HFCLK3">IF('Config(3)'!$E$24="FLL",'Config(3)'!$D$13,IF('Config(3)'!$E$24="PLL",'Config(3)'!$D$14,IF('Config(3)'!$E$24="IMO",8,0)))/POWER(2,MATCH('Config(3)'!$D$24,Dividers)-1)</definedName>
    <definedName name="Config3_HFCLK4">IF('Config(3)'!$E$25="FLL",'Config(3)'!$D$13,IF('Config(3)'!$E$25="PLL",'Config(3)'!$D$14,IF('Config(3)'!$E$25="IMO",8,0)))/POWER(2,MATCH('Config(3)'!$D$25,Dividers)-1)</definedName>
    <definedName name="Config3_HFCLK5">IF('Config(5)'!$E$26="FLL",'Config(5)'!$D$13,IF('Config(5)'!$E$26="PLL",'Config(5)'!$D$14,IF('Config(5)'!$E$26="IMO",8,0)))/POWER(2,MATCH('Config(5)'!$D$26,Dividers)-1)</definedName>
    <definedName name="Config3_Hibernate_Cur">INDIRECT("'Data_"&amp;IF(Config3_Voltage&gt;2.5,"3.3","1.8")&amp;"V_"&amp;Config3_Regulator&amp;"="&amp;Config3_VoltageCore&amp;"V'!"&amp;Hibernate_Cur)</definedName>
    <definedName name="Config3_I2C_Coef">INDIRECT("'Data_"&amp;IF(Config3_Voltage&gt;2.5,"3.3","1.8")&amp;"V_"&amp;Config3_Regulator&amp;"="&amp;Config3_VoltageCore&amp;"V'!"&amp;I2c_Coef)</definedName>
    <definedName name="Config3_I2C_EnableCoef">INDIRECT("'Data_"&amp;IF(Config3_Voltage&gt;2.5,"3.3","1.8")&amp;"V_"&amp;Config3_Regulator&amp;"="&amp;Config3_VoltageCore&amp;"V'!"&amp;I2c_EnableCoef)</definedName>
    <definedName name="Config3_I2C_EnablePed">INDIRECT("'Data_"&amp;IF(Config3_Voltage&gt;2.5,"3.3","1.8")&amp;"V_"&amp;Config3_Regulator&amp;"="&amp;Config3_VoltageCore&amp;"V'!"&amp;I2c_EnablePed)</definedName>
    <definedName name="Config3_I2C_RunPed">INDIRECT("'Data_"&amp;IF(Config3_Voltage&gt;2.5,"3.3","1.8")&amp;"V_"&amp;Config3_Regulator&amp;"="&amp;Config3_VoltageCore&amp;"V'!"&amp;I2c_RunPed)</definedName>
    <definedName name="Config3_ILO_Ped">INDIRECT("'Data_"&amp;IF(Config3_Voltage&gt;2.5,"3.3","1.8")&amp;"V_"&amp;Config3_Regulator&amp;"="&amp;Config3_VoltageCore&amp;"V'!"&amp;ILO_Ped)</definedName>
    <definedName name="Config3_IMO_Ped">INDIRECT("'Data_"&amp;IF(Config3_Voltage&gt;2.5,"3.3","1.8")&amp;"V_"&amp;Config3_Regulator&amp;"="&amp;Config3_VoltageCore&amp;"V'!"&amp;IMO_Ped)</definedName>
    <definedName name="Config3_LP_Fast">INDIRECT("'Data_"&amp;IF(Config3_Voltage&gt;2.5,"3.3","1.8")&amp;"V_"&amp;Config3_Regulator&amp;"="&amp;Config3_VoltageCore&amp;"V'!"&amp;LP_Fast)</definedName>
    <definedName name="Config3_LP_Med">INDIRECT("'Data_"&amp;IF(Config3_Voltage&gt;2.5,"3.3","1.8")&amp;"V_"&amp;Config3_Regulator&amp;"="&amp;Config3_VoltageCore&amp;"V'!"&amp;LP_Med)</definedName>
    <definedName name="Config3_LP_Slow">INDIRECT("'Data_"&amp;IF(Config3_Voltage&gt;2.5,"3.3","1.8")&amp;"V_"&amp;Config3_Regulator&amp;"="&amp;Config3_VoltageCore&amp;"V'!"&amp;LP_Slow)</definedName>
    <definedName name="Config3_OpAmp_High_nLoad">INDIRECT("'Data_"&amp;IF(Config3_Voltage&gt;2.5,"3.3","1.8")&amp;"V_"&amp;Config3_Regulator&amp;"="&amp;Config3_VoltageCore&amp;"V'!"&amp;OpAmp_High_nLoad)</definedName>
    <definedName name="Config3_OpAmp_High_wLoad">INDIRECT("'Data_"&amp;IF(Config3_Voltage&gt;2.5,"3.3","1.8")&amp;"V_"&amp;Config3_Regulator&amp;"="&amp;Config3_VoltageCore&amp;"V'!"&amp;OpAmp_High_wLoad)</definedName>
    <definedName name="Config3_OpAmp_Low_nLoad">INDIRECT("'Data_"&amp;IF(Config3_Voltage&gt;2.5,"3.3","1.8")&amp;"V_"&amp;Config3_Regulator&amp;"="&amp;Config3_VoltageCore&amp;"V'!"&amp;OpAmp_Low_nLoad)</definedName>
    <definedName name="Config3_OpAmp_Low_wLoad">INDIRECT("'Data_"&amp;IF(Config3_Voltage&gt;2.5,"3.3","1.8")&amp;"V_"&amp;Config3_Regulator&amp;"="&amp;Config3_VoltageCore&amp;"V'!"&amp;OpAmp_Low_wLoad)</definedName>
    <definedName name="Config3_OpAmp_Med_nLoad">INDIRECT("'Data_"&amp;IF(Config3_Voltage&gt;2.5,"3.3","1.8")&amp;"V_"&amp;Config3_Regulator&amp;"="&amp;Config3_VoltageCore&amp;"V'!"&amp;OpAmp_Med_nLoad)</definedName>
    <definedName name="Config3_OpAmp_Med_wLoad">INDIRECT("'Data_"&amp;IF(Config3_Voltage&gt;2.5,"3.3","1.8")&amp;"V_"&amp;Config3_Regulator&amp;"="&amp;Config3_VoltageCore&amp;"V'!"&amp;OpAmp_Med_wLoad)</definedName>
    <definedName name="Config3_Peri_Coef">INDIRECT("'Data_"&amp;IF(Config3_Voltage&gt;2.5,"3.3","1.8")&amp;"V_"&amp;Config3_Regulator&amp;"="&amp;Config3_VoltageCore&amp;"V'!"&amp;Peri_Coef)</definedName>
    <definedName name="Config3_PILO_Ped">INDIRECT("'Data_"&amp;IF(Config3_Voltage&gt;2.5,"3.3","1.8")&amp;"V_"&amp;Config3_Regulator&amp;"="&amp;Config3_VoltageCore&amp;"V'!"&amp;PILO_Ped)</definedName>
    <definedName name="Config3_PLL_Coef">INDIRECT("'Data_"&amp;IF(Config3_Voltage&gt;2.5,"3.3","1.8")&amp;"V_"&amp;Config3_Regulator&amp;"="&amp;Config3_VoltageCore&amp;"V'!"&amp;PLL_Coef)</definedName>
    <definedName name="Config3_PLL_Coef_h40">INDIRECT("'Data_"&amp;IF(Config3_Voltage&gt;2.5,"3.3","1.8")&amp;"V_"&amp;Config3_Regulator&amp;"="&amp;Config3_VoltageCore&amp;"V'!"&amp;PLL_Coef_h40)</definedName>
    <definedName name="Config3_PLL_Coef_l40">INDIRECT("'Data_"&amp;IF(Config3_Voltage&gt;2.5,"3.3","1.8")&amp;"V_"&amp;Config3_Regulator&amp;"="&amp;Config3_VoltageCore&amp;"V'!"&amp;PLL_Coef_l40)</definedName>
    <definedName name="Config3_PLL_Ped_h40">INDIRECT("'Data_"&amp;IF(Config3_Voltage&gt;2.5,"3.3","1.8")&amp;"V_"&amp;Config3_Regulator&amp;"="&amp;Config3_VoltageCore&amp;"V'!"&amp;PLL_Ped_h40)</definedName>
    <definedName name="Config3_PLL_Ped_l40">INDIRECT("'Data_"&amp;IF(Config3_Voltage&gt;2.5,"3.3","1.8")&amp;"V_"&amp;Config3_Regulator&amp;"="&amp;Config3_VoltageCore&amp;"V'!"&amp;PLL_Ped_l40)</definedName>
    <definedName name="Config3_Regulator">'Config(3)'!$D$6</definedName>
    <definedName name="Config3_SAR_Coef">INDIRECT("'Data_"&amp;IF(Config3_Voltage&gt;2.5,"3.3","1.8")&amp;"V_"&amp;Config3_Regulator&amp;"="&amp;Config3_VoltageCore&amp;"V'!"&amp;SAR_Coef)</definedName>
    <definedName name="Config3_SAR_Ped">INDIRECT("'Data_"&amp;IF(Config3_Voltage&gt;2.5,"3.3","1.8")&amp;"V_"&amp;Config3_Regulator&amp;"="&amp;Config3_VoltageCore&amp;"V'!"&amp;SAR_Ped)</definedName>
    <definedName name="Config3_SAR_Ped_SysGap">INDIRECT("'Data_"&amp;IF(Config3_Voltage&gt;2.5,"3.3","1.8")&amp;"V_"&amp;Config3_Regulator&amp;"="&amp;Config3_VoltageCore&amp;"V'!"&amp;SAR_Ped_SysGap)</definedName>
    <definedName name="Config3_SAR_Ped_Vdda">INDIRECT("'Data_"&amp;IF(Config3_Voltage&gt;2.5,"3.3","1.8")&amp;"V_"&amp;Config3_Regulator&amp;"="&amp;Config3_VoltageCore&amp;"V'!"&amp;SAR_Ped_Vdda)</definedName>
    <definedName name="Config3_SAR_Ped_Vdda2">INDIRECT("'Data_"&amp;IF(Config3_Voltage&gt;2.5,"3.3","1.8")&amp;"V_"&amp;Config3_Regulator&amp;"="&amp;Config3_VoltageCore&amp;"V'!"&amp;SAR_Ped_Vdda2)</definedName>
    <definedName name="Config3_Slow_Coef">IF(Config3_CM0p_CpuMode=CpuActive,INDIRECT("'Data_"&amp;IF(Config3_Voltage&gt;2.5,"3.3","1.8")&amp;"V_"&amp;Config3_Regulator&amp;"="&amp;Config3_VoltageCore&amp;"V'!"&amp;CM0p_Active_Coef),INDIRECT("'Data_"&amp;IF(Config3_Voltage&gt;2.5,"3.3","1.8")&amp;"V_"&amp;Config3_Regulator&amp;"="&amp;Config3_VoltageCore&amp;"V'!"&amp;CM0p_Sleep_Coef))</definedName>
    <definedName name="Config3_SMIF_Clk">INDIRECT("'Data_"&amp;IF(Config3_Voltage&gt;2.5,"3.3","1.8")&amp;"V_"&amp;Config3_Regulator&amp;"="&amp;Config3_VoltageCore&amp;"V'!"&amp;SMIF_Clk)</definedName>
    <definedName name="Config3_SMIF_Dis">INDIRECT("'Data_"&amp;IF(Config3_Voltage&gt;2.5,"3.3","1.8")&amp;"V_"&amp;Config3_Regulator&amp;"="&amp;Config3_VoltageCore&amp;"V'!"&amp;SMIF_Dis)</definedName>
    <definedName name="Config3_SMIF_DMA">INDIRECT("'Data_"&amp;IF(Config3_Voltage&gt;2.5,"3.3","1.8")&amp;"V_"&amp;Config3_Regulator&amp;"="&amp;Config3_VoltageCore&amp;"V'!"&amp;SMIF_DMA)</definedName>
    <definedName name="Config3_SMIF_En">INDIRECT("'Data_"&amp;IF(Config3_Voltage&gt;2.5,"3.3","1.8")&amp;"V_"&amp;Config3_Regulator&amp;"="&amp;Config3_VoltageCore&amp;"V'!"&amp;SMIF_En)</definedName>
    <definedName name="Config3_SMIF_Trans">INDIRECT("'Data_"&amp;IF(Config3_Voltage&gt;2.5,"3.3","1.8")&amp;"V_"&amp;Config3_Regulator&amp;"="&amp;Config3_VoltageCore&amp;"V'!"&amp;SMIF_Trans)</definedName>
    <definedName name="Config3_SPI_Coef">INDIRECT("'Data_"&amp;IF(Config3_Voltage&gt;2.5,"3.3","1.8")&amp;"V_"&amp;Config3_Regulator&amp;"="&amp;Config3_VoltageCore&amp;"V'!"&amp;Spi_Coef)</definedName>
    <definedName name="Config3_SPI_EnableCoef">INDIRECT("'Data_"&amp;IF(Config3_Voltage&gt;2.5,"3.3","1.8")&amp;"V_"&amp;Config3_Regulator&amp;"="&amp;Config3_VoltageCore&amp;"V'!"&amp;Spi_EnableCoef)</definedName>
    <definedName name="Config3_SPI_EnablePed">INDIRECT("'Data_"&amp;IF(Config3_Voltage&gt;2.5,"3.3","1.8")&amp;"V_"&amp;Config3_Regulator&amp;"="&amp;Config3_VoltageCore&amp;"V'!"&amp;Spi_EnablePed)</definedName>
    <definedName name="Config3_SPI_EnablePeriCoef">INDIRECT("'Data_"&amp;IF(Config3_Voltage&gt;2.5,"3.3","1.8")&amp;"V_"&amp;Config3_Regulator&amp;"="&amp;Config3_VoltageCore&amp;"V'!"&amp;Spi_EnablePeriCoef)</definedName>
    <definedName name="Config3_SystemMode">'Config(3)'!$D$8</definedName>
    <definedName name="Config3_Tcpwm_Count">COUNTIF('Config(3)'!$B$118:$B$181,TRUE)</definedName>
    <definedName name="Config3_Tcpwm_EnPed">INDIRECT("'Data_"&amp;IF(Config3_Voltage&gt;2.5,"3.3","1.8")&amp;"V_"&amp;Config3_Regulator&amp;"="&amp;Config3_VoltageCore&amp;"V'!"&amp;Tcpwm_EnPed)</definedName>
    <definedName name="Config3_Tcpwm_TrigCoef">INDIRECT("'Data_"&amp;IF(Config3_Voltage&gt;2.5,"3.3","1.8")&amp;"V_"&amp;Config3_Regulator&amp;"="&amp;Config3_VoltageCore&amp;"V'!"&amp;Tcpwm_TrigCoef)</definedName>
    <definedName name="Config3_Tcpwm_TrigPeriCoef">INDIRECT("'Data_"&amp;IF(Config3_Voltage&gt;2.5,"3.3","1.8")&amp;"V_"&amp;Config3_Regulator&amp;"="&amp;Config3_VoltageCore&amp;"V'!"&amp;Tcpwm_TrigPeriCoef)</definedName>
    <definedName name="Config3_UART_Coef">INDIRECT("'Data_"&amp;IF(Config3_Voltage&gt;2.5,"3.3","1.8")&amp;"V_"&amp;Config3_Regulator&amp;"="&amp;Config3_VoltageCore&amp;"V'!"&amp;Uart_Coef)</definedName>
    <definedName name="Config3_UART_EnableCoef">INDIRECT("'Data_"&amp;IF(Config3_Voltage&gt;2.5,"3.3","1.8")&amp;"V_"&amp;Config3_Regulator&amp;"="&amp;Config3_VoltageCore&amp;"V'!"&amp;Uart_EnableCoef)</definedName>
    <definedName name="Config3_UART_EnablePed">INDIRECT("'Data_"&amp;IF(Config3_Voltage&gt;2.5,"3.3","1.8")&amp;"V_"&amp;Config3_Regulator&amp;"="&amp;Config3_VoltageCore&amp;"V'!"&amp;UART_EnablePed)</definedName>
    <definedName name="Config3_UART_RunPed">INDIRECT("'Data_"&amp;IF(Config3_Voltage&gt;2.5,"3.3","1.8")&amp;"V_"&amp;Config3_Regulator&amp;"="&amp;Config3_VoltageCore&amp;"V'!"&amp;UART_RunPed)</definedName>
    <definedName name="Config3_Usb_ConfigCon">INDIRECT("'Data_"&amp;IF(Config3_Voltage&gt;2.5,"3.3","1.8")&amp;"V_"&amp;Config3_Regulator&amp;"="&amp;Config3_VoltageCore&amp;"V'!"&amp;Usb_ConfigCon)</definedName>
    <definedName name="Config3_Usb_Off">INDIRECT("'Data_"&amp;IF(Config3_Voltage&gt;2.5,"3.3","1.8")&amp;"V_"&amp;Config3_Regulator&amp;"="&amp;Config3_VoltageCore&amp;"V'!"&amp;Usb_Off)</definedName>
    <definedName name="Config3_Usb_SuspendCon">INDIRECT("'Data_"&amp;IF(Config3_Voltage&gt;2.5,"3.3","1.8")&amp;"V_"&amp;Config3_Regulator&amp;"="&amp;Config3_VoltageCore&amp;"V'!"&amp;Usb_SuspendCon)</definedName>
    <definedName name="Config3_Usb_SuspendDis">INDIRECT("'Data_"&amp;IF(Config3_Voltage&gt;2.5,"3.3","1.8")&amp;"V_"&amp;Config3_Regulator&amp;"="&amp;Config3_VoltageCore&amp;"V'!"&amp;Usb_SuspendDis)</definedName>
    <definedName name="Config3_Voltage">'Config(3)'!$D$5</definedName>
    <definedName name="Config3_VoltageCore">'Config(3)'!$D$7</definedName>
    <definedName name="Config3_WCO_Ped">INDIRECT("'Data_"&amp;IF(Config3_Voltage&gt;2.5,"3.3","1.8")&amp;"V_"&amp;Config3_Regulator&amp;"="&amp;Config3_VoltageCore&amp;"V'!"&amp;WCO_Ped)</definedName>
    <definedName name="Config4_AllClocksOff">OR(Config4_SystemMode=SystemDeepSleep,Config4_SystemMode=SystemHibernate)</definedName>
    <definedName name="Config4_AllClocksOn">NOT(Config4_AllClocksOff)</definedName>
    <definedName name="Config4_CapSense_Coef">INDIRECT("'Data_"&amp;IF(Config4_Voltage&gt;2.5,"3.3","1.8")&amp;"V_"&amp;Config4_Regulator&amp;"="&amp;Config4_VoltageCore&amp;"V'!"&amp;CapSense_Coef)</definedName>
    <definedName name="Config4_CapSense_Ped">INDIRECT("'Data_"&amp;IF(Config4_Voltage&gt;2.5,"3.3","1.8")&amp;"V_"&amp;Config4_Regulator&amp;"="&amp;Config4_VoltageCore&amp;"V'!"&amp;CapSense_Coef)</definedName>
    <definedName name="Config4_CM0p_Coef">IF(Config4_CM0p_CpuMode=CpuActive,INDIRECT("'Data_"&amp;IF(Config4_Voltage&gt;2.5,"3.3","1.8")&amp;"V_"&amp;Config4_Regulator&amp;"="&amp;Config4_VoltageCore&amp;"V'!"&amp;CM0p_Active_Coef),INDIRECT("'Data_"&amp;IF(Config4_Voltage&gt;2.5,"3.3","1.8")&amp;"V_"&amp;Config4_Regulator&amp;"="&amp;Config4_VoltageCore&amp;"V'!"&amp;CM0p_Sleep_Coef))</definedName>
    <definedName name="Config4_CM0p_CpuMode">'Config(4)'!$D$9</definedName>
    <definedName name="Config4_CM4_CpuMode">'Config(4)'!$D$10</definedName>
    <definedName name="Config4_DAC_Ped">INDIRECT("'Data_"&amp;IF(Config4_Voltage&gt;2.5,"3.3","1.8")&amp;"V_"&amp;Config4_Regulator&amp;"="&amp;Config4_VoltageCore&amp;"V'!"&amp;DAC_Ped)</definedName>
    <definedName name="Config4_DeepSleep_Cur">INDIRECT("'Data_"&amp;IF(Config4_Voltage&gt;2.5,"3.3","1.8")&amp;"V_"&amp;Config4_Regulator&amp;"="&amp;Config4_VoltageCore&amp;"V'!"&amp;DeepSleep_Cur)</definedName>
    <definedName name="Config4_ECO_Coef">INDIRECT("'Data_"&amp;IF(Config4_Voltage&gt;2.5,"3.3","1.8")&amp;"V_"&amp;Config4_Regulator&amp;"="&amp;Config4_VoltageCore&amp;"V'!"&amp;ECO_Coef)</definedName>
    <definedName name="Config4_Fast_Coef">IF(Config4_CM4_CpuMode=CpuActive,INDIRECT("'Data_"&amp;IF(Config4_Voltage&gt;2.5,"3.3","1.8")&amp;"V_"&amp;Config4_Regulator&amp;"="&amp;Config4_VoltageCore&amp;"V'!"&amp;CM4_Active_Coef),IF(Config4_CM4_CpuMode=CpuOff,INDIRECT("'Data_"&amp;IF(Config4_Voltage&gt;2.5,"3.3","1.8")&amp;"V_"&amp;Config4_Regulator&amp;"="&amp;Config4_VoltageCore&amp;"V'!"&amp;CM4_Off_Coef),INDIRECT("'Data_"&amp;IF(Config4_Voltage&gt;2.5,"3.3","1.8")&amp;"V_"&amp;Config4_Regulator&amp;"="&amp;Config4_VoltageCore&amp;"V'!"&amp;CM4_Sleep_Coef)))</definedName>
    <definedName name="Config4_FLL_Coef">INDIRECT("'Data_"&amp;IF(Config4_Voltage&gt;2.5,"3.3","1.8")&amp;"V_"&amp;Config4_Regulator&amp;"="&amp;Config4_VoltageCore&amp;"V'!"&amp;FLL_Coef)</definedName>
    <definedName name="Config4_HFCLK_Coefs">INDIRECT("'Data_"&amp;IF(Config4_Voltage&gt;2.5,"3.3","1.8")&amp;"V_"&amp;Config4_Regulator&amp;"="&amp;Config4_VoltageCore&amp;"V'!"&amp;HFCLK_Coefs)</definedName>
    <definedName name="Config4_HFCLK0">IF('Config(4)'!$E$21="FLL",'Config(4)'!$D$13,IF('Config(4)'!$E$21="PLL",'Config(4)'!$D$14,IF('Config(4)'!$E$21="IMO",8,0)))/POWER(2,MATCH('Config(4)'!$D$21,Dividers)-1)</definedName>
    <definedName name="Config4_HFCLK1">IF('Config(4)'!$E$22="FLL",'Config(4)'!$D$13,IF('Config(4)'!$E$22="PLL",'Config(4)'!$D$14,IF('Config(4)'!$E$22="IMO",8,0)))/POWER(2,MATCH('Config(4)'!$D$22,Dividers)-1)</definedName>
    <definedName name="Config4_HFCLK2">IF('Config(4)'!$E$23="FLL",'Config(4)'!$D$13,IF('Config(1)'!$E$23="PLL",'Config(4)'!$D$14,IF('Config(4)'!$E$23="IMO",8,0)))/POWER(2,MATCH('Config(4)'!$D$23,Dividers)-1)</definedName>
    <definedName name="Config4_HFCLK3">IF('Config(4)'!$E$24="FLL",'Config(4)'!$D$13,IF('Config(4)'!$E$24="PLL",'Config(4)'!$D$14,IF('Config(4)'!$E$24="IMO",8,0)))/POWER(2,MATCH('Config(4)'!$D$24,Dividers)-1)</definedName>
    <definedName name="Config4_HFCLK4">IF('Config(4)'!$E$25="FLL",'Config(4)'!$D$13,IF('Config(4)'!$E$25="PLL",'Config(4)'!$D$14,IF('Config(4)'!$E$25="IMO",8,0)))/POWER(2,MATCH('Config(4)'!$D$25,Dividers)-1)</definedName>
    <definedName name="Config4_HFCLK5">IF('Config(4)'!$E$26="FLL",'Config(4)'!$D$13,IF('Config(4)'!$E$26="PLL",'Config(4)'!$D$14,IF('Config(4)'!$E$26="IMO",8,0)))/POWER(2,MATCH('Config(4)'!$D$26,Dividers)-1)</definedName>
    <definedName name="Config4_Hibernate_Cur">INDIRECT("'Data_"&amp;IF(Config4_Voltage&gt;2.5,"3.3","1.8")&amp;"V_"&amp;Config4_Regulator&amp;"="&amp;Config4_VoltageCore&amp;"V'!"&amp;Hibernate_Cur)</definedName>
    <definedName name="Config4_I2C_Coef">INDIRECT("'Data_"&amp;IF(Config4_Voltage&gt;2.5,"3.3","1.8")&amp;"V_"&amp;Config4_Regulator&amp;"="&amp;Config4_VoltageCore&amp;"V'!"&amp;I2c_Coef)</definedName>
    <definedName name="Config4_I2C_EnableCoef">INDIRECT("'Data_"&amp;IF(Config4_Voltage&gt;2.5,"3.3","1.8")&amp;"V_"&amp;Config4_Regulator&amp;"="&amp;Config4_VoltageCore&amp;"V'!"&amp;I2c_EnableCoef)</definedName>
    <definedName name="Config4_I2C_EnablePed">INDIRECT("'Data_"&amp;IF(Config4_Voltage&gt;2.5,"3.3","1.8")&amp;"V_"&amp;Config4_Regulator&amp;"="&amp;Config4_VoltageCore&amp;"V'!"&amp;I2c_EnablePed)</definedName>
    <definedName name="Config4_I2C_RunPed">INDIRECT("'Data_"&amp;IF(Config4_Voltage&gt;2.5,"3.3","1.8")&amp;"V_"&amp;Config4_Regulator&amp;"="&amp;Config4_VoltageCore&amp;"V'!"&amp;I2c_RunPed)</definedName>
    <definedName name="Config4_ILO_Ped">INDIRECT("'Data_"&amp;IF(Config4_Voltage&gt;2.5,"3.3","1.8")&amp;"V_"&amp;Config4_Regulator&amp;"="&amp;Config4_VoltageCore&amp;"V'!"&amp;ILO_Ped)</definedName>
    <definedName name="Config4_IMO_Ped">INDIRECT("'Data_"&amp;IF(Config4_Voltage&gt;2.5,"3.3","1.8")&amp;"V_"&amp;Config4_Regulator&amp;"="&amp;Config4_VoltageCore&amp;"V'!"&amp;IMO_Ped)</definedName>
    <definedName name="Config4_LP_Fast">INDIRECT("'Data_"&amp;IF(Config4_Voltage&gt;2.5,"3.3","1.8")&amp;"V_"&amp;Config4_Regulator&amp;"="&amp;Config4_VoltageCore&amp;"V'!"&amp;LP_Fast)</definedName>
    <definedName name="Config4_LP_Med">INDIRECT("'Data_"&amp;IF(Config4_Voltage&gt;2.5,"3.3","1.8")&amp;"V_"&amp;Config4_Regulator&amp;"="&amp;Config4_VoltageCore&amp;"V'!"&amp;LP_Med)</definedName>
    <definedName name="Config4_LP_Slow">INDIRECT("'Data_"&amp;IF(Config4_Voltage&gt;2.5,"3.3","1.8")&amp;"V_"&amp;Config4_Regulator&amp;"="&amp;Config4_VoltageCore&amp;"V'!"&amp;LP_Slow)</definedName>
    <definedName name="Config4_OpAmp_High_nLoad">INDIRECT("'Data_"&amp;IF(Config4_Voltage&gt;2.5,"3.3","1.8")&amp;"V_"&amp;Config4_Regulator&amp;"="&amp;Config4_VoltageCore&amp;"V'!"&amp;OpAmp_High_nLoad)</definedName>
    <definedName name="Config4_OpAmp_High_wLoad">INDIRECT("'Data_"&amp;IF(Config4_Voltage&gt;2.5,"3.3","1.8")&amp;"V_"&amp;Config4_Regulator&amp;"="&amp;Config4_VoltageCore&amp;"V'!"&amp;OpAmp_High_wLoad)</definedName>
    <definedName name="Config4_OpAmp_Low_nLoad">INDIRECT("'Data_"&amp;IF(Config4_Voltage&gt;2.5,"3.3","1.8")&amp;"V_"&amp;Config4_Regulator&amp;"="&amp;Config4_VoltageCore&amp;"V'!"&amp;OpAmp_Low_nLoad)</definedName>
    <definedName name="Config4_OpAmp_Low_wLoad">INDIRECT("'Data_"&amp;IF(Config4_Voltage&gt;2.5,"3.3","1.8")&amp;"V_"&amp;Config4_Regulator&amp;"="&amp;Config4_VoltageCore&amp;"V'!"&amp;OpAmp_Low_wLoad)</definedName>
    <definedName name="Config4_OpAmp_Med_nLoad">INDIRECT("'Data_"&amp;IF(Config4_Voltage&gt;2.5,"3.3","1.8")&amp;"V_"&amp;Config4_Regulator&amp;"="&amp;Config4_VoltageCore&amp;"V'!"&amp;OpAmp_Med_nLoad)</definedName>
    <definedName name="Config4_OpAmp_Med_wLoad">INDIRECT("'Data_"&amp;IF(Config4_Voltage&gt;2.5,"3.3","1.8")&amp;"V_"&amp;Config4_Regulator&amp;"="&amp;Config4_VoltageCore&amp;"V'!"&amp;OpAmp_Med_wLoad)</definedName>
    <definedName name="Config4_Peri_Coef">INDIRECT("'Data_"&amp;IF(Config4_Voltage&gt;2.5,"3.3","1.8")&amp;"V_"&amp;Config4_Regulator&amp;"="&amp;Config4_VoltageCore&amp;"V'!"&amp;Peri_Coef)</definedName>
    <definedName name="Config4_PILO_Ped">INDIRECT("'Data_"&amp;IF(Config4_Voltage&gt;2.5,"3.3","1.8")&amp;"V_"&amp;Config4_Regulator&amp;"="&amp;Config4_VoltageCore&amp;"V'!"&amp;PILO_Ped)</definedName>
    <definedName name="Config4_PLL_Coef">INDIRECT("'Data_"&amp;IF(Config4_Voltage&gt;2.5,"3.3","1.8")&amp;"V_"&amp;Config4_Regulator&amp;"="&amp;Config4_VoltageCore&amp;"V'!"&amp;PLL_Coef)</definedName>
    <definedName name="Config4_PLL_Coef_h40">INDIRECT("'Data_"&amp;IF(Config4_Voltage&gt;2.5,"3.3","1.8")&amp;"V_"&amp;Config4_Regulator&amp;"="&amp;Config4_VoltageCore&amp;"V'!"&amp;PLL_Coef_h40)</definedName>
    <definedName name="Config4_PLL_Coef_l40">INDIRECT("'Data_"&amp;IF(Config4_Voltage&gt;2.5,"3.3","1.8")&amp;"V_"&amp;Config4_Regulator&amp;"="&amp;Config4_VoltageCore&amp;"V'!"&amp;PLL_Coef_l40)</definedName>
    <definedName name="Config4_PLL_Ped_h40">INDIRECT("'Data_"&amp;IF(Config4_Voltage&gt;2.5,"3.3","1.8")&amp;"V_"&amp;Config4_Regulator&amp;"="&amp;Config4_VoltageCore&amp;"V'!"&amp;PLL_Ped_h40)</definedName>
    <definedName name="Config4_PLL_Ped_l40">INDIRECT("'Data_"&amp;IF(Config4_Voltage&gt;2.5,"3.3","1.8")&amp;"V_"&amp;Config4_Regulator&amp;"="&amp;Config4_VoltageCore&amp;"V'!"&amp;PLL_Ped_l40)</definedName>
    <definedName name="Config4_Regulator">'Config(4)'!$D$6</definedName>
    <definedName name="Config4_SAR_Coef">INDIRECT("'Data_"&amp;IF(Config4_Voltage&gt;2.5,"3.3","1.8")&amp;"V_"&amp;Config4_Regulator&amp;"="&amp;Config4_VoltageCore&amp;"V'!"&amp;SAR_Coef)</definedName>
    <definedName name="Config4_SAR_Ped">INDIRECT("'Data_"&amp;IF(Config4_Voltage&gt;2.5,"3.3","1.8")&amp;"V_"&amp;Config4_Regulator&amp;"="&amp;Config4_VoltageCore&amp;"V'!"&amp;SAR_Ped)</definedName>
    <definedName name="Config4_SAR_Ped_SysGap">INDIRECT("'Data_"&amp;IF(Config4_Voltage&gt;2.5,"3.3","1.8")&amp;"V_"&amp;Config4_Regulator&amp;"="&amp;Config4_VoltageCore&amp;"V'!"&amp;SAR_Ped_SysGap)</definedName>
    <definedName name="Config4_SAR_Ped_Vdda">INDIRECT("'Data_"&amp;IF(Config4_Voltage&gt;2.5,"3.3","1.8")&amp;"V_"&amp;Config4_Regulator&amp;"="&amp;Config4_VoltageCore&amp;"V'!"&amp;SAR_Ped_Vdda)</definedName>
    <definedName name="Config4_SAR_Ped_Vdda2">INDIRECT("'Data_"&amp;IF(Config4_Voltage&gt;2.5,"3.3","1.8")&amp;"V_"&amp;Config4_Regulator&amp;"="&amp;Config4_VoltageCore&amp;"V'!"&amp;SAR_Ped_Vdda2)</definedName>
    <definedName name="Config4_Slow_Coef">IF(Config4_CM0p_CpuMode=CpuActive,INDIRECT("'Data_"&amp;IF(Config4_Voltage&gt;2.5,"3.3","1.8")&amp;"V_"&amp;Config4_Regulator&amp;"="&amp;Config4_VoltageCore&amp;"V'!"&amp;CM0p_Active_Coef),INDIRECT("'Data_"&amp;IF(Config4_Voltage&gt;2.5,"3.3","1.8")&amp;"V_"&amp;Config4_Regulator&amp;"="&amp;Config4_VoltageCore&amp;"V'!"&amp;CM0p_Sleep_Coef))</definedName>
    <definedName name="Config4_SMIF_Clk">INDIRECT("'Data_"&amp;IF(Config4_Voltage&gt;2.5,"3.3","1.8")&amp;"V_"&amp;Config4_Regulator&amp;"="&amp;Config4_VoltageCore&amp;"V'!"&amp;SMIF_Clk)</definedName>
    <definedName name="Config4_SMIF_Dis">INDIRECT("'Data_"&amp;IF(Config4_Voltage&gt;2.5,"3.3","1.8")&amp;"V_"&amp;Config4_Regulator&amp;"="&amp;Config4_VoltageCore&amp;"V'!"&amp;SMIF_Dis)</definedName>
    <definedName name="Config4_SMIF_DMA">INDIRECT("'Data_"&amp;IF(Config4_Voltage&gt;2.5,"3.3","1.8")&amp;"V_"&amp;Config4_Regulator&amp;"="&amp;Config4_VoltageCore&amp;"V'!"&amp;SMIF_DMA)</definedName>
    <definedName name="Config4_SMIF_En">INDIRECT("'Data_"&amp;IF(Config4_Voltage&gt;2.5,"3.3","1.8")&amp;"V_"&amp;Config4_Regulator&amp;"="&amp;Config4_VoltageCore&amp;"V'!"&amp;SMIF_En)</definedName>
    <definedName name="Config4_SMIF_Trans">INDIRECT("'Data_"&amp;IF(Config4_Voltage&gt;2.5,"3.3","1.8")&amp;"V_"&amp;Config4_Regulator&amp;"="&amp;Config4_VoltageCore&amp;"V'!"&amp;SMIF_Trans)</definedName>
    <definedName name="Config4_SPI_Coef">INDIRECT("'Data_"&amp;IF(Config4_Voltage&gt;2.5,"3.3","1.8")&amp;"V_"&amp;Config4_Regulator&amp;"="&amp;Config4_VoltageCore&amp;"V'!"&amp;Spi_Coef)</definedName>
    <definedName name="Config4_SPI_EnableCoef">INDIRECT("'Data_"&amp;IF(Config4_Voltage&gt;2.5,"3.3","1.8")&amp;"V_"&amp;Config4_Regulator&amp;"="&amp;Config4_VoltageCore&amp;"V'!"&amp;Spi_EnableCoef)</definedName>
    <definedName name="Config4_SPI_EnablePed">INDIRECT("'Data_"&amp;IF(Config4_Voltage&gt;2.5,"3.3","1.8")&amp;"V_"&amp;Config4_Regulator&amp;"="&amp;Config4_VoltageCore&amp;"V'!"&amp;Spi_EnablePed)</definedName>
    <definedName name="Config4_SPI_EnablePeriCoef">INDIRECT("'Data_"&amp;IF(Config4_Voltage&gt;2.5,"3.3","1.8")&amp;"V_"&amp;Config4_Regulator&amp;"="&amp;Config4_VoltageCore&amp;"V'!"&amp;Spi_EnablePeriCoef)</definedName>
    <definedName name="Config4_SystemMode">'Config(4)'!$D$8</definedName>
    <definedName name="Config4_Tcpwm_Count">COUNTIF('Config(4)'!$B$118:$B$181,TRUE)</definedName>
    <definedName name="Config4_Tcpwm_EnPed">INDIRECT("'Data_"&amp;IF(Config4_Voltage&gt;2.5,"3.3","1.8")&amp;"V_"&amp;Config4_Regulator&amp;"="&amp;Config4_VoltageCore&amp;"V'!"&amp;Tcpwm_EnPed)</definedName>
    <definedName name="Config4_Tcpwm_TrigCoef">INDIRECT("'Data_"&amp;IF(Config4_Voltage&gt;2.5,"3.3","1.8")&amp;"V_"&amp;Config4_Regulator&amp;"="&amp;Config4_VoltageCore&amp;"V'!"&amp;Tcpwm_TrigCoef)</definedName>
    <definedName name="Config4_Tcpwm_TrigPeriCoef">INDIRECT("'Data_"&amp;IF(Config4_Voltage&gt;2.5,"3.3","1.8")&amp;"V_"&amp;Config4_Regulator&amp;"="&amp;Config4_VoltageCore&amp;"V'!"&amp;Tcpwm_TrigPeriCoef)</definedName>
    <definedName name="Config4_UART_Coef">INDIRECT("'Data_"&amp;IF(Config4_Voltage&gt;2.5,"3.3","1.8")&amp;"V_"&amp;Config4_Regulator&amp;"="&amp;Config4_VoltageCore&amp;"V'!"&amp;Uart_Coef)</definedName>
    <definedName name="Config4_UART_EnableCoef">INDIRECT("'Data_"&amp;IF(Config4_Voltage&gt;2.5,"3.3","1.8")&amp;"V_"&amp;Config4_Regulator&amp;"="&amp;Config4_VoltageCore&amp;"V'!"&amp;Uart_EnableCoef)</definedName>
    <definedName name="Config4_UART_EnablePed">INDIRECT("'Data_"&amp;IF(Config4_Voltage&gt;2.5,"3.3","1.8")&amp;"V_"&amp;Config4_Regulator&amp;"="&amp;Config4_VoltageCore&amp;"V'!"&amp;UART_EnablePed)</definedName>
    <definedName name="Config4_UART_RunPed">INDIRECT("'Data_"&amp;IF(Config4_Voltage&gt;2.5,"3.3","1.8")&amp;"V_"&amp;Config4_Regulator&amp;"="&amp;Config4_VoltageCore&amp;"V'!"&amp;UART_RunPed)</definedName>
    <definedName name="Config4_Usb_ConfigCon">INDIRECT("'Data_"&amp;IF(Config4_Voltage&gt;2.5,"3.3","1.8")&amp;"V_"&amp;Config4_Regulator&amp;"="&amp;Config4_VoltageCore&amp;"V'!"&amp;Usb_ConfigCon)</definedName>
    <definedName name="Config4_Usb_Off">INDIRECT("'Data_"&amp;IF(Config4_Voltage&gt;2.5,"3.3","1.8")&amp;"V_"&amp;Config4_Regulator&amp;"="&amp;Config4_VoltageCore&amp;"V'!"&amp;Usb_Off)</definedName>
    <definedName name="Config4_Usb_SuspendCon">INDIRECT("'Data_"&amp;IF(Config4_Voltage&gt;2.5,"3.3","1.8")&amp;"V_"&amp;Config4_Regulator&amp;"="&amp;Config4_VoltageCore&amp;"V'!"&amp;Usb_SuspendCon)</definedName>
    <definedName name="Config4_Usb_SuspendDis">INDIRECT("'Data_"&amp;IF(Config4_Voltage&gt;2.5,"3.3","1.8")&amp;"V_"&amp;Config4_Regulator&amp;"="&amp;Config4_VoltageCore&amp;"V'!"&amp;Usb_SuspendDis)</definedName>
    <definedName name="Config4_Voltage">'Config(4)'!$D$5</definedName>
    <definedName name="Config4_VoltageCore">'Config(4)'!$D$7</definedName>
    <definedName name="Config4_WCO_Ped">INDIRECT("'Data_"&amp;IF(Config4_Voltage&gt;2.5,"3.3","1.8")&amp;"V_"&amp;Config4_Regulator&amp;"="&amp;Config4_VoltageCore&amp;"V'!"&amp;WCO_Ped)</definedName>
    <definedName name="Config5_AllClocksOff">OR(Config5_SystemMode=SystemDeepSleep,Config5_SystemMode=SystemHibernate)</definedName>
    <definedName name="Config5_AllClocksOn">NOT(Config5_AllClocksOff)</definedName>
    <definedName name="Config5_CapSense_Coef">INDIRECT("'Data_"&amp;IF(Config5_Voltage&gt;2.5,"3.3","1.8")&amp;"V_"&amp;Config5_Regulator&amp;"="&amp;Config5_VoltageCore&amp;"V'!"&amp;CapSense_Coef)</definedName>
    <definedName name="Config5_CapSense_Ped">INDIRECT("'Data_"&amp;IF(Config5_Voltage&gt;2.5,"3.3","1.8")&amp;"V_"&amp;Config5_Regulator&amp;"="&amp;Config5_VoltageCore&amp;"V'!"&amp;CapSense_Ped)</definedName>
    <definedName name="Config5_CM0p_Coef">IF(Config5_CM0p_CpuMode=CpuActive,INDIRECT("'Data_"&amp;IF(Config5_Voltage&gt;2.5,"3.3","1.8")&amp;"V_"&amp;Config1_Regulator&amp;"="&amp;Config5_VoltageCore&amp;"V'!"&amp;CM0p_Active_Coef),INDIRECT("'Data_"&amp;IF(Config5_Voltage&gt;2.5,"3.3","1.8")&amp;"V_"&amp;Config5_Regulator&amp;"="&amp;Config5_VoltageCore&amp;"V'!"&amp;CM0p_Sleep_Coef))</definedName>
    <definedName name="Config5_CM0p_CpuMode">'Config(5)'!$D$9</definedName>
    <definedName name="Config5_CM4_CpuMode">'Config(5)'!$D$10</definedName>
    <definedName name="Config5_DAC_Ped">INDIRECT("'Data_"&amp;IF(Config5_Voltage&gt;2.5,"3.3","1.8")&amp;"V_"&amp;Config5_Regulator&amp;"="&amp;Config5_VoltageCore&amp;"V'!"&amp;DAC_Ped)</definedName>
    <definedName name="Config5_DeepSleep_Cur">INDIRECT("'Data_"&amp;IF(Config5_Voltage&gt;2.5,"3.3","1.8")&amp;"V_"&amp;Config5_Regulator&amp;"="&amp;Config5_VoltageCore&amp;"V'!"&amp;DeepSleep_Cur)</definedName>
    <definedName name="Config5_ECO_Coef">INDIRECT("'Data_"&amp;IF(Config5_Voltage&gt;2.5,"3.3","1.8")&amp;"V_"&amp;Config5_Regulator&amp;"="&amp;Config5_VoltageCore&amp;"V'!"&amp;ECO_Coef)</definedName>
    <definedName name="Config5_Fast_Coef">IF(Config5_CM4_CpuMode=CpuActive,INDIRECT("'Data_"&amp;IF(Config5_Voltage&gt;2.5,"3.3","1.8")&amp;"V_"&amp;Config5_Regulator&amp;"="&amp;Config5_VoltageCore&amp;"V'!"&amp;CM4_Active_Coef),IF(Config5_CM4_CpuMode=CpuOff,INDIRECT("'Data_"&amp;IF(Config1_Voltage&gt;2.5,"3.3","1.8")&amp;"V_"&amp;Config5_Regulator&amp;"="&amp;Config5_VoltageCore&amp;"V'!"&amp;CM4_Off_Coef),INDIRECT("'Data_"&amp;IF(Config5_Voltage&gt;2.5,"3.3","1.8")&amp;"V_"&amp;Config5_Regulator&amp;"="&amp;Config5_VoltageCore&amp;"V'!"&amp;CM4_Sleep_Coef)))</definedName>
    <definedName name="Config5_FLL_Coef">INDIRECT("'Data_"&amp;IF(Config5_Voltage&gt;2.5,"3.3","1.8")&amp;"V_"&amp;Config5_Regulator&amp;"="&amp;Config5_VoltageCore&amp;"V'!"&amp;FLL_Coef)</definedName>
    <definedName name="Config5_HFCLK_Coefs">INDIRECT("'Data_"&amp;IF(Config5_Voltage&gt;2.5,"3.3","1.8")&amp;"V_"&amp;Config5_Regulator&amp;"="&amp;Config5_VoltageCore&amp;"V'!"&amp;HFCLK_Coefs)</definedName>
    <definedName name="Config5_HFCLK0">IF('Config(5)'!$E$21="FLL",'Config(5)'!$D$13,IF('Config(5)'!$E$21="PLL",'Config(5)'!$D$14,IF('Config(5)'!$E$21="IMO",8,0)))/POWER(2,MATCH('Config(5)'!$D$21,Dividers)-1)</definedName>
    <definedName name="Config5_HFCLK1">IF('Config(5)'!$E$22="FLL",'Config(5)'!$D$13,IF('Config(5)'!$E$22="PLL",'Config(5)'!$D$14,IF('Config(5)'!$E$22="IMO",8,0)))/POWER(2,MATCH('Config(5)'!$D$22,Dividers)-1)</definedName>
    <definedName name="Config5_HFCLK2">IF('Config(5)'!$E$23="FLL",'Config(5)'!$D$13,IF('Config(5)'!$E$23="PLL",'Config(5)'!$D$14,IF('Config(5)'!$E$23="IMO",8,0)))/POWER(2,MATCH('Config(5)'!$D$23,Dividers)-1)</definedName>
    <definedName name="Config5_HFCLK3">IF('Config(5)'!$E$24="FLL",'Config(5)'!$D$13,IF('Config(5)'!$E$24="PLL",'Config(5)'!$D$14,IF('Config(5)'!$E$24="IMO",8,0)))/POWER(2,MATCH('Config(5)'!$D$24,Dividers)-1)</definedName>
    <definedName name="Config5_HFCLK4">IF('Config(5)'!$E$25="FLL",'Config(5)'!$D$13,IF('Config(5)'!$E$25="PLL",'Config(5)'!$D$14,IF('Config(5)'!$E$25="IMO",8,0)))/POWER(2,MATCH('Config(5)'!$D$25,Dividers)-1)</definedName>
    <definedName name="Config5_HFCLK5">IF('Config(5)'!$E$26="FLL",'Config(5)'!$D$13,IF('Config(5)'!$E$26="PLL",'Config(5)'!$D$14,IF('Config(5)'!$E$26="IMO",8,0)))/POWER(2,MATCH('Config(5)'!$D$26,Dividers)-1)</definedName>
    <definedName name="Config5_Hibernate_Cur">INDIRECT("'Data_"&amp;IF(Config5_Voltage&gt;2.5,"3.3","1.8")&amp;"V_"&amp;Config5_Regulator&amp;"="&amp;Config5_VoltageCore&amp;"V'!"&amp;Hibernate_Cur)</definedName>
    <definedName name="Config5_I2C_Coef">INDIRECT("'Data_"&amp;IF(Config5_Voltage&gt;2.5,"3.3","1.8")&amp;"V_"&amp;Config5_Regulator&amp;"="&amp;Config5_VoltageCore&amp;"V'!"&amp;I2c_Coef)</definedName>
    <definedName name="Config5_I2C_EnableCoef">INDIRECT("'Data_"&amp;IF(Config5_Voltage&gt;2.5,"3.3","1.8")&amp;"V_"&amp;Config5_Regulator&amp;"="&amp;Config5_VoltageCore&amp;"V'!"&amp;I2c_EnableCoef)</definedName>
    <definedName name="Config5_I2C_EnablePed">INDIRECT("'Data_"&amp;IF(Config5_Voltage&gt;2.5,"3.3","1.8")&amp;"V_"&amp;Config5_Regulator&amp;"="&amp;Config5_VoltageCore&amp;"V'!"&amp;I2c_EnablePed)</definedName>
    <definedName name="Config5_I2C_RunPed">INDIRECT("'Data_"&amp;IF(Config5_Voltage&gt;2.5,"3.3","1.8")&amp;"V_"&amp;Config5_Regulator&amp;"="&amp;Config5_VoltageCore&amp;"V'!"&amp;I2c_RunPed)</definedName>
    <definedName name="Config5_ILO_Ped">INDIRECT("'Data_"&amp;IF(Config5_Voltage&gt;2.5,"3.3","1.8")&amp;"V_"&amp;Config5_Regulator&amp;"="&amp;Config5_VoltageCore&amp;"V'!"&amp;ILO_Ped)</definedName>
    <definedName name="Config5_IMO_Ped">INDIRECT("'Data_"&amp;IF(Config5_Voltage&gt;2.5,"3.3","1.8")&amp;"V_"&amp;Config5_Regulator&amp;"="&amp;Config5_VoltageCore&amp;"V'!"&amp;IMO_Ped)</definedName>
    <definedName name="Config5_LP_Fast">INDIRECT("'Data_"&amp;IF(Config5_Voltage&gt;2.5,"3.3","1.8")&amp;"V_"&amp;Config5_Regulator&amp;"="&amp;Config5_VoltageCore&amp;"V'!"&amp;LP_Fast)</definedName>
    <definedName name="Config5_LP_Med">INDIRECT("'Data_"&amp;IF(Config5_Voltage&gt;2.5,"3.3","1.8")&amp;"V_"&amp;Config5_Regulator&amp;"="&amp;Config5_VoltageCore&amp;"V'!"&amp;LP_Med)</definedName>
    <definedName name="Config5_LP_Slow">INDIRECT("'Data_"&amp;IF(Config5_Voltage&gt;2.5,"3.3","1.8")&amp;"V_"&amp;Config5_Regulator&amp;"="&amp;Config5_VoltageCore&amp;"V'!"&amp;LP_Slow)</definedName>
    <definedName name="Config5_OpAmp_High_nLoad">INDIRECT("'Data_"&amp;IF(Config5_Voltage&gt;2.5,"3.3","1.8")&amp;"V_"&amp;Config5_Regulator&amp;"="&amp;Config5_VoltageCore&amp;"V'!"&amp;OpAmp_High_nLoad)</definedName>
    <definedName name="Config5_OpAmp_High_wLoad">INDIRECT("'Data_"&amp;IF(Config5_Voltage&gt;2.5,"3.3","1.8")&amp;"V_"&amp;Config5_Regulator&amp;"="&amp;Config5_VoltageCore&amp;"V'!"&amp;OpAmp_High_wLoad)</definedName>
    <definedName name="Config5_OpAmp_Low_nLoad">INDIRECT("'Data_"&amp;IF(Config5_Voltage&gt;2.5,"3.3","1.8")&amp;"V_"&amp;Config5_Regulator&amp;"="&amp;Config5_VoltageCore&amp;"V'!"&amp;OpAmp_Low_nLoad)</definedName>
    <definedName name="Config5_OpAmp_Low_wLoad">INDIRECT("'Data_"&amp;IF(Config5_Voltage&gt;2.5,"3.3","1.8")&amp;"V_"&amp;Config5_Regulator&amp;"="&amp;Config5_VoltageCore&amp;"V'!"&amp;OpAmp_Low_wLoad)</definedName>
    <definedName name="Config5_OpAmp_Med_nLoad">INDIRECT("'Data_"&amp;IF(Config5_Voltage&gt;2.5,"3.3","1.8")&amp;"V_"&amp;Config5_Regulator&amp;"="&amp;Config5_VoltageCore&amp;"V'!"&amp;OpAmp_Med_nLoad)</definedName>
    <definedName name="Config5_OpAmp_Med_wLoad">INDIRECT("'Data_"&amp;IF(Config5_Voltage&gt;2.5,"3.3","1.8")&amp;"V_"&amp;Config5_Regulator&amp;"="&amp;Config5_VoltageCore&amp;"V'!"&amp;OpAmp_Med_wLoad)</definedName>
    <definedName name="Config5_Peri_Coef">INDIRECT("'Data_"&amp;IF(Config5_Voltage&gt;2.5,"3.3","1.8")&amp;"V_"&amp;Config5_Regulator&amp;"="&amp;Config5_VoltageCore&amp;"V'!"&amp;Peri_Coef)</definedName>
    <definedName name="Config5_PILO_Ped">INDIRECT("'Data_"&amp;IF(Config5_Voltage&gt;2.5,"3.3","1.8")&amp;"V_"&amp;Config5_Regulator&amp;"="&amp;Config5_VoltageCore&amp;"V'!"&amp;PILO_Ped)</definedName>
    <definedName name="Config5_PLL_Coef">INDIRECT("'Data_"&amp;IF(Config5_Voltage&gt;2.5,"3.3","1.8")&amp;"V_"&amp;Config5_Regulator&amp;"="&amp;Config5_VoltageCore&amp;"V'!"&amp;PLL_Coef)</definedName>
    <definedName name="Config5_PLL_Coef_h40">INDIRECT("'Data_"&amp;IF(Config5_Voltage&gt;2.5,"3.3","1.8")&amp;"V_"&amp;Config5_Regulator&amp;"="&amp;Config5_VoltageCore&amp;"V'!"&amp;PLL_Coef_h40)</definedName>
    <definedName name="Config5_PLL_Coef_l40">INDIRECT("'Data_"&amp;IF(Config5_Voltage&gt;2.5,"3.3","1.8")&amp;"V_"&amp;Config5_Regulator&amp;"="&amp;Config5_VoltageCore&amp;"V'!"&amp;PLL_Coef_l40)</definedName>
    <definedName name="Config5_PLL_Ped_h40">INDIRECT("'Data_"&amp;IF(Config5_Voltage&gt;2.5,"3.3","1.8")&amp;"V_"&amp;Config5_Regulator&amp;"="&amp;Config5_VoltageCore&amp;"V'!"&amp;PLL_Ped_h40)</definedName>
    <definedName name="Config5_PLL_Ped_l40">INDIRECT("'Data_"&amp;IF(Config5_Voltage&gt;2.5,"3.3","1.8")&amp;"V_"&amp;Config5_Regulator&amp;"="&amp;Config5_VoltageCore&amp;"V'!"&amp;PLL_Ped_l40)</definedName>
    <definedName name="Config5_Regulator">'Config(5)'!$D$6</definedName>
    <definedName name="Config5_SAR_Coef">INDIRECT("'Data_"&amp;IF(Config5_Voltage&gt;2.5,"3.3","1.8")&amp;"V_"&amp;Config5_Regulator&amp;"="&amp;Config5_VoltageCore&amp;"V'!"&amp;SAR_Coef)</definedName>
    <definedName name="Config5_SAR_Ped">INDIRECT("'Data_"&amp;IF(Config1_Voltage&gt;2.5,"3.3","1.8")&amp;"V_"&amp;Config1_Regulator&amp;"="&amp;Config1_VoltageCore&amp;"V'!"&amp;SAR_Ped)</definedName>
    <definedName name="Config5_SAR_Ped_SysGap">INDIRECT("'Data_"&amp;IF(Config1_Voltage&gt;2.5,"3.3","1.8")&amp;"V_"&amp;Config1_Regulator&amp;"="&amp;Config1_VoltageCore&amp;"V'!"&amp;SAR_Ped_SysGap)</definedName>
    <definedName name="Config5_SAR_Ped_Vdda">INDIRECT("'Data_"&amp;IF(Config1_Voltage&gt;2.5,"3.3","1.8")&amp;"V_"&amp;Config1_Regulator&amp;"="&amp;Config1_VoltageCore&amp;"V'!"&amp;SAR_Ped_Vdda)</definedName>
    <definedName name="Config5_SAR_Ped_Vdda2">INDIRECT("'Data_"&amp;IF(Config1_Voltage&gt;2.5,"3.3","1.8")&amp;"V_"&amp;Config1_Regulator&amp;"="&amp;Config1_VoltageCore&amp;"V'!"&amp;SAR_Ped_Vdda2)</definedName>
    <definedName name="Config5_Slow_Coef">IF(Config5_CM0p_CpuMode=CpuActive,INDIRECT("'Data_"&amp;IF(Config5_Voltage&gt;2.5,"3.3","1.8")&amp;"V_"&amp;Config5_Regulator&amp;"="&amp;Config5_VoltageCore&amp;"V'!"&amp;CM0p_Active_Coef),INDIRECT("'Data_"&amp;IF(Config5_Voltage&gt;2.5,"3.3","1.8")&amp;"V_"&amp;Config5_Regulator&amp;"="&amp;Config5_VoltageCore&amp;"V'!"&amp;CM0p_Sleep_Coef))</definedName>
    <definedName name="Config5_SMIF_Clk">INDIRECT("'Data_"&amp;IF(Config5_Voltage&gt;2.5,"3.3","1.8")&amp;"V_"&amp;Config5_Regulator&amp;"="&amp;Config5_VoltageCore&amp;"V'!"&amp;SMIF_Clk)</definedName>
    <definedName name="Config5_SMIF_Dis">INDIRECT("'Data_"&amp;IF(Config5_Voltage&gt;2.5,"3.3","1.8")&amp;"V_"&amp;Config5_Regulator&amp;"="&amp;Config5_VoltageCore&amp;"V'!"&amp;SMIF_Dis)</definedName>
    <definedName name="Config5_SMIF_DMA">INDIRECT("'Data_"&amp;IF(Config5_Voltage&gt;2.5,"3.3","1.8")&amp;"V_"&amp;Config5_Regulator&amp;"="&amp;Config5_VoltageCore&amp;"V'!"&amp;SMIF_DMA)</definedName>
    <definedName name="Config5_SMIF_En">INDIRECT("'Data_"&amp;IF(Config5_Voltage&gt;2.5,"3.3","1.8")&amp;"V_"&amp;Config5_Regulator&amp;"="&amp;Config5_VoltageCore&amp;"V'!"&amp;SMIF_En)</definedName>
    <definedName name="Config5_SMIF_Trans">INDIRECT("'Data_"&amp;IF(Config5_Voltage&gt;2.5,"3.3","1.8")&amp;"V_"&amp;Config5_Regulator&amp;"="&amp;Config5_VoltageCore&amp;"V'!"&amp;SMIF_Trans)</definedName>
    <definedName name="Config5_SPI_Coef">INDIRECT("'Data_"&amp;IF(Config5_Voltage&gt;2.5,"3.3","1.8")&amp;"V_"&amp;Config5_Regulator&amp;"="&amp;Config5_VoltageCore&amp;"V'!"&amp;Spi_Coef)</definedName>
    <definedName name="Config5_SPI_EnableCoef">INDIRECT("'Data_"&amp;IF(Config5_Voltage&gt;2.5,"3.3","1.8")&amp;"V_"&amp;Config5_Regulator&amp;"="&amp;Config5_VoltageCore&amp;"V'!"&amp;Spi_EnableCoef)</definedName>
    <definedName name="Config5_SPI_EnablePed">INDIRECT("'Data_"&amp;IF(Config5_Voltage&gt;2.5,"3.3","1.8")&amp;"V_"&amp;Config5_Regulator&amp;"="&amp;Config5_VoltageCore&amp;"V'!"&amp;Spi_EnablePed)</definedName>
    <definedName name="Config5_SPI_EnablePeriCoef">INDIRECT("'Data_"&amp;IF(Config5_Voltage&gt;2.5,"3.3","1.8")&amp;"V_"&amp;Config5_Regulator&amp;"="&amp;Config5_VoltageCore&amp;"V'!"&amp;Spi_EnablePeriCoef)</definedName>
    <definedName name="Config5_SystemMode">'Config(5)'!$D$8</definedName>
    <definedName name="Config5_Tcpwm_Count">COUNTIF('Config(5)'!$B$118:$B$181,TRUE)</definedName>
    <definedName name="Config5_Tcpwm_EnPed">INDIRECT("'Data_"&amp;IF(Config5_Voltage&gt;2.5,"3.3","1.8")&amp;"V_"&amp;Config5_Regulator&amp;"="&amp;Config5_VoltageCore&amp;"V'!"&amp;Tcpwm_EnPed)</definedName>
    <definedName name="Config5_Tcpwm_TrigCoef">INDIRECT("'Data_"&amp;IF(Config5_Voltage&gt;2.5,"3.3","1.8")&amp;"V_"&amp;Config5_Regulator&amp;"="&amp;Config5_VoltageCore&amp;"V'!"&amp;Tcpwm_TrigCoef)</definedName>
    <definedName name="Config5_Tcpwm_TrigPeriCoef">INDIRECT("'Data_"&amp;IF(Config5_Voltage&gt;2.5,"3.3","1.8")&amp;"V_"&amp;Config5_Regulator&amp;"="&amp;Config5_VoltageCore&amp;"V'!"&amp;Tcpwm_TrigPeriCoef)</definedName>
    <definedName name="Config5_UART_Coef">INDIRECT("'Data_"&amp;IF(Config5_Voltage&gt;2.5,"3.3","1.8")&amp;"V_"&amp;Config5_Regulator&amp;"="&amp;Config5_VoltageCore&amp;"V'!"&amp;Uart_Coef)</definedName>
    <definedName name="Config5_UART_EnableCoef">INDIRECT("'Data_"&amp;IF(Config5_Voltage&gt;2.5,"3.3","1.8")&amp;"V_"&amp;Config5_Regulator&amp;"="&amp;Config5_VoltageCore&amp;"V'!"&amp;Uart_EnableCoef)</definedName>
    <definedName name="Config5_UART_EnablePed">INDIRECT("'Data_"&amp;IF(Config5_Voltage&gt;2.5,"3.3","1.8")&amp;"V_"&amp;Config5_Regulator&amp;"="&amp;Config5_VoltageCore&amp;"V'!"&amp;UART_EnablePed)</definedName>
    <definedName name="Config5_UART_RunPed">INDIRECT("'Data_"&amp;IF(Config5_Voltage&gt;2.5,"3.3","1.8")&amp;"V_"&amp;Config5_Regulator&amp;"="&amp;Config5_VoltageCore&amp;"V'!"&amp;UART_RunPed)</definedName>
    <definedName name="Config5_Usb_ConfigCon">INDIRECT("'Data_"&amp;IF(Config5_Voltage&gt;2.5,"3.3","1.8")&amp;"V_"&amp;Config5_Regulator&amp;"="&amp;Config5_VoltageCore&amp;"V'!"&amp;Usb_ConfigCon)</definedName>
    <definedName name="Config5_Usb_Off">INDIRECT("'Data_"&amp;IF(Config5_Voltage&gt;2.5,"3.3","1.8")&amp;"V_"&amp;Config5_Regulator&amp;"="&amp;Config5_VoltageCore&amp;"V'!"&amp;Usb_Off)</definedName>
    <definedName name="Config5_Usb_SuspendCon">INDIRECT("'Data_"&amp;IF(Config5_Voltage&gt;2.5,"3.3","1.8")&amp;"V_"&amp;Config5_Regulator&amp;"="&amp;Config5_VoltageCore&amp;"V'!"&amp;Usb_SuspendCon)</definedName>
    <definedName name="Config5_Usb_SuspendDis">INDIRECT("'Data_"&amp;IF(Config5_Voltage&gt;2.5,"3.3","1.8")&amp;"V_"&amp;Config5_Regulator&amp;"="&amp;Config5_VoltageCore&amp;"V'!"&amp;Usb_SuspendDis)</definedName>
    <definedName name="Config5_Voltage">'Config(5)'!$D$5</definedName>
    <definedName name="Config5_VoltageCore">'Config(5)'!$D$7</definedName>
    <definedName name="Config5_WCO_Ped">INDIRECT("'Data_"&amp;IF(Config5_Voltage&gt;2.5,"3.3","1.8")&amp;"V_"&amp;Config5_Regulator&amp;"="&amp;Config5_VoltageCore&amp;"V'!"&amp;WCO_Ped)</definedName>
    <definedName name="CpuActive">Options!$D$3</definedName>
    <definedName name="CpuDeepSleep">Options!$D$5</definedName>
    <definedName name="CpuOff">Options!$D$6</definedName>
    <definedName name="CpuSleep">Options!$D$4</definedName>
    <definedName name="DAC_Ped">"C47"</definedName>
    <definedName name="DeepSleep_Cur">"C9"</definedName>
    <definedName name="Dividers">Options!$T$3:$T$6</definedName>
    <definedName name="ECO_Coef">"C23"</definedName>
    <definedName name="FLL_Coef">"C12"</definedName>
    <definedName name="HFCLK_Coefs">"$C$18:$C$21"</definedName>
    <definedName name="Hibernate_Cur">"C10"</definedName>
    <definedName name="i">OR(t=SystemDeepSleep,t=SystemHibernate)</definedName>
    <definedName name="I2c_Coef">"C99"</definedName>
    <definedName name="I2c_EnableCoef">"C103"</definedName>
    <definedName name="I2c_EnablePed">"C106"</definedName>
    <definedName name="I2c_RunPed">"C107"</definedName>
    <definedName name="ILO_Ped">"C20"</definedName>
    <definedName name="IMO_Ped">"C14"</definedName>
    <definedName name="LP_Fast">"C42"</definedName>
    <definedName name="LP_Med">"C43"</definedName>
    <definedName name="LP_Slow">"C44"</definedName>
    <definedName name="NUM_CORE">IF(OR(SelectedDevice=PSoC60,SelectedDevice=PSoC61),1,2)</definedName>
    <definedName name="NUM_PLL">IF(SelectedDevice=PSoC62_2M,2,1)</definedName>
    <definedName name="OpAmp_High_100nA">"C25"</definedName>
    <definedName name="OpAmp_High_1uA">"C29"</definedName>
    <definedName name="OpAmp_High_nLoad">"C25"</definedName>
    <definedName name="OpAmp_High_wLoad">"C29"</definedName>
    <definedName name="OpAmp_Low_100nA">"C27"</definedName>
    <definedName name="OpAmp_Low_1uA">"C31"</definedName>
    <definedName name="OpAmp_Low_nLoad">"C27"</definedName>
    <definedName name="OpAmp_Low_wLoad">"C31"</definedName>
    <definedName name="OpAmp_Med_100nA">"C26"</definedName>
    <definedName name="OpAmp_Med_1uA">"C30"</definedName>
    <definedName name="OpAmp_Med_nLoad">"C26"</definedName>
    <definedName name="OpAmp_Med_wLoad">"C30"</definedName>
    <definedName name="OpAmp_Off">"C28"</definedName>
    <definedName name="Peri_Coef">"C13"</definedName>
    <definedName name="PILO_Ped">"C22"</definedName>
    <definedName name="PLL_Coef">"C15"</definedName>
    <definedName name="PLL_Coef_h40">"C18"</definedName>
    <definedName name="PLL_Coef_l40">"C19"</definedName>
    <definedName name="PLL_Ped_h40">"C16"</definedName>
    <definedName name="PLL_Ped_l40">"C17"</definedName>
    <definedName name="PSoC60">Options!$B$3</definedName>
    <definedName name="PSoC61">Options!$B$4</definedName>
    <definedName name="PSoC62_1M">Options!$B$5</definedName>
    <definedName name="PSoC62_256K">Options!$B$9</definedName>
    <definedName name="PSoC62_2M">Options!$B$6</definedName>
    <definedName name="PSoC62_512K">Options!$B$8</definedName>
    <definedName name="PSoC63">Options!$B$7</definedName>
    <definedName name="SAR_Coef">"C35"</definedName>
    <definedName name="SAR_DPSLP">"C40"</definedName>
    <definedName name="SAR_EnablePed">"C39"</definedName>
    <definedName name="SAR_Ped">"C34"</definedName>
    <definedName name="SAR_Ped_SysGap">"C36"</definedName>
    <definedName name="SAR_Ped_Vdda">"C37"</definedName>
    <definedName name="SAR_Ped_Vdda2">"C38"</definedName>
    <definedName name="SelectedDevice">Summary!$F$2</definedName>
    <definedName name="SMIF_Clk">"C73"</definedName>
    <definedName name="SMIF_Dis">"C69"</definedName>
    <definedName name="SMIF_DMA">"C72"</definedName>
    <definedName name="SMIF_En">"C70"</definedName>
    <definedName name="SMIF_Trans">"C71"</definedName>
    <definedName name="Spi_Coef">"C100"</definedName>
    <definedName name="Spi_EnableCoef">"C102"</definedName>
    <definedName name="Spi_EnablePed">"C108"</definedName>
    <definedName name="Spi_EnablePeriCoef">"C101"</definedName>
    <definedName name="SystemDeepSleep">Options!$C$5</definedName>
    <definedName name="SystemHibernate">Options!$C$6</definedName>
    <definedName name="SystemLp">Options!$C$3</definedName>
    <definedName name="SystemUlp">Options!$C$4</definedName>
    <definedName name="t">'Config(1)'!$D$8</definedName>
    <definedName name="Tcpwm_EnPed">"C55"</definedName>
    <definedName name="Tcpwm_TrigCoef">"C56"</definedName>
    <definedName name="Tcpwm_TrigPeriCoef">"C57"</definedName>
    <definedName name="u">NOT(i)</definedName>
    <definedName name="Uart_Coef">"C98"</definedName>
    <definedName name="Uart_EnableCoef">"C104"</definedName>
    <definedName name="UART_EnablePed">"C106"</definedName>
    <definedName name="UART_RunPed">"C107"</definedName>
    <definedName name="UDB_implementations">IF(OR((Summary!$F$2= Options!$B$3),(Summary!$F$2= Options!$B$4),(Summary!$F$2= Options!$B$6), (Summary!$F$2= Options!$B$9), (Summary!$F$2= Options!$B$10), (Summary!$F$2= Options!$B$11)),UDBData!$A$4:$A$4,UDBData!$A$4:$A$50)</definedName>
    <definedName name="Usb_ConfigCon">"C63"</definedName>
    <definedName name="Usb_Off">"C66"</definedName>
    <definedName name="Usb_SuspendCon">"C64"</definedName>
    <definedName name="Usb_SuspendDis">"C65"</definedName>
    <definedName name="WCO_Ped">"C21"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94" l="1"/>
  <c r="C1" i="100"/>
  <c r="C1" i="99"/>
  <c r="C1" i="98"/>
  <c r="C1" i="97"/>
  <c r="C1" i="96"/>
  <c r="C1" i="95"/>
  <c r="C1" i="70"/>
  <c r="C4" i="70" s="1"/>
  <c r="D77" i="93"/>
  <c r="I71" i="93"/>
  <c r="D50" i="93"/>
  <c r="I45" i="93"/>
  <c r="D77" i="92"/>
  <c r="I71" i="92"/>
  <c r="D50" i="92"/>
  <c r="I45" i="92"/>
  <c r="D77" i="91"/>
  <c r="I71" i="91"/>
  <c r="D50" i="91"/>
  <c r="I45" i="91"/>
  <c r="D77" i="90"/>
  <c r="I71" i="90"/>
  <c r="D50" i="90"/>
  <c r="I45" i="90"/>
  <c r="D77" i="21"/>
  <c r="I71" i="21"/>
  <c r="D50" i="21"/>
  <c r="I45" i="21"/>
  <c r="G93" i="93" l="1"/>
  <c r="F93" i="93"/>
  <c r="G92" i="93"/>
  <c r="F92" i="93"/>
  <c r="G91" i="93"/>
  <c r="F91" i="93"/>
  <c r="G90" i="93"/>
  <c r="F90" i="93"/>
  <c r="G89" i="93"/>
  <c r="F89" i="93"/>
  <c r="G88" i="93"/>
  <c r="F88" i="93"/>
  <c r="G87" i="93"/>
  <c r="F87" i="93"/>
  <c r="G86" i="93"/>
  <c r="F86" i="93"/>
  <c r="G85" i="93"/>
  <c r="F85" i="93"/>
  <c r="G84" i="93"/>
  <c r="F84" i="93"/>
  <c r="G83" i="93"/>
  <c r="F83" i="93"/>
  <c r="G82" i="93"/>
  <c r="F82" i="93"/>
  <c r="G81" i="93"/>
  <c r="F81" i="93"/>
  <c r="G80" i="93"/>
  <c r="F80" i="93"/>
  <c r="G79" i="93"/>
  <c r="F79" i="93"/>
  <c r="G78" i="93"/>
  <c r="F78" i="93" s="1"/>
  <c r="I72" i="93"/>
  <c r="F96" i="93" s="1"/>
  <c r="G66" i="93"/>
  <c r="F66" i="93"/>
  <c r="G65" i="93"/>
  <c r="F65" i="93"/>
  <c r="G64" i="93"/>
  <c r="F64" i="93"/>
  <c r="G63" i="93"/>
  <c r="F63" i="93"/>
  <c r="G62" i="93"/>
  <c r="F62" i="93"/>
  <c r="G61" i="93"/>
  <c r="F61" i="93"/>
  <c r="G60" i="93"/>
  <c r="F60" i="93"/>
  <c r="G59" i="93"/>
  <c r="F59" i="93"/>
  <c r="G58" i="93"/>
  <c r="F58" i="93"/>
  <c r="G57" i="93"/>
  <c r="F57" i="93"/>
  <c r="G56" i="93"/>
  <c r="F56" i="93"/>
  <c r="G55" i="93"/>
  <c r="F55" i="93"/>
  <c r="G54" i="93"/>
  <c r="F54" i="93"/>
  <c r="G53" i="93"/>
  <c r="F53" i="93"/>
  <c r="G52" i="93"/>
  <c r="F52" i="93"/>
  <c r="G51" i="93"/>
  <c r="F51" i="93" s="1"/>
  <c r="I44" i="93"/>
  <c r="G93" i="92"/>
  <c r="F93" i="92"/>
  <c r="G92" i="92"/>
  <c r="F92" i="92"/>
  <c r="G91" i="92"/>
  <c r="F91" i="92"/>
  <c r="G90" i="92"/>
  <c r="F90" i="92"/>
  <c r="G89" i="92"/>
  <c r="F89" i="92"/>
  <c r="G88" i="92"/>
  <c r="F88" i="92"/>
  <c r="G87" i="92"/>
  <c r="F87" i="92"/>
  <c r="G86" i="92"/>
  <c r="F86" i="92"/>
  <c r="G85" i="92"/>
  <c r="F85" i="92"/>
  <c r="G84" i="92"/>
  <c r="F84" i="92"/>
  <c r="G83" i="92"/>
  <c r="F83" i="92"/>
  <c r="G82" i="92"/>
  <c r="F82" i="92"/>
  <c r="G81" i="92"/>
  <c r="F81" i="92"/>
  <c r="G80" i="92"/>
  <c r="F80" i="92"/>
  <c r="G79" i="92"/>
  <c r="F79" i="92"/>
  <c r="G78" i="92"/>
  <c r="F78" i="92" s="1"/>
  <c r="I72" i="92"/>
  <c r="F96" i="92" s="1"/>
  <c r="G66" i="92"/>
  <c r="F66" i="92"/>
  <c r="G65" i="92"/>
  <c r="F65" i="92"/>
  <c r="G64" i="92"/>
  <c r="F64" i="92"/>
  <c r="G63" i="92"/>
  <c r="F63" i="92"/>
  <c r="G62" i="92"/>
  <c r="F62" i="92"/>
  <c r="G61" i="92"/>
  <c r="F61" i="92"/>
  <c r="G60" i="92"/>
  <c r="F60" i="92"/>
  <c r="G59" i="92"/>
  <c r="F59" i="92"/>
  <c r="G58" i="92"/>
  <c r="F58" i="92"/>
  <c r="G57" i="92"/>
  <c r="F57" i="92"/>
  <c r="G56" i="92"/>
  <c r="F56" i="92"/>
  <c r="G55" i="92"/>
  <c r="F55" i="92"/>
  <c r="G54" i="92"/>
  <c r="F54" i="92"/>
  <c r="G53" i="92"/>
  <c r="F53" i="92"/>
  <c r="G52" i="92"/>
  <c r="F52" i="92"/>
  <c r="G51" i="92"/>
  <c r="F51" i="92" s="1"/>
  <c r="I44" i="92"/>
  <c r="G93" i="91"/>
  <c r="F93" i="91"/>
  <c r="G92" i="91"/>
  <c r="F92" i="91"/>
  <c r="G91" i="91"/>
  <c r="F91" i="91"/>
  <c r="G90" i="91"/>
  <c r="F90" i="91"/>
  <c r="G89" i="91"/>
  <c r="F89" i="91"/>
  <c r="G88" i="91"/>
  <c r="F88" i="91"/>
  <c r="G87" i="91"/>
  <c r="F87" i="91"/>
  <c r="G86" i="91"/>
  <c r="F86" i="91"/>
  <c r="G85" i="91"/>
  <c r="F85" i="91"/>
  <c r="G84" i="91"/>
  <c r="F84" i="91"/>
  <c r="G83" i="91"/>
  <c r="F83" i="91"/>
  <c r="G82" i="91"/>
  <c r="F82" i="91"/>
  <c r="G81" i="91"/>
  <c r="F81" i="91"/>
  <c r="G80" i="91"/>
  <c r="F80" i="91"/>
  <c r="G79" i="91"/>
  <c r="F79" i="91"/>
  <c r="G78" i="91"/>
  <c r="F78" i="91" s="1"/>
  <c r="I72" i="91"/>
  <c r="F96" i="91" s="1"/>
  <c r="G66" i="91"/>
  <c r="F66" i="91"/>
  <c r="G65" i="91"/>
  <c r="F65" i="91"/>
  <c r="G64" i="91"/>
  <c r="F64" i="91"/>
  <c r="G63" i="91"/>
  <c r="F63" i="91"/>
  <c r="G62" i="91"/>
  <c r="F62" i="91"/>
  <c r="G61" i="91"/>
  <c r="F61" i="91"/>
  <c r="G60" i="91"/>
  <c r="F60" i="91"/>
  <c r="G59" i="91"/>
  <c r="F59" i="91"/>
  <c r="G58" i="91"/>
  <c r="F58" i="91"/>
  <c r="G57" i="91"/>
  <c r="F57" i="91"/>
  <c r="G56" i="91"/>
  <c r="F56" i="91"/>
  <c r="G55" i="91"/>
  <c r="F55" i="91"/>
  <c r="G54" i="91"/>
  <c r="F54" i="91"/>
  <c r="G53" i="91"/>
  <c r="F53" i="91"/>
  <c r="G52" i="91"/>
  <c r="F52" i="91"/>
  <c r="G51" i="91"/>
  <c r="F51" i="91" s="1"/>
  <c r="I44" i="91"/>
  <c r="G93" i="90"/>
  <c r="F93" i="90"/>
  <c r="G92" i="90"/>
  <c r="F92" i="90"/>
  <c r="G91" i="90"/>
  <c r="F91" i="90"/>
  <c r="G90" i="90"/>
  <c r="F90" i="90"/>
  <c r="G89" i="90"/>
  <c r="F89" i="90"/>
  <c r="G88" i="90"/>
  <c r="F88" i="90"/>
  <c r="G87" i="90"/>
  <c r="F87" i="90"/>
  <c r="G86" i="90"/>
  <c r="F86" i="90"/>
  <c r="G85" i="90"/>
  <c r="F85" i="90"/>
  <c r="G84" i="90"/>
  <c r="F84" i="90"/>
  <c r="G83" i="90"/>
  <c r="F83" i="90"/>
  <c r="G82" i="90"/>
  <c r="F82" i="90"/>
  <c r="G81" i="90"/>
  <c r="F81" i="90"/>
  <c r="G80" i="90"/>
  <c r="F80" i="90"/>
  <c r="G79" i="90"/>
  <c r="F79" i="90"/>
  <c r="G78" i="90"/>
  <c r="F78" i="90" s="1"/>
  <c r="I72" i="90"/>
  <c r="F96" i="90" s="1"/>
  <c r="G66" i="90"/>
  <c r="F66" i="90"/>
  <c r="G65" i="90"/>
  <c r="F65" i="90"/>
  <c r="G64" i="90"/>
  <c r="F64" i="90"/>
  <c r="G63" i="90"/>
  <c r="F63" i="90"/>
  <c r="G62" i="90"/>
  <c r="F62" i="90"/>
  <c r="G61" i="90"/>
  <c r="F61" i="90"/>
  <c r="G60" i="90"/>
  <c r="F60" i="90"/>
  <c r="G59" i="90"/>
  <c r="F59" i="90"/>
  <c r="G58" i="90"/>
  <c r="F58" i="90"/>
  <c r="G57" i="90"/>
  <c r="F57" i="90"/>
  <c r="G56" i="90"/>
  <c r="F56" i="90"/>
  <c r="G55" i="90"/>
  <c r="F55" i="90"/>
  <c r="G54" i="90"/>
  <c r="F54" i="90"/>
  <c r="G53" i="90"/>
  <c r="F53" i="90"/>
  <c r="G52" i="90"/>
  <c r="F52" i="90"/>
  <c r="G51" i="90"/>
  <c r="F51" i="90" s="1"/>
  <c r="I44" i="90"/>
  <c r="I46" i="93" l="1"/>
  <c r="F69" i="93" s="1"/>
  <c r="I46" i="92"/>
  <c r="I46" i="90"/>
  <c r="I46" i="91"/>
  <c r="F69" i="91" s="1"/>
  <c r="F94" i="93"/>
  <c r="F95" i="93" s="1"/>
  <c r="F94" i="92"/>
  <c r="F95" i="92" s="1"/>
  <c r="F94" i="91"/>
  <c r="F95" i="91" s="1"/>
  <c r="F94" i="90"/>
  <c r="F95" i="90" s="1"/>
  <c r="F67" i="92" l="1"/>
  <c r="F68" i="92" s="1"/>
  <c r="F69" i="92"/>
  <c r="F67" i="90"/>
  <c r="F68" i="90" s="1"/>
  <c r="F69" i="90"/>
  <c r="F67" i="91"/>
  <c r="F68" i="91" s="1"/>
  <c r="F67" i="93"/>
  <c r="F68" i="93" s="1"/>
  <c r="I72" i="21"/>
  <c r="F96" i="21" s="1"/>
  <c r="I44" i="21"/>
  <c r="F107" i="93"/>
  <c r="F105" i="93"/>
  <c r="F107" i="92"/>
  <c r="F105" i="92"/>
  <c r="F107" i="91"/>
  <c r="F105" i="91"/>
  <c r="I46" i="21" l="1"/>
  <c r="F69" i="21" s="1"/>
  <c r="C106" i="100" l="1"/>
  <c r="C106" i="99"/>
  <c r="C105" i="98"/>
  <c r="C105" i="97"/>
  <c r="C107" i="96"/>
  <c r="C107" i="95"/>
  <c r="C106" i="94"/>
  <c r="G93" i="21"/>
  <c r="G92" i="21"/>
  <c r="F93" i="21" s="1"/>
  <c r="G91" i="21"/>
  <c r="F92" i="21" s="1"/>
  <c r="G90" i="21"/>
  <c r="F91" i="21" s="1"/>
  <c r="G89" i="21"/>
  <c r="F90" i="21" s="1"/>
  <c r="G88" i="21"/>
  <c r="F89" i="21" s="1"/>
  <c r="G87" i="21"/>
  <c r="F88" i="21" s="1"/>
  <c r="G86" i="21"/>
  <c r="F87" i="21" s="1"/>
  <c r="G85" i="21"/>
  <c r="F86" i="21" s="1"/>
  <c r="G84" i="21"/>
  <c r="F85" i="21" s="1"/>
  <c r="G83" i="21"/>
  <c r="F84" i="21" s="1"/>
  <c r="G82" i="21"/>
  <c r="F83" i="21" s="1"/>
  <c r="G81" i="21"/>
  <c r="F82" i="21" s="1"/>
  <c r="G80" i="21"/>
  <c r="F81" i="21" s="1"/>
  <c r="G79" i="21"/>
  <c r="G78" i="21"/>
  <c r="F78" i="21" l="1"/>
  <c r="F80" i="21"/>
  <c r="F79" i="21"/>
  <c r="C12" i="100"/>
  <c r="C20" i="100"/>
  <c r="C29" i="100"/>
  <c r="C39" i="100"/>
  <c r="C55" i="100"/>
  <c r="C70" i="100"/>
  <c r="C100" i="100"/>
  <c r="C108" i="100"/>
  <c r="C4" i="100"/>
  <c r="C13" i="100"/>
  <c r="C21" i="100"/>
  <c r="C30" i="100"/>
  <c r="C40" i="100"/>
  <c r="C56" i="100"/>
  <c r="C71" i="100"/>
  <c r="C101" i="100"/>
  <c r="C5" i="100"/>
  <c r="C14" i="100"/>
  <c r="C22" i="100"/>
  <c r="C31" i="100"/>
  <c r="C42" i="100"/>
  <c r="C57" i="100"/>
  <c r="C72" i="100"/>
  <c r="C102" i="100"/>
  <c r="C99" i="100"/>
  <c r="C10" i="100"/>
  <c r="C19" i="100"/>
  <c r="C28" i="100"/>
  <c r="C38" i="100"/>
  <c r="C48" i="100"/>
  <c r="C69" i="100"/>
  <c r="C107" i="100"/>
  <c r="C6" i="100"/>
  <c r="C15" i="100"/>
  <c r="C23" i="100"/>
  <c r="C34" i="100"/>
  <c r="C43" i="100"/>
  <c r="C63" i="100"/>
  <c r="C73" i="100"/>
  <c r="C103" i="100"/>
  <c r="C7" i="100"/>
  <c r="C16" i="100"/>
  <c r="C25" i="100"/>
  <c r="C35" i="100"/>
  <c r="C44" i="100"/>
  <c r="C64" i="100"/>
  <c r="C94" i="100"/>
  <c r="C104" i="100"/>
  <c r="C8" i="100"/>
  <c r="C17" i="100"/>
  <c r="C26" i="100"/>
  <c r="C36" i="100"/>
  <c r="C45" i="100"/>
  <c r="C65" i="100"/>
  <c r="C95" i="100"/>
  <c r="C105" i="100"/>
  <c r="C9" i="100"/>
  <c r="C18" i="100"/>
  <c r="C27" i="100"/>
  <c r="C37" i="100"/>
  <c r="C47" i="100"/>
  <c r="C66" i="100"/>
  <c r="C98" i="100"/>
  <c r="C12" i="99"/>
  <c r="C20" i="99"/>
  <c r="C29" i="99"/>
  <c r="C39" i="99"/>
  <c r="C55" i="99"/>
  <c r="C70" i="99"/>
  <c r="C100" i="99"/>
  <c r="C108" i="99"/>
  <c r="C4" i="99"/>
  <c r="C13" i="99"/>
  <c r="C21" i="99"/>
  <c r="C30" i="99"/>
  <c r="C40" i="99"/>
  <c r="C56" i="99"/>
  <c r="C71" i="99"/>
  <c r="C101" i="99"/>
  <c r="C5" i="99"/>
  <c r="C14" i="99"/>
  <c r="C22" i="99"/>
  <c r="C31" i="99"/>
  <c r="C42" i="99"/>
  <c r="C57" i="99"/>
  <c r="C72" i="99"/>
  <c r="C102" i="99"/>
  <c r="C28" i="99"/>
  <c r="C99" i="99"/>
  <c r="C6" i="99"/>
  <c r="C23" i="99"/>
  <c r="C34" i="99"/>
  <c r="C63" i="99"/>
  <c r="C73" i="99"/>
  <c r="C103" i="99"/>
  <c r="C7" i="99"/>
  <c r="C16" i="99"/>
  <c r="C25" i="99"/>
  <c r="C35" i="99"/>
  <c r="C44" i="99"/>
  <c r="C64" i="99"/>
  <c r="C94" i="99"/>
  <c r="C104" i="99"/>
  <c r="C10" i="99"/>
  <c r="C19" i="99"/>
  <c r="C38" i="99"/>
  <c r="C48" i="99"/>
  <c r="C69" i="99"/>
  <c r="C107" i="99"/>
  <c r="C15" i="99"/>
  <c r="C43" i="99"/>
  <c r="C8" i="99"/>
  <c r="C17" i="99"/>
  <c r="C26" i="99"/>
  <c r="C36" i="99"/>
  <c r="C45" i="99"/>
  <c r="C65" i="99"/>
  <c r="C95" i="99"/>
  <c r="C105" i="99"/>
  <c r="C9" i="99"/>
  <c r="C18" i="99"/>
  <c r="C27" i="99"/>
  <c r="C37" i="99"/>
  <c r="C47" i="99"/>
  <c r="C66" i="99"/>
  <c r="C98" i="99"/>
  <c r="C12" i="98"/>
  <c r="C20" i="98"/>
  <c r="C29" i="98"/>
  <c r="C39" i="98"/>
  <c r="C55" i="98"/>
  <c r="C70" i="98"/>
  <c r="C100" i="98"/>
  <c r="C108" i="98"/>
  <c r="C4" i="98"/>
  <c r="C13" i="98"/>
  <c r="C21" i="98"/>
  <c r="C30" i="98"/>
  <c r="C40" i="98"/>
  <c r="C56" i="98"/>
  <c r="C71" i="98"/>
  <c r="C101" i="98"/>
  <c r="C5" i="98"/>
  <c r="C14" i="98"/>
  <c r="C22" i="98"/>
  <c r="C31" i="98"/>
  <c r="C42" i="98"/>
  <c r="C57" i="98"/>
  <c r="C72" i="98"/>
  <c r="C102" i="98"/>
  <c r="C34" i="98"/>
  <c r="C9" i="98"/>
  <c r="C18" i="98"/>
  <c r="C27" i="98"/>
  <c r="C37" i="98"/>
  <c r="C47" i="98"/>
  <c r="C66" i="98"/>
  <c r="C98" i="98"/>
  <c r="C106" i="98"/>
  <c r="C10" i="98"/>
  <c r="C19" i="98"/>
  <c r="C28" i="98"/>
  <c r="C38" i="98"/>
  <c r="C48" i="98"/>
  <c r="C69" i="98"/>
  <c r="C99" i="98"/>
  <c r="C107" i="98"/>
  <c r="C6" i="98"/>
  <c r="C15" i="98"/>
  <c r="C23" i="98"/>
  <c r="C43" i="98"/>
  <c r="C63" i="98"/>
  <c r="C73" i="98"/>
  <c r="C103" i="98"/>
  <c r="C7" i="98"/>
  <c r="C16" i="98"/>
  <c r="C25" i="98"/>
  <c r="C35" i="98"/>
  <c r="C44" i="98"/>
  <c r="C64" i="98"/>
  <c r="C94" i="98"/>
  <c r="C104" i="98"/>
  <c r="C8" i="98"/>
  <c r="C17" i="98"/>
  <c r="C26" i="98"/>
  <c r="C36" i="98"/>
  <c r="C45" i="98"/>
  <c r="C65" i="98"/>
  <c r="C95" i="98"/>
  <c r="C12" i="97"/>
  <c r="C20" i="97"/>
  <c r="C29" i="97"/>
  <c r="C39" i="97"/>
  <c r="C55" i="97"/>
  <c r="C70" i="97"/>
  <c r="C100" i="97"/>
  <c r="C108" i="97"/>
  <c r="C4" i="97"/>
  <c r="C13" i="97"/>
  <c r="C21" i="97"/>
  <c r="C30" i="97"/>
  <c r="C40" i="97"/>
  <c r="C56" i="97"/>
  <c r="C71" i="97"/>
  <c r="C101" i="97"/>
  <c r="C5" i="97"/>
  <c r="C14" i="97"/>
  <c r="C22" i="97"/>
  <c r="C31" i="97"/>
  <c r="C42" i="97"/>
  <c r="C57" i="97"/>
  <c r="C72" i="97"/>
  <c r="C102" i="97"/>
  <c r="C9" i="97"/>
  <c r="C27" i="97"/>
  <c r="C47" i="97"/>
  <c r="C106" i="97"/>
  <c r="C19" i="97"/>
  <c r="C48" i="97"/>
  <c r="C99" i="97"/>
  <c r="C15" i="97"/>
  <c r="C43" i="97"/>
  <c r="C7" i="97"/>
  <c r="C35" i="97"/>
  <c r="C104" i="97"/>
  <c r="C18" i="97"/>
  <c r="C37" i="97"/>
  <c r="C66" i="97"/>
  <c r="C98" i="97"/>
  <c r="C10" i="97"/>
  <c r="C28" i="97"/>
  <c r="C38" i="97"/>
  <c r="C69" i="97"/>
  <c r="C107" i="97"/>
  <c r="C6" i="97"/>
  <c r="C23" i="97"/>
  <c r="C34" i="97"/>
  <c r="C63" i="97"/>
  <c r="C73" i="97"/>
  <c r="C103" i="97"/>
  <c r="C16" i="97"/>
  <c r="C25" i="97"/>
  <c r="C44" i="97"/>
  <c r="C64" i="97"/>
  <c r="C94" i="97"/>
  <c r="C8" i="97"/>
  <c r="C17" i="97"/>
  <c r="C26" i="97"/>
  <c r="C36" i="97"/>
  <c r="C45" i="97"/>
  <c r="C65" i="97"/>
  <c r="C95" i="97"/>
  <c r="C39" i="96"/>
  <c r="C108" i="96"/>
  <c r="C21" i="96"/>
  <c r="C101" i="96"/>
  <c r="C31" i="96"/>
  <c r="C15" i="96"/>
  <c r="C103" i="96"/>
  <c r="C20" i="96"/>
  <c r="C102" i="96"/>
  <c r="C55" i="96"/>
  <c r="C13" i="96"/>
  <c r="C71" i="96"/>
  <c r="C22" i="96"/>
  <c r="C42" i="96"/>
  <c r="C34" i="96"/>
  <c r="C73" i="96"/>
  <c r="C16" i="96"/>
  <c r="C25" i="96"/>
  <c r="C44" i="96"/>
  <c r="C104" i="96"/>
  <c r="C8" i="96"/>
  <c r="C17" i="96"/>
  <c r="C26" i="96"/>
  <c r="C36" i="96"/>
  <c r="C45" i="96"/>
  <c r="C65" i="96"/>
  <c r="C95" i="96"/>
  <c r="C105" i="96"/>
  <c r="C12" i="96"/>
  <c r="C70" i="96"/>
  <c r="C4" i="96"/>
  <c r="C40" i="96"/>
  <c r="C5" i="96"/>
  <c r="C72" i="96"/>
  <c r="C6" i="96"/>
  <c r="C63" i="96"/>
  <c r="C7" i="96"/>
  <c r="C35" i="96"/>
  <c r="C94" i="96"/>
  <c r="C9" i="96"/>
  <c r="C18" i="96"/>
  <c r="C27" i="96"/>
  <c r="C37" i="96"/>
  <c r="C47" i="96"/>
  <c r="C66" i="96"/>
  <c r="C98" i="96"/>
  <c r="C106" i="96"/>
  <c r="C29" i="96"/>
  <c r="C100" i="96"/>
  <c r="C30" i="96"/>
  <c r="C56" i="96"/>
  <c r="C14" i="96"/>
  <c r="C57" i="96"/>
  <c r="C23" i="96"/>
  <c r="C43" i="96"/>
  <c r="C64" i="96"/>
  <c r="C10" i="96"/>
  <c r="C19" i="96"/>
  <c r="C28" i="96"/>
  <c r="C38" i="96"/>
  <c r="C48" i="96"/>
  <c r="C69" i="96"/>
  <c r="C99" i="96"/>
  <c r="C29" i="95"/>
  <c r="C108" i="95"/>
  <c r="C21" i="95"/>
  <c r="C101" i="95"/>
  <c r="C14" i="95"/>
  <c r="C57" i="95"/>
  <c r="C72" i="95"/>
  <c r="C102" i="95"/>
  <c r="C20" i="95"/>
  <c r="C70" i="95"/>
  <c r="C4" i="95"/>
  <c r="C71" i="95"/>
  <c r="C5" i="95"/>
  <c r="C22" i="95"/>
  <c r="C31" i="95"/>
  <c r="C42" i="95"/>
  <c r="C6" i="95"/>
  <c r="C15" i="95"/>
  <c r="C23" i="95"/>
  <c r="C34" i="95"/>
  <c r="C43" i="95"/>
  <c r="C63" i="95"/>
  <c r="C73" i="95"/>
  <c r="C103" i="95"/>
  <c r="C55" i="95"/>
  <c r="C40" i="95"/>
  <c r="C25" i="95"/>
  <c r="C104" i="95"/>
  <c r="C8" i="95"/>
  <c r="C17" i="95"/>
  <c r="C26" i="95"/>
  <c r="C36" i="95"/>
  <c r="C45" i="95"/>
  <c r="C65" i="95"/>
  <c r="C95" i="95"/>
  <c r="C105" i="95"/>
  <c r="C39" i="95"/>
  <c r="C30" i="95"/>
  <c r="C7" i="95"/>
  <c r="C35" i="95"/>
  <c r="C64" i="95"/>
  <c r="C9" i="95"/>
  <c r="C18" i="95"/>
  <c r="C27" i="95"/>
  <c r="C37" i="95"/>
  <c r="C47" i="95"/>
  <c r="C66" i="95"/>
  <c r="C98" i="95"/>
  <c r="C106" i="95"/>
  <c r="C12" i="95"/>
  <c r="C100" i="95"/>
  <c r="C13" i="95"/>
  <c r="C56" i="95"/>
  <c r="C16" i="95"/>
  <c r="C44" i="95"/>
  <c r="C94" i="95"/>
  <c r="C10" i="95"/>
  <c r="C19" i="95"/>
  <c r="C28" i="95"/>
  <c r="C38" i="95"/>
  <c r="C48" i="95"/>
  <c r="C69" i="95"/>
  <c r="C99" i="95"/>
  <c r="C40" i="94"/>
  <c r="C16" i="94"/>
  <c r="C57" i="94"/>
  <c r="C72" i="94"/>
  <c r="C101" i="94"/>
  <c r="C4" i="94"/>
  <c r="C23" i="94"/>
  <c r="C15" i="94"/>
  <c r="C27" i="94"/>
  <c r="C42" i="94"/>
  <c r="C56" i="94"/>
  <c r="C71" i="94"/>
  <c r="C102" i="94"/>
  <c r="C70" i="94"/>
  <c r="C103" i="94"/>
  <c r="C6" i="94"/>
  <c r="C37" i="94"/>
  <c r="C69" i="94"/>
  <c r="C17" i="94"/>
  <c r="C100" i="94"/>
  <c r="C12" i="94"/>
  <c r="C22" i="94"/>
  <c r="C63" i="94"/>
  <c r="C9" i="94"/>
  <c r="C21" i="94"/>
  <c r="C13" i="94"/>
  <c r="C34" i="94"/>
  <c r="C44" i="94"/>
  <c r="C66" i="94"/>
  <c r="C94" i="94"/>
  <c r="C104" i="94"/>
  <c r="C30" i="94"/>
  <c r="C99" i="94"/>
  <c r="C36" i="94"/>
  <c r="C73" i="94"/>
  <c r="C28" i="94"/>
  <c r="C45" i="94"/>
  <c r="C8" i="94"/>
  <c r="C20" i="94"/>
  <c r="C25" i="94"/>
  <c r="C39" i="94"/>
  <c r="C43" i="94"/>
  <c r="C65" i="94"/>
  <c r="C95" i="94"/>
  <c r="C105" i="94"/>
  <c r="C18" i="94"/>
  <c r="C48" i="94"/>
  <c r="C107" i="94"/>
  <c r="C5" i="94"/>
  <c r="C29" i="94"/>
  <c r="C55" i="94"/>
  <c r="C108" i="94"/>
  <c r="C35" i="94"/>
  <c r="C10" i="94"/>
  <c r="C14" i="94"/>
  <c r="C26" i="94"/>
  <c r="C7" i="94"/>
  <c r="C19" i="94"/>
  <c r="C31" i="94"/>
  <c r="C38" i="94"/>
  <c r="C47" i="94"/>
  <c r="C64" i="94"/>
  <c r="C98" i="94"/>
  <c r="F109" i="93"/>
  <c r="F109" i="92"/>
  <c r="F109" i="91"/>
  <c r="F111" i="91"/>
  <c r="F113" i="93"/>
  <c r="F113" i="92"/>
  <c r="F111" i="93"/>
  <c r="F111" i="92"/>
  <c r="F113" i="91"/>
  <c r="F94" i="21" l="1"/>
  <c r="F95" i="21" s="1"/>
  <c r="F101" i="93"/>
  <c r="F103" i="93"/>
  <c r="F103" i="92"/>
  <c r="F101" i="92"/>
  <c r="F101" i="91"/>
  <c r="F103" i="91"/>
  <c r="F103" i="90"/>
  <c r="F101" i="90"/>
  <c r="G54" i="21"/>
  <c r="F54" i="21" s="1"/>
  <c r="G66" i="21"/>
  <c r="F66" i="21" s="1"/>
  <c r="G65" i="21"/>
  <c r="F65" i="21" s="1"/>
  <c r="G64" i="21"/>
  <c r="F64" i="21" s="1"/>
  <c r="G63" i="21"/>
  <c r="F63" i="21" s="1"/>
  <c r="G62" i="21"/>
  <c r="F62" i="21" s="1"/>
  <c r="G61" i="21"/>
  <c r="F61" i="21" s="1"/>
  <c r="G60" i="21"/>
  <c r="F60" i="21" s="1"/>
  <c r="G59" i="21"/>
  <c r="F59" i="21" s="1"/>
  <c r="G58" i="21"/>
  <c r="F58" i="21" s="1"/>
  <c r="G57" i="21"/>
  <c r="F57" i="21" s="1"/>
  <c r="G56" i="21"/>
  <c r="F56" i="21" s="1"/>
  <c r="G55" i="21"/>
  <c r="F55" i="21" s="1"/>
  <c r="G53" i="21"/>
  <c r="F53" i="21" s="1"/>
  <c r="G52" i="21"/>
  <c r="F52" i="21" s="1"/>
  <c r="G51" i="21"/>
  <c r="F51" i="21" s="1"/>
  <c r="F67" i="21" l="1"/>
  <c r="F114" i="92"/>
  <c r="F114" i="93"/>
  <c r="F114" i="91"/>
  <c r="C40" i="70"/>
  <c r="C28" i="70"/>
  <c r="C12" i="70"/>
  <c r="C70" i="70"/>
  <c r="C19" i="70"/>
  <c r="C38" i="70"/>
  <c r="C55" i="70"/>
  <c r="C100" i="70"/>
  <c r="C10" i="70"/>
  <c r="C108" i="70"/>
  <c r="C13" i="70"/>
  <c r="C21" i="70"/>
  <c r="C30" i="70"/>
  <c r="C42" i="70"/>
  <c r="C57" i="70"/>
  <c r="C72" i="70"/>
  <c r="C102" i="70"/>
  <c r="C5" i="70"/>
  <c r="C14" i="70"/>
  <c r="C22" i="70"/>
  <c r="C31" i="70"/>
  <c r="C43" i="70"/>
  <c r="C63" i="70"/>
  <c r="C73" i="70"/>
  <c r="C103" i="70"/>
  <c r="C106" i="70"/>
  <c r="C20" i="70"/>
  <c r="C29" i="70"/>
  <c r="C39" i="70"/>
  <c r="C56" i="70"/>
  <c r="C71" i="70"/>
  <c r="C101" i="70"/>
  <c r="C6" i="70"/>
  <c r="C15" i="70"/>
  <c r="C23" i="70"/>
  <c r="C34" i="70"/>
  <c r="C44" i="70"/>
  <c r="C64" i="70"/>
  <c r="C94" i="70"/>
  <c r="C104" i="70"/>
  <c r="C7" i="70"/>
  <c r="C16" i="70"/>
  <c r="C25" i="70"/>
  <c r="C35" i="70"/>
  <c r="C45" i="70"/>
  <c r="C65" i="70"/>
  <c r="C95" i="70"/>
  <c r="C105" i="70"/>
  <c r="C8" i="70"/>
  <c r="C17" i="70"/>
  <c r="C26" i="70"/>
  <c r="C36" i="70"/>
  <c r="C47" i="70"/>
  <c r="C66" i="70"/>
  <c r="C98" i="70"/>
  <c r="C9" i="70"/>
  <c r="C18" i="70"/>
  <c r="C27" i="70"/>
  <c r="C37" i="70"/>
  <c r="C48" i="70"/>
  <c r="C69" i="70"/>
  <c r="C99" i="70"/>
  <c r="C107" i="70"/>
  <c r="F68" i="21" l="1"/>
  <c r="F119" i="93" l="1"/>
  <c r="F210" i="93" l="1"/>
  <c r="F207" i="93"/>
  <c r="F204" i="93"/>
  <c r="F201" i="93"/>
  <c r="F198" i="93"/>
  <c r="F195" i="93"/>
  <c r="F192" i="93"/>
  <c r="F189" i="93"/>
  <c r="F210" i="92"/>
  <c r="F207" i="92"/>
  <c r="F204" i="92"/>
  <c r="F201" i="92"/>
  <c r="F198" i="92"/>
  <c r="F195" i="92"/>
  <c r="F192" i="92"/>
  <c r="F189" i="92"/>
  <c r="F210" i="91"/>
  <c r="F207" i="91"/>
  <c r="F204" i="91"/>
  <c r="F201" i="91"/>
  <c r="F198" i="91"/>
  <c r="F195" i="91"/>
  <c r="F192" i="91"/>
  <c r="F189" i="91"/>
  <c r="F186" i="91"/>
  <c r="F210" i="90"/>
  <c r="F207" i="90"/>
  <c r="F204" i="90"/>
  <c r="F201" i="90"/>
  <c r="F198" i="90"/>
  <c r="F195" i="90"/>
  <c r="F192" i="90"/>
  <c r="F189" i="90"/>
  <c r="F207" i="21"/>
  <c r="F204" i="21"/>
  <c r="F201" i="21"/>
  <c r="F198" i="21"/>
  <c r="F195" i="21"/>
  <c r="F192" i="21"/>
  <c r="F189" i="21"/>
  <c r="F186" i="90"/>
  <c r="F186" i="92"/>
  <c r="F186" i="93"/>
  <c r="F210" i="21"/>
  <c r="F217" i="93" l="1"/>
  <c r="F215" i="93"/>
  <c r="F181" i="93"/>
  <c r="F179" i="93"/>
  <c r="F177" i="93"/>
  <c r="F175" i="93"/>
  <c r="F173" i="93"/>
  <c r="F171" i="93"/>
  <c r="F169" i="93"/>
  <c r="F167" i="93"/>
  <c r="F165" i="93"/>
  <c r="F163" i="93"/>
  <c r="F161" i="93"/>
  <c r="F159" i="93"/>
  <c r="F157" i="93"/>
  <c r="F155" i="93"/>
  <c r="F153" i="93"/>
  <c r="F151" i="93"/>
  <c r="F149" i="93"/>
  <c r="F147" i="93"/>
  <c r="F145" i="93"/>
  <c r="F143" i="93"/>
  <c r="F141" i="93"/>
  <c r="F139" i="93"/>
  <c r="F137" i="93"/>
  <c r="F135" i="93"/>
  <c r="F133" i="93"/>
  <c r="F131" i="93"/>
  <c r="F129" i="93"/>
  <c r="F127" i="93"/>
  <c r="F125" i="93"/>
  <c r="F123" i="93"/>
  <c r="F35" i="93"/>
  <c r="F34" i="93"/>
  <c r="F33" i="93"/>
  <c r="F32" i="93"/>
  <c r="F23" i="93"/>
  <c r="F17" i="93"/>
  <c r="F14" i="93"/>
  <c r="F230" i="93"/>
  <c r="F229" i="93"/>
  <c r="F228" i="93"/>
  <c r="F227" i="93"/>
  <c r="F226" i="93"/>
  <c r="F225" i="93"/>
  <c r="F224" i="93"/>
  <c r="F223" i="93"/>
  <c r="F217" i="92"/>
  <c r="F215" i="92"/>
  <c r="F181" i="92"/>
  <c r="F179" i="92"/>
  <c r="F177" i="92"/>
  <c r="F175" i="92"/>
  <c r="F173" i="92"/>
  <c r="F171" i="92"/>
  <c r="F169" i="92"/>
  <c r="F167" i="92"/>
  <c r="F165" i="92"/>
  <c r="F163" i="92"/>
  <c r="F161" i="92"/>
  <c r="F159" i="92"/>
  <c r="F157" i="92"/>
  <c r="F155" i="92"/>
  <c r="F153" i="92"/>
  <c r="F151" i="92"/>
  <c r="F149" i="92"/>
  <c r="F147" i="92"/>
  <c r="F145" i="92"/>
  <c r="F143" i="92"/>
  <c r="F141" i="92"/>
  <c r="F139" i="92"/>
  <c r="F137" i="92"/>
  <c r="F135" i="92"/>
  <c r="F133" i="92"/>
  <c r="F131" i="92"/>
  <c r="F129" i="92"/>
  <c r="F127" i="92"/>
  <c r="F125" i="92"/>
  <c r="F123" i="92"/>
  <c r="F121" i="92"/>
  <c r="F35" i="92"/>
  <c r="F34" i="92"/>
  <c r="F33" i="92"/>
  <c r="F23" i="92"/>
  <c r="F17" i="92"/>
  <c r="F14" i="92"/>
  <c r="F230" i="92"/>
  <c r="F229" i="92"/>
  <c r="F228" i="92"/>
  <c r="F227" i="92"/>
  <c r="F226" i="92"/>
  <c r="F225" i="92"/>
  <c r="F224" i="92"/>
  <c r="F223" i="92"/>
  <c r="F217" i="91"/>
  <c r="F215" i="91"/>
  <c r="F181" i="91"/>
  <c r="F179" i="91"/>
  <c r="F177" i="91"/>
  <c r="F175" i="91"/>
  <c r="F173" i="91"/>
  <c r="F171" i="91"/>
  <c r="F169" i="91"/>
  <c r="F167" i="91"/>
  <c r="F165" i="91"/>
  <c r="F163" i="91"/>
  <c r="F161" i="91"/>
  <c r="F159" i="91"/>
  <c r="F157" i="91"/>
  <c r="F155" i="91"/>
  <c r="F153" i="91"/>
  <c r="F151" i="91"/>
  <c r="F149" i="91"/>
  <c r="F147" i="91"/>
  <c r="F145" i="91"/>
  <c r="F143" i="91"/>
  <c r="F141" i="91"/>
  <c r="F139" i="91"/>
  <c r="F137" i="91"/>
  <c r="F135" i="91"/>
  <c r="F133" i="91"/>
  <c r="F131" i="91"/>
  <c r="F129" i="91"/>
  <c r="F127" i="91"/>
  <c r="F125" i="91"/>
  <c r="F123" i="91"/>
  <c r="F121" i="91"/>
  <c r="F35" i="91"/>
  <c r="F34" i="91"/>
  <c r="F33" i="91"/>
  <c r="F32" i="91"/>
  <c r="F23" i="91"/>
  <c r="F17" i="91"/>
  <c r="F230" i="91"/>
  <c r="F229" i="91"/>
  <c r="F228" i="91"/>
  <c r="F227" i="91"/>
  <c r="F226" i="91"/>
  <c r="F225" i="91"/>
  <c r="F224" i="91"/>
  <c r="F223" i="91"/>
  <c r="F217" i="90"/>
  <c r="F215" i="90"/>
  <c r="F181" i="90"/>
  <c r="F179" i="90"/>
  <c r="F177" i="90"/>
  <c r="F175" i="90"/>
  <c r="F173" i="90"/>
  <c r="F171" i="90"/>
  <c r="F169" i="90"/>
  <c r="F167" i="90"/>
  <c r="F165" i="90"/>
  <c r="F163" i="90"/>
  <c r="F161" i="90"/>
  <c r="F159" i="90"/>
  <c r="F157" i="90"/>
  <c r="F155" i="90"/>
  <c r="F153" i="90"/>
  <c r="F151" i="90"/>
  <c r="F149" i="90"/>
  <c r="F147" i="90"/>
  <c r="F145" i="90"/>
  <c r="F143" i="90"/>
  <c r="F141" i="90"/>
  <c r="F139" i="90"/>
  <c r="F137" i="90"/>
  <c r="F135" i="90"/>
  <c r="F133" i="90"/>
  <c r="F131" i="90"/>
  <c r="F129" i="90"/>
  <c r="F127" i="90"/>
  <c r="F125" i="90"/>
  <c r="F123" i="90"/>
  <c r="F121" i="90"/>
  <c r="F113" i="90"/>
  <c r="F111" i="90"/>
  <c r="F107" i="90"/>
  <c r="F105" i="90"/>
  <c r="F35" i="90"/>
  <c r="F34" i="90"/>
  <c r="F32" i="90"/>
  <c r="F23" i="90"/>
  <c r="F17" i="90"/>
  <c r="F14" i="90"/>
  <c r="F230" i="90"/>
  <c r="F229" i="90"/>
  <c r="F228" i="90"/>
  <c r="F227" i="90"/>
  <c r="F226" i="90"/>
  <c r="F225" i="90"/>
  <c r="F224" i="90"/>
  <c r="F223" i="90"/>
  <c r="F14" i="91"/>
  <c r="F121" i="93"/>
  <c r="F33" i="90"/>
  <c r="F103" i="21"/>
  <c r="F101" i="21"/>
  <c r="F32" i="92"/>
  <c r="F113" i="21"/>
  <c r="F109" i="21"/>
  <c r="F111" i="21"/>
  <c r="F231" i="93" l="1"/>
  <c r="F231" i="90"/>
  <c r="F231" i="92"/>
  <c r="F231" i="91"/>
  <c r="F218" i="93"/>
  <c r="F215" i="21"/>
  <c r="F23" i="21"/>
  <c r="F217" i="21" l="1"/>
  <c r="F107" i="21"/>
  <c r="F105" i="21"/>
  <c r="F114" i="21" s="1"/>
  <c r="F173" i="21" l="1"/>
  <c r="F165" i="21"/>
  <c r="F157" i="21"/>
  <c r="F155" i="21"/>
  <c r="F169" i="21"/>
  <c r="F161" i="21"/>
  <c r="F175" i="21"/>
  <c r="F159" i="21"/>
  <c r="F171" i="21"/>
  <c r="F163" i="21"/>
  <c r="F177" i="21"/>
  <c r="F153" i="21"/>
  <c r="F167" i="21"/>
  <c r="F151" i="21"/>
  <c r="F149" i="21"/>
  <c r="F147" i="21"/>
  <c r="F145" i="21"/>
  <c r="F143" i="21"/>
  <c r="F141" i="21"/>
  <c r="F139" i="21"/>
  <c r="F137" i="21"/>
  <c r="F131" i="21"/>
  <c r="F129" i="21"/>
  <c r="F127" i="21"/>
  <c r="F179" i="21"/>
  <c r="F181" i="21"/>
  <c r="F133" i="21"/>
  <c r="F125" i="21"/>
  <c r="F135" i="21"/>
  <c r="F17" i="21" l="1"/>
  <c r="F121" i="21" l="1"/>
  <c r="F123" i="21"/>
  <c r="F119" i="21"/>
  <c r="F186" i="21"/>
  <c r="F34" i="21"/>
  <c r="F119" i="90"/>
  <c r="F14" i="21"/>
  <c r="F32" i="21"/>
  <c r="F119" i="91"/>
  <c r="F119" i="92"/>
  <c r="F33" i="21"/>
  <c r="F35" i="21"/>
  <c r="F13" i="92"/>
  <c r="F28" i="90"/>
  <c r="F28" i="91"/>
  <c r="F31" i="93"/>
  <c r="F28" i="21"/>
  <c r="F31" i="91"/>
  <c r="F27" i="92"/>
  <c r="F13" i="91"/>
  <c r="F109" i="90"/>
  <c r="F29" i="91"/>
  <c r="F13" i="21"/>
  <c r="F27" i="21"/>
  <c r="F29" i="90"/>
  <c r="F13" i="93"/>
  <c r="F31" i="92"/>
  <c r="F31" i="21"/>
  <c r="F27" i="93"/>
  <c r="F31" i="90"/>
  <c r="F13" i="90"/>
  <c r="F27" i="91"/>
  <c r="F29" i="93"/>
  <c r="F28" i="92"/>
  <c r="F28" i="93"/>
  <c r="F29" i="21"/>
  <c r="F27" i="90"/>
  <c r="F29" i="92"/>
  <c r="F114" i="90" l="1"/>
  <c r="F218" i="21"/>
  <c r="F218" i="90"/>
  <c r="F218" i="92"/>
  <c r="F218" i="91"/>
  <c r="F36" i="92"/>
  <c r="F36" i="91"/>
  <c r="F36" i="93"/>
  <c r="F36" i="21"/>
  <c r="F36" i="90"/>
  <c r="F233" i="92" l="1"/>
  <c r="F9" i="72" s="1"/>
  <c r="F233" i="93"/>
  <c r="F10" i="72" s="1"/>
  <c r="F233" i="91"/>
  <c r="F8" i="72" s="1"/>
  <c r="F233" i="21"/>
  <c r="F6" i="72" s="1"/>
  <c r="F233" i="90"/>
  <c r="F7" i="72" s="1"/>
  <c r="C10" i="72"/>
  <c r="C9" i="72"/>
  <c r="C8" i="72"/>
  <c r="C7" i="72"/>
  <c r="M4" i="71" l="1"/>
  <c r="M5" i="71"/>
  <c r="M6" i="71"/>
  <c r="M7" i="71"/>
  <c r="M8" i="71"/>
  <c r="M9" i="71"/>
  <c r="M10" i="71"/>
  <c r="M11" i="71"/>
  <c r="M12" i="71"/>
  <c r="M13" i="71"/>
  <c r="M14" i="71"/>
  <c r="M15" i="71"/>
  <c r="M3" i="71"/>
  <c r="C6" i="72" l="1"/>
  <c r="D12" i="72"/>
  <c r="H9" i="72" l="1"/>
  <c r="H10" i="72"/>
  <c r="H7" i="72"/>
  <c r="H8" i="72"/>
  <c r="F224" i="21"/>
  <c r="F227" i="21"/>
  <c r="F230" i="21"/>
  <c r="A3" i="1"/>
  <c r="F223" i="21"/>
  <c r="F225" i="21"/>
  <c r="F226" i="21"/>
  <c r="F228" i="21"/>
  <c r="F229" i="21"/>
  <c r="F231" i="21" l="1"/>
  <c r="H6" i="72" l="1"/>
  <c r="D14" i="72"/>
  <c r="H14" i="72" l="1"/>
  <c r="J6" i="72" s="1"/>
  <c r="E19" i="72" l="1"/>
  <c r="F19" i="72" s="1"/>
  <c r="G19" i="72" s="1"/>
  <c r="H19" i="72" s="1"/>
  <c r="E20" i="72"/>
  <c r="F20" i="72" s="1"/>
  <c r="G20" i="72" s="1"/>
  <c r="H20" i="72" s="1"/>
  <c r="E24" i="72"/>
  <c r="F24" i="72" s="1"/>
  <c r="G24" i="72" s="1"/>
  <c r="H24" i="72" s="1"/>
  <c r="E21" i="72"/>
  <c r="F21" i="72" s="1"/>
  <c r="G21" i="72" s="1"/>
  <c r="H21" i="72" s="1"/>
  <c r="E25" i="72"/>
  <c r="F25" i="72" s="1"/>
  <c r="G25" i="72" s="1"/>
  <c r="H25" i="72" s="1"/>
  <c r="E22" i="72"/>
  <c r="F22" i="72" s="1"/>
  <c r="G22" i="72" s="1"/>
  <c r="H22" i="72" s="1"/>
  <c r="E26" i="72"/>
  <c r="F26" i="72" s="1"/>
  <c r="G26" i="72" s="1"/>
  <c r="H26" i="72" s="1"/>
  <c r="E23" i="72"/>
  <c r="F23" i="72" s="1"/>
  <c r="G23" i="72" s="1"/>
  <c r="H23" i="72" s="1"/>
  <c r="E27" i="72"/>
  <c r="F27" i="72" s="1"/>
  <c r="G27" i="72" s="1"/>
  <c r="H27" i="72" s="1"/>
  <c r="J8" i="72"/>
  <c r="J9" i="72"/>
  <c r="J10" i="72"/>
  <c r="J7" i="72"/>
</calcChain>
</file>

<file path=xl/sharedStrings.xml><?xml version="1.0" encoding="utf-8"?>
<sst xmlns="http://schemas.openxmlformats.org/spreadsheetml/2006/main" count="4082" uniqueCount="489">
  <si>
    <t>Summary</t>
  </si>
  <si>
    <t>CapSense</t>
  </si>
  <si>
    <t>Power Mode</t>
  </si>
  <si>
    <t>MHz</t>
  </si>
  <si>
    <t>Battery Type</t>
  </si>
  <si>
    <t>AA</t>
  </si>
  <si>
    <t>AAA</t>
  </si>
  <si>
    <t>9V</t>
  </si>
  <si>
    <t>Hours</t>
  </si>
  <si>
    <t>Days</t>
  </si>
  <si>
    <t>uA</t>
  </si>
  <si>
    <t>Source 1</t>
  </si>
  <si>
    <t>Source 2</t>
  </si>
  <si>
    <t>Source 3</t>
  </si>
  <si>
    <t>Source 4</t>
  </si>
  <si>
    <t>Source 5</t>
  </si>
  <si>
    <t>Source 6</t>
  </si>
  <si>
    <t>Source 7</t>
  </si>
  <si>
    <t>Source 8</t>
  </si>
  <si>
    <t>ms</t>
  </si>
  <si>
    <t>Current</t>
  </si>
  <si>
    <t>Months</t>
  </si>
  <si>
    <t>Years</t>
  </si>
  <si>
    <t>CR1212</t>
  </si>
  <si>
    <t>CR1620</t>
  </si>
  <si>
    <t>CR2032</t>
  </si>
  <si>
    <t>Time in Config</t>
  </si>
  <si>
    <t>Config</t>
  </si>
  <si>
    <t>Off</t>
  </si>
  <si>
    <t xml:space="preserve">  Battery Life</t>
  </si>
  <si>
    <t>=Cell in which data can be entered or selected by the user.</t>
  </si>
  <si>
    <t>Peak and Average Current</t>
  </si>
  <si>
    <t>Battery Life Estimation</t>
  </si>
  <si>
    <t>Mode</t>
  </si>
  <si>
    <t>Total:</t>
  </si>
  <si>
    <t>Notes</t>
  </si>
  <si>
    <t>Settings</t>
  </si>
  <si>
    <t>mAh</t>
  </si>
  <si>
    <t>Worksheets</t>
  </si>
  <si>
    <t>Name</t>
  </si>
  <si>
    <t>Note: The average current draw is used to calculate battery life.</t>
  </si>
  <si>
    <t>These worksheets are linked together and reference each other. Do not delete any worksheets. The Battery Life worksheet has cells where you enter the amount of time spent in each configuration. Set the time to zero instead of deleting a worksheet.</t>
  </si>
  <si>
    <t>Instructions</t>
  </si>
  <si>
    <t>1. Select/enter values for as many Config worksheets as wanted.
2. In the Battery Life worksheet, enter the amount of time (in miliseconds) spent in each Config.
3. In the Battery Life worksheet, enter values for the type and/or capacity of your batteries.
4. The estimates will be shown in the tables on the Battery Life worksheet.</t>
  </si>
  <si>
    <t>MyConfig1</t>
  </si>
  <si>
    <t>MyBattery1</t>
  </si>
  <si>
    <t>MyBattery2</t>
  </si>
  <si>
    <t>MyBattery3</t>
  </si>
  <si>
    <t>Disclaimer</t>
  </si>
  <si>
    <t>These values can be used to include external components (like LEDs) that are being sourced by a GPIO pin.</t>
  </si>
  <si>
    <t>This spreadsheet can help estimate the power consumption of your design and show how long different types of batteries will last.</t>
  </si>
  <si>
    <t>CYPRESS MAKES NO WARRANTY OF ANY KIND, EXPRESS OR IMPLIED, WITH REGARD TO THIS MATERIAL, INCLUDING, BUT NOT LIMITED TO, THE IMPLIED WARRANTIES OF MERCHANTABILITY AND FITNESS FOR A PARTICULAR PURPOSE. Cypress reserves the right to make changes without further notice to the materials described herein. Cypress does not assume any liability arising out of the application or use of any product or circuit described herein. Cypress does not authorize its products for use as critical components in life-support systems where a malfunction or failure may reasonably be expected to result in significant injury to the user. The inclusion of Cypress' product in a life-support systems application implies that the manufacturer assumes all risk of such use and in doing so indemnifies Cypress against all charges.</t>
  </si>
  <si>
    <t>Low Power Comparator 1</t>
  </si>
  <si>
    <t>Low Power Comparator 2</t>
  </si>
  <si>
    <t>CTBm OpAmp 1</t>
  </si>
  <si>
    <t>CTBm OpAmp 2</t>
  </si>
  <si>
    <t>Mod Freq</t>
  </si>
  <si>
    <t>µA</t>
  </si>
  <si>
    <t>Average Contribution</t>
  </si>
  <si>
    <t>Peak current:</t>
  </si>
  <si>
    <t>Average current:</t>
  </si>
  <si>
    <t>Total time:</t>
  </si>
  <si>
    <t>Config Current</t>
  </si>
  <si>
    <t>TCPWM 1 Freq</t>
  </si>
  <si>
    <t>TCPWM</t>
  </si>
  <si>
    <t>TCPWM 2 Freq</t>
  </si>
  <si>
    <t>TCPWM 3 Freq</t>
  </si>
  <si>
    <t>TCPWM 4 Freq</t>
  </si>
  <si>
    <t>FF TCPWMs</t>
  </si>
  <si>
    <t>SCB Serial Communication Block</t>
  </si>
  <si>
    <t>SCB 1 Mode</t>
  </si>
  <si>
    <t>SCB 1 Bit-rate</t>
  </si>
  <si>
    <t>Select the CTB OpAmp2 power mode.</t>
  </si>
  <si>
    <t>Select the CTB OpAmp1 power mode.</t>
  </si>
  <si>
    <t>Select the low power comparator 1 power mode.</t>
  </si>
  <si>
    <t>Select the low power comparator 2 power mode.</t>
  </si>
  <si>
    <t xml:space="preserve">Config1 Nickname: </t>
  </si>
  <si>
    <r>
      <t xml:space="preserve">=Cell in which the values are fixed or automatically generated. </t>
    </r>
    <r>
      <rPr>
        <b/>
        <sz val="10"/>
        <rFont val="Arial"/>
        <family val="2"/>
      </rPr>
      <t>Do not edit.</t>
    </r>
  </si>
  <si>
    <r>
      <t xml:space="preserve">=Total calculated value. </t>
    </r>
    <r>
      <rPr>
        <b/>
        <sz val="10"/>
        <rFont val="Arial"/>
        <family val="2"/>
      </rPr>
      <t>Do not edit.</t>
    </r>
  </si>
  <si>
    <t>Cell Color Coding</t>
  </si>
  <si>
    <t>% Contribution</t>
  </si>
  <si>
    <t>ILO (32kHz)</t>
  </si>
  <si>
    <t>High</t>
  </si>
  <si>
    <t>Low</t>
  </si>
  <si>
    <t>SAR ADC (max)</t>
  </si>
  <si>
    <t>Comparator</t>
  </si>
  <si>
    <t>IDAC</t>
  </si>
  <si>
    <t>USB Block</t>
  </si>
  <si>
    <t>Suspended</t>
  </si>
  <si>
    <t>USB</t>
  </si>
  <si>
    <t>Connected</t>
  </si>
  <si>
    <t>UDB Usage Chart For Components</t>
  </si>
  <si>
    <t>Component</t>
  </si>
  <si>
    <t>Datapaths</t>
  </si>
  <si>
    <t>Macrocells</t>
  </si>
  <si>
    <t>Status Reg</t>
  </si>
  <si>
    <t>Control Reg</t>
  </si>
  <si>
    <t>SPI Master 8-bit</t>
  </si>
  <si>
    <t>SPI Master 16-bit</t>
  </si>
  <si>
    <t>SPI Slave 8-bit</t>
  </si>
  <si>
    <t>SPI Slave 16-bit</t>
  </si>
  <si>
    <t>UART Full</t>
  </si>
  <si>
    <t>UART Half-Duplex</t>
  </si>
  <si>
    <t>UART RX Only</t>
  </si>
  <si>
    <t>UART TX Only</t>
  </si>
  <si>
    <t>Counter 8-bit</t>
  </si>
  <si>
    <t>Counter 16-bit</t>
  </si>
  <si>
    <t>Counter 24-bit</t>
  </si>
  <si>
    <t>Counter 32-bit</t>
  </si>
  <si>
    <t>PrISM 8-bit</t>
  </si>
  <si>
    <t>PrISM 16-bit</t>
  </si>
  <si>
    <t>PrISM24-bit</t>
  </si>
  <si>
    <t>PrISM 32-bit</t>
  </si>
  <si>
    <t>SCB</t>
  </si>
  <si>
    <t>CTBm</t>
  </si>
  <si>
    <t>Clocks</t>
  </si>
  <si>
    <t>Pedestal</t>
  </si>
  <si>
    <t>uA/MHz</t>
  </si>
  <si>
    <t>CRC Single 8 bits</t>
  </si>
  <si>
    <t>CRC Single 16 bits</t>
  </si>
  <si>
    <t>CRC Single 24 bits</t>
  </si>
  <si>
    <t>CRC Single 32 bits</t>
  </si>
  <si>
    <t>PRS Single Cycle 8 bits</t>
  </si>
  <si>
    <t>PRS Single Cycle 16 bits</t>
  </si>
  <si>
    <t>PRS Single Cycle 24 bits</t>
  </si>
  <si>
    <t>PRS Single Cycle 32 bits</t>
  </si>
  <si>
    <t>Quadrature Decoder 8bit</t>
  </si>
  <si>
    <t>Quadrature Decoder 16bit</t>
  </si>
  <si>
    <t>Quadrature Decoder 32bit</t>
  </si>
  <si>
    <t>Shift Register 8 bit</t>
  </si>
  <si>
    <t>Shift Register 16 bit</t>
  </si>
  <si>
    <t>Shift Register 24 bit</t>
  </si>
  <si>
    <t>Shift Register 32 bit</t>
  </si>
  <si>
    <t>Timer 8 bit</t>
  </si>
  <si>
    <t>Timer 16 bit</t>
  </si>
  <si>
    <t>Timer 24 bit</t>
  </si>
  <si>
    <t>Timer 32 bit</t>
  </si>
  <si>
    <t>Fast/Normal</t>
  </si>
  <si>
    <t>Analog</t>
  </si>
  <si>
    <t>Digital</t>
  </si>
  <si>
    <t>Power Settings</t>
  </si>
  <si>
    <t>Quiescent</t>
  </si>
  <si>
    <t>kbps</t>
  </si>
  <si>
    <t>PWM Single Cycle 8 bits</t>
  </si>
  <si>
    <t>PWM Single Cycle 16 bits</t>
  </si>
  <si>
    <t>TCPWM 5 Freq</t>
  </si>
  <si>
    <t>TCPWM 6 Freq</t>
  </si>
  <si>
    <t>TCPWM 7 Freq</t>
  </si>
  <si>
    <t>TCPWM 8 Freq</t>
  </si>
  <si>
    <t>SCB 3 Mode</t>
  </si>
  <si>
    <t>Enabled</t>
  </si>
  <si>
    <t>Disabled</t>
  </si>
  <si>
    <t>Total</t>
  </si>
  <si>
    <t>Other System currents</t>
  </si>
  <si>
    <t>Other Systems</t>
  </si>
  <si>
    <t>System</t>
  </si>
  <si>
    <t xml:space="preserve">Number of IDACs </t>
  </si>
  <si>
    <t>None</t>
  </si>
  <si>
    <t>MyConfig2</t>
  </si>
  <si>
    <t>MyConfig3</t>
  </si>
  <si>
    <t>MyConfig4</t>
  </si>
  <si>
    <t>This tab contains the totals from all 5 of the Config tabs, and it uses these values to calculate and estimated battery life based upon the current draw and the amount of time spent in each config mode.</t>
  </si>
  <si>
    <t xml:space="preserve">  Config(1 to 5)</t>
  </si>
  <si>
    <r>
      <t xml:space="preserve">=Cell used for power calculation. </t>
    </r>
    <r>
      <rPr>
        <b/>
        <sz val="10"/>
        <rFont val="Arial"/>
        <family val="2"/>
      </rPr>
      <t>Do not edit.</t>
    </r>
  </si>
  <si>
    <t>PLL0</t>
  </si>
  <si>
    <t>PLL1</t>
  </si>
  <si>
    <t>I2C Master (400kbps)</t>
  </si>
  <si>
    <t>I2C Master (100kbps)</t>
  </si>
  <si>
    <t>I2C Slave (100kbps)</t>
  </si>
  <si>
    <t>I2C Multi-Master (100kbps)</t>
  </si>
  <si>
    <t>I2C Slave (400kbps)</t>
  </si>
  <si>
    <t>I2C Multi-Master (400kbps)</t>
  </si>
  <si>
    <t>I2C Slave (1000kbps)</t>
  </si>
  <si>
    <t>I2C Master (1000kbps)</t>
  </si>
  <si>
    <t>I2C Multi-Master (1000kbps)</t>
  </si>
  <si>
    <t>State</t>
  </si>
  <si>
    <t>Select the USB state.</t>
  </si>
  <si>
    <t>Select the SCB 3 mode (communication protocol).</t>
  </si>
  <si>
    <t>Enter the SCB 3 Bit-rate (0 - 8 Mbps, varies with protocol)</t>
  </si>
  <si>
    <t>CapSense 1</t>
  </si>
  <si>
    <t>CapSense 2</t>
  </si>
  <si>
    <t>uA/Ksps</t>
  </si>
  <si>
    <t>Medium/Low Power</t>
  </si>
  <si>
    <t>Slow/Ultra Low Power</t>
  </si>
  <si>
    <t>On</t>
  </si>
  <si>
    <t>Suspended Connected</t>
  </si>
  <si>
    <t>UART(uA/Kbps)</t>
  </si>
  <si>
    <t>SPI(uA/Kbps)</t>
  </si>
  <si>
    <t>I2C(uA/Kbps)</t>
  </si>
  <si>
    <t>Device Current Numbers</t>
  </si>
  <si>
    <t>Selected Device Current Numbers</t>
  </si>
  <si>
    <t>DEVICE</t>
  </si>
  <si>
    <t>Go Back to Summary Page</t>
  </si>
  <si>
    <t>I2C</t>
  </si>
  <si>
    <t>UART</t>
  </si>
  <si>
    <t>SPI</t>
  </si>
  <si>
    <t>Select the device used in your design</t>
  </si>
  <si>
    <t>MyConfig5</t>
  </si>
  <si>
    <t>Medium</t>
  </si>
  <si>
    <t>Disconnected</t>
  </si>
  <si>
    <t>USB Mode</t>
  </si>
  <si>
    <t>Configured</t>
  </si>
  <si>
    <t>USB State</t>
  </si>
  <si>
    <t>Configured Connected</t>
  </si>
  <si>
    <t>CTBm Power Modes</t>
  </si>
  <si>
    <t>SAR Power</t>
  </si>
  <si>
    <t>UART Baud Rates in bps</t>
  </si>
  <si>
    <t>UART Baud Rates in kbps</t>
  </si>
  <si>
    <t>SPI speed in kbps</t>
  </si>
  <si>
    <t>I2C speed in kbps</t>
  </si>
  <si>
    <t>SCB Modes</t>
  </si>
  <si>
    <t>Number of IDACs used in design (should be less than or equal to the number of IDACs present in the selected device)</t>
  </si>
  <si>
    <t xml:space="preserve">Enter the FF TCPWM input clock frequency </t>
  </si>
  <si>
    <t>Number of SCBs</t>
  </si>
  <si>
    <t>Number of Opamps</t>
  </si>
  <si>
    <t xml:space="preserve">Enter the Capsense modulation frequency. If not used, enter 0. </t>
  </si>
  <si>
    <t>I2C(DeepSleep)</t>
  </si>
  <si>
    <t>Revision: 1.00</t>
  </si>
  <si>
    <t>These worksheets calculate the current for a specific configuration. The spreadhseet supports five different configurations. Select or enter the configuration values for each of the items on the config worksheet. The current consumption for that configuration is displayed at the bottom. You can give the configuration a name at the top to make it easier to identify on the Battery Life worksheet.</t>
  </si>
  <si>
    <t>System Power Mode</t>
  </si>
  <si>
    <t>CPU Power Modes</t>
  </si>
  <si>
    <t>System Power Modes</t>
  </si>
  <si>
    <t>System LP</t>
  </si>
  <si>
    <t>System ULP</t>
  </si>
  <si>
    <t>System Deep Sleep</t>
  </si>
  <si>
    <t>System Hibernate</t>
  </si>
  <si>
    <t>CPU Deep Sleep</t>
  </si>
  <si>
    <t>CPU Sleep</t>
  </si>
  <si>
    <t>CPU Active</t>
  </si>
  <si>
    <t>Select the CM4 CPU Power Mode</t>
  </si>
  <si>
    <t>Select the CM0+ CPU Power Mode</t>
  </si>
  <si>
    <t>CM0+ CPU Power Mode</t>
  </si>
  <si>
    <t>CM4 CPU Power Mode</t>
  </si>
  <si>
    <t>PLL / FLL</t>
  </si>
  <si>
    <t>FLL</t>
  </si>
  <si>
    <t>High Frequency Clocks</t>
  </si>
  <si>
    <t xml:space="preserve">Enter the FLL frequency </t>
  </si>
  <si>
    <t xml:space="preserve"> - Feedback</t>
  </si>
  <si>
    <t>Enter the PLL0 Frequency</t>
  </si>
  <si>
    <t xml:space="preserve"> - Reference</t>
  </si>
  <si>
    <t>Enter the PLL0 Feedback</t>
  </si>
  <si>
    <t>Enter the PLL0 Reference</t>
  </si>
  <si>
    <t>Enter the PLL1 Frequency</t>
  </si>
  <si>
    <t>Enter the PLL1 Reference</t>
  </si>
  <si>
    <t>Enter the PLL1 Feedback</t>
  </si>
  <si>
    <t>Source Clocks</t>
  </si>
  <si>
    <t>Clk_HF0</t>
  </si>
  <si>
    <t>Clk_HF1</t>
  </si>
  <si>
    <t>Clk_HF2</t>
  </si>
  <si>
    <t>Clk_HF3</t>
  </si>
  <si>
    <t>Clk_HF4</t>
  </si>
  <si>
    <t>Clk_HF5</t>
  </si>
  <si>
    <t>Clk_Fast</t>
  </si>
  <si>
    <t>Clk_Peri</t>
  </si>
  <si>
    <t>Clk_Slow</t>
  </si>
  <si>
    <t>IMO (8 MHz)</t>
  </si>
  <si>
    <t>IMO pedestal current</t>
  </si>
  <si>
    <t>CPU Off</t>
  </si>
  <si>
    <t>=Cell selection needs to be reviewed.</t>
  </si>
  <si>
    <t>PILO (32.768 kHz)</t>
  </si>
  <si>
    <t>WCO (32.768 kHz)</t>
  </si>
  <si>
    <t>Set if WCO is enabled or not</t>
  </si>
  <si>
    <t>Set if ILO is enabled or not</t>
  </si>
  <si>
    <t>Set if PILO is enabled or not</t>
  </si>
  <si>
    <t>Power Mode Regulator</t>
  </si>
  <si>
    <t>LDO</t>
  </si>
  <si>
    <t>BUCK</t>
  </si>
  <si>
    <t>Volts</t>
  </si>
  <si>
    <t>Set the VDDD Voltage</t>
  </si>
  <si>
    <t>Select the regulator type</t>
  </si>
  <si>
    <t>TCPWM 9 Freq</t>
  </si>
  <si>
    <t>TCPWM 10 Freq</t>
  </si>
  <si>
    <t>TCPWM 11 Freq</t>
  </si>
  <si>
    <t>TCPWM 12 Freq</t>
  </si>
  <si>
    <t>TCPWM 13 Freq</t>
  </si>
  <si>
    <t>TCPWM 14 Freq</t>
  </si>
  <si>
    <t>TCPWM 15 Freq</t>
  </si>
  <si>
    <t>TCPWM 16 Freq</t>
  </si>
  <si>
    <t>TCPWM 17 Freq</t>
  </si>
  <si>
    <t>TCPWM 18 Freq</t>
  </si>
  <si>
    <t>TCPWM 19 Freq</t>
  </si>
  <si>
    <t>TCPWM 20 Freq</t>
  </si>
  <si>
    <t>TCPWM 21 Freq</t>
  </si>
  <si>
    <t>TCPWM 22 Freq</t>
  </si>
  <si>
    <t>TCPWM 23 Freq</t>
  </si>
  <si>
    <t>TCPWM 24 Freq</t>
  </si>
  <si>
    <t>TCPWM 25 Freq</t>
  </si>
  <si>
    <t>TCPWM 26 Freq</t>
  </si>
  <si>
    <t>TCPWM 27 Freq</t>
  </si>
  <si>
    <t>TCPWM 28 Freq</t>
  </si>
  <si>
    <t>TCPWM 29 Freq</t>
  </si>
  <si>
    <t>TCPWM 30 Freq</t>
  </si>
  <si>
    <t>TCPWM 31 Freq</t>
  </si>
  <si>
    <t>TCPWM 32 Freq</t>
  </si>
  <si>
    <t>IMO Pedestal</t>
  </si>
  <si>
    <r>
      <t>Peri Clock (</t>
    </r>
    <r>
      <rPr>
        <sz val="10"/>
        <rFont val="Calibri"/>
        <family val="2"/>
      </rPr>
      <t>µ</t>
    </r>
    <r>
      <rPr>
        <sz val="10"/>
        <rFont val="Arial"/>
        <family val="2"/>
      </rPr>
      <t>A/MHz)</t>
    </r>
  </si>
  <si>
    <t>FLL Clock (µA/MHz)</t>
  </si>
  <si>
    <t>CPU CM4 Off (µA/MHz)</t>
  </si>
  <si>
    <t>CPU CM4 Sleep (µA/MHz)</t>
  </si>
  <si>
    <t>CPU CM4 Active (µA/MHz)</t>
  </si>
  <si>
    <t>CPU CM0+ Sleep (µA/MHz)</t>
  </si>
  <si>
    <t>CPU CM0+ Active (µA/MHz)</t>
  </si>
  <si>
    <t>PLL Pedestal (&gt; 40)</t>
  </si>
  <si>
    <t>PLL Pedestal (&lt; 40)</t>
  </si>
  <si>
    <t>Divided by 1</t>
  </si>
  <si>
    <t>Dividers</t>
  </si>
  <si>
    <t>Divided by 2</t>
  </si>
  <si>
    <t>Divided by 4</t>
  </si>
  <si>
    <t>Divided by 8</t>
  </si>
  <si>
    <t>Power Mode Selection</t>
  </si>
  <si>
    <t>Enter the High Frequency Clock 0 divider and source</t>
  </si>
  <si>
    <t>Enter the High Frequency Clock 1 divider and source</t>
  </si>
  <si>
    <t>Enter the High Frequency Clock 2 divider and source</t>
  </si>
  <si>
    <t>Enter the High Frequency Clock 3 divider and source</t>
  </si>
  <si>
    <t>Enter the High Frequency Clock 4 divider and source</t>
  </si>
  <si>
    <t>Enter the High Frequency Clock 5 divider and source</t>
  </si>
  <si>
    <t>mA</t>
  </si>
  <si>
    <t>Regulator Voltage Core</t>
  </si>
  <si>
    <t>Select the regulator core voltage. This affects the System Power Mode options.</t>
  </si>
  <si>
    <t>Enter the Peripheral Clock frequency. Has to be less or equal to Clk_HFCLK0</t>
  </si>
  <si>
    <t>Enter the Slow Clock frequency. Has to be less or equal to Clk_Peri</t>
  </si>
  <si>
    <t>Enter the Fast Clock frequency. Has to be less or equal to Clk_HFCLK0</t>
  </si>
  <si>
    <t>WCO (32.768 KHz)</t>
  </si>
  <si>
    <t>ILO (32 KHz)</t>
  </si>
  <si>
    <t>PILO (32.768 KHz)</t>
  </si>
  <si>
    <t>ECO Clock (µA/MHz)</t>
  </si>
  <si>
    <t>ECO</t>
  </si>
  <si>
    <t>Set ECO frequency</t>
  </si>
  <si>
    <t>PLL Coef (&gt; 40)</t>
  </si>
  <si>
    <t>PLL Coef (&lt; 40)</t>
  </si>
  <si>
    <t>PLL Common (µA/MHz)</t>
  </si>
  <si>
    <t>Enable Pedestal</t>
  </si>
  <si>
    <t>Trigger Coefficient</t>
  </si>
  <si>
    <t>TCPWM 1 State</t>
  </si>
  <si>
    <t>TCPWM State</t>
  </si>
  <si>
    <t>Triggered</t>
  </si>
  <si>
    <t>Trigger Peri Coefficient</t>
  </si>
  <si>
    <t>Enter the FF TCPWM state</t>
  </si>
  <si>
    <t>TCPWM 2 State</t>
  </si>
  <si>
    <t>TCPWM 3 State</t>
  </si>
  <si>
    <t>TCPWM 4 State</t>
  </si>
  <si>
    <t>TCPWM 5 State</t>
  </si>
  <si>
    <t>TCPWM 6 State</t>
  </si>
  <si>
    <t>TCPWM 7 State</t>
  </si>
  <si>
    <t>TCPWM 8 State</t>
  </si>
  <si>
    <t>TCPWM 9 State</t>
  </si>
  <si>
    <t>TCPWM 10 State</t>
  </si>
  <si>
    <t>TCPWM 11 State</t>
  </si>
  <si>
    <t>TCPWM 12 State</t>
  </si>
  <si>
    <t>TCPWM 13 State</t>
  </si>
  <si>
    <t>TCPWM 14 State</t>
  </si>
  <si>
    <t>TCPWM 15 State</t>
  </si>
  <si>
    <t>TCPWM 16 State</t>
  </si>
  <si>
    <t>TCPWM 17 State</t>
  </si>
  <si>
    <t>TCPWM 18 State</t>
  </si>
  <si>
    <t>TCPWM 19 State</t>
  </si>
  <si>
    <t>TCPWM 20 State</t>
  </si>
  <si>
    <t>TCPWM 21 State</t>
  </si>
  <si>
    <t>TCPWM 22 State</t>
  </si>
  <si>
    <t>TCPWM 23 State</t>
  </si>
  <si>
    <t>TCPWM 24 State</t>
  </si>
  <si>
    <t>TCPWM 25 State</t>
  </si>
  <si>
    <t>TCPWM 26 State</t>
  </si>
  <si>
    <t>TCPWM 27 State</t>
  </si>
  <si>
    <t>TCPWM 28 State</t>
  </si>
  <si>
    <t>TCPWM 29 State</t>
  </si>
  <si>
    <t>TCPWM 30 State</t>
  </si>
  <si>
    <t>TCPWM 31 State</t>
  </si>
  <si>
    <t>TCPWM 32 State</t>
  </si>
  <si>
    <t>SCB 1 State</t>
  </si>
  <si>
    <t>SCB States</t>
  </si>
  <si>
    <t>Transmitting</t>
  </si>
  <si>
    <t>Select the SCB mode (communication protocol).</t>
  </si>
  <si>
    <t>Enter the SCB Bit-rate (0 - 50 Mbps, varies with protocol)</t>
  </si>
  <si>
    <t>Select the SCB state (Disabled, Enabled or Transmitting)</t>
  </si>
  <si>
    <t>SCB 3 State</t>
  </si>
  <si>
    <t>SPI Enable Peri Coef</t>
  </si>
  <si>
    <t>SPI Enable Coef</t>
  </si>
  <si>
    <t>I2C Enable Coef</t>
  </si>
  <si>
    <t>UART Enable Coef</t>
  </si>
  <si>
    <t>Suspended Disconnected</t>
  </si>
  <si>
    <t>Vref</t>
  </si>
  <si>
    <t>Select the voltage reference for the SAR ADC</t>
  </si>
  <si>
    <t>Enable Ped (System Bandgap)</t>
  </si>
  <si>
    <t>Enable Ped (Vdda)</t>
  </si>
  <si>
    <t>Enable Ped (Vdda/2)</t>
  </si>
  <si>
    <t>Enable Ped (ALL)</t>
  </si>
  <si>
    <t>Enter the Sample Rate</t>
  </si>
  <si>
    <t>Sampling</t>
  </si>
  <si>
    <t>CTBm Output Drive</t>
  </si>
  <si>
    <t>Internal only</t>
  </si>
  <si>
    <t>Output to pin</t>
  </si>
  <si>
    <t>SMIF</t>
  </si>
  <si>
    <t>Select the SMIF state</t>
  </si>
  <si>
    <t>DMA Ped</t>
  </si>
  <si>
    <t>HFCLK2</t>
  </si>
  <si>
    <t>DMA</t>
  </si>
  <si>
    <t>Select if using DMA with SMIF</t>
  </si>
  <si>
    <t>No</t>
  </si>
  <si>
    <t xml:space="preserve">Config2 Nickname: </t>
  </si>
  <si>
    <t xml:space="preserve">Config3 Nickname: </t>
  </si>
  <si>
    <t xml:space="preserve">Config4 Nickname: </t>
  </si>
  <si>
    <t xml:space="preserve">Config5 Nickname: </t>
  </si>
  <si>
    <t>UART/I2C Enable Ped</t>
  </si>
  <si>
    <t>SPI Enable Ped</t>
  </si>
  <si>
    <t>UART/I2C Run Ped</t>
  </si>
  <si>
    <t>SAR Global Parameters</t>
  </si>
  <si>
    <t>Deep Sleep Clock Source</t>
  </si>
  <si>
    <t>LPOSC Duty Cycle</t>
  </si>
  <si>
    <t>Power Up Delay</t>
  </si>
  <si>
    <t>Scan Count</t>
  </si>
  <si>
    <t>LPOSC</t>
  </si>
  <si>
    <t>Enable or disable the LPOSC duty cycling.</t>
  </si>
  <si>
    <t>us</t>
  </si>
  <si>
    <t>Configure the power up delay</t>
  </si>
  <si>
    <t>scans</t>
  </si>
  <si>
    <t>Configure number of scans to be executed per trigger</t>
  </si>
  <si>
    <t>SAR Mode</t>
  </si>
  <si>
    <t>Continuous Sampling</t>
  </si>
  <si>
    <t>Triggered Sampling</t>
  </si>
  <si>
    <t>Input Clock Frequency</t>
  </si>
  <si>
    <t>Sample Rate / Trigger Frequency</t>
  </si>
  <si>
    <t>Number of Channels</t>
  </si>
  <si>
    <t>Average Count</t>
  </si>
  <si>
    <t>KHz</t>
  </si>
  <si>
    <t>Ksps</t>
  </si>
  <si>
    <t>Channel</t>
  </si>
  <si>
    <t>Average Enabled</t>
  </si>
  <si>
    <t>Conversion Time (us)</t>
  </si>
  <si>
    <t>Achieved acquisition time (ns)</t>
  </si>
  <si>
    <t>Enter parameters for channel 0</t>
  </si>
  <si>
    <t>Enter parameters for channel 1</t>
  </si>
  <si>
    <t>Enter parameters for channel 2</t>
  </si>
  <si>
    <t>Enter parameters for channel 3</t>
  </si>
  <si>
    <t>Enter parameters for channel 4</t>
  </si>
  <si>
    <t>Enter parameters for channel 5</t>
  </si>
  <si>
    <t>Enter parameters for channel 6</t>
  </si>
  <si>
    <t>Enter parameters for channel 7</t>
  </si>
  <si>
    <t>Enter parameters for channel 8</t>
  </si>
  <si>
    <t>Enter parameters for channel 9</t>
  </si>
  <si>
    <t>Enter parameters for channel 10</t>
  </si>
  <si>
    <t>Enter parameters for channel 11</t>
  </si>
  <si>
    <t>Enter parameters for channel 12</t>
  </si>
  <si>
    <t>Enter parameters for channel 13</t>
  </si>
  <si>
    <t>Enter parameters for channel 14</t>
  </si>
  <si>
    <t>Enter parameters for channel 15</t>
  </si>
  <si>
    <t>Total SAR ADC active time</t>
  </si>
  <si>
    <t>SAR ADC 0 Current</t>
  </si>
  <si>
    <t>Scan Time</t>
  </si>
  <si>
    <t>SAR Average Count</t>
  </si>
  <si>
    <t>Deep Sleep</t>
  </si>
  <si>
    <t>Vdda</t>
  </si>
  <si>
    <t>CTBm Global Parameters</t>
  </si>
  <si>
    <t>Opamp Reference Current</t>
  </si>
  <si>
    <t>Charge Pump Clock Source</t>
  </si>
  <si>
    <t>Deep Sleep Clock</t>
  </si>
  <si>
    <t xml:space="preserve">Select the charge pump clock. Selecting deep sleep clock results in duty-cycling with SAR. </t>
  </si>
  <si>
    <t>1uA</t>
  </si>
  <si>
    <t>Peripheral Clock</t>
  </si>
  <si>
    <t>High (100nA bias)</t>
  </si>
  <si>
    <t>Med (100nA bias)</t>
  </si>
  <si>
    <t>Low (100nA bias)</t>
  </si>
  <si>
    <t>High (1uA bias)</t>
  </si>
  <si>
    <t>Med (1uA bias)</t>
  </si>
  <si>
    <t>Low (1uA bias)</t>
  </si>
  <si>
    <t>Select the mode</t>
  </si>
  <si>
    <t>Enter number of channels</t>
  </si>
  <si>
    <t>Enter average count</t>
  </si>
  <si>
    <t>Sequencing SAR ADC 0</t>
  </si>
  <si>
    <t>Sequencing SAR ADC 1</t>
  </si>
  <si>
    <t>CTBm Pump Clock</t>
  </si>
  <si>
    <t>SAR ADC 1 Current</t>
  </si>
  <si>
    <t>100nA</t>
  </si>
  <si>
    <t>PSOC 6 Power Estimator Spreadsheet</t>
  </si>
  <si>
    <t>PSOC 60</t>
  </si>
  <si>
    <t xml:space="preserve">Set the SAR frequency. When configured for System Deep Sleep in PSOC 62 (256K), default 2MHz LPOSC is used. </t>
  </si>
  <si>
    <t>PSOC VDDD Voltage</t>
  </si>
  <si>
    <t>Select the PSOC 6 System Power Mode. This affects the CPU power mode options</t>
  </si>
  <si>
    <t>PSOC 61</t>
  </si>
  <si>
    <t>PSOC 62 (1MB)</t>
  </si>
  <si>
    <t>PSOC 62 (2MB)</t>
  </si>
  <si>
    <t>PSOC 63</t>
  </si>
  <si>
    <t>PSOC 62 (512KB)</t>
  </si>
  <si>
    <t>PSOC 62 (256KB)</t>
  </si>
  <si>
    <t>PSOC62_2M</t>
  </si>
  <si>
    <t>PSOC 62 (1M)</t>
  </si>
  <si>
    <t>PSOC 62 (2M)</t>
  </si>
  <si>
    <t>PSOC 62 (512K)</t>
  </si>
  <si>
    <t>PSOC 62 (256K)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</si>
</sst>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
    <numFmt numFmtId="166" formatCode="#,##0.0"/>
    <numFmt numFmtId="167" formatCode="[$-409]d\-mmm\-yyyy;@"/>
    <numFmt numFmtId="168" formatCode="0.0%"/>
    <numFmt numFmtId="169" formatCode="#,##0.0000"/>
    <numFmt numFmtId="170" formatCode="0.0000"/>
  </numFmts>
  <fonts count="19" x14ac:knownFonts="1">
    <font>
      <sz val="10"/>
      <name val="Arial"/>
    </font>
    <font>
      <sz val="11"/>
      <color theme="1"/>
      <name val="Calibri"/>
      <family val="2"/>
      <scheme val="minor"/>
    </font>
    <font>
      <sz val="10"/>
      <name val="Arial"/>
      <family val="2"/>
    </font>
    <font>
      <sz val="8"/>
      <name val="Arial"/>
      <family val="2"/>
    </font>
    <font>
      <b/>
      <sz val="10"/>
      <name val="Arial"/>
      <family val="2"/>
    </font>
    <font>
      <b/>
      <sz val="12"/>
      <name val="Arial"/>
      <family val="2"/>
    </font>
    <font>
      <sz val="10"/>
      <name val="Arial"/>
      <family val="2"/>
    </font>
    <font>
      <b/>
      <u/>
      <sz val="10"/>
      <name val="Arial"/>
      <family val="2"/>
    </font>
    <font>
      <b/>
      <u/>
      <sz val="12"/>
      <name val="Arial"/>
      <family val="2"/>
    </font>
    <font>
      <i/>
      <sz val="10"/>
      <name val="Arial"/>
      <family val="2"/>
    </font>
    <font>
      <b/>
      <i/>
      <sz val="10"/>
      <name val="Arial"/>
      <family val="2"/>
    </font>
    <font>
      <sz val="8"/>
      <name val="Arial"/>
      <family val="2"/>
    </font>
    <font>
      <u/>
      <sz val="10"/>
      <color theme="10"/>
      <name val="Arial"/>
      <family val="2"/>
    </font>
    <font>
      <sz val="11"/>
      <color rgb="FF9C6500"/>
      <name val="Calibri"/>
      <family val="2"/>
      <scheme val="minor"/>
    </font>
    <font>
      <sz val="10"/>
      <color theme="1"/>
      <name val="Arial"/>
      <family val="2"/>
    </font>
    <font>
      <sz val="10"/>
      <color theme="0"/>
      <name val="Arial"/>
      <family val="2"/>
    </font>
    <font>
      <sz val="10"/>
      <name val="Calibri"/>
      <family val="2"/>
    </font>
    <font>
      <b/>
      <sz val="10"/>
      <color theme="0"/>
      <name val="Arial"/>
      <family val="2"/>
    </font>
    <font>
      <sz val="12"/>
      <name val="Arial"/>
      <family val="2"/>
    </font>
  </fonts>
  <fills count="1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rgb="FFFFEB9C"/>
      </patternFill>
    </fill>
    <fill>
      <patternFill patternType="solid">
        <fgColor theme="0"/>
        <bgColor indexed="64"/>
      </patternFill>
    </fill>
    <fill>
      <patternFill patternType="solid">
        <fgColor rgb="FF99CCFF"/>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FF0000"/>
        <bgColor indexed="64"/>
      </patternFill>
    </fill>
    <fill>
      <patternFill patternType="solid">
        <fgColor rgb="FFCCFFCC"/>
        <bgColor indexed="64"/>
      </patternFill>
    </fill>
  </fills>
  <borders count="23">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2" fillId="0" borderId="0" applyNumberFormat="0" applyFill="0" applyBorder="0" applyAlignment="0" applyProtection="0">
      <alignment vertical="top"/>
      <protection locked="0"/>
    </xf>
    <xf numFmtId="0" fontId="13" fillId="6" borderId="0" applyNumberFormat="0" applyBorder="0" applyAlignment="0" applyProtection="0"/>
    <xf numFmtId="9" fontId="2" fillId="0" borderId="0" applyFont="0" applyFill="0" applyBorder="0" applyAlignment="0" applyProtection="0"/>
    <xf numFmtId="0" fontId="1" fillId="0" borderId="0"/>
  </cellStyleXfs>
  <cellXfs count="260">
    <xf numFmtId="0" fontId="0" fillId="0" borderId="0" xfId="0"/>
    <xf numFmtId="0" fontId="6" fillId="0" borderId="0" xfId="0" applyFont="1"/>
    <xf numFmtId="0" fontId="0" fillId="0" borderId="1" xfId="0" applyBorder="1"/>
    <xf numFmtId="0" fontId="0" fillId="0" borderId="2" xfId="0" applyBorder="1"/>
    <xf numFmtId="0" fontId="7" fillId="0" borderId="0" xfId="0" applyFont="1" applyAlignment="1">
      <alignment horizontal="center"/>
    </xf>
    <xf numFmtId="0" fontId="0" fillId="0" borderId="3" xfId="0" applyBorder="1"/>
    <xf numFmtId="165" fontId="0" fillId="0" borderId="0" xfId="0" applyNumberFormat="1"/>
    <xf numFmtId="0" fontId="0" fillId="0" borderId="4" xfId="0" applyBorder="1"/>
    <xf numFmtId="0" fontId="4" fillId="0" borderId="3" xfId="0" applyFont="1" applyBorder="1" applyAlignment="1">
      <alignment horizontal="right"/>
    </xf>
    <xf numFmtId="0" fontId="7" fillId="0" borderId="5" xfId="0" applyFont="1" applyBorder="1" applyAlignment="1">
      <alignment horizontal="center"/>
    </xf>
    <xf numFmtId="0" fontId="0" fillId="0" borderId="6" xfId="0" applyBorder="1"/>
    <xf numFmtId="0" fontId="4" fillId="0" borderId="3" xfId="0" applyFont="1" applyBorder="1"/>
    <xf numFmtId="164" fontId="0" fillId="0" borderId="0" xfId="0" applyNumberFormat="1"/>
    <xf numFmtId="0" fontId="8" fillId="0" borderId="0" xfId="0" applyFont="1" applyAlignment="1">
      <alignment horizontal="center"/>
    </xf>
    <xf numFmtId="0" fontId="0" fillId="0" borderId="0" xfId="0" applyAlignment="1">
      <alignment horizontal="left" vertical="top"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0" borderId="0" xfId="0" quotePrefix="1" applyAlignment="1">
      <alignment horizontal="left" vertical="top"/>
    </xf>
    <xf numFmtId="0" fontId="5" fillId="0" borderId="5"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7" fillId="0" borderId="1" xfId="0" applyFont="1" applyBorder="1" applyAlignment="1">
      <alignment horizontal="center"/>
    </xf>
    <xf numFmtId="0" fontId="7" fillId="0" borderId="4" xfId="0" applyFont="1" applyBorder="1" applyAlignment="1">
      <alignment horizontal="center"/>
    </xf>
    <xf numFmtId="0" fontId="0" fillId="0" borderId="0" xfId="0" applyAlignment="1">
      <alignment horizontal="right"/>
    </xf>
    <xf numFmtId="0" fontId="0" fillId="0" borderId="3" xfId="0" applyBorder="1" applyAlignment="1">
      <alignment horizontal="right"/>
    </xf>
    <xf numFmtId="0" fontId="0" fillId="4" borderId="0" xfId="0" applyFill="1" applyAlignment="1">
      <alignment horizontal="left" vertical="top" wrapText="1"/>
    </xf>
    <xf numFmtId="167" fontId="11" fillId="0" borderId="0" xfId="0" applyNumberFormat="1" applyFont="1" applyAlignment="1">
      <alignment horizontal="left"/>
    </xf>
    <xf numFmtId="0" fontId="5" fillId="3" borderId="3" xfId="0" applyFont="1" applyFill="1" applyBorder="1" applyAlignment="1">
      <alignment horizontal="right" vertical="center"/>
    </xf>
    <xf numFmtId="4" fontId="5" fillId="3" borderId="3" xfId="0" applyNumberFormat="1" applyFont="1" applyFill="1" applyBorder="1"/>
    <xf numFmtId="4" fontId="0" fillId="0" borderId="0" xfId="0" applyNumberFormat="1"/>
    <xf numFmtId="0" fontId="0" fillId="0" borderId="1" xfId="0" applyBorder="1" applyAlignment="1">
      <alignment horizontal="center"/>
    </xf>
    <xf numFmtId="49" fontId="0" fillId="0" borderId="0" xfId="0" applyNumberFormat="1" applyAlignment="1">
      <alignment horizontal="justify" vertical="top" wrapText="1"/>
    </xf>
    <xf numFmtId="0" fontId="7" fillId="0" borderId="8" xfId="0" applyFont="1" applyBorder="1" applyAlignment="1">
      <alignment horizontal="center"/>
    </xf>
    <xf numFmtId="165" fontId="5" fillId="3" borderId="3" xfId="0" applyNumberFormat="1" applyFont="1" applyFill="1" applyBorder="1"/>
    <xf numFmtId="0" fontId="4" fillId="0" borderId="3" xfId="0" applyFont="1" applyBorder="1" applyAlignment="1">
      <alignment horizontal="left"/>
    </xf>
    <xf numFmtId="0" fontId="4" fillId="0" borderId="0" xfId="0" applyFont="1"/>
    <xf numFmtId="0" fontId="3" fillId="0" borderId="0" xfId="0" applyFont="1" applyAlignment="1">
      <alignment horizontal="left"/>
    </xf>
    <xf numFmtId="0" fontId="6" fillId="0" borderId="0" xfId="0" quotePrefix="1" applyFont="1" applyAlignment="1">
      <alignment horizontal="left" vertical="top"/>
    </xf>
    <xf numFmtId="2" fontId="0" fillId="0" borderId="0" xfId="0" applyNumberFormat="1"/>
    <xf numFmtId="1" fontId="6" fillId="0" borderId="0" xfId="0" applyNumberFormat="1" applyFont="1" applyAlignment="1">
      <alignment horizontal="center"/>
    </xf>
    <xf numFmtId="0" fontId="0" fillId="0" borderId="0" xfId="0" applyAlignment="1">
      <alignment horizontal="center"/>
    </xf>
    <xf numFmtId="0" fontId="6" fillId="0" borderId="9" xfId="0" applyFont="1" applyBorder="1" applyAlignment="1">
      <alignment horizontal="right"/>
    </xf>
    <xf numFmtId="1" fontId="6" fillId="0" borderId="10" xfId="0" applyNumberFormat="1" applyFont="1" applyBorder="1" applyAlignment="1">
      <alignment horizontal="center"/>
    </xf>
    <xf numFmtId="0" fontId="0" fillId="0" borderId="9" xfId="0" applyBorder="1" applyAlignment="1">
      <alignment horizontal="right"/>
    </xf>
    <xf numFmtId="0" fontId="0" fillId="0" borderId="10" xfId="0" applyBorder="1" applyAlignment="1">
      <alignment horizontal="center"/>
    </xf>
    <xf numFmtId="2" fontId="4" fillId="0" borderId="0" xfId="0" applyNumberFormat="1" applyFont="1" applyAlignment="1">
      <alignment horizontal="center"/>
    </xf>
    <xf numFmtId="0" fontId="4" fillId="0" borderId="0" xfId="0" applyFont="1" applyAlignment="1">
      <alignment horizontal="center"/>
    </xf>
    <xf numFmtId="0" fontId="4" fillId="0" borderId="10" xfId="0" applyFont="1" applyBorder="1" applyAlignment="1">
      <alignment horizontal="center"/>
    </xf>
    <xf numFmtId="0" fontId="6" fillId="0" borderId="11" xfId="0" applyFont="1" applyBorder="1"/>
    <xf numFmtId="0" fontId="6" fillId="0" borderId="0" xfId="0" applyFont="1" applyAlignment="1">
      <alignment horizontal="left"/>
    </xf>
    <xf numFmtId="0" fontId="6" fillId="0" borderId="11" xfId="0" applyFont="1" applyBorder="1" applyAlignment="1">
      <alignment horizontal="left"/>
    </xf>
    <xf numFmtId="0" fontId="8" fillId="0" borderId="12" xfId="0" applyFont="1" applyBorder="1" applyAlignment="1">
      <alignment horizontal="center"/>
    </xf>
    <xf numFmtId="0" fontId="0" fillId="0" borderId="13" xfId="0" applyBorder="1"/>
    <xf numFmtId="0" fontId="4" fillId="5" borderId="14" xfId="0" applyFont="1" applyFill="1" applyBorder="1"/>
    <xf numFmtId="0" fontId="0" fillId="0" borderId="14" xfId="0" applyBorder="1"/>
    <xf numFmtId="0" fontId="6" fillId="0" borderId="14" xfId="0" applyFont="1" applyBorder="1"/>
    <xf numFmtId="0" fontId="6" fillId="2" borderId="14" xfId="0" applyFont="1" applyFill="1" applyBorder="1" applyAlignment="1">
      <alignment horizontal="right"/>
    </xf>
    <xf numFmtId="165" fontId="0" fillId="4" borderId="14" xfId="0" applyNumberFormat="1" applyFill="1" applyBorder="1" applyAlignment="1">
      <alignment horizontal="right"/>
    </xf>
    <xf numFmtId="0" fontId="6" fillId="4" borderId="14" xfId="0" applyFont="1" applyFill="1" applyBorder="1"/>
    <xf numFmtId="0" fontId="6" fillId="0" borderId="14" xfId="0" applyFont="1" applyBorder="1" applyAlignment="1">
      <alignment horizontal="left"/>
    </xf>
    <xf numFmtId="0" fontId="0" fillId="2" borderId="14" xfId="0" applyFill="1" applyBorder="1" applyAlignment="1">
      <alignment horizontal="right"/>
    </xf>
    <xf numFmtId="166" fontId="0" fillId="0" borderId="0" xfId="0" applyNumberFormat="1"/>
    <xf numFmtId="0" fontId="6" fillId="0" borderId="0" xfId="0" applyFont="1" applyAlignment="1">
      <alignment horizontal="right"/>
    </xf>
    <xf numFmtId="0" fontId="4" fillId="0" borderId="15" xfId="0" applyFont="1" applyBorder="1" applyAlignment="1">
      <alignment horizontal="center"/>
    </xf>
    <xf numFmtId="165" fontId="6" fillId="4" borderId="14" xfId="0" applyNumberFormat="1" applyFont="1" applyFill="1" applyBorder="1" applyAlignment="1">
      <alignment horizontal="right"/>
    </xf>
    <xf numFmtId="165" fontId="4" fillId="5" borderId="14" xfId="0" applyNumberFormat="1" applyFont="1" applyFill="1" applyBorder="1"/>
    <xf numFmtId="165" fontId="2" fillId="4" borderId="14" xfId="0" applyNumberFormat="1" applyFont="1" applyFill="1" applyBorder="1" applyAlignment="1">
      <alignment horizontal="right"/>
    </xf>
    <xf numFmtId="0" fontId="10" fillId="5" borderId="14" xfId="0" applyFont="1" applyFill="1" applyBorder="1"/>
    <xf numFmtId="0" fontId="9" fillId="0" borderId="14" xfId="0" applyFont="1" applyBorder="1" applyAlignment="1">
      <alignment vertical="top" wrapText="1"/>
    </xf>
    <xf numFmtId="165" fontId="0" fillId="4" borderId="14" xfId="0" applyNumberFormat="1" applyFill="1" applyBorder="1"/>
    <xf numFmtId="0" fontId="4" fillId="5" borderId="13" xfId="0" applyFont="1" applyFill="1" applyBorder="1"/>
    <xf numFmtId="0" fontId="0" fillId="5" borderId="13" xfId="0" applyFill="1" applyBorder="1"/>
    <xf numFmtId="0" fontId="0" fillId="5" borderId="13" xfId="0" applyFill="1" applyBorder="1" applyAlignment="1">
      <alignment horizontal="right"/>
    </xf>
    <xf numFmtId="0" fontId="0" fillId="0" borderId="5" xfId="0" applyBorder="1"/>
    <xf numFmtId="0" fontId="0" fillId="0" borderId="7" xfId="0" applyBorder="1"/>
    <xf numFmtId="0" fontId="0" fillId="0" borderId="7" xfId="0" applyBorder="1" applyAlignment="1">
      <alignment horizontal="right"/>
    </xf>
    <xf numFmtId="4" fontId="0" fillId="0" borderId="7" xfId="0" applyNumberFormat="1" applyBorder="1"/>
    <xf numFmtId="0" fontId="0" fillId="0" borderId="8" xfId="0" applyBorder="1"/>
    <xf numFmtId="0" fontId="13" fillId="6" borderId="0" xfId="2" applyNumberFormat="1" applyAlignment="1">
      <alignment horizontal="left" vertical="top" wrapText="1"/>
    </xf>
    <xf numFmtId="1" fontId="0" fillId="0" borderId="0" xfId="0" applyNumberFormat="1" applyAlignment="1">
      <alignment horizontal="center"/>
    </xf>
    <xf numFmtId="165" fontId="0" fillId="7" borderId="14" xfId="0" applyNumberFormat="1" applyFill="1" applyBorder="1" applyAlignment="1">
      <alignment horizontal="right"/>
    </xf>
    <xf numFmtId="0" fontId="6" fillId="7" borderId="14" xfId="0" applyFont="1" applyFill="1" applyBorder="1"/>
    <xf numFmtId="0" fontId="0" fillId="10" borderId="0" xfId="0" applyFill="1"/>
    <xf numFmtId="0" fontId="14" fillId="0" borderId="14" xfId="0" applyFont="1" applyBorder="1" applyAlignment="1">
      <alignment horizontal="center" vertical="center"/>
    </xf>
    <xf numFmtId="0" fontId="0" fillId="10" borderId="14" xfId="0" applyFill="1" applyBorder="1" applyAlignment="1">
      <alignment horizontal="center" vertical="center"/>
    </xf>
    <xf numFmtId="0" fontId="0" fillId="0" borderId="14" xfId="0" applyBorder="1" applyAlignment="1">
      <alignment horizontal="center" vertical="center"/>
    </xf>
    <xf numFmtId="0" fontId="6" fillId="0" borderId="14" xfId="0" applyFont="1" applyBorder="1" applyAlignment="1">
      <alignment horizontal="center" vertical="center"/>
    </xf>
    <xf numFmtId="0" fontId="0" fillId="0" borderId="14" xfId="0" applyBorder="1" applyAlignment="1">
      <alignment vertical="center"/>
    </xf>
    <xf numFmtId="0" fontId="12" fillId="0" borderId="0" xfId="1" applyAlignment="1" applyProtection="1"/>
    <xf numFmtId="0" fontId="0" fillId="11" borderId="14" xfId="0" applyFill="1" applyBorder="1"/>
    <xf numFmtId="0" fontId="0" fillId="0" borderId="19" xfId="0" applyBorder="1" applyAlignment="1">
      <alignment horizontal="center" vertical="center"/>
    </xf>
    <xf numFmtId="0" fontId="0" fillId="0" borderId="14" xfId="0" applyBorder="1" applyAlignment="1">
      <alignment horizontal="center"/>
    </xf>
    <xf numFmtId="0" fontId="0" fillId="0" borderId="20" xfId="0" applyBorder="1" applyAlignment="1">
      <alignment horizontal="center" vertical="center"/>
    </xf>
    <xf numFmtId="0" fontId="0" fillId="11" borderId="14" xfId="0" applyFill="1" applyBorder="1" applyAlignment="1">
      <alignment horizontal="center"/>
    </xf>
    <xf numFmtId="49" fontId="6" fillId="0" borderId="14" xfId="0" applyNumberFormat="1" applyFont="1" applyBorder="1" applyAlignment="1">
      <alignment horizontal="center"/>
    </xf>
    <xf numFmtId="0" fontId="7" fillId="0" borderId="7" xfId="0" applyFont="1" applyBorder="1" applyAlignment="1">
      <alignment horizontal="center"/>
    </xf>
    <xf numFmtId="4" fontId="0" fillId="2" borderId="0" xfId="0" applyNumberFormat="1" applyFill="1"/>
    <xf numFmtId="4" fontId="0" fillId="4" borderId="0" xfId="0" applyNumberFormat="1" applyFill="1" applyAlignment="1">
      <alignment horizontal="right"/>
    </xf>
    <xf numFmtId="164" fontId="0" fillId="4" borderId="0" xfId="0" applyNumberFormat="1" applyFill="1"/>
    <xf numFmtId="168" fontId="0" fillId="4" borderId="4" xfId="3" applyNumberFormat="1" applyFont="1" applyFill="1" applyBorder="1"/>
    <xf numFmtId="3" fontId="0" fillId="4" borderId="0" xfId="0" applyNumberFormat="1" applyFill="1"/>
    <xf numFmtId="164" fontId="4" fillId="3" borderId="3" xfId="0" applyNumberFormat="1" applyFont="1" applyFill="1" applyBorder="1"/>
    <xf numFmtId="0" fontId="0" fillId="4" borderId="1" xfId="0" applyFill="1" applyBorder="1"/>
    <xf numFmtId="0" fontId="0" fillId="2" borderId="0" xfId="0" applyFill="1" applyAlignment="1">
      <alignment horizontal="center"/>
    </xf>
    <xf numFmtId="166" fontId="0" fillId="3" borderId="0" xfId="0" applyNumberFormat="1" applyFill="1" applyAlignment="1">
      <alignment horizontal="center"/>
    </xf>
    <xf numFmtId="4" fontId="0" fillId="3" borderId="0" xfId="0" applyNumberFormat="1" applyFill="1" applyAlignment="1">
      <alignment horizontal="center"/>
    </xf>
    <xf numFmtId="4" fontId="0" fillId="3" borderId="4" xfId="0" applyNumberFormat="1" applyFill="1" applyBorder="1" applyAlignment="1">
      <alignment horizontal="center"/>
    </xf>
    <xf numFmtId="0" fontId="0" fillId="2" borderId="1" xfId="0" applyFill="1" applyBorder="1"/>
    <xf numFmtId="0" fontId="6" fillId="0" borderId="20" xfId="0" applyFont="1" applyBorder="1" applyAlignment="1">
      <alignment horizontal="center" vertical="center"/>
    </xf>
    <xf numFmtId="169" fontId="4" fillId="3" borderId="3" xfId="0" applyNumberFormat="1" applyFont="1" applyFill="1" applyBorder="1"/>
    <xf numFmtId="169" fontId="0" fillId="0" borderId="14" xfId="0" applyNumberFormat="1" applyBorder="1" applyAlignment="1">
      <alignment horizontal="right"/>
    </xf>
    <xf numFmtId="0" fontId="2" fillId="2" borderId="14" xfId="0" applyFont="1" applyFill="1" applyBorder="1" applyAlignment="1">
      <alignment horizontal="right"/>
    </xf>
    <xf numFmtId="0" fontId="2" fillId="0" borderId="14" xfId="0" applyFont="1" applyBorder="1" applyAlignment="1">
      <alignment horizontal="left"/>
    </xf>
    <xf numFmtId="0" fontId="4" fillId="0" borderId="14" xfId="0" applyFont="1" applyBorder="1"/>
    <xf numFmtId="0" fontId="4" fillId="0" borderId="21" xfId="0" applyFont="1" applyBorder="1"/>
    <xf numFmtId="0" fontId="6" fillId="0" borderId="21" xfId="0" applyFont="1" applyBorder="1"/>
    <xf numFmtId="0" fontId="4" fillId="0" borderId="14" xfId="0" applyFont="1" applyBorder="1" applyAlignment="1">
      <alignment horizontal="center"/>
    </xf>
    <xf numFmtId="0" fontId="0" fillId="0" borderId="21" xfId="0" applyBorder="1" applyAlignment="1">
      <alignment horizontal="center"/>
    </xf>
    <xf numFmtId="0" fontId="0" fillId="0" borderId="21" xfId="0" applyBorder="1"/>
    <xf numFmtId="0" fontId="0" fillId="11" borderId="0" xfId="0" applyFill="1" applyAlignment="1">
      <alignment horizontal="center"/>
    </xf>
    <xf numFmtId="0" fontId="4" fillId="0" borderId="14" xfId="0" applyFont="1" applyBorder="1" applyAlignment="1">
      <alignment vertical="center" wrapText="1"/>
    </xf>
    <xf numFmtId="0" fontId="4" fillId="0" borderId="14" xfId="0" applyFont="1" applyBorder="1" applyAlignment="1">
      <alignment vertical="center"/>
    </xf>
    <xf numFmtId="0" fontId="2" fillId="0" borderId="14" xfId="0" applyFont="1" applyBorder="1"/>
    <xf numFmtId="0" fontId="2" fillId="8" borderId="14" xfId="0" applyFont="1" applyFill="1" applyBorder="1" applyAlignment="1">
      <alignment horizontal="right"/>
    </xf>
    <xf numFmtId="0" fontId="2" fillId="0" borderId="14" xfId="0" applyFont="1" applyBorder="1" applyAlignment="1">
      <alignment horizontal="center" vertical="center"/>
    </xf>
    <xf numFmtId="0" fontId="2" fillId="0" borderId="14" xfId="0" applyFont="1" applyBorder="1" applyAlignment="1">
      <alignment horizontal="center"/>
    </xf>
    <xf numFmtId="0" fontId="6" fillId="0" borderId="20" xfId="0" applyFont="1" applyBorder="1"/>
    <xf numFmtId="0" fontId="0" fillId="12" borderId="14" xfId="0" applyFill="1" applyBorder="1" applyAlignment="1">
      <alignment horizontal="center" vertical="center"/>
    </xf>
    <xf numFmtId="0" fontId="4" fillId="0" borderId="20" xfId="0" applyFont="1" applyBorder="1"/>
    <xf numFmtId="0" fontId="0" fillId="0" borderId="20" xfId="0" applyBorder="1"/>
    <xf numFmtId="0" fontId="2" fillId="0" borderId="10" xfId="0" applyFont="1" applyBorder="1" applyAlignment="1">
      <alignment horizontal="center" vertical="center"/>
    </xf>
    <xf numFmtId="0" fontId="2" fillId="0" borderId="21" xfId="0" applyFont="1" applyBorder="1"/>
    <xf numFmtId="0" fontId="0" fillId="0" borderId="21" xfId="0" applyBorder="1" applyAlignment="1">
      <alignment vertical="center"/>
    </xf>
    <xf numFmtId="0" fontId="0" fillId="0" borderId="0" xfId="0" applyAlignment="1">
      <alignment vertical="center"/>
    </xf>
    <xf numFmtId="0" fontId="2" fillId="0" borderId="0" xfId="0" applyFont="1" applyAlignment="1">
      <alignment vertical="center"/>
    </xf>
    <xf numFmtId="0" fontId="0" fillId="0" borderId="13" xfId="0" applyBorder="1" applyAlignment="1">
      <alignment vertical="center"/>
    </xf>
    <xf numFmtId="0" fontId="4" fillId="5" borderId="14" xfId="0" applyFont="1" applyFill="1" applyBorder="1" applyAlignment="1">
      <alignment horizontal="center"/>
    </xf>
    <xf numFmtId="0" fontId="6" fillId="0" borderId="14" xfId="0" applyFont="1" applyBorder="1" applyAlignment="1">
      <alignment horizontal="center"/>
    </xf>
    <xf numFmtId="0" fontId="2" fillId="0" borderId="20" xfId="0" applyFont="1" applyBorder="1"/>
    <xf numFmtId="0" fontId="0" fillId="7" borderId="14" xfId="0" applyFill="1" applyBorder="1"/>
    <xf numFmtId="0" fontId="15" fillId="0" borderId="14" xfId="0" applyFont="1" applyBorder="1"/>
    <xf numFmtId="0" fontId="2" fillId="7" borderId="14" xfId="0" applyFont="1" applyFill="1" applyBorder="1" applyAlignment="1">
      <alignment horizontal="right"/>
    </xf>
    <xf numFmtId="0" fontId="13" fillId="13" borderId="0" xfId="2" applyNumberFormat="1" applyFill="1" applyAlignment="1">
      <alignment horizontal="left" vertical="top" wrapText="1"/>
    </xf>
    <xf numFmtId="0" fontId="2" fillId="0" borderId="0" xfId="0" quotePrefix="1" applyFont="1" applyAlignment="1">
      <alignment horizontal="left" vertical="top"/>
    </xf>
    <xf numFmtId="0" fontId="2" fillId="0" borderId="14" xfId="0" applyFont="1" applyBorder="1" applyAlignment="1">
      <alignment horizontal="center" vertical="center" wrapText="1"/>
    </xf>
    <xf numFmtId="0" fontId="2" fillId="0" borderId="0" xfId="0" applyFont="1" applyAlignment="1">
      <alignment horizontal="center"/>
    </xf>
    <xf numFmtId="0" fontId="0" fillId="8" borderId="14" xfId="0" applyFill="1" applyBorder="1" applyAlignment="1">
      <alignment horizontal="right"/>
    </xf>
    <xf numFmtId="0" fontId="6" fillId="7" borderId="14" xfId="0" applyFont="1" applyFill="1" applyBorder="1" applyAlignment="1">
      <alignment horizontal="right"/>
    </xf>
    <xf numFmtId="0" fontId="15" fillId="7" borderId="14" xfId="0" applyFont="1" applyFill="1" applyBorder="1"/>
    <xf numFmtId="0" fontId="2" fillId="8" borderId="14" xfId="0" applyFont="1" applyFill="1" applyBorder="1"/>
    <xf numFmtId="0" fontId="2" fillId="0" borderId="21" xfId="0" applyFont="1" applyBorder="1" applyAlignment="1">
      <alignment horizontal="center"/>
    </xf>
    <xf numFmtId="0" fontId="17" fillId="0" borderId="14" xfId="0" applyFont="1" applyBorder="1"/>
    <xf numFmtId="165" fontId="2" fillId="0" borderId="14" xfId="0" applyNumberFormat="1" applyFont="1" applyBorder="1" applyAlignment="1">
      <alignment horizontal="right"/>
    </xf>
    <xf numFmtId="165" fontId="0" fillId="0" borderId="14" xfId="0" applyNumberFormat="1" applyBorder="1" applyAlignment="1">
      <alignment horizontal="right"/>
    </xf>
    <xf numFmtId="0" fontId="2" fillId="0" borderId="22" xfId="0" applyFont="1" applyBorder="1"/>
    <xf numFmtId="0" fontId="6" fillId="0" borderId="22" xfId="0" applyFont="1" applyBorder="1"/>
    <xf numFmtId="0" fontId="6" fillId="0" borderId="14" xfId="0" applyFont="1" applyBorder="1" applyAlignment="1">
      <alignment horizontal="right"/>
    </xf>
    <xf numFmtId="0" fontId="2" fillId="0" borderId="20" xfId="0" applyFont="1" applyBorder="1" applyAlignment="1">
      <alignment horizontal="center" vertical="center"/>
    </xf>
    <xf numFmtId="4" fontId="4" fillId="5" borderId="13" xfId="0" applyNumberFormat="1" applyFont="1" applyFill="1" applyBorder="1"/>
    <xf numFmtId="0" fontId="2" fillId="0" borderId="0" xfId="0" applyFont="1"/>
    <xf numFmtId="0" fontId="2" fillId="0" borderId="18" xfId="0" applyFont="1" applyBorder="1" applyAlignment="1">
      <alignment horizontal="center" vertical="center"/>
    </xf>
    <xf numFmtId="0" fontId="0" fillId="0" borderId="18" xfId="0" applyBorder="1" applyAlignment="1">
      <alignment horizontal="center" vertical="center"/>
    </xf>
    <xf numFmtId="164" fontId="0" fillId="0" borderId="14" xfId="0" applyNumberFormat="1" applyBorder="1" applyAlignment="1">
      <alignment horizontal="center" vertical="center"/>
    </xf>
    <xf numFmtId="164" fontId="6" fillId="0" borderId="14" xfId="0" applyNumberFormat="1" applyFont="1" applyBorder="1" applyAlignment="1">
      <alignment horizontal="center" vertical="center"/>
    </xf>
    <xf numFmtId="164" fontId="2" fillId="0" borderId="18" xfId="0" applyNumberFormat="1" applyFont="1" applyBorder="1" applyAlignment="1">
      <alignment horizontal="center" vertical="center"/>
    </xf>
    <xf numFmtId="170" fontId="6" fillId="0" borderId="14" xfId="0" applyNumberFormat="1" applyFont="1" applyBorder="1" applyAlignment="1">
      <alignment horizontal="center" vertical="center"/>
    </xf>
    <xf numFmtId="170" fontId="0" fillId="0" borderId="14" xfId="0" applyNumberFormat="1" applyBorder="1" applyAlignment="1">
      <alignment horizontal="center"/>
    </xf>
    <xf numFmtId="0" fontId="5" fillId="0" borderId="14" xfId="0" applyFont="1" applyBorder="1" applyAlignment="1">
      <alignment horizontal="center"/>
    </xf>
    <xf numFmtId="0" fontId="17" fillId="0" borderId="19" xfId="0" applyFont="1" applyBorder="1" applyAlignment="1">
      <alignment horizontal="center"/>
    </xf>
    <xf numFmtId="0" fontId="0" fillId="8" borderId="14" xfId="0" applyFill="1" applyBorder="1"/>
    <xf numFmtId="0" fontId="18" fillId="0" borderId="14" xfId="0" applyFont="1" applyBorder="1"/>
    <xf numFmtId="0" fontId="5" fillId="0" borderId="14" xfId="0" applyFont="1" applyBorder="1"/>
    <xf numFmtId="0" fontId="4" fillId="0" borderId="21" xfId="0" applyFont="1" applyBorder="1" applyAlignment="1">
      <alignment horizontal="center"/>
    </xf>
    <xf numFmtId="0" fontId="0" fillId="0" borderId="14" xfId="0" applyBorder="1" applyAlignment="1">
      <alignment horizontal="right"/>
    </xf>
    <xf numFmtId="0" fontId="0" fillId="0" borderId="18" xfId="0" applyBorder="1"/>
    <xf numFmtId="0" fontId="0" fillId="8" borderId="0" xfId="0" applyFill="1"/>
    <xf numFmtId="0" fontId="2" fillId="0" borderId="18" xfId="0" applyFont="1" applyBorder="1"/>
    <xf numFmtId="2" fontId="2" fillId="0" borderId="14" xfId="0" applyNumberFormat="1" applyFont="1" applyBorder="1" applyAlignment="1">
      <alignment horizontal="left"/>
    </xf>
    <xf numFmtId="4" fontId="2" fillId="0" borderId="14" xfId="0" applyNumberFormat="1" applyFont="1" applyBorder="1" applyAlignment="1">
      <alignment horizontal="right"/>
    </xf>
    <xf numFmtId="0" fontId="2" fillId="0" borderId="22" xfId="0" applyFont="1" applyBorder="1" applyAlignment="1">
      <alignment horizontal="center"/>
    </xf>
    <xf numFmtId="0" fontId="2" fillId="0" borderId="20" xfId="0" applyFont="1" applyBorder="1" applyAlignment="1">
      <alignment horizontal="center"/>
    </xf>
    <xf numFmtId="0" fontId="2" fillId="0" borderId="14" xfId="0" applyFont="1" applyBorder="1" applyAlignment="1">
      <alignment vertical="center"/>
    </xf>
    <xf numFmtId="0" fontId="2" fillId="0" borderId="21" xfId="0" applyFont="1" applyBorder="1" applyAlignment="1">
      <alignment horizontal="left"/>
    </xf>
    <xf numFmtId="0" fontId="2" fillId="0" borderId="22" xfId="0" applyFont="1" applyBorder="1" applyAlignment="1">
      <alignment horizontal="left"/>
    </xf>
    <xf numFmtId="0" fontId="2" fillId="0" borderId="20" xfId="0" applyFont="1" applyBorder="1" applyAlignment="1">
      <alignment horizontal="left"/>
    </xf>
    <xf numFmtId="0" fontId="2" fillId="4" borderId="14" xfId="0" applyFont="1" applyFill="1" applyBorder="1"/>
    <xf numFmtId="0" fontId="4" fillId="11" borderId="14" xfId="0" applyFont="1" applyFill="1" applyBorder="1"/>
    <xf numFmtId="0" fontId="6" fillId="11" borderId="14" xfId="0" applyFont="1" applyFill="1" applyBorder="1"/>
    <xf numFmtId="0" fontId="0" fillId="11" borderId="14" xfId="0" applyFill="1" applyBorder="1" applyAlignment="1">
      <alignment horizontal="right"/>
    </xf>
    <xf numFmtId="165" fontId="2" fillId="11" borderId="14" xfId="0" applyNumberFormat="1" applyFont="1" applyFill="1" applyBorder="1" applyAlignment="1">
      <alignment horizontal="right"/>
    </xf>
    <xf numFmtId="0" fontId="2" fillId="11" borderId="14" xfId="0" applyFont="1" applyFill="1" applyBorder="1" applyAlignment="1">
      <alignment horizontal="left"/>
    </xf>
    <xf numFmtId="2" fontId="2" fillId="11" borderId="14" xfId="0" applyNumberFormat="1" applyFont="1" applyFill="1" applyBorder="1" applyAlignment="1">
      <alignment horizontal="left"/>
    </xf>
    <xf numFmtId="0" fontId="0" fillId="0" borderId="14" xfId="0" applyBorder="1" applyAlignment="1" applyProtection="1">
      <alignment horizontal="right"/>
      <protection locked="0"/>
    </xf>
    <xf numFmtId="0" fontId="4" fillId="0" borderId="14" xfId="0" applyFont="1" applyBorder="1" applyAlignment="1">
      <alignment wrapText="1"/>
    </xf>
    <xf numFmtId="165" fontId="4" fillId="0" borderId="14" xfId="0" applyNumberFormat="1" applyFont="1" applyBorder="1" applyAlignment="1">
      <alignment horizontal="left" wrapText="1"/>
    </xf>
    <xf numFmtId="0" fontId="0" fillId="0" borderId="0" xfId="0" applyAlignment="1">
      <alignment horizontal="left"/>
    </xf>
    <xf numFmtId="0" fontId="6" fillId="0" borderId="9" xfId="0" applyFont="1" applyBorder="1" applyAlignment="1">
      <alignment horizontal="left"/>
    </xf>
    <xf numFmtId="0" fontId="2" fillId="14" borderId="14" xfId="0" applyFont="1" applyFill="1" applyBorder="1"/>
    <xf numFmtId="0" fontId="2" fillId="14" borderId="14" xfId="0" applyFont="1" applyFill="1" applyBorder="1" applyAlignment="1">
      <alignment horizontal="left"/>
    </xf>
    <xf numFmtId="0" fontId="4" fillId="0" borderId="0" xfId="0" applyFont="1" applyAlignment="1">
      <alignment vertical="center"/>
    </xf>
    <xf numFmtId="0" fontId="0" fillId="10" borderId="0" xfId="0" applyFill="1" applyAlignment="1">
      <alignment horizontal="center" vertical="center"/>
    </xf>
    <xf numFmtId="0" fontId="0" fillId="0" borderId="0" xfId="0" applyAlignment="1">
      <alignment horizontal="center" vertical="center"/>
    </xf>
    <xf numFmtId="0" fontId="8" fillId="0" borderId="0" xfId="0" applyFont="1" applyAlignment="1">
      <alignment horizontal="center"/>
    </xf>
    <xf numFmtId="49" fontId="0" fillId="0" borderId="0" xfId="0" applyNumberFormat="1" applyAlignment="1">
      <alignment horizontal="justify" vertical="top" wrapText="1"/>
    </xf>
    <xf numFmtId="0" fontId="5" fillId="5" borderId="0" xfId="0" applyFont="1" applyFill="1" applyAlignment="1">
      <alignment horizontal="left" vertical="top"/>
    </xf>
    <xf numFmtId="0" fontId="5" fillId="5" borderId="0" xfId="0" applyFont="1" applyFill="1" applyAlignment="1">
      <alignment horizontal="left"/>
    </xf>
    <xf numFmtId="0" fontId="0" fillId="9" borderId="0" xfId="0" applyFill="1" applyAlignment="1">
      <alignment horizontal="justify" vertical="top" wrapText="1" shrinkToFit="1"/>
    </xf>
    <xf numFmtId="0" fontId="4" fillId="0" borderId="0" xfId="0" applyFont="1" applyAlignment="1">
      <alignmen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justify" vertical="top" wrapText="1"/>
    </xf>
    <xf numFmtId="49" fontId="6" fillId="0" borderId="0" xfId="0" applyNumberFormat="1" applyFont="1" applyAlignment="1">
      <alignment horizontal="justify" vertical="top" wrapText="1" shrinkToFit="1"/>
    </xf>
    <xf numFmtId="49" fontId="0" fillId="0" borderId="0" xfId="0" applyNumberFormat="1" applyAlignment="1">
      <alignment horizontal="justify" vertical="top" wrapText="1" shrinkToFit="1"/>
    </xf>
    <xf numFmtId="0" fontId="4" fillId="0" borderId="0" xfId="0" applyFont="1" applyAlignment="1">
      <alignment horizontal="left"/>
    </xf>
    <xf numFmtId="49" fontId="4"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49" fontId="4" fillId="0" borderId="6" xfId="0" applyNumberFormat="1" applyFont="1" applyBorder="1" applyAlignment="1">
      <alignment horizontal="center" wrapText="1"/>
    </xf>
    <xf numFmtId="0" fontId="5" fillId="0" borderId="0" xfId="0" applyFont="1" applyAlignment="1">
      <alignment horizontal="center"/>
    </xf>
    <xf numFmtId="0" fontId="7" fillId="0" borderId="7" xfId="0" applyFont="1" applyBorder="1" applyAlignment="1">
      <alignment horizontal="center"/>
    </xf>
    <xf numFmtId="0" fontId="8" fillId="0" borderId="17" xfId="0" applyFont="1" applyBorder="1" applyAlignment="1">
      <alignment horizontal="center"/>
    </xf>
    <xf numFmtId="49" fontId="0" fillId="0" borderId="13" xfId="0" applyNumberFormat="1" applyBorder="1" applyAlignment="1">
      <alignment horizontal="left" vertical="center" wrapText="1"/>
    </xf>
    <xf numFmtId="49" fontId="0" fillId="0" borderId="18" xfId="0" applyNumberFormat="1" applyBorder="1" applyAlignment="1">
      <alignment horizontal="left" vertical="center" wrapText="1"/>
    </xf>
    <xf numFmtId="49" fontId="0" fillId="0" borderId="19" xfId="0" applyNumberFormat="1" applyBorder="1" applyAlignment="1">
      <alignment horizontal="left" vertical="center" wrapText="1"/>
    </xf>
    <xf numFmtId="0" fontId="4" fillId="0" borderId="0" xfId="0" applyFont="1" applyAlignment="1">
      <alignment horizontal="right"/>
    </xf>
    <xf numFmtId="0" fontId="4" fillId="2" borderId="0" xfId="0" applyFont="1" applyFill="1" applyAlignment="1">
      <alignment horizontal="left"/>
    </xf>
    <xf numFmtId="0" fontId="5" fillId="0" borderId="14" xfId="0" applyFont="1" applyBorder="1" applyAlignment="1">
      <alignment horizontal="center"/>
    </xf>
    <xf numFmtId="0" fontId="4" fillId="5" borderId="21" xfId="0" applyFont="1" applyFill="1" applyBorder="1" applyAlignment="1">
      <alignment horizontal="center"/>
    </xf>
    <xf numFmtId="0" fontId="4" fillId="5" borderId="20" xfId="0" applyFont="1" applyFill="1" applyBorder="1" applyAlignment="1">
      <alignment horizontal="center"/>
    </xf>
    <xf numFmtId="0" fontId="5" fillId="0" borderId="21" xfId="0" applyFont="1" applyBorder="1" applyAlignment="1">
      <alignment horizontal="left"/>
    </xf>
    <xf numFmtId="0" fontId="5" fillId="0" borderId="20" xfId="0" applyFont="1" applyBorder="1" applyAlignment="1">
      <alignment horizontal="left"/>
    </xf>
    <xf numFmtId="0" fontId="2" fillId="0" borderId="21" xfId="0" applyFont="1" applyBorder="1" applyAlignment="1">
      <alignment horizontal="left"/>
    </xf>
    <xf numFmtId="0" fontId="2" fillId="0" borderId="22" xfId="0" applyFont="1" applyBorder="1" applyAlignment="1">
      <alignment horizontal="left"/>
    </xf>
    <xf numFmtId="0" fontId="2" fillId="0" borderId="20" xfId="0" applyFont="1" applyBorder="1" applyAlignment="1">
      <alignment horizontal="left"/>
    </xf>
    <xf numFmtId="0" fontId="17" fillId="0" borderId="13" xfId="0" applyFont="1" applyBorder="1" applyAlignment="1">
      <alignment horizontal="center" vertical="top"/>
    </xf>
    <xf numFmtId="0" fontId="17" fillId="0" borderId="18" xfId="0" applyFont="1" applyBorder="1" applyAlignment="1">
      <alignment horizontal="center" vertical="top"/>
    </xf>
    <xf numFmtId="0" fontId="17" fillId="0" borderId="19" xfId="0" applyFont="1" applyBorder="1" applyAlignment="1">
      <alignment horizontal="center" vertical="top"/>
    </xf>
    <xf numFmtId="0" fontId="17" fillId="0" borderId="13"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8" fillId="0" borderId="16" xfId="0" applyFont="1" applyBorder="1" applyAlignment="1">
      <alignment horizontal="center"/>
    </xf>
    <xf numFmtId="0" fontId="0" fillId="0" borderId="13"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9" fillId="0" borderId="13" xfId="0" applyFont="1" applyBorder="1" applyAlignment="1">
      <alignment horizontal="center" vertical="center"/>
    </xf>
    <xf numFmtId="0" fontId="9" fillId="0" borderId="18" xfId="0" applyFont="1" applyBorder="1" applyAlignment="1">
      <alignment horizontal="center" vertical="center"/>
    </xf>
    <xf numFmtId="0" fontId="2" fillId="0" borderId="13" xfId="0" applyFont="1"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10" xfId="0" applyBorder="1" applyAlignment="1">
      <alignment horizontal="center" vertical="center"/>
    </xf>
    <xf numFmtId="0" fontId="5" fillId="0" borderId="16" xfId="0" applyFont="1" applyBorder="1" applyAlignment="1">
      <alignment horizontal="center"/>
    </xf>
    <xf numFmtId="0" fontId="0" fillId="0" borderId="17" xfId="0" applyBorder="1"/>
    <xf numFmtId="0" fontId="0" fillId="0" borderId="12" xfId="0" applyBorder="1"/>
  </cellXfs>
  <cellStyles count="5">
    <cellStyle name="Hyperlink" xfId="1" builtinId="8"/>
    <cellStyle name="Neutral" xfId="2" builtinId="28"/>
    <cellStyle name="Normal" xfId="0" builtinId="0"/>
    <cellStyle name="Normal 2" xfId="4" xr:uid="{00000000-0005-0000-0000-000003000000}"/>
    <cellStyle name="Percent" xfId="3" builtinId="5"/>
  </cellStyles>
  <dxfs count="7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fgColor auto="1"/>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auto="1"/>
      </font>
      <fill>
        <patternFill>
          <bgColor rgb="FFFF0000"/>
        </patternFill>
      </fill>
    </dxf>
    <dxf>
      <font>
        <color theme="0"/>
      </font>
      <fill>
        <patternFill>
          <bgColor theme="0"/>
        </patternFill>
      </fill>
    </dxf>
    <dxf>
      <font>
        <color theme="0"/>
      </font>
      <fill>
        <patternFill>
          <bgColor theme="0"/>
        </patternFill>
      </fill>
    </dxf>
    <dxf>
      <fill>
        <patternFill patternType="solid">
          <fgColor auto="1"/>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theme="0"/>
        </patternFill>
      </fill>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strike val="0"/>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fgColor auto="1"/>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auto="1"/>
      </font>
      <fill>
        <patternFill>
          <bgColor rgb="FFFF0000"/>
        </patternFill>
      </fill>
    </dxf>
    <dxf>
      <font>
        <color theme="0"/>
      </font>
      <fill>
        <patternFill>
          <bgColor theme="0"/>
        </patternFill>
      </fill>
    </dxf>
    <dxf>
      <font>
        <color theme="0"/>
      </font>
      <fill>
        <patternFill>
          <bgColor theme="0"/>
        </patternFill>
      </fill>
    </dxf>
    <dxf>
      <fill>
        <patternFill patternType="solid">
          <fgColor auto="1"/>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theme="0"/>
        </patternFill>
      </fill>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strike val="0"/>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fgColor auto="1"/>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auto="1"/>
      </font>
      <fill>
        <patternFill>
          <bgColor rgb="FFFF0000"/>
        </patternFill>
      </fill>
    </dxf>
    <dxf>
      <font>
        <color theme="0"/>
      </font>
      <fill>
        <patternFill>
          <bgColor theme="0"/>
        </patternFill>
      </fill>
    </dxf>
    <dxf>
      <font>
        <color theme="0"/>
      </font>
      <fill>
        <patternFill>
          <bgColor theme="0"/>
        </patternFill>
      </fill>
    </dxf>
    <dxf>
      <fill>
        <patternFill patternType="solid">
          <fgColor auto="1"/>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theme="0"/>
        </patternFill>
      </fill>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strike val="0"/>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fgColor auto="1"/>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auto="1"/>
      </font>
      <fill>
        <patternFill>
          <bgColor rgb="FFFF0000"/>
        </patternFill>
      </fill>
    </dxf>
    <dxf>
      <font>
        <color theme="0"/>
      </font>
      <fill>
        <patternFill>
          <bgColor theme="0"/>
        </patternFill>
      </fill>
    </dxf>
    <dxf>
      <font>
        <color theme="0"/>
      </font>
      <fill>
        <patternFill>
          <bgColor theme="0"/>
        </patternFill>
      </fill>
    </dxf>
    <dxf>
      <fill>
        <patternFill patternType="solid">
          <fgColor auto="1"/>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theme="0"/>
        </patternFill>
      </fill>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strike val="0"/>
        <color theme="0" tint="-0.499984740745262"/>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tint="-0.14996795556505021"/>
      </font>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fgColor auto="1"/>
          <bgColor theme="0"/>
        </patternFill>
      </fill>
    </dxf>
    <dxf>
      <font>
        <color theme="0"/>
      </font>
      <fill>
        <patternFill>
          <bgColor theme="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auto="1"/>
      </font>
      <fill>
        <patternFill>
          <bgColor rgb="FFFF0000"/>
        </patternFill>
      </fill>
    </dxf>
    <dxf>
      <font>
        <color theme="0"/>
      </font>
      <fill>
        <patternFill>
          <bgColor theme="0"/>
        </patternFill>
      </fill>
    </dxf>
    <dxf>
      <font>
        <color theme="0"/>
      </font>
      <fill>
        <patternFill>
          <bgColor theme="0"/>
        </patternFill>
      </fill>
    </dxf>
    <dxf>
      <fill>
        <patternFill patternType="solid">
          <fgColor auto="1"/>
          <bgColor rgb="FFFF0000"/>
        </patternFill>
      </fill>
      <border>
        <left style="thin">
          <color rgb="FFFF0000"/>
        </left>
        <right style="thin">
          <color rgb="FFFF0000"/>
        </right>
        <top style="thin">
          <color rgb="FFFF0000"/>
        </top>
        <bottom style="thin">
          <color rgb="FFFF0000"/>
        </bottom>
        <vertical/>
        <horizontal/>
      </border>
    </dxf>
    <dxf>
      <font>
        <color theme="0"/>
      </font>
      <fill>
        <patternFill>
          <bgColor theme="0"/>
        </patternFill>
      </fill>
    </dxf>
    <dxf>
      <fill>
        <patternFill>
          <bgColor rgb="FFFF0000"/>
        </patternFill>
      </fill>
      <border>
        <left style="thin">
          <color rgb="FFFF0000"/>
        </left>
        <right style="thin">
          <color rgb="FFFF0000"/>
        </right>
        <top style="thin">
          <color rgb="FFFF0000"/>
        </top>
        <bottom style="thin">
          <color rgb="FFFF0000"/>
        </bottom>
        <vertical/>
        <horizontal/>
      </border>
    </dxf>
    <dxf>
      <fill>
        <patternFill>
          <bgColor rgb="FFFF0000"/>
        </patternFill>
      </fill>
    </dxf>
    <dxf>
      <fill>
        <patternFill>
          <bgColor theme="0" tint="-0.14996795556505021"/>
        </patternFill>
      </fill>
    </dxf>
    <dxf>
      <font>
        <color theme="0" tint="-0.499984740745262"/>
      </font>
      <fill>
        <patternFill>
          <bgColor theme="0" tint="-0.14996795556505021"/>
        </patternFill>
      </fill>
    </dxf>
    <dxf>
      <font>
        <color theme="0" tint="-0.499984740745262"/>
      </font>
      <fill>
        <patternFill>
          <bgColor theme="0" tint="-0.14996795556505021"/>
        </patternFill>
      </fill>
    </dxf>
    <dxf>
      <font>
        <strike val="0"/>
        <color theme="0" tint="-0.499984740745262"/>
      </font>
      <fill>
        <patternFill>
          <bgColor theme="0" tint="-0.14996795556505021"/>
        </patternFill>
      </fill>
    </dxf>
    <dxf>
      <fill>
        <patternFill patternType="none">
          <fgColor indexed="64"/>
          <bgColor indexed="65"/>
        </patternFill>
      </fill>
      <alignment horizontal="center" vertical="bottom" textRotation="0" wrapText="0" relativeIndent="0" justifyLastLine="0" shrinkToFit="0" readingOrder="0"/>
      <border diagonalUp="0" diagonalDown="0">
        <left/>
        <right style="thin">
          <color indexed="64"/>
        </right>
        <top/>
        <bottom/>
      </border>
    </dxf>
    <dxf>
      <fill>
        <patternFill patternType="none">
          <fgColor indexed="64"/>
          <bgColor indexed="65"/>
        </patternFill>
      </fill>
      <alignment horizontal="center" vertical="bottom" textRotation="0" wrapText="0" relativeIndent="0" justifyLastLine="0" shrinkToFit="0" readingOrder="0"/>
    </dxf>
    <dxf>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right" vertical="bottom" textRotation="0" wrapText="0" relativeIndent="0" justifyLastLine="0" shrinkToFit="0" readingOrder="0"/>
    </dxf>
    <dxf>
      <border outline="0">
        <left style="thin">
          <color indexed="64"/>
        </left>
        <right style="thin">
          <color indexed="64"/>
        </right>
      </border>
    </dxf>
    <dxf>
      <font>
        <b/>
        <i val="0"/>
        <strike val="0"/>
        <condense val="0"/>
        <extend val="0"/>
        <outline val="0"/>
        <shadow val="0"/>
        <u val="none"/>
        <vertAlign val="baseline"/>
        <sz val="10"/>
        <color auto="1"/>
        <name val="Arial"/>
        <scheme val="none"/>
      </font>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CC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v>% Contribution</c:v>
          </c:tx>
          <c:dPt>
            <c:idx val="0"/>
            <c:bubble3D val="0"/>
            <c:extLst>
              <c:ext xmlns:c16="http://schemas.microsoft.com/office/drawing/2014/chart" uri="{C3380CC4-5D6E-409C-BE32-E72D297353CC}">
                <c16:uniqueId val="{00000000-7401-422F-B96A-E4D4348DE969}"/>
              </c:ext>
            </c:extLst>
          </c:dPt>
          <c:dPt>
            <c:idx val="1"/>
            <c:bubble3D val="0"/>
            <c:extLst>
              <c:ext xmlns:c16="http://schemas.microsoft.com/office/drawing/2014/chart" uri="{C3380CC4-5D6E-409C-BE32-E72D297353CC}">
                <c16:uniqueId val="{00000001-7401-422F-B96A-E4D4348DE969}"/>
              </c:ext>
            </c:extLst>
          </c:dPt>
          <c:dPt>
            <c:idx val="2"/>
            <c:bubble3D val="0"/>
            <c:extLst>
              <c:ext xmlns:c16="http://schemas.microsoft.com/office/drawing/2014/chart" uri="{C3380CC4-5D6E-409C-BE32-E72D297353CC}">
                <c16:uniqueId val="{00000002-7401-422F-B96A-E4D4348DE969}"/>
              </c:ext>
            </c:extLst>
          </c:dPt>
          <c:dPt>
            <c:idx val="3"/>
            <c:bubble3D val="0"/>
            <c:extLst>
              <c:ext xmlns:c16="http://schemas.microsoft.com/office/drawing/2014/chart" uri="{C3380CC4-5D6E-409C-BE32-E72D297353CC}">
                <c16:uniqueId val="{00000003-7401-422F-B96A-E4D4348DE969}"/>
              </c:ext>
            </c:extLst>
          </c:dPt>
          <c:dPt>
            <c:idx val="4"/>
            <c:bubble3D val="0"/>
            <c:extLst>
              <c:ext xmlns:c16="http://schemas.microsoft.com/office/drawing/2014/chart" uri="{C3380CC4-5D6E-409C-BE32-E72D297353CC}">
                <c16:uniqueId val="{00000004-7401-422F-B96A-E4D4348DE969}"/>
              </c:ext>
            </c:extLst>
          </c:dPt>
          <c:cat>
            <c:strLit>
              <c:ptCount val="5"/>
              <c:pt idx="0">
                <c:v>MyConfig1</c:v>
              </c:pt>
              <c:pt idx="1">
                <c:v>MyConfig2</c:v>
              </c:pt>
              <c:pt idx="2">
                <c:v>MyConfig3</c:v>
              </c:pt>
              <c:pt idx="3">
                <c:v>MyConfig4</c:v>
              </c:pt>
              <c:pt idx="4">
                <c:v>MyConfig5</c:v>
              </c:pt>
            </c:strLit>
          </c:cat>
          <c:val>
            <c:numLit>
              <c:formatCode>General</c:formatCode>
              <c:ptCount val="5"/>
              <c:pt idx="0">
                <c:v>0.52074459705905518</c:v>
              </c:pt>
              <c:pt idx="1">
                <c:v>0.18616062502650732</c:v>
              </c:pt>
              <c:pt idx="2">
                <c:v>8.8610049136922983E-2</c:v>
              </c:pt>
              <c:pt idx="3">
                <c:v>6.8161576259171519E-2</c:v>
              </c:pt>
              <c:pt idx="4">
                <c:v>0.13632315251834304</c:v>
              </c:pt>
            </c:numLit>
          </c:val>
          <c:extLst>
            <c:ext xmlns:c16="http://schemas.microsoft.com/office/drawing/2014/chart" uri="{C3380CC4-5D6E-409C-BE32-E72D297353CC}">
              <c16:uniqueId val="{00000005-7401-422F-B96A-E4D4348DE969}"/>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Summary!$J$5</c:f>
              <c:strCache>
                <c:ptCount val="1"/>
                <c:pt idx="0">
                  <c:v>% Contribution</c:v>
                </c:pt>
              </c:strCache>
            </c:strRef>
          </c:tx>
          <c:dPt>
            <c:idx val="0"/>
            <c:bubble3D val="0"/>
            <c:extLst>
              <c:ext xmlns:c16="http://schemas.microsoft.com/office/drawing/2014/chart" uri="{C3380CC4-5D6E-409C-BE32-E72D297353CC}">
                <c16:uniqueId val="{00000000-8932-4EE4-866A-0C13DCE8FAFC}"/>
              </c:ext>
            </c:extLst>
          </c:dPt>
          <c:dPt>
            <c:idx val="1"/>
            <c:bubble3D val="0"/>
            <c:extLst>
              <c:ext xmlns:c16="http://schemas.microsoft.com/office/drawing/2014/chart" uri="{C3380CC4-5D6E-409C-BE32-E72D297353CC}">
                <c16:uniqueId val="{00000001-8932-4EE4-866A-0C13DCE8FAFC}"/>
              </c:ext>
            </c:extLst>
          </c:dPt>
          <c:dPt>
            <c:idx val="2"/>
            <c:bubble3D val="0"/>
            <c:extLst>
              <c:ext xmlns:c16="http://schemas.microsoft.com/office/drawing/2014/chart" uri="{C3380CC4-5D6E-409C-BE32-E72D297353CC}">
                <c16:uniqueId val="{00000002-8932-4EE4-866A-0C13DCE8FAFC}"/>
              </c:ext>
            </c:extLst>
          </c:dPt>
          <c:dPt>
            <c:idx val="3"/>
            <c:bubble3D val="0"/>
            <c:extLst>
              <c:ext xmlns:c16="http://schemas.microsoft.com/office/drawing/2014/chart" uri="{C3380CC4-5D6E-409C-BE32-E72D297353CC}">
                <c16:uniqueId val="{00000003-8932-4EE4-866A-0C13DCE8FAFC}"/>
              </c:ext>
            </c:extLst>
          </c:dPt>
          <c:dPt>
            <c:idx val="4"/>
            <c:bubble3D val="0"/>
            <c:extLst>
              <c:ext xmlns:c16="http://schemas.microsoft.com/office/drawing/2014/chart" uri="{C3380CC4-5D6E-409C-BE32-E72D297353CC}">
                <c16:uniqueId val="{00000004-8932-4EE4-866A-0C13DCE8FAFC}"/>
              </c:ext>
            </c:extLst>
          </c:dPt>
          <c:cat>
            <c:strRef>
              <c:f>Summary!$C$6:$C$10</c:f>
              <c:strCache>
                <c:ptCount val="5"/>
                <c:pt idx="0">
                  <c:v>MyConfig1</c:v>
                </c:pt>
                <c:pt idx="1">
                  <c:v>MyConfig2</c:v>
                </c:pt>
                <c:pt idx="2">
                  <c:v>MyConfig3</c:v>
                </c:pt>
                <c:pt idx="3">
                  <c:v>MyConfig4</c:v>
                </c:pt>
                <c:pt idx="4">
                  <c:v>MyConfig5</c:v>
                </c:pt>
              </c:strCache>
            </c:strRef>
          </c:cat>
          <c:val>
            <c:numRef>
              <c:f>Summary!$J$6:$J$10</c:f>
              <c:numCache>
                <c:formatCode>0.0%</c:formatCode>
                <c:ptCount val="5"/>
                <c:pt idx="0">
                  <c:v>0.19999999999999998</c:v>
                </c:pt>
                <c:pt idx="1">
                  <c:v>0.19999999999999998</c:v>
                </c:pt>
                <c:pt idx="2">
                  <c:v>0.19999999999999998</c:v>
                </c:pt>
                <c:pt idx="3">
                  <c:v>0.19999999999999998</c:v>
                </c:pt>
                <c:pt idx="4">
                  <c:v>0.19999999999999998</c:v>
                </c:pt>
              </c:numCache>
            </c:numRef>
          </c:val>
          <c:extLst>
            <c:ext xmlns:c16="http://schemas.microsoft.com/office/drawing/2014/chart" uri="{C3380CC4-5D6E-409C-BE32-E72D297353CC}">
              <c16:uniqueId val="{00000005-8932-4EE4-866A-0C13DCE8FAFC}"/>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zero"/>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B13" noThreeD="1"/>
</file>

<file path=xl/ctrlProps/ctrlProp10.xml><?xml version="1.0" encoding="utf-8"?>
<formControlPr xmlns="http://schemas.microsoft.com/office/spreadsheetml/2009/9/main" objectType="CheckBox" fmlaLink="B120" noThreeD="1"/>
</file>

<file path=xl/ctrlProps/ctrlProp100.xml><?xml version="1.0" encoding="utf-8"?>
<formControlPr xmlns="http://schemas.microsoft.com/office/spreadsheetml/2009/9/main" objectType="CheckBox" fmlaLink="B208" noThreeD="1"/>
</file>

<file path=xl/ctrlProps/ctrlProp101.xml><?xml version="1.0" encoding="utf-8"?>
<formControlPr xmlns="http://schemas.microsoft.com/office/spreadsheetml/2009/9/main" objectType="CheckBox" fmlaLink="B202" noThreeD="1"/>
</file>

<file path=xl/ctrlProps/ctrlProp102.xml><?xml version="1.0" encoding="utf-8"?>
<formControlPr xmlns="http://schemas.microsoft.com/office/spreadsheetml/2009/9/main" objectType="CheckBox" fmlaLink="B205" noThreeD="1"/>
</file>

<file path=xl/ctrlProps/ctrlProp103.xml><?xml version="1.0" encoding="utf-8"?>
<formControlPr xmlns="http://schemas.microsoft.com/office/spreadsheetml/2009/9/main" objectType="CheckBox" fmlaLink="B44" noThreeD="1"/>
</file>

<file path=xl/ctrlProps/ctrlProp104.xml><?xml version="1.0" encoding="utf-8"?>
<formControlPr xmlns="http://schemas.microsoft.com/office/spreadsheetml/2009/9/main" objectType="CheckBox" fmlaLink="B71" noThreeD="1"/>
</file>

<file path=xl/ctrlProps/ctrlProp105.xml><?xml version="1.0" encoding="utf-8"?>
<formControlPr xmlns="http://schemas.microsoft.com/office/spreadsheetml/2009/9/main" objectType="CheckBox" fmlaLink="B44" noThreeD="1"/>
</file>

<file path=xl/ctrlProps/ctrlProp106.xml><?xml version="1.0" encoding="utf-8"?>
<formControlPr xmlns="http://schemas.microsoft.com/office/spreadsheetml/2009/9/main" objectType="CheckBox" fmlaLink="B71" noThreeD="1"/>
</file>

<file path=xl/ctrlProps/ctrlProp107.xml><?xml version="1.0" encoding="utf-8"?>
<formControlPr xmlns="http://schemas.microsoft.com/office/spreadsheetml/2009/9/main" objectType="CheckBox" checked="Checked" fmlaLink="B13" noThreeD="1"/>
</file>

<file path=xl/ctrlProps/ctrlProp108.xml><?xml version="1.0" encoding="utf-8"?>
<formControlPr xmlns="http://schemas.microsoft.com/office/spreadsheetml/2009/9/main" objectType="CheckBox" fmlaLink="B14" noThreeD="1"/>
</file>

<file path=xl/ctrlProps/ctrlProp109.xml><?xml version="1.0" encoding="utf-8"?>
<formControlPr xmlns="http://schemas.microsoft.com/office/spreadsheetml/2009/9/main" objectType="CheckBox" fmlaLink="B17" noThreeD="1"/>
</file>

<file path=xl/ctrlProps/ctrlProp11.xml><?xml version="1.0" encoding="utf-8"?>
<formControlPr xmlns="http://schemas.microsoft.com/office/spreadsheetml/2009/9/main" objectType="CheckBox" fmlaLink="B35" noThreeD="1"/>
</file>

<file path=xl/ctrlProps/ctrlProp110.xml><?xml version="1.0" encoding="utf-8"?>
<formControlPr xmlns="http://schemas.microsoft.com/office/spreadsheetml/2009/9/main" objectType="CheckBox" fmlaLink="B22" noThreeD="1"/>
</file>

<file path=xl/ctrlProps/ctrlProp111.xml><?xml version="1.0" encoding="utf-8"?>
<formControlPr xmlns="http://schemas.microsoft.com/office/spreadsheetml/2009/9/main" objectType="CheckBox" fmlaLink="B23" noThreeD="1"/>
</file>

<file path=xl/ctrlProps/ctrlProp112.xml><?xml version="1.0" encoding="utf-8"?>
<formControlPr xmlns="http://schemas.microsoft.com/office/spreadsheetml/2009/9/main" objectType="CheckBox" fmlaLink="B24" noThreeD="1"/>
</file>

<file path=xl/ctrlProps/ctrlProp113.xml><?xml version="1.0" encoding="utf-8"?>
<formControlPr xmlns="http://schemas.microsoft.com/office/spreadsheetml/2009/9/main" objectType="CheckBox" fmlaLink="B25" noThreeD="1"/>
</file>

<file path=xl/ctrlProps/ctrlProp114.xml><?xml version="1.0" encoding="utf-8"?>
<formControlPr xmlns="http://schemas.microsoft.com/office/spreadsheetml/2009/9/main" objectType="CheckBox" fmlaLink="B26" noThreeD="1"/>
</file>

<file path=xl/ctrlProps/ctrlProp115.xml><?xml version="1.0" encoding="utf-8"?>
<formControlPr xmlns="http://schemas.microsoft.com/office/spreadsheetml/2009/9/main" objectType="CheckBox" fmlaLink="B118" noThreeD="1"/>
</file>

<file path=xl/ctrlProps/ctrlProp116.xml><?xml version="1.0" encoding="utf-8"?>
<formControlPr xmlns="http://schemas.microsoft.com/office/spreadsheetml/2009/9/main" objectType="CheckBox" fmlaLink="B120" noThreeD="1"/>
</file>

<file path=xl/ctrlProps/ctrlProp117.xml><?xml version="1.0" encoding="utf-8"?>
<formControlPr xmlns="http://schemas.microsoft.com/office/spreadsheetml/2009/9/main" objectType="CheckBox" fmlaLink="B35" noThreeD="1"/>
</file>

<file path=xl/ctrlProps/ctrlProp118.xml><?xml version="1.0" encoding="utf-8"?>
<formControlPr xmlns="http://schemas.microsoft.com/office/spreadsheetml/2009/9/main" objectType="CheckBox" fmlaLink="B122" noThreeD="1"/>
</file>

<file path=xl/ctrlProps/ctrlProp119.xml><?xml version="1.0" encoding="utf-8"?>
<formControlPr xmlns="http://schemas.microsoft.com/office/spreadsheetml/2009/9/main" objectType="CheckBox" fmlaLink="B124" noThreeD="1"/>
</file>

<file path=xl/ctrlProps/ctrlProp12.xml><?xml version="1.0" encoding="utf-8"?>
<formControlPr xmlns="http://schemas.microsoft.com/office/spreadsheetml/2009/9/main" objectType="CheckBox" fmlaLink="B122" noThreeD="1"/>
</file>

<file path=xl/ctrlProps/ctrlProp120.xml><?xml version="1.0" encoding="utf-8"?>
<formControlPr xmlns="http://schemas.microsoft.com/office/spreadsheetml/2009/9/main" objectType="CheckBox" fmlaLink="B126" noThreeD="1"/>
</file>

<file path=xl/ctrlProps/ctrlProp121.xml><?xml version="1.0" encoding="utf-8"?>
<formControlPr xmlns="http://schemas.microsoft.com/office/spreadsheetml/2009/9/main" objectType="CheckBox" fmlaLink="B128" noThreeD="1"/>
</file>

<file path=xl/ctrlProps/ctrlProp122.xml><?xml version="1.0" encoding="utf-8"?>
<formControlPr xmlns="http://schemas.microsoft.com/office/spreadsheetml/2009/9/main" objectType="CheckBox" fmlaLink="B130" noThreeD="1"/>
</file>

<file path=xl/ctrlProps/ctrlProp123.xml><?xml version="1.0" encoding="utf-8"?>
<formControlPr xmlns="http://schemas.microsoft.com/office/spreadsheetml/2009/9/main" objectType="CheckBox" fmlaLink="B132" noThreeD="1"/>
</file>

<file path=xl/ctrlProps/ctrlProp124.xml><?xml version="1.0" encoding="utf-8"?>
<formControlPr xmlns="http://schemas.microsoft.com/office/spreadsheetml/2009/9/main" objectType="CheckBox" fmlaLink="B134" noThreeD="1"/>
</file>

<file path=xl/ctrlProps/ctrlProp125.xml><?xml version="1.0" encoding="utf-8"?>
<formControlPr xmlns="http://schemas.microsoft.com/office/spreadsheetml/2009/9/main" objectType="CheckBox" fmlaLink="B136" noThreeD="1"/>
</file>

<file path=xl/ctrlProps/ctrlProp126.xml><?xml version="1.0" encoding="utf-8"?>
<formControlPr xmlns="http://schemas.microsoft.com/office/spreadsheetml/2009/9/main" objectType="CheckBox" fmlaLink="B138" noThreeD="1"/>
</file>

<file path=xl/ctrlProps/ctrlProp127.xml><?xml version="1.0" encoding="utf-8"?>
<formControlPr xmlns="http://schemas.microsoft.com/office/spreadsheetml/2009/9/main" objectType="CheckBox" fmlaLink="B140" noThreeD="1"/>
</file>

<file path=xl/ctrlProps/ctrlProp128.xml><?xml version="1.0" encoding="utf-8"?>
<formControlPr xmlns="http://schemas.microsoft.com/office/spreadsheetml/2009/9/main" objectType="CheckBox" fmlaLink="B142" noThreeD="1"/>
</file>

<file path=xl/ctrlProps/ctrlProp129.xml><?xml version="1.0" encoding="utf-8"?>
<formControlPr xmlns="http://schemas.microsoft.com/office/spreadsheetml/2009/9/main" objectType="CheckBox" fmlaLink="B144" noThreeD="1"/>
</file>

<file path=xl/ctrlProps/ctrlProp13.xml><?xml version="1.0" encoding="utf-8"?>
<formControlPr xmlns="http://schemas.microsoft.com/office/spreadsheetml/2009/9/main" objectType="CheckBox" fmlaLink="B124" noThreeD="1"/>
</file>

<file path=xl/ctrlProps/ctrlProp130.xml><?xml version="1.0" encoding="utf-8"?>
<formControlPr xmlns="http://schemas.microsoft.com/office/spreadsheetml/2009/9/main" objectType="CheckBox" fmlaLink="B146" noThreeD="1"/>
</file>

<file path=xl/ctrlProps/ctrlProp131.xml><?xml version="1.0" encoding="utf-8"?>
<formControlPr xmlns="http://schemas.microsoft.com/office/spreadsheetml/2009/9/main" objectType="CheckBox" fmlaLink="B148" noThreeD="1"/>
</file>

<file path=xl/ctrlProps/ctrlProp132.xml><?xml version="1.0" encoding="utf-8"?>
<formControlPr xmlns="http://schemas.microsoft.com/office/spreadsheetml/2009/9/main" objectType="CheckBox" fmlaLink="B150" noThreeD="1"/>
</file>

<file path=xl/ctrlProps/ctrlProp133.xml><?xml version="1.0" encoding="utf-8"?>
<formControlPr xmlns="http://schemas.microsoft.com/office/spreadsheetml/2009/9/main" objectType="CheckBox" fmlaLink="B152" noThreeD="1"/>
</file>

<file path=xl/ctrlProps/ctrlProp134.xml><?xml version="1.0" encoding="utf-8"?>
<formControlPr xmlns="http://schemas.microsoft.com/office/spreadsheetml/2009/9/main" objectType="CheckBox" fmlaLink="B154" noThreeD="1"/>
</file>

<file path=xl/ctrlProps/ctrlProp135.xml><?xml version="1.0" encoding="utf-8"?>
<formControlPr xmlns="http://schemas.microsoft.com/office/spreadsheetml/2009/9/main" objectType="CheckBox" fmlaLink="B156" noThreeD="1"/>
</file>

<file path=xl/ctrlProps/ctrlProp136.xml><?xml version="1.0" encoding="utf-8"?>
<formControlPr xmlns="http://schemas.microsoft.com/office/spreadsheetml/2009/9/main" objectType="CheckBox" fmlaLink="B158" noThreeD="1"/>
</file>

<file path=xl/ctrlProps/ctrlProp137.xml><?xml version="1.0" encoding="utf-8"?>
<formControlPr xmlns="http://schemas.microsoft.com/office/spreadsheetml/2009/9/main" objectType="CheckBox" fmlaLink="B160" noThreeD="1"/>
</file>

<file path=xl/ctrlProps/ctrlProp138.xml><?xml version="1.0" encoding="utf-8"?>
<formControlPr xmlns="http://schemas.microsoft.com/office/spreadsheetml/2009/9/main" objectType="CheckBox" fmlaLink="B162" noThreeD="1"/>
</file>

<file path=xl/ctrlProps/ctrlProp139.xml><?xml version="1.0" encoding="utf-8"?>
<formControlPr xmlns="http://schemas.microsoft.com/office/spreadsheetml/2009/9/main" objectType="CheckBox" fmlaLink="B164" noThreeD="1"/>
</file>

<file path=xl/ctrlProps/ctrlProp14.xml><?xml version="1.0" encoding="utf-8"?>
<formControlPr xmlns="http://schemas.microsoft.com/office/spreadsheetml/2009/9/main" objectType="CheckBox" fmlaLink="B126" noThreeD="1"/>
</file>

<file path=xl/ctrlProps/ctrlProp140.xml><?xml version="1.0" encoding="utf-8"?>
<formControlPr xmlns="http://schemas.microsoft.com/office/spreadsheetml/2009/9/main" objectType="CheckBox" fmlaLink="B166" noThreeD="1"/>
</file>

<file path=xl/ctrlProps/ctrlProp141.xml><?xml version="1.0" encoding="utf-8"?>
<formControlPr xmlns="http://schemas.microsoft.com/office/spreadsheetml/2009/9/main" objectType="CheckBox" fmlaLink="B168" noThreeD="1"/>
</file>

<file path=xl/ctrlProps/ctrlProp142.xml><?xml version="1.0" encoding="utf-8"?>
<formControlPr xmlns="http://schemas.microsoft.com/office/spreadsheetml/2009/9/main" objectType="CheckBox" fmlaLink="B170" noThreeD="1"/>
</file>

<file path=xl/ctrlProps/ctrlProp143.xml><?xml version="1.0" encoding="utf-8"?>
<formControlPr xmlns="http://schemas.microsoft.com/office/spreadsheetml/2009/9/main" objectType="CheckBox" fmlaLink="B172" noThreeD="1"/>
</file>

<file path=xl/ctrlProps/ctrlProp144.xml><?xml version="1.0" encoding="utf-8"?>
<formControlPr xmlns="http://schemas.microsoft.com/office/spreadsheetml/2009/9/main" objectType="CheckBox" fmlaLink="B174" noThreeD="1"/>
</file>

<file path=xl/ctrlProps/ctrlProp145.xml><?xml version="1.0" encoding="utf-8"?>
<formControlPr xmlns="http://schemas.microsoft.com/office/spreadsheetml/2009/9/main" objectType="CheckBox" fmlaLink="B176" noThreeD="1"/>
</file>

<file path=xl/ctrlProps/ctrlProp146.xml><?xml version="1.0" encoding="utf-8"?>
<formControlPr xmlns="http://schemas.microsoft.com/office/spreadsheetml/2009/9/main" objectType="CheckBox" fmlaLink="B178" noThreeD="1"/>
</file>

<file path=xl/ctrlProps/ctrlProp147.xml><?xml version="1.0" encoding="utf-8"?>
<formControlPr xmlns="http://schemas.microsoft.com/office/spreadsheetml/2009/9/main" objectType="CheckBox" fmlaLink="B180" noThreeD="1"/>
</file>

<file path=xl/ctrlProps/ctrlProp148.xml><?xml version="1.0" encoding="utf-8"?>
<formControlPr xmlns="http://schemas.microsoft.com/office/spreadsheetml/2009/9/main" objectType="CheckBox" fmlaLink="B184" noThreeD="1"/>
</file>

<file path=xl/ctrlProps/ctrlProp149.xml><?xml version="1.0" encoding="utf-8"?>
<formControlPr xmlns="http://schemas.microsoft.com/office/spreadsheetml/2009/9/main" objectType="CheckBox" fmlaLink="B199" noThreeD="1"/>
</file>

<file path=xl/ctrlProps/ctrlProp15.xml><?xml version="1.0" encoding="utf-8"?>
<formControlPr xmlns="http://schemas.microsoft.com/office/spreadsheetml/2009/9/main" objectType="CheckBox" fmlaLink="B128" noThreeD="1"/>
</file>

<file path=xl/ctrlProps/ctrlProp150.xml><?xml version="1.0" encoding="utf-8"?>
<formControlPr xmlns="http://schemas.microsoft.com/office/spreadsheetml/2009/9/main" objectType="CheckBox" fmlaLink="B187" noThreeD="1"/>
</file>

<file path=xl/ctrlProps/ctrlProp151.xml><?xml version="1.0" encoding="utf-8"?>
<formControlPr xmlns="http://schemas.microsoft.com/office/spreadsheetml/2009/9/main" objectType="CheckBox" fmlaLink="B190" noThreeD="1"/>
</file>

<file path=xl/ctrlProps/ctrlProp152.xml><?xml version="1.0" encoding="utf-8"?>
<formControlPr xmlns="http://schemas.microsoft.com/office/spreadsheetml/2009/9/main" objectType="CheckBox" fmlaLink="B193" noThreeD="1"/>
</file>

<file path=xl/ctrlProps/ctrlProp153.xml><?xml version="1.0" encoding="utf-8"?>
<formControlPr xmlns="http://schemas.microsoft.com/office/spreadsheetml/2009/9/main" objectType="CheckBox" fmlaLink="B196" noThreeD="1"/>
</file>

<file path=xl/ctrlProps/ctrlProp154.xml><?xml version="1.0" encoding="utf-8"?>
<formControlPr xmlns="http://schemas.microsoft.com/office/spreadsheetml/2009/9/main" objectType="CheckBox" fmlaLink="B208" noThreeD="1"/>
</file>

<file path=xl/ctrlProps/ctrlProp155.xml><?xml version="1.0" encoding="utf-8"?>
<formControlPr xmlns="http://schemas.microsoft.com/office/spreadsheetml/2009/9/main" objectType="CheckBox" fmlaLink="B202" noThreeD="1"/>
</file>

<file path=xl/ctrlProps/ctrlProp156.xml><?xml version="1.0" encoding="utf-8"?>
<formControlPr xmlns="http://schemas.microsoft.com/office/spreadsheetml/2009/9/main" objectType="CheckBox" fmlaLink="B205" noThreeD="1"/>
</file>

<file path=xl/ctrlProps/ctrlProp157.xml><?xml version="1.0" encoding="utf-8"?>
<formControlPr xmlns="http://schemas.microsoft.com/office/spreadsheetml/2009/9/main" objectType="CheckBox" fmlaLink="B44" noThreeD="1"/>
</file>

<file path=xl/ctrlProps/ctrlProp158.xml><?xml version="1.0" encoding="utf-8"?>
<formControlPr xmlns="http://schemas.microsoft.com/office/spreadsheetml/2009/9/main" objectType="CheckBox" fmlaLink="B71" noThreeD="1"/>
</file>

<file path=xl/ctrlProps/ctrlProp159.xml><?xml version="1.0" encoding="utf-8"?>
<formControlPr xmlns="http://schemas.microsoft.com/office/spreadsheetml/2009/9/main" objectType="CheckBox" fmlaLink="B44" noThreeD="1"/>
</file>

<file path=xl/ctrlProps/ctrlProp16.xml><?xml version="1.0" encoding="utf-8"?>
<formControlPr xmlns="http://schemas.microsoft.com/office/spreadsheetml/2009/9/main" objectType="CheckBox" fmlaLink="B130" noThreeD="1"/>
</file>

<file path=xl/ctrlProps/ctrlProp160.xml><?xml version="1.0" encoding="utf-8"?>
<formControlPr xmlns="http://schemas.microsoft.com/office/spreadsheetml/2009/9/main" objectType="CheckBox" fmlaLink="B71" noThreeD="1"/>
</file>

<file path=xl/ctrlProps/ctrlProp161.xml><?xml version="1.0" encoding="utf-8"?>
<formControlPr xmlns="http://schemas.microsoft.com/office/spreadsheetml/2009/9/main" objectType="CheckBox" checked="Checked" fmlaLink="B13" noThreeD="1"/>
</file>

<file path=xl/ctrlProps/ctrlProp162.xml><?xml version="1.0" encoding="utf-8"?>
<formControlPr xmlns="http://schemas.microsoft.com/office/spreadsheetml/2009/9/main" objectType="CheckBox" fmlaLink="B14" noThreeD="1"/>
</file>

<file path=xl/ctrlProps/ctrlProp163.xml><?xml version="1.0" encoding="utf-8"?>
<formControlPr xmlns="http://schemas.microsoft.com/office/spreadsheetml/2009/9/main" objectType="CheckBox" fmlaLink="B17" noThreeD="1"/>
</file>

<file path=xl/ctrlProps/ctrlProp164.xml><?xml version="1.0" encoding="utf-8"?>
<formControlPr xmlns="http://schemas.microsoft.com/office/spreadsheetml/2009/9/main" objectType="CheckBox" fmlaLink="B22" noThreeD="1"/>
</file>

<file path=xl/ctrlProps/ctrlProp165.xml><?xml version="1.0" encoding="utf-8"?>
<formControlPr xmlns="http://schemas.microsoft.com/office/spreadsheetml/2009/9/main" objectType="CheckBox" fmlaLink="B23" noThreeD="1"/>
</file>

<file path=xl/ctrlProps/ctrlProp166.xml><?xml version="1.0" encoding="utf-8"?>
<formControlPr xmlns="http://schemas.microsoft.com/office/spreadsheetml/2009/9/main" objectType="CheckBox" fmlaLink="B24" noThreeD="1"/>
</file>

<file path=xl/ctrlProps/ctrlProp167.xml><?xml version="1.0" encoding="utf-8"?>
<formControlPr xmlns="http://schemas.microsoft.com/office/spreadsheetml/2009/9/main" objectType="CheckBox" fmlaLink="B25" noThreeD="1"/>
</file>

<file path=xl/ctrlProps/ctrlProp168.xml><?xml version="1.0" encoding="utf-8"?>
<formControlPr xmlns="http://schemas.microsoft.com/office/spreadsheetml/2009/9/main" objectType="CheckBox" fmlaLink="B26" noThreeD="1"/>
</file>

<file path=xl/ctrlProps/ctrlProp169.xml><?xml version="1.0" encoding="utf-8"?>
<formControlPr xmlns="http://schemas.microsoft.com/office/spreadsheetml/2009/9/main" objectType="CheckBox" fmlaLink="B118" noThreeD="1"/>
</file>

<file path=xl/ctrlProps/ctrlProp17.xml><?xml version="1.0" encoding="utf-8"?>
<formControlPr xmlns="http://schemas.microsoft.com/office/spreadsheetml/2009/9/main" objectType="CheckBox" fmlaLink="B132" noThreeD="1"/>
</file>

<file path=xl/ctrlProps/ctrlProp170.xml><?xml version="1.0" encoding="utf-8"?>
<formControlPr xmlns="http://schemas.microsoft.com/office/spreadsheetml/2009/9/main" objectType="CheckBox" fmlaLink="B120" noThreeD="1"/>
</file>

<file path=xl/ctrlProps/ctrlProp171.xml><?xml version="1.0" encoding="utf-8"?>
<formControlPr xmlns="http://schemas.microsoft.com/office/spreadsheetml/2009/9/main" objectType="CheckBox" fmlaLink="B35" noThreeD="1"/>
</file>

<file path=xl/ctrlProps/ctrlProp172.xml><?xml version="1.0" encoding="utf-8"?>
<formControlPr xmlns="http://schemas.microsoft.com/office/spreadsheetml/2009/9/main" objectType="CheckBox" fmlaLink="B122" noThreeD="1"/>
</file>

<file path=xl/ctrlProps/ctrlProp173.xml><?xml version="1.0" encoding="utf-8"?>
<formControlPr xmlns="http://schemas.microsoft.com/office/spreadsheetml/2009/9/main" objectType="CheckBox" fmlaLink="B124" noThreeD="1"/>
</file>

<file path=xl/ctrlProps/ctrlProp174.xml><?xml version="1.0" encoding="utf-8"?>
<formControlPr xmlns="http://schemas.microsoft.com/office/spreadsheetml/2009/9/main" objectType="CheckBox" fmlaLink="B126" noThreeD="1"/>
</file>

<file path=xl/ctrlProps/ctrlProp175.xml><?xml version="1.0" encoding="utf-8"?>
<formControlPr xmlns="http://schemas.microsoft.com/office/spreadsheetml/2009/9/main" objectType="CheckBox" fmlaLink="B128" noThreeD="1"/>
</file>

<file path=xl/ctrlProps/ctrlProp176.xml><?xml version="1.0" encoding="utf-8"?>
<formControlPr xmlns="http://schemas.microsoft.com/office/spreadsheetml/2009/9/main" objectType="CheckBox" fmlaLink="B130" noThreeD="1"/>
</file>

<file path=xl/ctrlProps/ctrlProp177.xml><?xml version="1.0" encoding="utf-8"?>
<formControlPr xmlns="http://schemas.microsoft.com/office/spreadsheetml/2009/9/main" objectType="CheckBox" fmlaLink="B132" noThreeD="1"/>
</file>

<file path=xl/ctrlProps/ctrlProp178.xml><?xml version="1.0" encoding="utf-8"?>
<formControlPr xmlns="http://schemas.microsoft.com/office/spreadsheetml/2009/9/main" objectType="CheckBox" fmlaLink="B134" noThreeD="1"/>
</file>

<file path=xl/ctrlProps/ctrlProp179.xml><?xml version="1.0" encoding="utf-8"?>
<formControlPr xmlns="http://schemas.microsoft.com/office/spreadsheetml/2009/9/main" objectType="CheckBox" fmlaLink="B136" noThreeD="1"/>
</file>

<file path=xl/ctrlProps/ctrlProp18.xml><?xml version="1.0" encoding="utf-8"?>
<formControlPr xmlns="http://schemas.microsoft.com/office/spreadsheetml/2009/9/main" objectType="CheckBox" fmlaLink="B134" noThreeD="1"/>
</file>

<file path=xl/ctrlProps/ctrlProp180.xml><?xml version="1.0" encoding="utf-8"?>
<formControlPr xmlns="http://schemas.microsoft.com/office/spreadsheetml/2009/9/main" objectType="CheckBox" fmlaLink="B138" noThreeD="1"/>
</file>

<file path=xl/ctrlProps/ctrlProp181.xml><?xml version="1.0" encoding="utf-8"?>
<formControlPr xmlns="http://schemas.microsoft.com/office/spreadsheetml/2009/9/main" objectType="CheckBox" fmlaLink="B140" noThreeD="1"/>
</file>

<file path=xl/ctrlProps/ctrlProp182.xml><?xml version="1.0" encoding="utf-8"?>
<formControlPr xmlns="http://schemas.microsoft.com/office/spreadsheetml/2009/9/main" objectType="CheckBox" fmlaLink="B142" noThreeD="1"/>
</file>

<file path=xl/ctrlProps/ctrlProp183.xml><?xml version="1.0" encoding="utf-8"?>
<formControlPr xmlns="http://schemas.microsoft.com/office/spreadsheetml/2009/9/main" objectType="CheckBox" fmlaLink="B144" noThreeD="1"/>
</file>

<file path=xl/ctrlProps/ctrlProp184.xml><?xml version="1.0" encoding="utf-8"?>
<formControlPr xmlns="http://schemas.microsoft.com/office/spreadsheetml/2009/9/main" objectType="CheckBox" fmlaLink="B146" noThreeD="1"/>
</file>

<file path=xl/ctrlProps/ctrlProp185.xml><?xml version="1.0" encoding="utf-8"?>
<formControlPr xmlns="http://schemas.microsoft.com/office/spreadsheetml/2009/9/main" objectType="CheckBox" fmlaLink="B148" noThreeD="1"/>
</file>

<file path=xl/ctrlProps/ctrlProp186.xml><?xml version="1.0" encoding="utf-8"?>
<formControlPr xmlns="http://schemas.microsoft.com/office/spreadsheetml/2009/9/main" objectType="CheckBox" fmlaLink="B150" noThreeD="1"/>
</file>

<file path=xl/ctrlProps/ctrlProp187.xml><?xml version="1.0" encoding="utf-8"?>
<formControlPr xmlns="http://schemas.microsoft.com/office/spreadsheetml/2009/9/main" objectType="CheckBox" fmlaLink="B152" noThreeD="1"/>
</file>

<file path=xl/ctrlProps/ctrlProp188.xml><?xml version="1.0" encoding="utf-8"?>
<formControlPr xmlns="http://schemas.microsoft.com/office/spreadsheetml/2009/9/main" objectType="CheckBox" fmlaLink="B154" noThreeD="1"/>
</file>

<file path=xl/ctrlProps/ctrlProp189.xml><?xml version="1.0" encoding="utf-8"?>
<formControlPr xmlns="http://schemas.microsoft.com/office/spreadsheetml/2009/9/main" objectType="CheckBox" fmlaLink="B156" noThreeD="1"/>
</file>

<file path=xl/ctrlProps/ctrlProp19.xml><?xml version="1.0" encoding="utf-8"?>
<formControlPr xmlns="http://schemas.microsoft.com/office/spreadsheetml/2009/9/main" objectType="CheckBox" fmlaLink="B136" noThreeD="1"/>
</file>

<file path=xl/ctrlProps/ctrlProp190.xml><?xml version="1.0" encoding="utf-8"?>
<formControlPr xmlns="http://schemas.microsoft.com/office/spreadsheetml/2009/9/main" objectType="CheckBox" fmlaLink="B158" noThreeD="1"/>
</file>

<file path=xl/ctrlProps/ctrlProp191.xml><?xml version="1.0" encoding="utf-8"?>
<formControlPr xmlns="http://schemas.microsoft.com/office/spreadsheetml/2009/9/main" objectType="CheckBox" fmlaLink="B160" noThreeD="1"/>
</file>

<file path=xl/ctrlProps/ctrlProp192.xml><?xml version="1.0" encoding="utf-8"?>
<formControlPr xmlns="http://schemas.microsoft.com/office/spreadsheetml/2009/9/main" objectType="CheckBox" fmlaLink="B162" noThreeD="1"/>
</file>

<file path=xl/ctrlProps/ctrlProp193.xml><?xml version="1.0" encoding="utf-8"?>
<formControlPr xmlns="http://schemas.microsoft.com/office/spreadsheetml/2009/9/main" objectType="CheckBox" fmlaLink="B164" noThreeD="1"/>
</file>

<file path=xl/ctrlProps/ctrlProp194.xml><?xml version="1.0" encoding="utf-8"?>
<formControlPr xmlns="http://schemas.microsoft.com/office/spreadsheetml/2009/9/main" objectType="CheckBox" fmlaLink="B166" noThreeD="1"/>
</file>

<file path=xl/ctrlProps/ctrlProp195.xml><?xml version="1.0" encoding="utf-8"?>
<formControlPr xmlns="http://schemas.microsoft.com/office/spreadsheetml/2009/9/main" objectType="CheckBox" fmlaLink="B168" noThreeD="1"/>
</file>

<file path=xl/ctrlProps/ctrlProp196.xml><?xml version="1.0" encoding="utf-8"?>
<formControlPr xmlns="http://schemas.microsoft.com/office/spreadsheetml/2009/9/main" objectType="CheckBox" fmlaLink="B170" noThreeD="1"/>
</file>

<file path=xl/ctrlProps/ctrlProp197.xml><?xml version="1.0" encoding="utf-8"?>
<formControlPr xmlns="http://schemas.microsoft.com/office/spreadsheetml/2009/9/main" objectType="CheckBox" fmlaLink="B172" noThreeD="1"/>
</file>

<file path=xl/ctrlProps/ctrlProp198.xml><?xml version="1.0" encoding="utf-8"?>
<formControlPr xmlns="http://schemas.microsoft.com/office/spreadsheetml/2009/9/main" objectType="CheckBox" fmlaLink="B174" noThreeD="1"/>
</file>

<file path=xl/ctrlProps/ctrlProp199.xml><?xml version="1.0" encoding="utf-8"?>
<formControlPr xmlns="http://schemas.microsoft.com/office/spreadsheetml/2009/9/main" objectType="CheckBox" fmlaLink="B176" noThreeD="1"/>
</file>

<file path=xl/ctrlProps/ctrlProp2.xml><?xml version="1.0" encoding="utf-8"?>
<formControlPr xmlns="http://schemas.microsoft.com/office/spreadsheetml/2009/9/main" objectType="CheckBox" fmlaLink="B14" noThreeD="1"/>
</file>

<file path=xl/ctrlProps/ctrlProp20.xml><?xml version="1.0" encoding="utf-8"?>
<formControlPr xmlns="http://schemas.microsoft.com/office/spreadsheetml/2009/9/main" objectType="CheckBox" fmlaLink="B138" noThreeD="1"/>
</file>

<file path=xl/ctrlProps/ctrlProp200.xml><?xml version="1.0" encoding="utf-8"?>
<formControlPr xmlns="http://schemas.microsoft.com/office/spreadsheetml/2009/9/main" objectType="CheckBox" fmlaLink="B178" noThreeD="1"/>
</file>

<file path=xl/ctrlProps/ctrlProp201.xml><?xml version="1.0" encoding="utf-8"?>
<formControlPr xmlns="http://schemas.microsoft.com/office/spreadsheetml/2009/9/main" objectType="CheckBox" fmlaLink="B180" noThreeD="1"/>
</file>

<file path=xl/ctrlProps/ctrlProp202.xml><?xml version="1.0" encoding="utf-8"?>
<formControlPr xmlns="http://schemas.microsoft.com/office/spreadsheetml/2009/9/main" objectType="CheckBox" fmlaLink="B184" noThreeD="1"/>
</file>

<file path=xl/ctrlProps/ctrlProp203.xml><?xml version="1.0" encoding="utf-8"?>
<formControlPr xmlns="http://schemas.microsoft.com/office/spreadsheetml/2009/9/main" objectType="CheckBox" fmlaLink="B199" noThreeD="1"/>
</file>

<file path=xl/ctrlProps/ctrlProp204.xml><?xml version="1.0" encoding="utf-8"?>
<formControlPr xmlns="http://schemas.microsoft.com/office/spreadsheetml/2009/9/main" objectType="CheckBox" fmlaLink="B187" noThreeD="1"/>
</file>

<file path=xl/ctrlProps/ctrlProp205.xml><?xml version="1.0" encoding="utf-8"?>
<formControlPr xmlns="http://schemas.microsoft.com/office/spreadsheetml/2009/9/main" objectType="CheckBox" fmlaLink="B190" noThreeD="1"/>
</file>

<file path=xl/ctrlProps/ctrlProp206.xml><?xml version="1.0" encoding="utf-8"?>
<formControlPr xmlns="http://schemas.microsoft.com/office/spreadsheetml/2009/9/main" objectType="CheckBox" fmlaLink="B193" noThreeD="1"/>
</file>

<file path=xl/ctrlProps/ctrlProp207.xml><?xml version="1.0" encoding="utf-8"?>
<formControlPr xmlns="http://schemas.microsoft.com/office/spreadsheetml/2009/9/main" objectType="CheckBox" fmlaLink="B196" noThreeD="1"/>
</file>

<file path=xl/ctrlProps/ctrlProp208.xml><?xml version="1.0" encoding="utf-8"?>
<formControlPr xmlns="http://schemas.microsoft.com/office/spreadsheetml/2009/9/main" objectType="CheckBox" fmlaLink="B208" noThreeD="1"/>
</file>

<file path=xl/ctrlProps/ctrlProp209.xml><?xml version="1.0" encoding="utf-8"?>
<formControlPr xmlns="http://schemas.microsoft.com/office/spreadsheetml/2009/9/main" objectType="CheckBox" fmlaLink="B202" noThreeD="1"/>
</file>

<file path=xl/ctrlProps/ctrlProp21.xml><?xml version="1.0" encoding="utf-8"?>
<formControlPr xmlns="http://schemas.microsoft.com/office/spreadsheetml/2009/9/main" objectType="CheckBox" fmlaLink="B140" noThreeD="1"/>
</file>

<file path=xl/ctrlProps/ctrlProp210.xml><?xml version="1.0" encoding="utf-8"?>
<formControlPr xmlns="http://schemas.microsoft.com/office/spreadsheetml/2009/9/main" objectType="CheckBox" fmlaLink="B205" noThreeD="1"/>
</file>

<file path=xl/ctrlProps/ctrlProp211.xml><?xml version="1.0" encoding="utf-8"?>
<formControlPr xmlns="http://schemas.microsoft.com/office/spreadsheetml/2009/9/main" objectType="CheckBox" fmlaLink="B44" noThreeD="1"/>
</file>

<file path=xl/ctrlProps/ctrlProp212.xml><?xml version="1.0" encoding="utf-8"?>
<formControlPr xmlns="http://schemas.microsoft.com/office/spreadsheetml/2009/9/main" objectType="CheckBox" fmlaLink="B71" noThreeD="1"/>
</file>

<file path=xl/ctrlProps/ctrlProp213.xml><?xml version="1.0" encoding="utf-8"?>
<formControlPr xmlns="http://schemas.microsoft.com/office/spreadsheetml/2009/9/main" objectType="CheckBox" fmlaLink="B44" noThreeD="1"/>
</file>

<file path=xl/ctrlProps/ctrlProp214.xml><?xml version="1.0" encoding="utf-8"?>
<formControlPr xmlns="http://schemas.microsoft.com/office/spreadsheetml/2009/9/main" objectType="CheckBox" fmlaLink="B71" noThreeD="1"/>
</file>

<file path=xl/ctrlProps/ctrlProp215.xml><?xml version="1.0" encoding="utf-8"?>
<formControlPr xmlns="http://schemas.microsoft.com/office/spreadsheetml/2009/9/main" objectType="CheckBox" checked="Checked" fmlaLink="B13" noThreeD="1"/>
</file>

<file path=xl/ctrlProps/ctrlProp216.xml><?xml version="1.0" encoding="utf-8"?>
<formControlPr xmlns="http://schemas.microsoft.com/office/spreadsheetml/2009/9/main" objectType="CheckBox" fmlaLink="B14" noThreeD="1"/>
</file>

<file path=xl/ctrlProps/ctrlProp217.xml><?xml version="1.0" encoding="utf-8"?>
<formControlPr xmlns="http://schemas.microsoft.com/office/spreadsheetml/2009/9/main" objectType="CheckBox" fmlaLink="B17" noThreeD="1"/>
</file>

<file path=xl/ctrlProps/ctrlProp218.xml><?xml version="1.0" encoding="utf-8"?>
<formControlPr xmlns="http://schemas.microsoft.com/office/spreadsheetml/2009/9/main" objectType="CheckBox" fmlaLink="B22" noThreeD="1"/>
</file>

<file path=xl/ctrlProps/ctrlProp219.xml><?xml version="1.0" encoding="utf-8"?>
<formControlPr xmlns="http://schemas.microsoft.com/office/spreadsheetml/2009/9/main" objectType="CheckBox" fmlaLink="B23" noThreeD="1"/>
</file>

<file path=xl/ctrlProps/ctrlProp22.xml><?xml version="1.0" encoding="utf-8"?>
<formControlPr xmlns="http://schemas.microsoft.com/office/spreadsheetml/2009/9/main" objectType="CheckBox" fmlaLink="B142" noThreeD="1"/>
</file>

<file path=xl/ctrlProps/ctrlProp220.xml><?xml version="1.0" encoding="utf-8"?>
<formControlPr xmlns="http://schemas.microsoft.com/office/spreadsheetml/2009/9/main" objectType="CheckBox" fmlaLink="B24" noThreeD="1"/>
</file>

<file path=xl/ctrlProps/ctrlProp221.xml><?xml version="1.0" encoding="utf-8"?>
<formControlPr xmlns="http://schemas.microsoft.com/office/spreadsheetml/2009/9/main" objectType="CheckBox" fmlaLink="B25" noThreeD="1"/>
</file>

<file path=xl/ctrlProps/ctrlProp222.xml><?xml version="1.0" encoding="utf-8"?>
<formControlPr xmlns="http://schemas.microsoft.com/office/spreadsheetml/2009/9/main" objectType="CheckBox" fmlaLink="B26" noThreeD="1"/>
</file>

<file path=xl/ctrlProps/ctrlProp223.xml><?xml version="1.0" encoding="utf-8"?>
<formControlPr xmlns="http://schemas.microsoft.com/office/spreadsheetml/2009/9/main" objectType="CheckBox" fmlaLink="B118" noThreeD="1"/>
</file>

<file path=xl/ctrlProps/ctrlProp224.xml><?xml version="1.0" encoding="utf-8"?>
<formControlPr xmlns="http://schemas.microsoft.com/office/spreadsheetml/2009/9/main" objectType="CheckBox" fmlaLink="B120" noThreeD="1"/>
</file>

<file path=xl/ctrlProps/ctrlProp225.xml><?xml version="1.0" encoding="utf-8"?>
<formControlPr xmlns="http://schemas.microsoft.com/office/spreadsheetml/2009/9/main" objectType="CheckBox" fmlaLink="B35" noThreeD="1"/>
</file>

<file path=xl/ctrlProps/ctrlProp226.xml><?xml version="1.0" encoding="utf-8"?>
<formControlPr xmlns="http://schemas.microsoft.com/office/spreadsheetml/2009/9/main" objectType="CheckBox" fmlaLink="B122" noThreeD="1"/>
</file>

<file path=xl/ctrlProps/ctrlProp227.xml><?xml version="1.0" encoding="utf-8"?>
<formControlPr xmlns="http://schemas.microsoft.com/office/spreadsheetml/2009/9/main" objectType="CheckBox" fmlaLink="B124" noThreeD="1"/>
</file>

<file path=xl/ctrlProps/ctrlProp228.xml><?xml version="1.0" encoding="utf-8"?>
<formControlPr xmlns="http://schemas.microsoft.com/office/spreadsheetml/2009/9/main" objectType="CheckBox" fmlaLink="B126" noThreeD="1"/>
</file>

<file path=xl/ctrlProps/ctrlProp229.xml><?xml version="1.0" encoding="utf-8"?>
<formControlPr xmlns="http://schemas.microsoft.com/office/spreadsheetml/2009/9/main" objectType="CheckBox" fmlaLink="B128" noThreeD="1"/>
</file>

<file path=xl/ctrlProps/ctrlProp23.xml><?xml version="1.0" encoding="utf-8"?>
<formControlPr xmlns="http://schemas.microsoft.com/office/spreadsheetml/2009/9/main" objectType="CheckBox" fmlaLink="B144" noThreeD="1"/>
</file>

<file path=xl/ctrlProps/ctrlProp230.xml><?xml version="1.0" encoding="utf-8"?>
<formControlPr xmlns="http://schemas.microsoft.com/office/spreadsheetml/2009/9/main" objectType="CheckBox" fmlaLink="B130" noThreeD="1"/>
</file>

<file path=xl/ctrlProps/ctrlProp231.xml><?xml version="1.0" encoding="utf-8"?>
<formControlPr xmlns="http://schemas.microsoft.com/office/spreadsheetml/2009/9/main" objectType="CheckBox" fmlaLink="B132" noThreeD="1"/>
</file>

<file path=xl/ctrlProps/ctrlProp232.xml><?xml version="1.0" encoding="utf-8"?>
<formControlPr xmlns="http://schemas.microsoft.com/office/spreadsheetml/2009/9/main" objectType="CheckBox" fmlaLink="B134" noThreeD="1"/>
</file>

<file path=xl/ctrlProps/ctrlProp233.xml><?xml version="1.0" encoding="utf-8"?>
<formControlPr xmlns="http://schemas.microsoft.com/office/spreadsheetml/2009/9/main" objectType="CheckBox" fmlaLink="B136" noThreeD="1"/>
</file>

<file path=xl/ctrlProps/ctrlProp234.xml><?xml version="1.0" encoding="utf-8"?>
<formControlPr xmlns="http://schemas.microsoft.com/office/spreadsheetml/2009/9/main" objectType="CheckBox" fmlaLink="B138" noThreeD="1"/>
</file>

<file path=xl/ctrlProps/ctrlProp235.xml><?xml version="1.0" encoding="utf-8"?>
<formControlPr xmlns="http://schemas.microsoft.com/office/spreadsheetml/2009/9/main" objectType="CheckBox" fmlaLink="B140" noThreeD="1"/>
</file>

<file path=xl/ctrlProps/ctrlProp236.xml><?xml version="1.0" encoding="utf-8"?>
<formControlPr xmlns="http://schemas.microsoft.com/office/spreadsheetml/2009/9/main" objectType="CheckBox" fmlaLink="B142" noThreeD="1"/>
</file>

<file path=xl/ctrlProps/ctrlProp237.xml><?xml version="1.0" encoding="utf-8"?>
<formControlPr xmlns="http://schemas.microsoft.com/office/spreadsheetml/2009/9/main" objectType="CheckBox" fmlaLink="B144" noThreeD="1"/>
</file>

<file path=xl/ctrlProps/ctrlProp238.xml><?xml version="1.0" encoding="utf-8"?>
<formControlPr xmlns="http://schemas.microsoft.com/office/spreadsheetml/2009/9/main" objectType="CheckBox" fmlaLink="B146" noThreeD="1"/>
</file>

<file path=xl/ctrlProps/ctrlProp239.xml><?xml version="1.0" encoding="utf-8"?>
<formControlPr xmlns="http://schemas.microsoft.com/office/spreadsheetml/2009/9/main" objectType="CheckBox" fmlaLink="B148" noThreeD="1"/>
</file>

<file path=xl/ctrlProps/ctrlProp24.xml><?xml version="1.0" encoding="utf-8"?>
<formControlPr xmlns="http://schemas.microsoft.com/office/spreadsheetml/2009/9/main" objectType="CheckBox" fmlaLink="B146" noThreeD="1"/>
</file>

<file path=xl/ctrlProps/ctrlProp240.xml><?xml version="1.0" encoding="utf-8"?>
<formControlPr xmlns="http://schemas.microsoft.com/office/spreadsheetml/2009/9/main" objectType="CheckBox" fmlaLink="B150" noThreeD="1"/>
</file>

<file path=xl/ctrlProps/ctrlProp241.xml><?xml version="1.0" encoding="utf-8"?>
<formControlPr xmlns="http://schemas.microsoft.com/office/spreadsheetml/2009/9/main" objectType="CheckBox" fmlaLink="B152" noThreeD="1"/>
</file>

<file path=xl/ctrlProps/ctrlProp242.xml><?xml version="1.0" encoding="utf-8"?>
<formControlPr xmlns="http://schemas.microsoft.com/office/spreadsheetml/2009/9/main" objectType="CheckBox" fmlaLink="B154" noThreeD="1"/>
</file>

<file path=xl/ctrlProps/ctrlProp243.xml><?xml version="1.0" encoding="utf-8"?>
<formControlPr xmlns="http://schemas.microsoft.com/office/spreadsheetml/2009/9/main" objectType="CheckBox" fmlaLink="B156" noThreeD="1"/>
</file>

<file path=xl/ctrlProps/ctrlProp244.xml><?xml version="1.0" encoding="utf-8"?>
<formControlPr xmlns="http://schemas.microsoft.com/office/spreadsheetml/2009/9/main" objectType="CheckBox" fmlaLink="B158" noThreeD="1"/>
</file>

<file path=xl/ctrlProps/ctrlProp245.xml><?xml version="1.0" encoding="utf-8"?>
<formControlPr xmlns="http://schemas.microsoft.com/office/spreadsheetml/2009/9/main" objectType="CheckBox" fmlaLink="B160" noThreeD="1"/>
</file>

<file path=xl/ctrlProps/ctrlProp246.xml><?xml version="1.0" encoding="utf-8"?>
<formControlPr xmlns="http://schemas.microsoft.com/office/spreadsheetml/2009/9/main" objectType="CheckBox" fmlaLink="B162" noThreeD="1"/>
</file>

<file path=xl/ctrlProps/ctrlProp247.xml><?xml version="1.0" encoding="utf-8"?>
<formControlPr xmlns="http://schemas.microsoft.com/office/spreadsheetml/2009/9/main" objectType="CheckBox" fmlaLink="B164" noThreeD="1"/>
</file>

<file path=xl/ctrlProps/ctrlProp248.xml><?xml version="1.0" encoding="utf-8"?>
<formControlPr xmlns="http://schemas.microsoft.com/office/spreadsheetml/2009/9/main" objectType="CheckBox" fmlaLink="B166" noThreeD="1"/>
</file>

<file path=xl/ctrlProps/ctrlProp249.xml><?xml version="1.0" encoding="utf-8"?>
<formControlPr xmlns="http://schemas.microsoft.com/office/spreadsheetml/2009/9/main" objectType="CheckBox" fmlaLink="B168" noThreeD="1"/>
</file>

<file path=xl/ctrlProps/ctrlProp25.xml><?xml version="1.0" encoding="utf-8"?>
<formControlPr xmlns="http://schemas.microsoft.com/office/spreadsheetml/2009/9/main" objectType="CheckBox" fmlaLink="B148" noThreeD="1"/>
</file>

<file path=xl/ctrlProps/ctrlProp250.xml><?xml version="1.0" encoding="utf-8"?>
<formControlPr xmlns="http://schemas.microsoft.com/office/spreadsheetml/2009/9/main" objectType="CheckBox" fmlaLink="B170" noThreeD="1"/>
</file>

<file path=xl/ctrlProps/ctrlProp251.xml><?xml version="1.0" encoding="utf-8"?>
<formControlPr xmlns="http://schemas.microsoft.com/office/spreadsheetml/2009/9/main" objectType="CheckBox" fmlaLink="B172" noThreeD="1"/>
</file>

<file path=xl/ctrlProps/ctrlProp252.xml><?xml version="1.0" encoding="utf-8"?>
<formControlPr xmlns="http://schemas.microsoft.com/office/spreadsheetml/2009/9/main" objectType="CheckBox" fmlaLink="B174" noThreeD="1"/>
</file>

<file path=xl/ctrlProps/ctrlProp253.xml><?xml version="1.0" encoding="utf-8"?>
<formControlPr xmlns="http://schemas.microsoft.com/office/spreadsheetml/2009/9/main" objectType="CheckBox" fmlaLink="B176" noThreeD="1"/>
</file>

<file path=xl/ctrlProps/ctrlProp254.xml><?xml version="1.0" encoding="utf-8"?>
<formControlPr xmlns="http://schemas.microsoft.com/office/spreadsheetml/2009/9/main" objectType="CheckBox" fmlaLink="B178" noThreeD="1"/>
</file>

<file path=xl/ctrlProps/ctrlProp255.xml><?xml version="1.0" encoding="utf-8"?>
<formControlPr xmlns="http://schemas.microsoft.com/office/spreadsheetml/2009/9/main" objectType="CheckBox" fmlaLink="B180" noThreeD="1"/>
</file>

<file path=xl/ctrlProps/ctrlProp256.xml><?xml version="1.0" encoding="utf-8"?>
<formControlPr xmlns="http://schemas.microsoft.com/office/spreadsheetml/2009/9/main" objectType="CheckBox" fmlaLink="B184" noThreeD="1"/>
</file>

<file path=xl/ctrlProps/ctrlProp257.xml><?xml version="1.0" encoding="utf-8"?>
<formControlPr xmlns="http://schemas.microsoft.com/office/spreadsheetml/2009/9/main" objectType="CheckBox" fmlaLink="B199" noThreeD="1"/>
</file>

<file path=xl/ctrlProps/ctrlProp258.xml><?xml version="1.0" encoding="utf-8"?>
<formControlPr xmlns="http://schemas.microsoft.com/office/spreadsheetml/2009/9/main" objectType="CheckBox" fmlaLink="B187" noThreeD="1"/>
</file>

<file path=xl/ctrlProps/ctrlProp259.xml><?xml version="1.0" encoding="utf-8"?>
<formControlPr xmlns="http://schemas.microsoft.com/office/spreadsheetml/2009/9/main" objectType="CheckBox" fmlaLink="B190" noThreeD="1"/>
</file>

<file path=xl/ctrlProps/ctrlProp26.xml><?xml version="1.0" encoding="utf-8"?>
<formControlPr xmlns="http://schemas.microsoft.com/office/spreadsheetml/2009/9/main" objectType="CheckBox" fmlaLink="B150" noThreeD="1"/>
</file>

<file path=xl/ctrlProps/ctrlProp260.xml><?xml version="1.0" encoding="utf-8"?>
<formControlPr xmlns="http://schemas.microsoft.com/office/spreadsheetml/2009/9/main" objectType="CheckBox" fmlaLink="B193" noThreeD="1"/>
</file>

<file path=xl/ctrlProps/ctrlProp261.xml><?xml version="1.0" encoding="utf-8"?>
<formControlPr xmlns="http://schemas.microsoft.com/office/spreadsheetml/2009/9/main" objectType="CheckBox" fmlaLink="B196" noThreeD="1"/>
</file>

<file path=xl/ctrlProps/ctrlProp262.xml><?xml version="1.0" encoding="utf-8"?>
<formControlPr xmlns="http://schemas.microsoft.com/office/spreadsheetml/2009/9/main" objectType="CheckBox" fmlaLink="B208" noThreeD="1"/>
</file>

<file path=xl/ctrlProps/ctrlProp263.xml><?xml version="1.0" encoding="utf-8"?>
<formControlPr xmlns="http://schemas.microsoft.com/office/spreadsheetml/2009/9/main" objectType="CheckBox" fmlaLink="B202" noThreeD="1"/>
</file>

<file path=xl/ctrlProps/ctrlProp264.xml><?xml version="1.0" encoding="utf-8"?>
<formControlPr xmlns="http://schemas.microsoft.com/office/spreadsheetml/2009/9/main" objectType="CheckBox" fmlaLink="B205" noThreeD="1"/>
</file>

<file path=xl/ctrlProps/ctrlProp265.xml><?xml version="1.0" encoding="utf-8"?>
<formControlPr xmlns="http://schemas.microsoft.com/office/spreadsheetml/2009/9/main" objectType="CheckBox" fmlaLink="B44" noThreeD="1"/>
</file>

<file path=xl/ctrlProps/ctrlProp266.xml><?xml version="1.0" encoding="utf-8"?>
<formControlPr xmlns="http://schemas.microsoft.com/office/spreadsheetml/2009/9/main" objectType="CheckBox" fmlaLink="B71" noThreeD="1"/>
</file>

<file path=xl/ctrlProps/ctrlProp267.xml><?xml version="1.0" encoding="utf-8"?>
<formControlPr xmlns="http://schemas.microsoft.com/office/spreadsheetml/2009/9/main" objectType="CheckBox" fmlaLink="B44" noThreeD="1"/>
</file>

<file path=xl/ctrlProps/ctrlProp268.xml><?xml version="1.0" encoding="utf-8"?>
<formControlPr xmlns="http://schemas.microsoft.com/office/spreadsheetml/2009/9/main" objectType="CheckBox" fmlaLink="B71" noThreeD="1"/>
</file>

<file path=xl/ctrlProps/ctrlProp27.xml><?xml version="1.0" encoding="utf-8"?>
<formControlPr xmlns="http://schemas.microsoft.com/office/spreadsheetml/2009/9/main" objectType="CheckBox" fmlaLink="B152" noThreeD="1"/>
</file>

<file path=xl/ctrlProps/ctrlProp28.xml><?xml version="1.0" encoding="utf-8"?>
<formControlPr xmlns="http://schemas.microsoft.com/office/spreadsheetml/2009/9/main" objectType="CheckBox" fmlaLink="B154" noThreeD="1"/>
</file>

<file path=xl/ctrlProps/ctrlProp29.xml><?xml version="1.0" encoding="utf-8"?>
<formControlPr xmlns="http://schemas.microsoft.com/office/spreadsheetml/2009/9/main" objectType="CheckBox" fmlaLink="B156" noThreeD="1"/>
</file>

<file path=xl/ctrlProps/ctrlProp3.xml><?xml version="1.0" encoding="utf-8"?>
<formControlPr xmlns="http://schemas.microsoft.com/office/spreadsheetml/2009/9/main" objectType="CheckBox" fmlaLink="B17" noThreeD="1"/>
</file>

<file path=xl/ctrlProps/ctrlProp30.xml><?xml version="1.0" encoding="utf-8"?>
<formControlPr xmlns="http://schemas.microsoft.com/office/spreadsheetml/2009/9/main" objectType="CheckBox" fmlaLink="B158" noThreeD="1"/>
</file>

<file path=xl/ctrlProps/ctrlProp31.xml><?xml version="1.0" encoding="utf-8"?>
<formControlPr xmlns="http://schemas.microsoft.com/office/spreadsheetml/2009/9/main" objectType="CheckBox" fmlaLink="B160" noThreeD="1"/>
</file>

<file path=xl/ctrlProps/ctrlProp32.xml><?xml version="1.0" encoding="utf-8"?>
<formControlPr xmlns="http://schemas.microsoft.com/office/spreadsheetml/2009/9/main" objectType="CheckBox" fmlaLink="B162" noThreeD="1"/>
</file>

<file path=xl/ctrlProps/ctrlProp33.xml><?xml version="1.0" encoding="utf-8"?>
<formControlPr xmlns="http://schemas.microsoft.com/office/spreadsheetml/2009/9/main" objectType="CheckBox" fmlaLink="B164" noThreeD="1"/>
</file>

<file path=xl/ctrlProps/ctrlProp34.xml><?xml version="1.0" encoding="utf-8"?>
<formControlPr xmlns="http://schemas.microsoft.com/office/spreadsheetml/2009/9/main" objectType="CheckBox" fmlaLink="B166" noThreeD="1"/>
</file>

<file path=xl/ctrlProps/ctrlProp35.xml><?xml version="1.0" encoding="utf-8"?>
<formControlPr xmlns="http://schemas.microsoft.com/office/spreadsheetml/2009/9/main" objectType="CheckBox" fmlaLink="B168" noThreeD="1"/>
</file>

<file path=xl/ctrlProps/ctrlProp36.xml><?xml version="1.0" encoding="utf-8"?>
<formControlPr xmlns="http://schemas.microsoft.com/office/spreadsheetml/2009/9/main" objectType="CheckBox" fmlaLink="B170" noThreeD="1"/>
</file>

<file path=xl/ctrlProps/ctrlProp37.xml><?xml version="1.0" encoding="utf-8"?>
<formControlPr xmlns="http://schemas.microsoft.com/office/spreadsheetml/2009/9/main" objectType="CheckBox" fmlaLink="B172" noThreeD="1"/>
</file>

<file path=xl/ctrlProps/ctrlProp38.xml><?xml version="1.0" encoding="utf-8"?>
<formControlPr xmlns="http://schemas.microsoft.com/office/spreadsheetml/2009/9/main" objectType="CheckBox" fmlaLink="B174" noThreeD="1"/>
</file>

<file path=xl/ctrlProps/ctrlProp39.xml><?xml version="1.0" encoding="utf-8"?>
<formControlPr xmlns="http://schemas.microsoft.com/office/spreadsheetml/2009/9/main" objectType="CheckBox" fmlaLink="B176" noThreeD="1"/>
</file>

<file path=xl/ctrlProps/ctrlProp4.xml><?xml version="1.0" encoding="utf-8"?>
<formControlPr xmlns="http://schemas.microsoft.com/office/spreadsheetml/2009/9/main" objectType="CheckBox" fmlaLink="B22" noThreeD="1"/>
</file>

<file path=xl/ctrlProps/ctrlProp40.xml><?xml version="1.0" encoding="utf-8"?>
<formControlPr xmlns="http://schemas.microsoft.com/office/spreadsheetml/2009/9/main" objectType="CheckBox" fmlaLink="B178" noThreeD="1"/>
</file>

<file path=xl/ctrlProps/ctrlProp41.xml><?xml version="1.0" encoding="utf-8"?>
<formControlPr xmlns="http://schemas.microsoft.com/office/spreadsheetml/2009/9/main" objectType="CheckBox" fmlaLink="B180" noThreeD="1"/>
</file>

<file path=xl/ctrlProps/ctrlProp42.xml><?xml version="1.0" encoding="utf-8"?>
<formControlPr xmlns="http://schemas.microsoft.com/office/spreadsheetml/2009/9/main" objectType="CheckBox" fmlaLink="B184" noThreeD="1"/>
</file>

<file path=xl/ctrlProps/ctrlProp43.xml><?xml version="1.0" encoding="utf-8"?>
<formControlPr xmlns="http://schemas.microsoft.com/office/spreadsheetml/2009/9/main" objectType="CheckBox" fmlaLink="B199" noThreeD="1"/>
</file>

<file path=xl/ctrlProps/ctrlProp44.xml><?xml version="1.0" encoding="utf-8"?>
<formControlPr xmlns="http://schemas.microsoft.com/office/spreadsheetml/2009/9/main" objectType="CheckBox" fmlaLink="B187" noThreeD="1"/>
</file>

<file path=xl/ctrlProps/ctrlProp45.xml><?xml version="1.0" encoding="utf-8"?>
<formControlPr xmlns="http://schemas.microsoft.com/office/spreadsheetml/2009/9/main" objectType="CheckBox" fmlaLink="B190" noThreeD="1"/>
</file>

<file path=xl/ctrlProps/ctrlProp46.xml><?xml version="1.0" encoding="utf-8"?>
<formControlPr xmlns="http://schemas.microsoft.com/office/spreadsheetml/2009/9/main" objectType="CheckBox" fmlaLink="B193" noThreeD="1"/>
</file>

<file path=xl/ctrlProps/ctrlProp47.xml><?xml version="1.0" encoding="utf-8"?>
<formControlPr xmlns="http://schemas.microsoft.com/office/spreadsheetml/2009/9/main" objectType="CheckBox" fmlaLink="B196" noThreeD="1"/>
</file>

<file path=xl/ctrlProps/ctrlProp48.xml><?xml version="1.0" encoding="utf-8"?>
<formControlPr xmlns="http://schemas.microsoft.com/office/spreadsheetml/2009/9/main" objectType="CheckBox" fmlaLink="B208" noThreeD="1"/>
</file>

<file path=xl/ctrlProps/ctrlProp49.xml><?xml version="1.0" encoding="utf-8"?>
<formControlPr xmlns="http://schemas.microsoft.com/office/spreadsheetml/2009/9/main" objectType="CheckBox" fmlaLink="B202" noThreeD="1"/>
</file>

<file path=xl/ctrlProps/ctrlProp5.xml><?xml version="1.0" encoding="utf-8"?>
<formControlPr xmlns="http://schemas.microsoft.com/office/spreadsheetml/2009/9/main" objectType="CheckBox" fmlaLink="B23" noThreeD="1"/>
</file>

<file path=xl/ctrlProps/ctrlProp50.xml><?xml version="1.0" encoding="utf-8"?>
<formControlPr xmlns="http://schemas.microsoft.com/office/spreadsheetml/2009/9/main" objectType="CheckBox" fmlaLink="B205" noThreeD="1"/>
</file>

<file path=xl/ctrlProps/ctrlProp51.xml><?xml version="1.0" encoding="utf-8"?>
<formControlPr xmlns="http://schemas.microsoft.com/office/spreadsheetml/2009/9/main" objectType="CheckBox" fmlaLink="B44" noThreeD="1"/>
</file>

<file path=xl/ctrlProps/ctrlProp52.xml><?xml version="1.0" encoding="utf-8"?>
<formControlPr xmlns="http://schemas.microsoft.com/office/spreadsheetml/2009/9/main" objectType="CheckBox" fmlaLink="B71" noThreeD="1"/>
</file>

<file path=xl/ctrlProps/ctrlProp53.xml><?xml version="1.0" encoding="utf-8"?>
<formControlPr xmlns="http://schemas.microsoft.com/office/spreadsheetml/2009/9/main" objectType="CheckBox" checked="Checked" fmlaLink="B13" noThreeD="1"/>
</file>

<file path=xl/ctrlProps/ctrlProp54.xml><?xml version="1.0" encoding="utf-8"?>
<formControlPr xmlns="http://schemas.microsoft.com/office/spreadsheetml/2009/9/main" objectType="CheckBox" fmlaLink="B14" noThreeD="1"/>
</file>

<file path=xl/ctrlProps/ctrlProp55.xml><?xml version="1.0" encoding="utf-8"?>
<formControlPr xmlns="http://schemas.microsoft.com/office/spreadsheetml/2009/9/main" objectType="CheckBox" fmlaLink="B17" noThreeD="1"/>
</file>

<file path=xl/ctrlProps/ctrlProp56.xml><?xml version="1.0" encoding="utf-8"?>
<formControlPr xmlns="http://schemas.microsoft.com/office/spreadsheetml/2009/9/main" objectType="CheckBox" fmlaLink="B22" noThreeD="1"/>
</file>

<file path=xl/ctrlProps/ctrlProp57.xml><?xml version="1.0" encoding="utf-8"?>
<formControlPr xmlns="http://schemas.microsoft.com/office/spreadsheetml/2009/9/main" objectType="CheckBox" fmlaLink="B23" noThreeD="1"/>
</file>

<file path=xl/ctrlProps/ctrlProp58.xml><?xml version="1.0" encoding="utf-8"?>
<formControlPr xmlns="http://schemas.microsoft.com/office/spreadsheetml/2009/9/main" objectType="CheckBox" fmlaLink="B24" noThreeD="1"/>
</file>

<file path=xl/ctrlProps/ctrlProp59.xml><?xml version="1.0" encoding="utf-8"?>
<formControlPr xmlns="http://schemas.microsoft.com/office/spreadsheetml/2009/9/main" objectType="CheckBox" fmlaLink="B25" noThreeD="1"/>
</file>

<file path=xl/ctrlProps/ctrlProp6.xml><?xml version="1.0" encoding="utf-8"?>
<formControlPr xmlns="http://schemas.microsoft.com/office/spreadsheetml/2009/9/main" objectType="CheckBox" fmlaLink="B24" noThreeD="1"/>
</file>

<file path=xl/ctrlProps/ctrlProp60.xml><?xml version="1.0" encoding="utf-8"?>
<formControlPr xmlns="http://schemas.microsoft.com/office/spreadsheetml/2009/9/main" objectType="CheckBox" fmlaLink="B26" noThreeD="1"/>
</file>

<file path=xl/ctrlProps/ctrlProp61.xml><?xml version="1.0" encoding="utf-8"?>
<formControlPr xmlns="http://schemas.microsoft.com/office/spreadsheetml/2009/9/main" objectType="CheckBox" fmlaLink="B118" noThreeD="1"/>
</file>

<file path=xl/ctrlProps/ctrlProp62.xml><?xml version="1.0" encoding="utf-8"?>
<formControlPr xmlns="http://schemas.microsoft.com/office/spreadsheetml/2009/9/main" objectType="CheckBox" fmlaLink="B120" noThreeD="1"/>
</file>

<file path=xl/ctrlProps/ctrlProp63.xml><?xml version="1.0" encoding="utf-8"?>
<formControlPr xmlns="http://schemas.microsoft.com/office/spreadsheetml/2009/9/main" objectType="CheckBox" fmlaLink="B35" noThreeD="1"/>
</file>

<file path=xl/ctrlProps/ctrlProp64.xml><?xml version="1.0" encoding="utf-8"?>
<formControlPr xmlns="http://schemas.microsoft.com/office/spreadsheetml/2009/9/main" objectType="CheckBox" fmlaLink="B122" noThreeD="1"/>
</file>

<file path=xl/ctrlProps/ctrlProp65.xml><?xml version="1.0" encoding="utf-8"?>
<formControlPr xmlns="http://schemas.microsoft.com/office/spreadsheetml/2009/9/main" objectType="CheckBox" fmlaLink="B124" noThreeD="1"/>
</file>

<file path=xl/ctrlProps/ctrlProp66.xml><?xml version="1.0" encoding="utf-8"?>
<formControlPr xmlns="http://schemas.microsoft.com/office/spreadsheetml/2009/9/main" objectType="CheckBox" fmlaLink="B126" noThreeD="1"/>
</file>

<file path=xl/ctrlProps/ctrlProp67.xml><?xml version="1.0" encoding="utf-8"?>
<formControlPr xmlns="http://schemas.microsoft.com/office/spreadsheetml/2009/9/main" objectType="CheckBox" fmlaLink="B128" noThreeD="1"/>
</file>

<file path=xl/ctrlProps/ctrlProp68.xml><?xml version="1.0" encoding="utf-8"?>
<formControlPr xmlns="http://schemas.microsoft.com/office/spreadsheetml/2009/9/main" objectType="CheckBox" fmlaLink="B130" noThreeD="1"/>
</file>

<file path=xl/ctrlProps/ctrlProp69.xml><?xml version="1.0" encoding="utf-8"?>
<formControlPr xmlns="http://schemas.microsoft.com/office/spreadsheetml/2009/9/main" objectType="CheckBox" fmlaLink="B132" noThreeD="1"/>
</file>

<file path=xl/ctrlProps/ctrlProp7.xml><?xml version="1.0" encoding="utf-8"?>
<formControlPr xmlns="http://schemas.microsoft.com/office/spreadsheetml/2009/9/main" objectType="CheckBox" fmlaLink="B25" noThreeD="1"/>
</file>

<file path=xl/ctrlProps/ctrlProp70.xml><?xml version="1.0" encoding="utf-8"?>
<formControlPr xmlns="http://schemas.microsoft.com/office/spreadsheetml/2009/9/main" objectType="CheckBox" fmlaLink="B134" noThreeD="1"/>
</file>

<file path=xl/ctrlProps/ctrlProp71.xml><?xml version="1.0" encoding="utf-8"?>
<formControlPr xmlns="http://schemas.microsoft.com/office/spreadsheetml/2009/9/main" objectType="CheckBox" fmlaLink="B136" noThreeD="1"/>
</file>

<file path=xl/ctrlProps/ctrlProp72.xml><?xml version="1.0" encoding="utf-8"?>
<formControlPr xmlns="http://schemas.microsoft.com/office/spreadsheetml/2009/9/main" objectType="CheckBox" fmlaLink="B138" noThreeD="1"/>
</file>

<file path=xl/ctrlProps/ctrlProp73.xml><?xml version="1.0" encoding="utf-8"?>
<formControlPr xmlns="http://schemas.microsoft.com/office/spreadsheetml/2009/9/main" objectType="CheckBox" fmlaLink="B140" noThreeD="1"/>
</file>

<file path=xl/ctrlProps/ctrlProp74.xml><?xml version="1.0" encoding="utf-8"?>
<formControlPr xmlns="http://schemas.microsoft.com/office/spreadsheetml/2009/9/main" objectType="CheckBox" fmlaLink="B142" noThreeD="1"/>
</file>

<file path=xl/ctrlProps/ctrlProp75.xml><?xml version="1.0" encoding="utf-8"?>
<formControlPr xmlns="http://schemas.microsoft.com/office/spreadsheetml/2009/9/main" objectType="CheckBox" fmlaLink="B144" noThreeD="1"/>
</file>

<file path=xl/ctrlProps/ctrlProp76.xml><?xml version="1.0" encoding="utf-8"?>
<formControlPr xmlns="http://schemas.microsoft.com/office/spreadsheetml/2009/9/main" objectType="CheckBox" fmlaLink="B146" noThreeD="1"/>
</file>

<file path=xl/ctrlProps/ctrlProp77.xml><?xml version="1.0" encoding="utf-8"?>
<formControlPr xmlns="http://schemas.microsoft.com/office/spreadsheetml/2009/9/main" objectType="CheckBox" fmlaLink="B148" noThreeD="1"/>
</file>

<file path=xl/ctrlProps/ctrlProp78.xml><?xml version="1.0" encoding="utf-8"?>
<formControlPr xmlns="http://schemas.microsoft.com/office/spreadsheetml/2009/9/main" objectType="CheckBox" fmlaLink="B150" noThreeD="1"/>
</file>

<file path=xl/ctrlProps/ctrlProp79.xml><?xml version="1.0" encoding="utf-8"?>
<formControlPr xmlns="http://schemas.microsoft.com/office/spreadsheetml/2009/9/main" objectType="CheckBox" fmlaLink="B152" noThreeD="1"/>
</file>

<file path=xl/ctrlProps/ctrlProp8.xml><?xml version="1.0" encoding="utf-8"?>
<formControlPr xmlns="http://schemas.microsoft.com/office/spreadsheetml/2009/9/main" objectType="CheckBox" fmlaLink="B26" noThreeD="1"/>
</file>

<file path=xl/ctrlProps/ctrlProp80.xml><?xml version="1.0" encoding="utf-8"?>
<formControlPr xmlns="http://schemas.microsoft.com/office/spreadsheetml/2009/9/main" objectType="CheckBox" fmlaLink="B154" noThreeD="1"/>
</file>

<file path=xl/ctrlProps/ctrlProp81.xml><?xml version="1.0" encoding="utf-8"?>
<formControlPr xmlns="http://schemas.microsoft.com/office/spreadsheetml/2009/9/main" objectType="CheckBox" fmlaLink="B156" noThreeD="1"/>
</file>

<file path=xl/ctrlProps/ctrlProp82.xml><?xml version="1.0" encoding="utf-8"?>
<formControlPr xmlns="http://schemas.microsoft.com/office/spreadsheetml/2009/9/main" objectType="CheckBox" fmlaLink="B158" noThreeD="1"/>
</file>

<file path=xl/ctrlProps/ctrlProp83.xml><?xml version="1.0" encoding="utf-8"?>
<formControlPr xmlns="http://schemas.microsoft.com/office/spreadsheetml/2009/9/main" objectType="CheckBox" fmlaLink="B160" noThreeD="1"/>
</file>

<file path=xl/ctrlProps/ctrlProp84.xml><?xml version="1.0" encoding="utf-8"?>
<formControlPr xmlns="http://schemas.microsoft.com/office/spreadsheetml/2009/9/main" objectType="CheckBox" fmlaLink="B162" noThreeD="1"/>
</file>

<file path=xl/ctrlProps/ctrlProp85.xml><?xml version="1.0" encoding="utf-8"?>
<formControlPr xmlns="http://schemas.microsoft.com/office/spreadsheetml/2009/9/main" objectType="CheckBox" fmlaLink="B164" noThreeD="1"/>
</file>

<file path=xl/ctrlProps/ctrlProp86.xml><?xml version="1.0" encoding="utf-8"?>
<formControlPr xmlns="http://schemas.microsoft.com/office/spreadsheetml/2009/9/main" objectType="CheckBox" fmlaLink="B166" noThreeD="1"/>
</file>

<file path=xl/ctrlProps/ctrlProp87.xml><?xml version="1.0" encoding="utf-8"?>
<formControlPr xmlns="http://schemas.microsoft.com/office/spreadsheetml/2009/9/main" objectType="CheckBox" fmlaLink="B168" noThreeD="1"/>
</file>

<file path=xl/ctrlProps/ctrlProp88.xml><?xml version="1.0" encoding="utf-8"?>
<formControlPr xmlns="http://schemas.microsoft.com/office/spreadsheetml/2009/9/main" objectType="CheckBox" fmlaLink="B170" noThreeD="1"/>
</file>

<file path=xl/ctrlProps/ctrlProp89.xml><?xml version="1.0" encoding="utf-8"?>
<formControlPr xmlns="http://schemas.microsoft.com/office/spreadsheetml/2009/9/main" objectType="CheckBox" fmlaLink="B172" noThreeD="1"/>
</file>

<file path=xl/ctrlProps/ctrlProp9.xml><?xml version="1.0" encoding="utf-8"?>
<formControlPr xmlns="http://schemas.microsoft.com/office/spreadsheetml/2009/9/main" objectType="CheckBox" fmlaLink="B118" noThreeD="1"/>
</file>

<file path=xl/ctrlProps/ctrlProp90.xml><?xml version="1.0" encoding="utf-8"?>
<formControlPr xmlns="http://schemas.microsoft.com/office/spreadsheetml/2009/9/main" objectType="CheckBox" fmlaLink="B174" noThreeD="1"/>
</file>

<file path=xl/ctrlProps/ctrlProp91.xml><?xml version="1.0" encoding="utf-8"?>
<formControlPr xmlns="http://schemas.microsoft.com/office/spreadsheetml/2009/9/main" objectType="CheckBox" fmlaLink="B176" noThreeD="1"/>
</file>

<file path=xl/ctrlProps/ctrlProp92.xml><?xml version="1.0" encoding="utf-8"?>
<formControlPr xmlns="http://schemas.microsoft.com/office/spreadsheetml/2009/9/main" objectType="CheckBox" fmlaLink="B178" noThreeD="1"/>
</file>

<file path=xl/ctrlProps/ctrlProp93.xml><?xml version="1.0" encoding="utf-8"?>
<formControlPr xmlns="http://schemas.microsoft.com/office/spreadsheetml/2009/9/main" objectType="CheckBox" fmlaLink="B180" noThreeD="1"/>
</file>

<file path=xl/ctrlProps/ctrlProp94.xml><?xml version="1.0" encoding="utf-8"?>
<formControlPr xmlns="http://schemas.microsoft.com/office/spreadsheetml/2009/9/main" objectType="CheckBox" fmlaLink="B184" noThreeD="1"/>
</file>

<file path=xl/ctrlProps/ctrlProp95.xml><?xml version="1.0" encoding="utf-8"?>
<formControlPr xmlns="http://schemas.microsoft.com/office/spreadsheetml/2009/9/main" objectType="CheckBox" fmlaLink="B199" noThreeD="1"/>
</file>

<file path=xl/ctrlProps/ctrlProp96.xml><?xml version="1.0" encoding="utf-8"?>
<formControlPr xmlns="http://schemas.microsoft.com/office/spreadsheetml/2009/9/main" objectType="CheckBox" fmlaLink="B187" noThreeD="1"/>
</file>

<file path=xl/ctrlProps/ctrlProp97.xml><?xml version="1.0" encoding="utf-8"?>
<formControlPr xmlns="http://schemas.microsoft.com/office/spreadsheetml/2009/9/main" objectType="CheckBox" fmlaLink="B190" noThreeD="1"/>
</file>

<file path=xl/ctrlProps/ctrlProp98.xml><?xml version="1.0" encoding="utf-8"?>
<formControlPr xmlns="http://schemas.microsoft.com/office/spreadsheetml/2009/9/main" objectType="CheckBox" fmlaLink="B193" noThreeD="1"/>
</file>

<file path=xl/ctrlProps/ctrlProp99.xml><?xml version="1.0" encoding="utf-8"?>
<formControlPr xmlns="http://schemas.microsoft.com/office/spreadsheetml/2009/9/main" objectType="CheckBox" fmlaLink="B196"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257175</xdr:colOff>
      <xdr:row>6</xdr:row>
      <xdr:rowOff>76200</xdr:rowOff>
    </xdr:from>
    <xdr:to>
      <xdr:col>18</xdr:col>
      <xdr:colOff>561975</xdr:colOff>
      <xdr:row>20</xdr:row>
      <xdr:rowOff>142875</xdr:rowOff>
    </xdr:to>
    <xdr:graphicFrame macro="">
      <xdr:nvGraphicFramePr>
        <xdr:cNvPr id="2" name="Chart 5">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7</xdr:row>
      <xdr:rowOff>76200</xdr:rowOff>
    </xdr:from>
    <xdr:to>
      <xdr:col>18</xdr:col>
      <xdr:colOff>561975</xdr:colOff>
      <xdr:row>21</xdr:row>
      <xdr:rowOff>142875</xdr:rowOff>
    </xdr:to>
    <xdr:graphicFrame macro="">
      <xdr:nvGraphicFramePr>
        <xdr:cNvPr id="3" name="Chart 5">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11</xdr:row>
          <xdr:rowOff>144780</xdr:rowOff>
        </xdr:from>
        <xdr:to>
          <xdr:col>2</xdr:col>
          <xdr:colOff>525780</xdr:colOff>
          <xdr:row>13</xdr:row>
          <xdr:rowOff>22860</xdr:rowOff>
        </xdr:to>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xdr:row>
          <xdr:rowOff>152400</xdr:rowOff>
        </xdr:from>
        <xdr:to>
          <xdr:col>2</xdr:col>
          <xdr:colOff>525780</xdr:colOff>
          <xdr:row>14</xdr:row>
          <xdr:rowOff>22860</xdr:rowOff>
        </xdr:to>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xdr:row>
          <xdr:rowOff>144780</xdr:rowOff>
        </xdr:from>
        <xdr:to>
          <xdr:col>2</xdr:col>
          <xdr:colOff>525780</xdr:colOff>
          <xdr:row>17</xdr:row>
          <xdr:rowOff>22860</xdr:rowOff>
        </xdr:to>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xdr:row>
          <xdr:rowOff>144780</xdr:rowOff>
        </xdr:from>
        <xdr:to>
          <xdr:col>2</xdr:col>
          <xdr:colOff>525780</xdr:colOff>
          <xdr:row>22</xdr:row>
          <xdr:rowOff>22860</xdr:rowOff>
        </xdr:to>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21</xdr:row>
          <xdr:rowOff>144780</xdr:rowOff>
        </xdr:from>
        <xdr:to>
          <xdr:col>2</xdr:col>
          <xdr:colOff>525780</xdr:colOff>
          <xdr:row>23</xdr:row>
          <xdr:rowOff>22860</xdr:rowOff>
        </xdr:to>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22</xdr:row>
          <xdr:rowOff>144780</xdr:rowOff>
        </xdr:from>
        <xdr:to>
          <xdr:col>2</xdr:col>
          <xdr:colOff>525780</xdr:colOff>
          <xdr:row>24</xdr:row>
          <xdr:rowOff>22860</xdr:rowOff>
        </xdr:to>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23</xdr:row>
          <xdr:rowOff>144780</xdr:rowOff>
        </xdr:from>
        <xdr:to>
          <xdr:col>2</xdr:col>
          <xdr:colOff>525780</xdr:colOff>
          <xdr:row>25</xdr:row>
          <xdr:rowOff>22860</xdr:rowOff>
        </xdr:to>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24</xdr:row>
          <xdr:rowOff>137160</xdr:rowOff>
        </xdr:from>
        <xdr:to>
          <xdr:col>1</xdr:col>
          <xdr:colOff>213360</xdr:colOff>
          <xdr:row>26</xdr:row>
          <xdr:rowOff>22860</xdr:rowOff>
        </xdr:to>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116</xdr:row>
          <xdr:rowOff>152400</xdr:rowOff>
        </xdr:from>
        <xdr:to>
          <xdr:col>2</xdr:col>
          <xdr:colOff>525780</xdr:colOff>
          <xdr:row>118</xdr:row>
          <xdr:rowOff>22860</xdr:rowOff>
        </xdr:to>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118</xdr:row>
          <xdr:rowOff>144780</xdr:rowOff>
        </xdr:from>
        <xdr:to>
          <xdr:col>2</xdr:col>
          <xdr:colOff>525780</xdr:colOff>
          <xdr:row>120</xdr:row>
          <xdr:rowOff>22860</xdr:rowOff>
        </xdr:to>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33</xdr:row>
          <xdr:rowOff>137160</xdr:rowOff>
        </xdr:from>
        <xdr:to>
          <xdr:col>2</xdr:col>
          <xdr:colOff>0</xdr:colOff>
          <xdr:row>35</xdr:row>
          <xdr:rowOff>22860</xdr:rowOff>
        </xdr:to>
        <xdr:sp macro="" textlink="">
          <xdr:nvSpPr>
            <xdr:cNvPr id="13456" name="Check Box 144" hidden="1">
              <a:extLst>
                <a:ext uri="{63B3BB69-23CF-44E3-9099-C40C66FF867C}">
                  <a14:compatExt spid="_x0000_s13456"/>
                </a:ext>
                <a:ext uri="{FF2B5EF4-FFF2-40B4-BE49-F238E27FC236}">
                  <a16:creationId xmlns:a16="http://schemas.microsoft.com/office/drawing/2014/main" id="{00000000-0008-0000-0200-00009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120</xdr:row>
          <xdr:rowOff>152400</xdr:rowOff>
        </xdr:from>
        <xdr:to>
          <xdr:col>2</xdr:col>
          <xdr:colOff>525780</xdr:colOff>
          <xdr:row>122</xdr:row>
          <xdr:rowOff>22860</xdr:rowOff>
        </xdr:to>
        <xdr:sp macro="" textlink="">
          <xdr:nvSpPr>
            <xdr:cNvPr id="13482" name="Check Box 170" hidden="1">
              <a:extLst>
                <a:ext uri="{63B3BB69-23CF-44E3-9099-C40C66FF867C}">
                  <a14:compatExt spid="_x0000_s13482"/>
                </a:ext>
                <a:ext uri="{FF2B5EF4-FFF2-40B4-BE49-F238E27FC236}">
                  <a16:creationId xmlns:a16="http://schemas.microsoft.com/office/drawing/2014/main" id="{00000000-0008-0000-0200-0000A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122</xdr:row>
          <xdr:rowOff>144780</xdr:rowOff>
        </xdr:from>
        <xdr:to>
          <xdr:col>2</xdr:col>
          <xdr:colOff>525780</xdr:colOff>
          <xdr:row>124</xdr:row>
          <xdr:rowOff>22860</xdr:rowOff>
        </xdr:to>
        <xdr:sp macro="" textlink="">
          <xdr:nvSpPr>
            <xdr:cNvPr id="13483" name="Check Box 171" hidden="1">
              <a:extLst>
                <a:ext uri="{63B3BB69-23CF-44E3-9099-C40C66FF867C}">
                  <a14:compatExt spid="_x0000_s13483"/>
                </a:ext>
                <a:ext uri="{FF2B5EF4-FFF2-40B4-BE49-F238E27FC236}">
                  <a16:creationId xmlns:a16="http://schemas.microsoft.com/office/drawing/2014/main" id="{00000000-0008-0000-0200-0000A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124</xdr:row>
          <xdr:rowOff>152400</xdr:rowOff>
        </xdr:from>
        <xdr:to>
          <xdr:col>2</xdr:col>
          <xdr:colOff>525780</xdr:colOff>
          <xdr:row>126</xdr:row>
          <xdr:rowOff>22860</xdr:rowOff>
        </xdr:to>
        <xdr:sp macro="" textlink="">
          <xdr:nvSpPr>
            <xdr:cNvPr id="13484" name="Check Box 172" hidden="1">
              <a:extLst>
                <a:ext uri="{63B3BB69-23CF-44E3-9099-C40C66FF867C}">
                  <a14:compatExt spid="_x0000_s13484"/>
                </a:ext>
                <a:ext uri="{FF2B5EF4-FFF2-40B4-BE49-F238E27FC236}">
                  <a16:creationId xmlns:a16="http://schemas.microsoft.com/office/drawing/2014/main" id="{00000000-0008-0000-0200-0000A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126</xdr:row>
          <xdr:rowOff>144780</xdr:rowOff>
        </xdr:from>
        <xdr:to>
          <xdr:col>2</xdr:col>
          <xdr:colOff>525780</xdr:colOff>
          <xdr:row>128</xdr:row>
          <xdr:rowOff>22860</xdr:rowOff>
        </xdr:to>
        <xdr:sp macro="" textlink="">
          <xdr:nvSpPr>
            <xdr:cNvPr id="13485" name="Check Box 173" hidden="1">
              <a:extLst>
                <a:ext uri="{63B3BB69-23CF-44E3-9099-C40C66FF867C}">
                  <a14:compatExt spid="_x0000_s13485"/>
                </a:ext>
                <a:ext uri="{FF2B5EF4-FFF2-40B4-BE49-F238E27FC236}">
                  <a16:creationId xmlns:a16="http://schemas.microsoft.com/office/drawing/2014/main" id="{00000000-0008-0000-0200-0000A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128</xdr:row>
          <xdr:rowOff>152400</xdr:rowOff>
        </xdr:from>
        <xdr:to>
          <xdr:col>2</xdr:col>
          <xdr:colOff>525780</xdr:colOff>
          <xdr:row>130</xdr:row>
          <xdr:rowOff>22860</xdr:rowOff>
        </xdr:to>
        <xdr:sp macro="" textlink="">
          <xdr:nvSpPr>
            <xdr:cNvPr id="13486" name="Check Box 174" hidden="1">
              <a:extLst>
                <a:ext uri="{63B3BB69-23CF-44E3-9099-C40C66FF867C}">
                  <a14:compatExt spid="_x0000_s13486"/>
                </a:ext>
                <a:ext uri="{FF2B5EF4-FFF2-40B4-BE49-F238E27FC236}">
                  <a16:creationId xmlns:a16="http://schemas.microsoft.com/office/drawing/2014/main" id="{00000000-0008-0000-0200-0000A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130</xdr:row>
          <xdr:rowOff>144780</xdr:rowOff>
        </xdr:from>
        <xdr:to>
          <xdr:col>2</xdr:col>
          <xdr:colOff>525780</xdr:colOff>
          <xdr:row>132</xdr:row>
          <xdr:rowOff>22860</xdr:rowOff>
        </xdr:to>
        <xdr:sp macro="" textlink="">
          <xdr:nvSpPr>
            <xdr:cNvPr id="13487" name="Check Box 175" hidden="1">
              <a:extLst>
                <a:ext uri="{63B3BB69-23CF-44E3-9099-C40C66FF867C}">
                  <a14:compatExt spid="_x0000_s13487"/>
                </a:ext>
                <a:ext uri="{FF2B5EF4-FFF2-40B4-BE49-F238E27FC236}">
                  <a16:creationId xmlns:a16="http://schemas.microsoft.com/office/drawing/2014/main" id="{00000000-0008-0000-0200-0000A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132</xdr:row>
          <xdr:rowOff>152400</xdr:rowOff>
        </xdr:from>
        <xdr:to>
          <xdr:col>2</xdr:col>
          <xdr:colOff>525780</xdr:colOff>
          <xdr:row>182</xdr:row>
          <xdr:rowOff>22860</xdr:rowOff>
        </xdr:to>
        <xdr:sp macro="" textlink="">
          <xdr:nvSpPr>
            <xdr:cNvPr id="13490" name="Check Box 178" hidden="1">
              <a:extLst>
                <a:ext uri="{63B3BB69-23CF-44E3-9099-C40C66FF867C}">
                  <a14:compatExt spid="_x0000_s13490"/>
                </a:ext>
                <a:ext uri="{FF2B5EF4-FFF2-40B4-BE49-F238E27FC236}">
                  <a16:creationId xmlns:a16="http://schemas.microsoft.com/office/drawing/2014/main" id="{00000000-0008-0000-0200-0000B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134</xdr:row>
          <xdr:rowOff>144780</xdr:rowOff>
        </xdr:from>
        <xdr:to>
          <xdr:col>2</xdr:col>
          <xdr:colOff>525780</xdr:colOff>
          <xdr:row>182</xdr:row>
          <xdr:rowOff>38100</xdr:rowOff>
        </xdr:to>
        <xdr:sp macro="" textlink="">
          <xdr:nvSpPr>
            <xdr:cNvPr id="13491" name="Check Box 179" hidden="1">
              <a:extLst>
                <a:ext uri="{63B3BB69-23CF-44E3-9099-C40C66FF867C}">
                  <a14:compatExt spid="_x0000_s13491"/>
                </a:ext>
                <a:ext uri="{FF2B5EF4-FFF2-40B4-BE49-F238E27FC236}">
                  <a16:creationId xmlns:a16="http://schemas.microsoft.com/office/drawing/2014/main" id="{00000000-0008-0000-0200-0000B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136</xdr:row>
          <xdr:rowOff>152400</xdr:rowOff>
        </xdr:from>
        <xdr:to>
          <xdr:col>2</xdr:col>
          <xdr:colOff>525780</xdr:colOff>
          <xdr:row>182</xdr:row>
          <xdr:rowOff>30480</xdr:rowOff>
        </xdr:to>
        <xdr:sp macro="" textlink="">
          <xdr:nvSpPr>
            <xdr:cNvPr id="13492" name="Check Box 180" hidden="1">
              <a:extLst>
                <a:ext uri="{63B3BB69-23CF-44E3-9099-C40C66FF867C}">
                  <a14:compatExt spid="_x0000_s13492"/>
                </a:ext>
                <a:ext uri="{FF2B5EF4-FFF2-40B4-BE49-F238E27FC236}">
                  <a16:creationId xmlns:a16="http://schemas.microsoft.com/office/drawing/2014/main" id="{00000000-0008-0000-0200-0000B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138</xdr:row>
          <xdr:rowOff>144780</xdr:rowOff>
        </xdr:from>
        <xdr:to>
          <xdr:col>2</xdr:col>
          <xdr:colOff>525780</xdr:colOff>
          <xdr:row>182</xdr:row>
          <xdr:rowOff>38100</xdr:rowOff>
        </xdr:to>
        <xdr:sp macro="" textlink="">
          <xdr:nvSpPr>
            <xdr:cNvPr id="13493" name="Check Box 181" hidden="1">
              <a:extLst>
                <a:ext uri="{63B3BB69-23CF-44E3-9099-C40C66FF867C}">
                  <a14:compatExt spid="_x0000_s13493"/>
                </a:ext>
                <a:ext uri="{FF2B5EF4-FFF2-40B4-BE49-F238E27FC236}">
                  <a16:creationId xmlns:a16="http://schemas.microsoft.com/office/drawing/2014/main" id="{00000000-0008-0000-0200-0000B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140</xdr:row>
          <xdr:rowOff>152400</xdr:rowOff>
        </xdr:from>
        <xdr:to>
          <xdr:col>2</xdr:col>
          <xdr:colOff>525780</xdr:colOff>
          <xdr:row>182</xdr:row>
          <xdr:rowOff>30480</xdr:rowOff>
        </xdr:to>
        <xdr:sp macro="" textlink="">
          <xdr:nvSpPr>
            <xdr:cNvPr id="13494" name="Check Box 182" hidden="1">
              <a:extLst>
                <a:ext uri="{63B3BB69-23CF-44E3-9099-C40C66FF867C}">
                  <a14:compatExt spid="_x0000_s13494"/>
                </a:ext>
                <a:ext uri="{FF2B5EF4-FFF2-40B4-BE49-F238E27FC236}">
                  <a16:creationId xmlns:a16="http://schemas.microsoft.com/office/drawing/2014/main" id="{00000000-0008-0000-0200-0000B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142</xdr:row>
          <xdr:rowOff>144780</xdr:rowOff>
        </xdr:from>
        <xdr:to>
          <xdr:col>2</xdr:col>
          <xdr:colOff>525780</xdr:colOff>
          <xdr:row>182</xdr:row>
          <xdr:rowOff>38100</xdr:rowOff>
        </xdr:to>
        <xdr:sp macro="" textlink="">
          <xdr:nvSpPr>
            <xdr:cNvPr id="13495" name="Check Box 183" hidden="1">
              <a:extLst>
                <a:ext uri="{63B3BB69-23CF-44E3-9099-C40C66FF867C}">
                  <a14:compatExt spid="_x0000_s13495"/>
                </a:ext>
                <a:ext uri="{FF2B5EF4-FFF2-40B4-BE49-F238E27FC236}">
                  <a16:creationId xmlns:a16="http://schemas.microsoft.com/office/drawing/2014/main" id="{00000000-0008-0000-0200-0000B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144</xdr:row>
          <xdr:rowOff>152400</xdr:rowOff>
        </xdr:from>
        <xdr:to>
          <xdr:col>2</xdr:col>
          <xdr:colOff>525780</xdr:colOff>
          <xdr:row>182</xdr:row>
          <xdr:rowOff>30480</xdr:rowOff>
        </xdr:to>
        <xdr:sp macro="" textlink="">
          <xdr:nvSpPr>
            <xdr:cNvPr id="13496" name="Check Box 184" hidden="1">
              <a:extLst>
                <a:ext uri="{63B3BB69-23CF-44E3-9099-C40C66FF867C}">
                  <a14:compatExt spid="_x0000_s13496"/>
                </a:ext>
                <a:ext uri="{FF2B5EF4-FFF2-40B4-BE49-F238E27FC236}">
                  <a16:creationId xmlns:a16="http://schemas.microsoft.com/office/drawing/2014/main" id="{00000000-0008-0000-0200-0000B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146</xdr:row>
          <xdr:rowOff>144780</xdr:rowOff>
        </xdr:from>
        <xdr:to>
          <xdr:col>2</xdr:col>
          <xdr:colOff>525780</xdr:colOff>
          <xdr:row>182</xdr:row>
          <xdr:rowOff>38100</xdr:rowOff>
        </xdr:to>
        <xdr:sp macro="" textlink="">
          <xdr:nvSpPr>
            <xdr:cNvPr id="13497" name="Check Box 185" hidden="1">
              <a:extLst>
                <a:ext uri="{63B3BB69-23CF-44E3-9099-C40C66FF867C}">
                  <a14:compatExt spid="_x0000_s13497"/>
                </a:ext>
                <a:ext uri="{FF2B5EF4-FFF2-40B4-BE49-F238E27FC236}">
                  <a16:creationId xmlns:a16="http://schemas.microsoft.com/office/drawing/2014/main" id="{00000000-0008-0000-0200-0000B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148</xdr:row>
          <xdr:rowOff>152400</xdr:rowOff>
        </xdr:from>
        <xdr:to>
          <xdr:col>2</xdr:col>
          <xdr:colOff>525780</xdr:colOff>
          <xdr:row>182</xdr:row>
          <xdr:rowOff>30480</xdr:rowOff>
        </xdr:to>
        <xdr:sp macro="" textlink="">
          <xdr:nvSpPr>
            <xdr:cNvPr id="13498" name="Check Box 186" hidden="1">
              <a:extLst>
                <a:ext uri="{63B3BB69-23CF-44E3-9099-C40C66FF867C}">
                  <a14:compatExt spid="_x0000_s13498"/>
                </a:ext>
                <a:ext uri="{FF2B5EF4-FFF2-40B4-BE49-F238E27FC236}">
                  <a16:creationId xmlns:a16="http://schemas.microsoft.com/office/drawing/2014/main" id="{00000000-0008-0000-0200-0000BA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150</xdr:row>
          <xdr:rowOff>144780</xdr:rowOff>
        </xdr:from>
        <xdr:to>
          <xdr:col>2</xdr:col>
          <xdr:colOff>525780</xdr:colOff>
          <xdr:row>182</xdr:row>
          <xdr:rowOff>38100</xdr:rowOff>
        </xdr:to>
        <xdr:sp macro="" textlink="">
          <xdr:nvSpPr>
            <xdr:cNvPr id="13499" name="Check Box 187" hidden="1">
              <a:extLst>
                <a:ext uri="{63B3BB69-23CF-44E3-9099-C40C66FF867C}">
                  <a14:compatExt spid="_x0000_s13499"/>
                </a:ext>
                <a:ext uri="{FF2B5EF4-FFF2-40B4-BE49-F238E27FC236}">
                  <a16:creationId xmlns:a16="http://schemas.microsoft.com/office/drawing/2014/main" id="{00000000-0008-0000-0200-0000B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152</xdr:row>
          <xdr:rowOff>152400</xdr:rowOff>
        </xdr:from>
        <xdr:to>
          <xdr:col>2</xdr:col>
          <xdr:colOff>525780</xdr:colOff>
          <xdr:row>182</xdr:row>
          <xdr:rowOff>30480</xdr:rowOff>
        </xdr:to>
        <xdr:sp macro="" textlink="">
          <xdr:nvSpPr>
            <xdr:cNvPr id="13500" name="Check Box 188" hidden="1">
              <a:extLst>
                <a:ext uri="{63B3BB69-23CF-44E3-9099-C40C66FF867C}">
                  <a14:compatExt spid="_x0000_s13500"/>
                </a:ext>
                <a:ext uri="{FF2B5EF4-FFF2-40B4-BE49-F238E27FC236}">
                  <a16:creationId xmlns:a16="http://schemas.microsoft.com/office/drawing/2014/main" id="{00000000-0008-0000-0200-0000B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154</xdr:row>
          <xdr:rowOff>144780</xdr:rowOff>
        </xdr:from>
        <xdr:to>
          <xdr:col>2</xdr:col>
          <xdr:colOff>525780</xdr:colOff>
          <xdr:row>182</xdr:row>
          <xdr:rowOff>38100</xdr:rowOff>
        </xdr:to>
        <xdr:sp macro="" textlink="">
          <xdr:nvSpPr>
            <xdr:cNvPr id="13501" name="Check Box 189" hidden="1">
              <a:extLst>
                <a:ext uri="{63B3BB69-23CF-44E3-9099-C40C66FF867C}">
                  <a14:compatExt spid="_x0000_s13501"/>
                </a:ext>
                <a:ext uri="{FF2B5EF4-FFF2-40B4-BE49-F238E27FC236}">
                  <a16:creationId xmlns:a16="http://schemas.microsoft.com/office/drawing/2014/main" id="{00000000-0008-0000-0200-0000B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156</xdr:row>
          <xdr:rowOff>152400</xdr:rowOff>
        </xdr:from>
        <xdr:to>
          <xdr:col>2</xdr:col>
          <xdr:colOff>525780</xdr:colOff>
          <xdr:row>182</xdr:row>
          <xdr:rowOff>30480</xdr:rowOff>
        </xdr:to>
        <xdr:sp macro="" textlink="">
          <xdr:nvSpPr>
            <xdr:cNvPr id="13502" name="Check Box 190" hidden="1">
              <a:extLst>
                <a:ext uri="{63B3BB69-23CF-44E3-9099-C40C66FF867C}">
                  <a14:compatExt spid="_x0000_s13502"/>
                </a:ext>
                <a:ext uri="{FF2B5EF4-FFF2-40B4-BE49-F238E27FC236}">
                  <a16:creationId xmlns:a16="http://schemas.microsoft.com/office/drawing/2014/main" id="{00000000-0008-0000-0200-0000B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158</xdr:row>
          <xdr:rowOff>144780</xdr:rowOff>
        </xdr:from>
        <xdr:to>
          <xdr:col>2</xdr:col>
          <xdr:colOff>525780</xdr:colOff>
          <xdr:row>182</xdr:row>
          <xdr:rowOff>38100</xdr:rowOff>
        </xdr:to>
        <xdr:sp macro="" textlink="">
          <xdr:nvSpPr>
            <xdr:cNvPr id="13503" name="Check Box 191" hidden="1">
              <a:extLst>
                <a:ext uri="{63B3BB69-23CF-44E3-9099-C40C66FF867C}">
                  <a14:compatExt spid="_x0000_s13503"/>
                </a:ext>
                <a:ext uri="{FF2B5EF4-FFF2-40B4-BE49-F238E27FC236}">
                  <a16:creationId xmlns:a16="http://schemas.microsoft.com/office/drawing/2014/main" id="{00000000-0008-0000-0200-0000B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160</xdr:row>
          <xdr:rowOff>152400</xdr:rowOff>
        </xdr:from>
        <xdr:to>
          <xdr:col>2</xdr:col>
          <xdr:colOff>525780</xdr:colOff>
          <xdr:row>182</xdr:row>
          <xdr:rowOff>30480</xdr:rowOff>
        </xdr:to>
        <xdr:sp macro="" textlink="">
          <xdr:nvSpPr>
            <xdr:cNvPr id="13504" name="Check Box 192" hidden="1">
              <a:extLst>
                <a:ext uri="{63B3BB69-23CF-44E3-9099-C40C66FF867C}">
                  <a14:compatExt spid="_x0000_s13504"/>
                </a:ext>
                <a:ext uri="{FF2B5EF4-FFF2-40B4-BE49-F238E27FC236}">
                  <a16:creationId xmlns:a16="http://schemas.microsoft.com/office/drawing/2014/main" id="{00000000-0008-0000-0200-0000C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162</xdr:row>
          <xdr:rowOff>144780</xdr:rowOff>
        </xdr:from>
        <xdr:to>
          <xdr:col>2</xdr:col>
          <xdr:colOff>525780</xdr:colOff>
          <xdr:row>182</xdr:row>
          <xdr:rowOff>38100</xdr:rowOff>
        </xdr:to>
        <xdr:sp macro="" textlink="">
          <xdr:nvSpPr>
            <xdr:cNvPr id="13505" name="Check Box 193" hidden="1">
              <a:extLst>
                <a:ext uri="{63B3BB69-23CF-44E3-9099-C40C66FF867C}">
                  <a14:compatExt spid="_x0000_s13505"/>
                </a:ext>
                <a:ext uri="{FF2B5EF4-FFF2-40B4-BE49-F238E27FC236}">
                  <a16:creationId xmlns:a16="http://schemas.microsoft.com/office/drawing/2014/main" id="{00000000-0008-0000-0200-0000C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164</xdr:row>
          <xdr:rowOff>152400</xdr:rowOff>
        </xdr:from>
        <xdr:to>
          <xdr:col>2</xdr:col>
          <xdr:colOff>525780</xdr:colOff>
          <xdr:row>182</xdr:row>
          <xdr:rowOff>30480</xdr:rowOff>
        </xdr:to>
        <xdr:sp macro="" textlink="">
          <xdr:nvSpPr>
            <xdr:cNvPr id="13506" name="Check Box 194" hidden="1">
              <a:extLst>
                <a:ext uri="{63B3BB69-23CF-44E3-9099-C40C66FF867C}">
                  <a14:compatExt spid="_x0000_s13506"/>
                </a:ext>
                <a:ext uri="{FF2B5EF4-FFF2-40B4-BE49-F238E27FC236}">
                  <a16:creationId xmlns:a16="http://schemas.microsoft.com/office/drawing/2014/main" id="{00000000-0008-0000-0200-0000C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166</xdr:row>
          <xdr:rowOff>144780</xdr:rowOff>
        </xdr:from>
        <xdr:to>
          <xdr:col>2</xdr:col>
          <xdr:colOff>525780</xdr:colOff>
          <xdr:row>182</xdr:row>
          <xdr:rowOff>38100</xdr:rowOff>
        </xdr:to>
        <xdr:sp macro="" textlink="">
          <xdr:nvSpPr>
            <xdr:cNvPr id="13507" name="Check Box 195" hidden="1">
              <a:extLst>
                <a:ext uri="{63B3BB69-23CF-44E3-9099-C40C66FF867C}">
                  <a14:compatExt spid="_x0000_s13507"/>
                </a:ext>
                <a:ext uri="{FF2B5EF4-FFF2-40B4-BE49-F238E27FC236}">
                  <a16:creationId xmlns:a16="http://schemas.microsoft.com/office/drawing/2014/main" id="{00000000-0008-0000-0200-0000C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168</xdr:row>
          <xdr:rowOff>152400</xdr:rowOff>
        </xdr:from>
        <xdr:to>
          <xdr:col>2</xdr:col>
          <xdr:colOff>525780</xdr:colOff>
          <xdr:row>182</xdr:row>
          <xdr:rowOff>30480</xdr:rowOff>
        </xdr:to>
        <xdr:sp macro="" textlink="">
          <xdr:nvSpPr>
            <xdr:cNvPr id="13508" name="Check Box 196" hidden="1">
              <a:extLst>
                <a:ext uri="{63B3BB69-23CF-44E3-9099-C40C66FF867C}">
                  <a14:compatExt spid="_x0000_s13508"/>
                </a:ext>
                <a:ext uri="{FF2B5EF4-FFF2-40B4-BE49-F238E27FC236}">
                  <a16:creationId xmlns:a16="http://schemas.microsoft.com/office/drawing/2014/main" id="{00000000-0008-0000-0200-0000C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170</xdr:row>
          <xdr:rowOff>144780</xdr:rowOff>
        </xdr:from>
        <xdr:to>
          <xdr:col>2</xdr:col>
          <xdr:colOff>525780</xdr:colOff>
          <xdr:row>182</xdr:row>
          <xdr:rowOff>38100</xdr:rowOff>
        </xdr:to>
        <xdr:sp macro="" textlink="">
          <xdr:nvSpPr>
            <xdr:cNvPr id="13509" name="Check Box 197" hidden="1">
              <a:extLst>
                <a:ext uri="{63B3BB69-23CF-44E3-9099-C40C66FF867C}">
                  <a14:compatExt spid="_x0000_s13509"/>
                </a:ext>
                <a:ext uri="{FF2B5EF4-FFF2-40B4-BE49-F238E27FC236}">
                  <a16:creationId xmlns:a16="http://schemas.microsoft.com/office/drawing/2014/main" id="{00000000-0008-0000-0200-0000C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172</xdr:row>
          <xdr:rowOff>152400</xdr:rowOff>
        </xdr:from>
        <xdr:to>
          <xdr:col>2</xdr:col>
          <xdr:colOff>525780</xdr:colOff>
          <xdr:row>182</xdr:row>
          <xdr:rowOff>30480</xdr:rowOff>
        </xdr:to>
        <xdr:sp macro="" textlink="">
          <xdr:nvSpPr>
            <xdr:cNvPr id="13510" name="Check Box 198" hidden="1">
              <a:extLst>
                <a:ext uri="{63B3BB69-23CF-44E3-9099-C40C66FF867C}">
                  <a14:compatExt spid="_x0000_s13510"/>
                </a:ext>
                <a:ext uri="{FF2B5EF4-FFF2-40B4-BE49-F238E27FC236}">
                  <a16:creationId xmlns:a16="http://schemas.microsoft.com/office/drawing/2014/main" id="{00000000-0008-0000-0200-0000C6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174</xdr:row>
          <xdr:rowOff>144780</xdr:rowOff>
        </xdr:from>
        <xdr:to>
          <xdr:col>2</xdr:col>
          <xdr:colOff>525780</xdr:colOff>
          <xdr:row>182</xdr:row>
          <xdr:rowOff>38100</xdr:rowOff>
        </xdr:to>
        <xdr:sp macro="" textlink="">
          <xdr:nvSpPr>
            <xdr:cNvPr id="13511" name="Check Box 199" hidden="1">
              <a:extLst>
                <a:ext uri="{63B3BB69-23CF-44E3-9099-C40C66FF867C}">
                  <a14:compatExt spid="_x0000_s13511"/>
                </a:ext>
                <a:ext uri="{FF2B5EF4-FFF2-40B4-BE49-F238E27FC236}">
                  <a16:creationId xmlns:a16="http://schemas.microsoft.com/office/drawing/2014/main" id="{00000000-0008-0000-0200-0000C7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176</xdr:row>
          <xdr:rowOff>152400</xdr:rowOff>
        </xdr:from>
        <xdr:to>
          <xdr:col>2</xdr:col>
          <xdr:colOff>525780</xdr:colOff>
          <xdr:row>182</xdr:row>
          <xdr:rowOff>30480</xdr:rowOff>
        </xdr:to>
        <xdr:sp macro="" textlink="">
          <xdr:nvSpPr>
            <xdr:cNvPr id="13512" name="Check Box 200" hidden="1">
              <a:extLst>
                <a:ext uri="{63B3BB69-23CF-44E3-9099-C40C66FF867C}">
                  <a14:compatExt spid="_x0000_s13512"/>
                </a:ext>
                <a:ext uri="{FF2B5EF4-FFF2-40B4-BE49-F238E27FC236}">
                  <a16:creationId xmlns:a16="http://schemas.microsoft.com/office/drawing/2014/main" id="{00000000-0008-0000-0200-0000C8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178</xdr:row>
          <xdr:rowOff>144780</xdr:rowOff>
        </xdr:from>
        <xdr:to>
          <xdr:col>2</xdr:col>
          <xdr:colOff>525780</xdr:colOff>
          <xdr:row>182</xdr:row>
          <xdr:rowOff>38100</xdr:rowOff>
        </xdr:to>
        <xdr:sp macro="" textlink="">
          <xdr:nvSpPr>
            <xdr:cNvPr id="13513" name="Check Box 201" hidden="1">
              <a:extLst>
                <a:ext uri="{63B3BB69-23CF-44E3-9099-C40C66FF867C}">
                  <a14:compatExt spid="_x0000_s13513"/>
                </a:ext>
                <a:ext uri="{FF2B5EF4-FFF2-40B4-BE49-F238E27FC236}">
                  <a16:creationId xmlns:a16="http://schemas.microsoft.com/office/drawing/2014/main" id="{00000000-0008-0000-0200-0000C9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182</xdr:row>
          <xdr:rowOff>152400</xdr:rowOff>
        </xdr:from>
        <xdr:to>
          <xdr:col>2</xdr:col>
          <xdr:colOff>525780</xdr:colOff>
          <xdr:row>184</xdr:row>
          <xdr:rowOff>22860</xdr:rowOff>
        </xdr:to>
        <xdr:sp macro="" textlink="">
          <xdr:nvSpPr>
            <xdr:cNvPr id="13515" name="Check Box 203" hidden="1">
              <a:extLst>
                <a:ext uri="{63B3BB69-23CF-44E3-9099-C40C66FF867C}">
                  <a14:compatExt spid="_x0000_s13515"/>
                </a:ext>
                <a:ext uri="{FF2B5EF4-FFF2-40B4-BE49-F238E27FC236}">
                  <a16:creationId xmlns:a16="http://schemas.microsoft.com/office/drawing/2014/main" id="{00000000-0008-0000-0200-0000CB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197</xdr:row>
          <xdr:rowOff>152400</xdr:rowOff>
        </xdr:from>
        <xdr:to>
          <xdr:col>2</xdr:col>
          <xdr:colOff>525780</xdr:colOff>
          <xdr:row>211</xdr:row>
          <xdr:rowOff>38100</xdr:rowOff>
        </xdr:to>
        <xdr:sp macro="" textlink="">
          <xdr:nvSpPr>
            <xdr:cNvPr id="13517" name="Check Box 205" hidden="1">
              <a:extLst>
                <a:ext uri="{63B3BB69-23CF-44E3-9099-C40C66FF867C}">
                  <a14:compatExt spid="_x0000_s13517"/>
                </a:ext>
                <a:ext uri="{FF2B5EF4-FFF2-40B4-BE49-F238E27FC236}">
                  <a16:creationId xmlns:a16="http://schemas.microsoft.com/office/drawing/2014/main" id="{00000000-0008-0000-0200-0000CD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185</xdr:row>
          <xdr:rowOff>152400</xdr:rowOff>
        </xdr:from>
        <xdr:to>
          <xdr:col>2</xdr:col>
          <xdr:colOff>525780</xdr:colOff>
          <xdr:row>187</xdr:row>
          <xdr:rowOff>22860</xdr:rowOff>
        </xdr:to>
        <xdr:sp macro="" textlink="">
          <xdr:nvSpPr>
            <xdr:cNvPr id="13519" name="Check Box 207" hidden="1">
              <a:extLst>
                <a:ext uri="{63B3BB69-23CF-44E3-9099-C40C66FF867C}">
                  <a14:compatExt spid="_x0000_s13519"/>
                </a:ext>
                <a:ext uri="{FF2B5EF4-FFF2-40B4-BE49-F238E27FC236}">
                  <a16:creationId xmlns:a16="http://schemas.microsoft.com/office/drawing/2014/main" id="{00000000-0008-0000-0200-0000C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188</xdr:row>
          <xdr:rowOff>144780</xdr:rowOff>
        </xdr:from>
        <xdr:to>
          <xdr:col>2</xdr:col>
          <xdr:colOff>525780</xdr:colOff>
          <xdr:row>190</xdr:row>
          <xdr:rowOff>22860</xdr:rowOff>
        </xdr:to>
        <xdr:sp macro="" textlink="">
          <xdr:nvSpPr>
            <xdr:cNvPr id="13520" name="Check Box 208" hidden="1">
              <a:extLst>
                <a:ext uri="{63B3BB69-23CF-44E3-9099-C40C66FF867C}">
                  <a14:compatExt spid="_x0000_s13520"/>
                </a:ext>
                <a:ext uri="{FF2B5EF4-FFF2-40B4-BE49-F238E27FC236}">
                  <a16:creationId xmlns:a16="http://schemas.microsoft.com/office/drawing/2014/main" id="{00000000-0008-0000-0200-0000D0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191</xdr:row>
          <xdr:rowOff>144780</xdr:rowOff>
        </xdr:from>
        <xdr:to>
          <xdr:col>2</xdr:col>
          <xdr:colOff>525780</xdr:colOff>
          <xdr:row>193</xdr:row>
          <xdr:rowOff>22860</xdr:rowOff>
        </xdr:to>
        <xdr:sp macro="" textlink="">
          <xdr:nvSpPr>
            <xdr:cNvPr id="13521" name="Check Box 209" hidden="1">
              <a:extLst>
                <a:ext uri="{63B3BB69-23CF-44E3-9099-C40C66FF867C}">
                  <a14:compatExt spid="_x0000_s13521"/>
                </a:ext>
                <a:ext uri="{FF2B5EF4-FFF2-40B4-BE49-F238E27FC236}">
                  <a16:creationId xmlns:a16="http://schemas.microsoft.com/office/drawing/2014/main" id="{00000000-0008-0000-0200-0000D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194</xdr:row>
          <xdr:rowOff>144780</xdr:rowOff>
        </xdr:from>
        <xdr:to>
          <xdr:col>2</xdr:col>
          <xdr:colOff>533400</xdr:colOff>
          <xdr:row>211</xdr:row>
          <xdr:rowOff>22860</xdr:rowOff>
        </xdr:to>
        <xdr:sp macro="" textlink="">
          <xdr:nvSpPr>
            <xdr:cNvPr id="13522" name="Check Box 210" hidden="1">
              <a:extLst>
                <a:ext uri="{63B3BB69-23CF-44E3-9099-C40C66FF867C}">
                  <a14:compatExt spid="_x0000_s13522"/>
                </a:ext>
                <a:ext uri="{FF2B5EF4-FFF2-40B4-BE49-F238E27FC236}">
                  <a16:creationId xmlns:a16="http://schemas.microsoft.com/office/drawing/2014/main" id="{00000000-0008-0000-0200-0000D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206</xdr:row>
          <xdr:rowOff>152400</xdr:rowOff>
        </xdr:from>
        <xdr:to>
          <xdr:col>2</xdr:col>
          <xdr:colOff>533400</xdr:colOff>
          <xdr:row>211</xdr:row>
          <xdr:rowOff>38100</xdr:rowOff>
        </xdr:to>
        <xdr:sp macro="" textlink="">
          <xdr:nvSpPr>
            <xdr:cNvPr id="13523" name="Check Box 211" hidden="1">
              <a:extLst>
                <a:ext uri="{63B3BB69-23CF-44E3-9099-C40C66FF867C}">
                  <a14:compatExt spid="_x0000_s13523"/>
                </a:ext>
                <a:ext uri="{FF2B5EF4-FFF2-40B4-BE49-F238E27FC236}">
                  <a16:creationId xmlns:a16="http://schemas.microsoft.com/office/drawing/2014/main" id="{00000000-0008-0000-0200-0000D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200</xdr:row>
          <xdr:rowOff>144780</xdr:rowOff>
        </xdr:from>
        <xdr:to>
          <xdr:col>2</xdr:col>
          <xdr:colOff>533400</xdr:colOff>
          <xdr:row>211</xdr:row>
          <xdr:rowOff>38100</xdr:rowOff>
        </xdr:to>
        <xdr:sp macro="" textlink="">
          <xdr:nvSpPr>
            <xdr:cNvPr id="13524" name="Check Box 212" hidden="1">
              <a:extLst>
                <a:ext uri="{63B3BB69-23CF-44E3-9099-C40C66FF867C}">
                  <a14:compatExt spid="_x0000_s13524"/>
                </a:ext>
                <a:ext uri="{FF2B5EF4-FFF2-40B4-BE49-F238E27FC236}">
                  <a16:creationId xmlns:a16="http://schemas.microsoft.com/office/drawing/2014/main" id="{00000000-0008-0000-0200-0000D4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203</xdr:row>
          <xdr:rowOff>144780</xdr:rowOff>
        </xdr:from>
        <xdr:to>
          <xdr:col>2</xdr:col>
          <xdr:colOff>541020</xdr:colOff>
          <xdr:row>211</xdr:row>
          <xdr:rowOff>38100</xdr:rowOff>
        </xdr:to>
        <xdr:sp macro="" textlink="">
          <xdr:nvSpPr>
            <xdr:cNvPr id="13525" name="Check Box 213" hidden="1">
              <a:extLst>
                <a:ext uri="{63B3BB69-23CF-44E3-9099-C40C66FF867C}">
                  <a14:compatExt spid="_x0000_s13525"/>
                </a:ext>
                <a:ext uri="{FF2B5EF4-FFF2-40B4-BE49-F238E27FC236}">
                  <a16:creationId xmlns:a16="http://schemas.microsoft.com/office/drawing/2014/main" id="{00000000-0008-0000-0200-0000D5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144780</xdr:rowOff>
        </xdr:from>
        <xdr:to>
          <xdr:col>1</xdr:col>
          <xdr:colOff>213360</xdr:colOff>
          <xdr:row>44</xdr:row>
          <xdr:rowOff>30480</xdr:rowOff>
        </xdr:to>
        <xdr:sp macro="" textlink="">
          <xdr:nvSpPr>
            <xdr:cNvPr id="13535" name="Check Box 223" hidden="1">
              <a:extLst>
                <a:ext uri="{63B3BB69-23CF-44E3-9099-C40C66FF867C}">
                  <a14:compatExt spid="_x0000_s13535"/>
                </a:ext>
                <a:ext uri="{FF2B5EF4-FFF2-40B4-BE49-F238E27FC236}">
                  <a16:creationId xmlns:a16="http://schemas.microsoft.com/office/drawing/2014/main" id="{00000000-0008-0000-0200-0000D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13564" name="Check Box 252" hidden="1">
              <a:extLst>
                <a:ext uri="{63B3BB69-23CF-44E3-9099-C40C66FF867C}">
                  <a14:compatExt spid="_x0000_s13564"/>
                </a:ext>
                <a:ext uri="{FF2B5EF4-FFF2-40B4-BE49-F238E27FC236}">
                  <a16:creationId xmlns:a16="http://schemas.microsoft.com/office/drawing/2014/main" id="{00000000-0008-0000-0200-0000F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11</xdr:row>
          <xdr:rowOff>144780</xdr:rowOff>
        </xdr:from>
        <xdr:to>
          <xdr:col>2</xdr:col>
          <xdr:colOff>525780</xdr:colOff>
          <xdr:row>13</xdr:row>
          <xdr:rowOff>22860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xdr:row>
          <xdr:rowOff>152400</xdr:rowOff>
        </xdr:from>
        <xdr:to>
          <xdr:col>2</xdr:col>
          <xdr:colOff>525780</xdr:colOff>
          <xdr:row>14</xdr:row>
          <xdr:rowOff>22860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3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xdr:row>
          <xdr:rowOff>144780</xdr:rowOff>
        </xdr:from>
        <xdr:to>
          <xdr:col>2</xdr:col>
          <xdr:colOff>525780</xdr:colOff>
          <xdr:row>16</xdr:row>
          <xdr:rowOff>152400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300-00000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xdr:row>
          <xdr:rowOff>144780</xdr:rowOff>
        </xdr:from>
        <xdr:to>
          <xdr:col>2</xdr:col>
          <xdr:colOff>525780</xdr:colOff>
          <xdr:row>22</xdr:row>
          <xdr:rowOff>22860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300-00000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21</xdr:row>
          <xdr:rowOff>144780</xdr:rowOff>
        </xdr:from>
        <xdr:to>
          <xdr:col>2</xdr:col>
          <xdr:colOff>525780</xdr:colOff>
          <xdr:row>23</xdr:row>
          <xdr:rowOff>22860</xdr:rowOff>
        </xdr:to>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300-00000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22</xdr:row>
          <xdr:rowOff>144780</xdr:rowOff>
        </xdr:from>
        <xdr:to>
          <xdr:col>2</xdr:col>
          <xdr:colOff>525780</xdr:colOff>
          <xdr:row>24</xdr:row>
          <xdr:rowOff>22860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300-00000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23</xdr:row>
          <xdr:rowOff>144780</xdr:rowOff>
        </xdr:from>
        <xdr:to>
          <xdr:col>2</xdr:col>
          <xdr:colOff>525780</xdr:colOff>
          <xdr:row>25</xdr:row>
          <xdr:rowOff>22860</xdr:rowOff>
        </xdr:to>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300-00000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24</xdr:row>
          <xdr:rowOff>137160</xdr:rowOff>
        </xdr:from>
        <xdr:to>
          <xdr:col>1</xdr:col>
          <xdr:colOff>213360</xdr:colOff>
          <xdr:row>26</xdr:row>
          <xdr:rowOff>22860</xdr:rowOff>
        </xdr:to>
        <xdr:sp macro="" textlink="">
          <xdr:nvSpPr>
            <xdr:cNvPr id="21512" name="Check Box 8" hidden="1">
              <a:extLst>
                <a:ext uri="{63B3BB69-23CF-44E3-9099-C40C66FF867C}">
                  <a14:compatExt spid="_x0000_s21512"/>
                </a:ext>
                <a:ext uri="{FF2B5EF4-FFF2-40B4-BE49-F238E27FC236}">
                  <a16:creationId xmlns:a16="http://schemas.microsoft.com/office/drawing/2014/main" id="{00000000-0008-0000-0300-00000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116</xdr:row>
          <xdr:rowOff>152400</xdr:rowOff>
        </xdr:from>
        <xdr:to>
          <xdr:col>2</xdr:col>
          <xdr:colOff>525780</xdr:colOff>
          <xdr:row>118</xdr:row>
          <xdr:rowOff>22860</xdr:rowOff>
        </xdr:to>
        <xdr:sp macro="" textlink="">
          <xdr:nvSpPr>
            <xdr:cNvPr id="21513" name="Check Box 9" hidden="1">
              <a:extLst>
                <a:ext uri="{63B3BB69-23CF-44E3-9099-C40C66FF867C}">
                  <a14:compatExt spid="_x0000_s21513"/>
                </a:ext>
                <a:ext uri="{FF2B5EF4-FFF2-40B4-BE49-F238E27FC236}">
                  <a16:creationId xmlns:a16="http://schemas.microsoft.com/office/drawing/2014/main" id="{00000000-0008-0000-0300-00000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118</xdr:row>
          <xdr:rowOff>144780</xdr:rowOff>
        </xdr:from>
        <xdr:to>
          <xdr:col>2</xdr:col>
          <xdr:colOff>525780</xdr:colOff>
          <xdr:row>120</xdr:row>
          <xdr:rowOff>22860</xdr:rowOff>
        </xdr:to>
        <xdr:sp macro="" textlink="">
          <xdr:nvSpPr>
            <xdr:cNvPr id="21514" name="Check Box 10" hidden="1">
              <a:extLst>
                <a:ext uri="{63B3BB69-23CF-44E3-9099-C40C66FF867C}">
                  <a14:compatExt spid="_x0000_s21514"/>
                </a:ext>
                <a:ext uri="{FF2B5EF4-FFF2-40B4-BE49-F238E27FC236}">
                  <a16:creationId xmlns:a16="http://schemas.microsoft.com/office/drawing/2014/main" id="{00000000-0008-0000-0300-00000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33</xdr:row>
          <xdr:rowOff>137160</xdr:rowOff>
        </xdr:from>
        <xdr:to>
          <xdr:col>2</xdr:col>
          <xdr:colOff>0</xdr:colOff>
          <xdr:row>35</xdr:row>
          <xdr:rowOff>22860</xdr:rowOff>
        </xdr:to>
        <xdr:sp macro="" textlink="">
          <xdr:nvSpPr>
            <xdr:cNvPr id="21515" name="Check Box 11" hidden="1">
              <a:extLst>
                <a:ext uri="{63B3BB69-23CF-44E3-9099-C40C66FF867C}">
                  <a14:compatExt spid="_x0000_s21515"/>
                </a:ext>
                <a:ext uri="{FF2B5EF4-FFF2-40B4-BE49-F238E27FC236}">
                  <a16:creationId xmlns:a16="http://schemas.microsoft.com/office/drawing/2014/main" id="{00000000-0008-0000-0300-00000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120</xdr:row>
          <xdr:rowOff>152400</xdr:rowOff>
        </xdr:from>
        <xdr:to>
          <xdr:col>2</xdr:col>
          <xdr:colOff>525780</xdr:colOff>
          <xdr:row>122</xdr:row>
          <xdr:rowOff>22860</xdr:rowOff>
        </xdr:to>
        <xdr:sp macro="" textlink="">
          <xdr:nvSpPr>
            <xdr:cNvPr id="21516" name="Check Box 12" hidden="1">
              <a:extLst>
                <a:ext uri="{63B3BB69-23CF-44E3-9099-C40C66FF867C}">
                  <a14:compatExt spid="_x0000_s21516"/>
                </a:ext>
                <a:ext uri="{FF2B5EF4-FFF2-40B4-BE49-F238E27FC236}">
                  <a16:creationId xmlns:a16="http://schemas.microsoft.com/office/drawing/2014/main" id="{00000000-0008-0000-0300-00000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122</xdr:row>
          <xdr:rowOff>144780</xdr:rowOff>
        </xdr:from>
        <xdr:to>
          <xdr:col>2</xdr:col>
          <xdr:colOff>525780</xdr:colOff>
          <xdr:row>124</xdr:row>
          <xdr:rowOff>22860</xdr:rowOff>
        </xdr:to>
        <xdr:sp macro="" textlink="">
          <xdr:nvSpPr>
            <xdr:cNvPr id="21517" name="Check Box 13" hidden="1">
              <a:extLst>
                <a:ext uri="{63B3BB69-23CF-44E3-9099-C40C66FF867C}">
                  <a14:compatExt spid="_x0000_s21517"/>
                </a:ext>
                <a:ext uri="{FF2B5EF4-FFF2-40B4-BE49-F238E27FC236}">
                  <a16:creationId xmlns:a16="http://schemas.microsoft.com/office/drawing/2014/main" id="{00000000-0008-0000-0300-00000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124</xdr:row>
          <xdr:rowOff>152400</xdr:rowOff>
        </xdr:from>
        <xdr:to>
          <xdr:col>2</xdr:col>
          <xdr:colOff>525780</xdr:colOff>
          <xdr:row>126</xdr:row>
          <xdr:rowOff>22860</xdr:rowOff>
        </xdr:to>
        <xdr:sp macro="" textlink="">
          <xdr:nvSpPr>
            <xdr:cNvPr id="21518" name="Check Box 14" hidden="1">
              <a:extLst>
                <a:ext uri="{63B3BB69-23CF-44E3-9099-C40C66FF867C}">
                  <a14:compatExt spid="_x0000_s21518"/>
                </a:ext>
                <a:ext uri="{FF2B5EF4-FFF2-40B4-BE49-F238E27FC236}">
                  <a16:creationId xmlns:a16="http://schemas.microsoft.com/office/drawing/2014/main" id="{00000000-0008-0000-0300-00000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126</xdr:row>
          <xdr:rowOff>144780</xdr:rowOff>
        </xdr:from>
        <xdr:to>
          <xdr:col>2</xdr:col>
          <xdr:colOff>525780</xdr:colOff>
          <xdr:row>128</xdr:row>
          <xdr:rowOff>22860</xdr:rowOff>
        </xdr:to>
        <xdr:sp macro="" textlink="">
          <xdr:nvSpPr>
            <xdr:cNvPr id="21519" name="Check Box 15" hidden="1">
              <a:extLst>
                <a:ext uri="{63B3BB69-23CF-44E3-9099-C40C66FF867C}">
                  <a14:compatExt spid="_x0000_s21519"/>
                </a:ext>
                <a:ext uri="{FF2B5EF4-FFF2-40B4-BE49-F238E27FC236}">
                  <a16:creationId xmlns:a16="http://schemas.microsoft.com/office/drawing/2014/main" id="{00000000-0008-0000-0300-00000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128</xdr:row>
          <xdr:rowOff>152400</xdr:rowOff>
        </xdr:from>
        <xdr:to>
          <xdr:col>2</xdr:col>
          <xdr:colOff>525780</xdr:colOff>
          <xdr:row>130</xdr:row>
          <xdr:rowOff>22860</xdr:rowOff>
        </xdr:to>
        <xdr:sp macro="" textlink="">
          <xdr:nvSpPr>
            <xdr:cNvPr id="21520" name="Check Box 16" hidden="1">
              <a:extLst>
                <a:ext uri="{63B3BB69-23CF-44E3-9099-C40C66FF867C}">
                  <a14:compatExt spid="_x0000_s21520"/>
                </a:ext>
                <a:ext uri="{FF2B5EF4-FFF2-40B4-BE49-F238E27FC236}">
                  <a16:creationId xmlns:a16="http://schemas.microsoft.com/office/drawing/2014/main" id="{00000000-0008-0000-0300-00001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130</xdr:row>
          <xdr:rowOff>144780</xdr:rowOff>
        </xdr:from>
        <xdr:to>
          <xdr:col>2</xdr:col>
          <xdr:colOff>525780</xdr:colOff>
          <xdr:row>132</xdr:row>
          <xdr:rowOff>0</xdr:rowOff>
        </xdr:to>
        <xdr:sp macro="" textlink="">
          <xdr:nvSpPr>
            <xdr:cNvPr id="21521" name="Check Box 17" hidden="1">
              <a:extLst>
                <a:ext uri="{63B3BB69-23CF-44E3-9099-C40C66FF867C}">
                  <a14:compatExt spid="_x0000_s21521"/>
                </a:ext>
                <a:ext uri="{FF2B5EF4-FFF2-40B4-BE49-F238E27FC236}">
                  <a16:creationId xmlns:a16="http://schemas.microsoft.com/office/drawing/2014/main" id="{00000000-0008-0000-0300-00001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132</xdr:row>
          <xdr:rowOff>152400</xdr:rowOff>
        </xdr:from>
        <xdr:to>
          <xdr:col>2</xdr:col>
          <xdr:colOff>525780</xdr:colOff>
          <xdr:row>182</xdr:row>
          <xdr:rowOff>22860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300-00001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134</xdr:row>
          <xdr:rowOff>144780</xdr:rowOff>
        </xdr:from>
        <xdr:to>
          <xdr:col>2</xdr:col>
          <xdr:colOff>525780</xdr:colOff>
          <xdr:row>182</xdr:row>
          <xdr:rowOff>45720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300-00001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136</xdr:row>
          <xdr:rowOff>152400</xdr:rowOff>
        </xdr:from>
        <xdr:to>
          <xdr:col>2</xdr:col>
          <xdr:colOff>525780</xdr:colOff>
          <xdr:row>182</xdr:row>
          <xdr:rowOff>30480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300-00001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138</xdr:row>
          <xdr:rowOff>144780</xdr:rowOff>
        </xdr:from>
        <xdr:to>
          <xdr:col>2</xdr:col>
          <xdr:colOff>525780</xdr:colOff>
          <xdr:row>182</xdr:row>
          <xdr:rowOff>38100</xdr:rowOff>
        </xdr:to>
        <xdr:sp macro="" textlink="">
          <xdr:nvSpPr>
            <xdr:cNvPr id="21525" name="Check Box 21" hidden="1">
              <a:extLst>
                <a:ext uri="{63B3BB69-23CF-44E3-9099-C40C66FF867C}">
                  <a14:compatExt spid="_x0000_s21525"/>
                </a:ext>
                <a:ext uri="{FF2B5EF4-FFF2-40B4-BE49-F238E27FC236}">
                  <a16:creationId xmlns:a16="http://schemas.microsoft.com/office/drawing/2014/main" id="{00000000-0008-0000-0300-00001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140</xdr:row>
          <xdr:rowOff>152400</xdr:rowOff>
        </xdr:from>
        <xdr:to>
          <xdr:col>2</xdr:col>
          <xdr:colOff>525780</xdr:colOff>
          <xdr:row>182</xdr:row>
          <xdr:rowOff>30480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300-00001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142</xdr:row>
          <xdr:rowOff>144780</xdr:rowOff>
        </xdr:from>
        <xdr:to>
          <xdr:col>2</xdr:col>
          <xdr:colOff>525780</xdr:colOff>
          <xdr:row>182</xdr:row>
          <xdr:rowOff>22860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300-00001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144</xdr:row>
          <xdr:rowOff>152400</xdr:rowOff>
        </xdr:from>
        <xdr:to>
          <xdr:col>2</xdr:col>
          <xdr:colOff>525780</xdr:colOff>
          <xdr:row>182</xdr:row>
          <xdr:rowOff>30480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300-00001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146</xdr:row>
          <xdr:rowOff>144780</xdr:rowOff>
        </xdr:from>
        <xdr:to>
          <xdr:col>2</xdr:col>
          <xdr:colOff>525780</xdr:colOff>
          <xdr:row>182</xdr:row>
          <xdr:rowOff>38100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300-00001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148</xdr:row>
          <xdr:rowOff>152400</xdr:rowOff>
        </xdr:from>
        <xdr:to>
          <xdr:col>2</xdr:col>
          <xdr:colOff>525780</xdr:colOff>
          <xdr:row>182</xdr:row>
          <xdr:rowOff>30480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300-00001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150</xdr:row>
          <xdr:rowOff>144780</xdr:rowOff>
        </xdr:from>
        <xdr:to>
          <xdr:col>2</xdr:col>
          <xdr:colOff>525780</xdr:colOff>
          <xdr:row>182</xdr:row>
          <xdr:rowOff>38100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300-00001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152</xdr:row>
          <xdr:rowOff>152400</xdr:rowOff>
        </xdr:from>
        <xdr:to>
          <xdr:col>2</xdr:col>
          <xdr:colOff>525780</xdr:colOff>
          <xdr:row>182</xdr:row>
          <xdr:rowOff>30480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300-00001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154</xdr:row>
          <xdr:rowOff>144780</xdr:rowOff>
        </xdr:from>
        <xdr:to>
          <xdr:col>2</xdr:col>
          <xdr:colOff>525780</xdr:colOff>
          <xdr:row>182</xdr:row>
          <xdr:rowOff>38100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300-00001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156</xdr:row>
          <xdr:rowOff>152400</xdr:rowOff>
        </xdr:from>
        <xdr:to>
          <xdr:col>2</xdr:col>
          <xdr:colOff>525780</xdr:colOff>
          <xdr:row>182</xdr:row>
          <xdr:rowOff>30480</xdr:rowOff>
        </xdr:to>
        <xdr:sp macro="" textlink="">
          <xdr:nvSpPr>
            <xdr:cNvPr id="21534" name="Check Box 30" hidden="1">
              <a:extLst>
                <a:ext uri="{63B3BB69-23CF-44E3-9099-C40C66FF867C}">
                  <a14:compatExt spid="_x0000_s21534"/>
                </a:ext>
                <a:ext uri="{FF2B5EF4-FFF2-40B4-BE49-F238E27FC236}">
                  <a16:creationId xmlns:a16="http://schemas.microsoft.com/office/drawing/2014/main" id="{00000000-0008-0000-0300-00001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158</xdr:row>
          <xdr:rowOff>144780</xdr:rowOff>
        </xdr:from>
        <xdr:to>
          <xdr:col>2</xdr:col>
          <xdr:colOff>525780</xdr:colOff>
          <xdr:row>182</xdr:row>
          <xdr:rowOff>38100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300-00001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160</xdr:row>
          <xdr:rowOff>152400</xdr:rowOff>
        </xdr:from>
        <xdr:to>
          <xdr:col>2</xdr:col>
          <xdr:colOff>525780</xdr:colOff>
          <xdr:row>182</xdr:row>
          <xdr:rowOff>30480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300-00002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162</xdr:row>
          <xdr:rowOff>144780</xdr:rowOff>
        </xdr:from>
        <xdr:to>
          <xdr:col>2</xdr:col>
          <xdr:colOff>525780</xdr:colOff>
          <xdr:row>182</xdr:row>
          <xdr:rowOff>38100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300-00002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164</xdr:row>
          <xdr:rowOff>152400</xdr:rowOff>
        </xdr:from>
        <xdr:to>
          <xdr:col>2</xdr:col>
          <xdr:colOff>525780</xdr:colOff>
          <xdr:row>182</xdr:row>
          <xdr:rowOff>30480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300-00002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166</xdr:row>
          <xdr:rowOff>144780</xdr:rowOff>
        </xdr:from>
        <xdr:to>
          <xdr:col>2</xdr:col>
          <xdr:colOff>525780</xdr:colOff>
          <xdr:row>182</xdr:row>
          <xdr:rowOff>38100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300-00002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168</xdr:row>
          <xdr:rowOff>152400</xdr:rowOff>
        </xdr:from>
        <xdr:to>
          <xdr:col>2</xdr:col>
          <xdr:colOff>525780</xdr:colOff>
          <xdr:row>182</xdr:row>
          <xdr:rowOff>30480</xdr:rowOff>
        </xdr:to>
        <xdr:sp macro="" textlink="">
          <xdr:nvSpPr>
            <xdr:cNvPr id="21540" name="Check Box 36" hidden="1">
              <a:extLst>
                <a:ext uri="{63B3BB69-23CF-44E3-9099-C40C66FF867C}">
                  <a14:compatExt spid="_x0000_s21540"/>
                </a:ext>
                <a:ext uri="{FF2B5EF4-FFF2-40B4-BE49-F238E27FC236}">
                  <a16:creationId xmlns:a16="http://schemas.microsoft.com/office/drawing/2014/main" id="{00000000-0008-0000-0300-00002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170</xdr:row>
          <xdr:rowOff>144780</xdr:rowOff>
        </xdr:from>
        <xdr:to>
          <xdr:col>2</xdr:col>
          <xdr:colOff>525780</xdr:colOff>
          <xdr:row>182</xdr:row>
          <xdr:rowOff>38100</xdr:rowOff>
        </xdr:to>
        <xdr:sp macro="" textlink="">
          <xdr:nvSpPr>
            <xdr:cNvPr id="21541" name="Check Box 37" hidden="1">
              <a:extLst>
                <a:ext uri="{63B3BB69-23CF-44E3-9099-C40C66FF867C}">
                  <a14:compatExt spid="_x0000_s21541"/>
                </a:ext>
                <a:ext uri="{FF2B5EF4-FFF2-40B4-BE49-F238E27FC236}">
                  <a16:creationId xmlns:a16="http://schemas.microsoft.com/office/drawing/2014/main" id="{00000000-0008-0000-0300-00002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172</xdr:row>
          <xdr:rowOff>152400</xdr:rowOff>
        </xdr:from>
        <xdr:to>
          <xdr:col>2</xdr:col>
          <xdr:colOff>525780</xdr:colOff>
          <xdr:row>182</xdr:row>
          <xdr:rowOff>30480</xdr:rowOff>
        </xdr:to>
        <xdr:sp macro="" textlink="">
          <xdr:nvSpPr>
            <xdr:cNvPr id="21542" name="Check Box 38" hidden="1">
              <a:extLst>
                <a:ext uri="{63B3BB69-23CF-44E3-9099-C40C66FF867C}">
                  <a14:compatExt spid="_x0000_s21542"/>
                </a:ext>
                <a:ext uri="{FF2B5EF4-FFF2-40B4-BE49-F238E27FC236}">
                  <a16:creationId xmlns:a16="http://schemas.microsoft.com/office/drawing/2014/main" id="{00000000-0008-0000-0300-00002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174</xdr:row>
          <xdr:rowOff>144780</xdr:rowOff>
        </xdr:from>
        <xdr:to>
          <xdr:col>2</xdr:col>
          <xdr:colOff>525780</xdr:colOff>
          <xdr:row>182</xdr:row>
          <xdr:rowOff>38100</xdr:rowOff>
        </xdr:to>
        <xdr:sp macro="" textlink="">
          <xdr:nvSpPr>
            <xdr:cNvPr id="21543" name="Check Box 39" hidden="1">
              <a:extLst>
                <a:ext uri="{63B3BB69-23CF-44E3-9099-C40C66FF867C}">
                  <a14:compatExt spid="_x0000_s21543"/>
                </a:ext>
                <a:ext uri="{FF2B5EF4-FFF2-40B4-BE49-F238E27FC236}">
                  <a16:creationId xmlns:a16="http://schemas.microsoft.com/office/drawing/2014/main" id="{00000000-0008-0000-0300-00002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176</xdr:row>
          <xdr:rowOff>152400</xdr:rowOff>
        </xdr:from>
        <xdr:to>
          <xdr:col>2</xdr:col>
          <xdr:colOff>525780</xdr:colOff>
          <xdr:row>182</xdr:row>
          <xdr:rowOff>30480</xdr:rowOff>
        </xdr:to>
        <xdr:sp macro="" textlink="">
          <xdr:nvSpPr>
            <xdr:cNvPr id="21544" name="Check Box 40" hidden="1">
              <a:extLst>
                <a:ext uri="{63B3BB69-23CF-44E3-9099-C40C66FF867C}">
                  <a14:compatExt spid="_x0000_s21544"/>
                </a:ext>
                <a:ext uri="{FF2B5EF4-FFF2-40B4-BE49-F238E27FC236}">
                  <a16:creationId xmlns:a16="http://schemas.microsoft.com/office/drawing/2014/main" id="{00000000-0008-0000-0300-00002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178</xdr:row>
          <xdr:rowOff>144780</xdr:rowOff>
        </xdr:from>
        <xdr:to>
          <xdr:col>2</xdr:col>
          <xdr:colOff>525780</xdr:colOff>
          <xdr:row>182</xdr:row>
          <xdr:rowOff>38100</xdr:rowOff>
        </xdr:to>
        <xdr:sp macro="" textlink="">
          <xdr:nvSpPr>
            <xdr:cNvPr id="21545" name="Check Box 41" hidden="1">
              <a:extLst>
                <a:ext uri="{63B3BB69-23CF-44E3-9099-C40C66FF867C}">
                  <a14:compatExt spid="_x0000_s21545"/>
                </a:ext>
                <a:ext uri="{FF2B5EF4-FFF2-40B4-BE49-F238E27FC236}">
                  <a16:creationId xmlns:a16="http://schemas.microsoft.com/office/drawing/2014/main" id="{00000000-0008-0000-0300-00002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182</xdr:row>
          <xdr:rowOff>152400</xdr:rowOff>
        </xdr:from>
        <xdr:to>
          <xdr:col>2</xdr:col>
          <xdr:colOff>525780</xdr:colOff>
          <xdr:row>184</xdr:row>
          <xdr:rowOff>22860</xdr:rowOff>
        </xdr:to>
        <xdr:sp macro="" textlink="">
          <xdr:nvSpPr>
            <xdr:cNvPr id="21546" name="Check Box 42" hidden="1">
              <a:extLst>
                <a:ext uri="{63B3BB69-23CF-44E3-9099-C40C66FF867C}">
                  <a14:compatExt spid="_x0000_s21546"/>
                </a:ext>
                <a:ext uri="{FF2B5EF4-FFF2-40B4-BE49-F238E27FC236}">
                  <a16:creationId xmlns:a16="http://schemas.microsoft.com/office/drawing/2014/main" id="{00000000-0008-0000-0300-00002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197</xdr:row>
          <xdr:rowOff>121920</xdr:rowOff>
        </xdr:from>
        <xdr:to>
          <xdr:col>2</xdr:col>
          <xdr:colOff>525780</xdr:colOff>
          <xdr:row>211</xdr:row>
          <xdr:rowOff>60960</xdr:rowOff>
        </xdr:to>
        <xdr:sp macro="" textlink="">
          <xdr:nvSpPr>
            <xdr:cNvPr id="21547" name="Check Box 43" hidden="1">
              <a:extLst>
                <a:ext uri="{63B3BB69-23CF-44E3-9099-C40C66FF867C}">
                  <a14:compatExt spid="_x0000_s21547"/>
                </a:ext>
                <a:ext uri="{FF2B5EF4-FFF2-40B4-BE49-F238E27FC236}">
                  <a16:creationId xmlns:a16="http://schemas.microsoft.com/office/drawing/2014/main" id="{00000000-0008-0000-0300-00002B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185</xdr:row>
          <xdr:rowOff>152400</xdr:rowOff>
        </xdr:from>
        <xdr:to>
          <xdr:col>2</xdr:col>
          <xdr:colOff>525780</xdr:colOff>
          <xdr:row>187</xdr:row>
          <xdr:rowOff>22860</xdr:rowOff>
        </xdr:to>
        <xdr:sp macro="" textlink="">
          <xdr:nvSpPr>
            <xdr:cNvPr id="21548" name="Check Box 44" hidden="1">
              <a:extLst>
                <a:ext uri="{63B3BB69-23CF-44E3-9099-C40C66FF867C}">
                  <a14:compatExt spid="_x0000_s21548"/>
                </a:ext>
                <a:ext uri="{FF2B5EF4-FFF2-40B4-BE49-F238E27FC236}">
                  <a16:creationId xmlns:a16="http://schemas.microsoft.com/office/drawing/2014/main" id="{00000000-0008-0000-0300-00002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188</xdr:row>
          <xdr:rowOff>144780</xdr:rowOff>
        </xdr:from>
        <xdr:to>
          <xdr:col>2</xdr:col>
          <xdr:colOff>525780</xdr:colOff>
          <xdr:row>190</xdr:row>
          <xdr:rowOff>22860</xdr:rowOff>
        </xdr:to>
        <xdr:sp macro="" textlink="">
          <xdr:nvSpPr>
            <xdr:cNvPr id="21549" name="Check Box 45" hidden="1">
              <a:extLst>
                <a:ext uri="{63B3BB69-23CF-44E3-9099-C40C66FF867C}">
                  <a14:compatExt spid="_x0000_s21549"/>
                </a:ext>
                <a:ext uri="{FF2B5EF4-FFF2-40B4-BE49-F238E27FC236}">
                  <a16:creationId xmlns:a16="http://schemas.microsoft.com/office/drawing/2014/main" id="{00000000-0008-0000-0300-00002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191</xdr:row>
          <xdr:rowOff>144780</xdr:rowOff>
        </xdr:from>
        <xdr:to>
          <xdr:col>2</xdr:col>
          <xdr:colOff>525780</xdr:colOff>
          <xdr:row>193</xdr:row>
          <xdr:rowOff>22860</xdr:rowOff>
        </xdr:to>
        <xdr:sp macro="" textlink="">
          <xdr:nvSpPr>
            <xdr:cNvPr id="21550" name="Check Box 46" hidden="1">
              <a:extLst>
                <a:ext uri="{63B3BB69-23CF-44E3-9099-C40C66FF867C}">
                  <a14:compatExt spid="_x0000_s21550"/>
                </a:ext>
                <a:ext uri="{FF2B5EF4-FFF2-40B4-BE49-F238E27FC236}">
                  <a16:creationId xmlns:a16="http://schemas.microsoft.com/office/drawing/2014/main" id="{00000000-0008-0000-0300-00002E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194</xdr:row>
          <xdr:rowOff>144780</xdr:rowOff>
        </xdr:from>
        <xdr:to>
          <xdr:col>2</xdr:col>
          <xdr:colOff>533400</xdr:colOff>
          <xdr:row>211</xdr:row>
          <xdr:rowOff>30480</xdr:rowOff>
        </xdr:to>
        <xdr:sp macro="" textlink="">
          <xdr:nvSpPr>
            <xdr:cNvPr id="21551" name="Check Box 47" hidden="1">
              <a:extLst>
                <a:ext uri="{63B3BB69-23CF-44E3-9099-C40C66FF867C}">
                  <a14:compatExt spid="_x0000_s21551"/>
                </a:ext>
                <a:ext uri="{FF2B5EF4-FFF2-40B4-BE49-F238E27FC236}">
                  <a16:creationId xmlns:a16="http://schemas.microsoft.com/office/drawing/2014/main" id="{00000000-0008-0000-0300-00002F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206</xdr:row>
          <xdr:rowOff>137160</xdr:rowOff>
        </xdr:from>
        <xdr:to>
          <xdr:col>2</xdr:col>
          <xdr:colOff>525780</xdr:colOff>
          <xdr:row>211</xdr:row>
          <xdr:rowOff>60960</xdr:rowOff>
        </xdr:to>
        <xdr:sp macro="" textlink="">
          <xdr:nvSpPr>
            <xdr:cNvPr id="21552" name="Check Box 48" hidden="1">
              <a:extLst>
                <a:ext uri="{63B3BB69-23CF-44E3-9099-C40C66FF867C}">
                  <a14:compatExt spid="_x0000_s21552"/>
                </a:ext>
                <a:ext uri="{FF2B5EF4-FFF2-40B4-BE49-F238E27FC236}">
                  <a16:creationId xmlns:a16="http://schemas.microsoft.com/office/drawing/2014/main" id="{00000000-0008-0000-0300-000030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200</xdr:row>
          <xdr:rowOff>137160</xdr:rowOff>
        </xdr:from>
        <xdr:to>
          <xdr:col>2</xdr:col>
          <xdr:colOff>525780</xdr:colOff>
          <xdr:row>211</xdr:row>
          <xdr:rowOff>60960</xdr:rowOff>
        </xdr:to>
        <xdr:sp macro="" textlink="">
          <xdr:nvSpPr>
            <xdr:cNvPr id="21553" name="Check Box 49" hidden="1">
              <a:extLst>
                <a:ext uri="{63B3BB69-23CF-44E3-9099-C40C66FF867C}">
                  <a14:compatExt spid="_x0000_s21553"/>
                </a:ext>
                <a:ext uri="{FF2B5EF4-FFF2-40B4-BE49-F238E27FC236}">
                  <a16:creationId xmlns:a16="http://schemas.microsoft.com/office/drawing/2014/main" id="{00000000-0008-0000-0300-00003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203</xdr:row>
          <xdr:rowOff>137160</xdr:rowOff>
        </xdr:from>
        <xdr:to>
          <xdr:col>2</xdr:col>
          <xdr:colOff>533400</xdr:colOff>
          <xdr:row>211</xdr:row>
          <xdr:rowOff>60960</xdr:rowOff>
        </xdr:to>
        <xdr:sp macro="" textlink="">
          <xdr:nvSpPr>
            <xdr:cNvPr id="21554" name="Check Box 50" hidden="1">
              <a:extLst>
                <a:ext uri="{63B3BB69-23CF-44E3-9099-C40C66FF867C}">
                  <a14:compatExt spid="_x0000_s21554"/>
                </a:ext>
                <a:ext uri="{FF2B5EF4-FFF2-40B4-BE49-F238E27FC236}">
                  <a16:creationId xmlns:a16="http://schemas.microsoft.com/office/drawing/2014/main" id="{00000000-0008-0000-0300-00003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43</xdr:row>
          <xdr:rowOff>0</xdr:rowOff>
        </xdr:from>
        <xdr:to>
          <xdr:col>1</xdr:col>
          <xdr:colOff>198120</xdr:colOff>
          <xdr:row>44</xdr:row>
          <xdr:rowOff>30480</xdr:rowOff>
        </xdr:to>
        <xdr:sp macro="" textlink="">
          <xdr:nvSpPr>
            <xdr:cNvPr id="21558" name="Check Box 54" hidden="1">
              <a:extLst>
                <a:ext uri="{63B3BB69-23CF-44E3-9099-C40C66FF867C}">
                  <a14:compatExt spid="_x0000_s21558"/>
                </a:ext>
                <a:ext uri="{FF2B5EF4-FFF2-40B4-BE49-F238E27FC236}">
                  <a16:creationId xmlns:a16="http://schemas.microsoft.com/office/drawing/2014/main" id="{00000000-0008-0000-0300-00003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69</xdr:row>
          <xdr:rowOff>152400</xdr:rowOff>
        </xdr:from>
        <xdr:to>
          <xdr:col>1</xdr:col>
          <xdr:colOff>213360</xdr:colOff>
          <xdr:row>71</xdr:row>
          <xdr:rowOff>38100</xdr:rowOff>
        </xdr:to>
        <xdr:sp macro="" textlink="">
          <xdr:nvSpPr>
            <xdr:cNvPr id="21559" name="Check Box 55" hidden="1">
              <a:extLst>
                <a:ext uri="{63B3BB69-23CF-44E3-9099-C40C66FF867C}">
                  <a14:compatExt spid="_x0000_s21559"/>
                </a:ext>
                <a:ext uri="{FF2B5EF4-FFF2-40B4-BE49-F238E27FC236}">
                  <a16:creationId xmlns:a16="http://schemas.microsoft.com/office/drawing/2014/main" id="{00000000-0008-0000-0300-00003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144780</xdr:rowOff>
        </xdr:from>
        <xdr:to>
          <xdr:col>1</xdr:col>
          <xdr:colOff>213360</xdr:colOff>
          <xdr:row>44</xdr:row>
          <xdr:rowOff>30480</xdr:rowOff>
        </xdr:to>
        <xdr:sp macro="" textlink="">
          <xdr:nvSpPr>
            <xdr:cNvPr id="21564" name="Check Box 60" hidden="1">
              <a:extLst>
                <a:ext uri="{63B3BB69-23CF-44E3-9099-C40C66FF867C}">
                  <a14:compatExt spid="_x0000_s21564"/>
                </a:ext>
                <a:ext uri="{FF2B5EF4-FFF2-40B4-BE49-F238E27FC236}">
                  <a16:creationId xmlns:a16="http://schemas.microsoft.com/office/drawing/2014/main" id="{00000000-0008-0000-0300-00003C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21565" name="Check Box 61" hidden="1">
              <a:extLst>
                <a:ext uri="{63B3BB69-23CF-44E3-9099-C40C66FF867C}">
                  <a14:compatExt spid="_x0000_s21565"/>
                </a:ext>
                <a:ext uri="{FF2B5EF4-FFF2-40B4-BE49-F238E27FC236}">
                  <a16:creationId xmlns:a16="http://schemas.microsoft.com/office/drawing/2014/main" id="{00000000-0008-0000-0300-00003D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11</xdr:row>
          <xdr:rowOff>144780</xdr:rowOff>
        </xdr:from>
        <xdr:to>
          <xdr:col>2</xdr:col>
          <xdr:colOff>525780</xdr:colOff>
          <xdr:row>13</xdr:row>
          <xdr:rowOff>22860</xdr:rowOff>
        </xdr:to>
        <xdr:sp macro="" textlink="">
          <xdr:nvSpPr>
            <xdr:cNvPr id="23553" name="Check Box 1" hidden="1">
              <a:extLst>
                <a:ext uri="{63B3BB69-23CF-44E3-9099-C40C66FF867C}">
                  <a14:compatExt spid="_x0000_s23553"/>
                </a:ext>
                <a:ext uri="{FF2B5EF4-FFF2-40B4-BE49-F238E27FC236}">
                  <a16:creationId xmlns:a16="http://schemas.microsoft.com/office/drawing/2014/main" id="{00000000-0008-0000-0400-00000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xdr:row>
          <xdr:rowOff>152400</xdr:rowOff>
        </xdr:from>
        <xdr:to>
          <xdr:col>2</xdr:col>
          <xdr:colOff>525780</xdr:colOff>
          <xdr:row>14</xdr:row>
          <xdr:rowOff>22860</xdr:rowOff>
        </xdr:to>
        <xdr:sp macro="" textlink="">
          <xdr:nvSpPr>
            <xdr:cNvPr id="23554" name="Check Box 2" hidden="1">
              <a:extLst>
                <a:ext uri="{63B3BB69-23CF-44E3-9099-C40C66FF867C}">
                  <a14:compatExt spid="_x0000_s23554"/>
                </a:ext>
                <a:ext uri="{FF2B5EF4-FFF2-40B4-BE49-F238E27FC236}">
                  <a16:creationId xmlns:a16="http://schemas.microsoft.com/office/drawing/2014/main" id="{00000000-0008-0000-0400-00000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xdr:row>
          <xdr:rowOff>144780</xdr:rowOff>
        </xdr:from>
        <xdr:to>
          <xdr:col>2</xdr:col>
          <xdr:colOff>525780</xdr:colOff>
          <xdr:row>16</xdr:row>
          <xdr:rowOff>152400</xdr:rowOff>
        </xdr:to>
        <xdr:sp macro="" textlink="">
          <xdr:nvSpPr>
            <xdr:cNvPr id="23555" name="Check Box 3" hidden="1">
              <a:extLst>
                <a:ext uri="{63B3BB69-23CF-44E3-9099-C40C66FF867C}">
                  <a14:compatExt spid="_x0000_s23555"/>
                </a:ext>
                <a:ext uri="{FF2B5EF4-FFF2-40B4-BE49-F238E27FC236}">
                  <a16:creationId xmlns:a16="http://schemas.microsoft.com/office/drawing/2014/main" id="{00000000-0008-0000-0400-00000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xdr:row>
          <xdr:rowOff>144780</xdr:rowOff>
        </xdr:from>
        <xdr:to>
          <xdr:col>2</xdr:col>
          <xdr:colOff>525780</xdr:colOff>
          <xdr:row>22</xdr:row>
          <xdr:rowOff>22860</xdr:rowOff>
        </xdr:to>
        <xdr:sp macro="" textlink="">
          <xdr:nvSpPr>
            <xdr:cNvPr id="23556" name="Check Box 4" hidden="1">
              <a:extLst>
                <a:ext uri="{63B3BB69-23CF-44E3-9099-C40C66FF867C}">
                  <a14:compatExt spid="_x0000_s23556"/>
                </a:ext>
                <a:ext uri="{FF2B5EF4-FFF2-40B4-BE49-F238E27FC236}">
                  <a16:creationId xmlns:a16="http://schemas.microsoft.com/office/drawing/2014/main" id="{00000000-0008-0000-0400-00000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21</xdr:row>
          <xdr:rowOff>144780</xdr:rowOff>
        </xdr:from>
        <xdr:to>
          <xdr:col>2</xdr:col>
          <xdr:colOff>525780</xdr:colOff>
          <xdr:row>23</xdr:row>
          <xdr:rowOff>22860</xdr:rowOff>
        </xdr:to>
        <xdr:sp macro="" textlink="">
          <xdr:nvSpPr>
            <xdr:cNvPr id="23557" name="Check Box 5" hidden="1">
              <a:extLst>
                <a:ext uri="{63B3BB69-23CF-44E3-9099-C40C66FF867C}">
                  <a14:compatExt spid="_x0000_s23557"/>
                </a:ext>
                <a:ext uri="{FF2B5EF4-FFF2-40B4-BE49-F238E27FC236}">
                  <a16:creationId xmlns:a16="http://schemas.microsoft.com/office/drawing/2014/main" id="{00000000-0008-0000-0400-00000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22</xdr:row>
          <xdr:rowOff>144780</xdr:rowOff>
        </xdr:from>
        <xdr:to>
          <xdr:col>2</xdr:col>
          <xdr:colOff>525780</xdr:colOff>
          <xdr:row>24</xdr:row>
          <xdr:rowOff>22860</xdr:rowOff>
        </xdr:to>
        <xdr:sp macro="" textlink="">
          <xdr:nvSpPr>
            <xdr:cNvPr id="23558" name="Check Box 6" hidden="1">
              <a:extLst>
                <a:ext uri="{63B3BB69-23CF-44E3-9099-C40C66FF867C}">
                  <a14:compatExt spid="_x0000_s23558"/>
                </a:ext>
                <a:ext uri="{FF2B5EF4-FFF2-40B4-BE49-F238E27FC236}">
                  <a16:creationId xmlns:a16="http://schemas.microsoft.com/office/drawing/2014/main" id="{00000000-0008-0000-0400-00000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23</xdr:row>
          <xdr:rowOff>144780</xdr:rowOff>
        </xdr:from>
        <xdr:to>
          <xdr:col>2</xdr:col>
          <xdr:colOff>525780</xdr:colOff>
          <xdr:row>25</xdr:row>
          <xdr:rowOff>22860</xdr:rowOff>
        </xdr:to>
        <xdr:sp macro="" textlink="">
          <xdr:nvSpPr>
            <xdr:cNvPr id="23559" name="Check Box 7" hidden="1">
              <a:extLst>
                <a:ext uri="{63B3BB69-23CF-44E3-9099-C40C66FF867C}">
                  <a14:compatExt spid="_x0000_s23559"/>
                </a:ext>
                <a:ext uri="{FF2B5EF4-FFF2-40B4-BE49-F238E27FC236}">
                  <a16:creationId xmlns:a16="http://schemas.microsoft.com/office/drawing/2014/main" id="{00000000-0008-0000-0400-00000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24</xdr:row>
          <xdr:rowOff>137160</xdr:rowOff>
        </xdr:from>
        <xdr:to>
          <xdr:col>1</xdr:col>
          <xdr:colOff>213360</xdr:colOff>
          <xdr:row>26</xdr:row>
          <xdr:rowOff>22860</xdr:rowOff>
        </xdr:to>
        <xdr:sp macro="" textlink="">
          <xdr:nvSpPr>
            <xdr:cNvPr id="23560" name="Check Box 8" hidden="1">
              <a:extLst>
                <a:ext uri="{63B3BB69-23CF-44E3-9099-C40C66FF867C}">
                  <a14:compatExt spid="_x0000_s23560"/>
                </a:ext>
                <a:ext uri="{FF2B5EF4-FFF2-40B4-BE49-F238E27FC236}">
                  <a16:creationId xmlns:a16="http://schemas.microsoft.com/office/drawing/2014/main" id="{00000000-0008-0000-0400-00000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116</xdr:row>
          <xdr:rowOff>152400</xdr:rowOff>
        </xdr:from>
        <xdr:to>
          <xdr:col>2</xdr:col>
          <xdr:colOff>525780</xdr:colOff>
          <xdr:row>118</xdr:row>
          <xdr:rowOff>22860</xdr:rowOff>
        </xdr:to>
        <xdr:sp macro="" textlink="">
          <xdr:nvSpPr>
            <xdr:cNvPr id="23561" name="Check Box 9" hidden="1">
              <a:extLst>
                <a:ext uri="{63B3BB69-23CF-44E3-9099-C40C66FF867C}">
                  <a14:compatExt spid="_x0000_s23561"/>
                </a:ext>
                <a:ext uri="{FF2B5EF4-FFF2-40B4-BE49-F238E27FC236}">
                  <a16:creationId xmlns:a16="http://schemas.microsoft.com/office/drawing/2014/main" id="{00000000-0008-0000-0400-00000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118</xdr:row>
          <xdr:rowOff>144780</xdr:rowOff>
        </xdr:from>
        <xdr:to>
          <xdr:col>2</xdr:col>
          <xdr:colOff>525780</xdr:colOff>
          <xdr:row>120</xdr:row>
          <xdr:rowOff>22860</xdr:rowOff>
        </xdr:to>
        <xdr:sp macro="" textlink="">
          <xdr:nvSpPr>
            <xdr:cNvPr id="23562" name="Check Box 10" hidden="1">
              <a:extLst>
                <a:ext uri="{63B3BB69-23CF-44E3-9099-C40C66FF867C}">
                  <a14:compatExt spid="_x0000_s23562"/>
                </a:ext>
                <a:ext uri="{FF2B5EF4-FFF2-40B4-BE49-F238E27FC236}">
                  <a16:creationId xmlns:a16="http://schemas.microsoft.com/office/drawing/2014/main" id="{00000000-0008-0000-0400-00000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33</xdr:row>
          <xdr:rowOff>137160</xdr:rowOff>
        </xdr:from>
        <xdr:to>
          <xdr:col>2</xdr:col>
          <xdr:colOff>0</xdr:colOff>
          <xdr:row>35</xdr:row>
          <xdr:rowOff>22860</xdr:rowOff>
        </xdr:to>
        <xdr:sp macro="" textlink="">
          <xdr:nvSpPr>
            <xdr:cNvPr id="23563" name="Check Box 11" hidden="1">
              <a:extLst>
                <a:ext uri="{63B3BB69-23CF-44E3-9099-C40C66FF867C}">
                  <a14:compatExt spid="_x0000_s23563"/>
                </a:ext>
                <a:ext uri="{FF2B5EF4-FFF2-40B4-BE49-F238E27FC236}">
                  <a16:creationId xmlns:a16="http://schemas.microsoft.com/office/drawing/2014/main" id="{00000000-0008-0000-0400-00000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120</xdr:row>
          <xdr:rowOff>152400</xdr:rowOff>
        </xdr:from>
        <xdr:to>
          <xdr:col>2</xdr:col>
          <xdr:colOff>525780</xdr:colOff>
          <xdr:row>122</xdr:row>
          <xdr:rowOff>22860</xdr:rowOff>
        </xdr:to>
        <xdr:sp macro="" textlink="">
          <xdr:nvSpPr>
            <xdr:cNvPr id="23564" name="Check Box 12" hidden="1">
              <a:extLst>
                <a:ext uri="{63B3BB69-23CF-44E3-9099-C40C66FF867C}">
                  <a14:compatExt spid="_x0000_s23564"/>
                </a:ext>
                <a:ext uri="{FF2B5EF4-FFF2-40B4-BE49-F238E27FC236}">
                  <a16:creationId xmlns:a16="http://schemas.microsoft.com/office/drawing/2014/main" id="{00000000-0008-0000-0400-00000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122</xdr:row>
          <xdr:rowOff>144780</xdr:rowOff>
        </xdr:from>
        <xdr:to>
          <xdr:col>2</xdr:col>
          <xdr:colOff>525780</xdr:colOff>
          <xdr:row>124</xdr:row>
          <xdr:rowOff>22860</xdr:rowOff>
        </xdr:to>
        <xdr:sp macro="" textlink="">
          <xdr:nvSpPr>
            <xdr:cNvPr id="23565" name="Check Box 13" hidden="1">
              <a:extLst>
                <a:ext uri="{63B3BB69-23CF-44E3-9099-C40C66FF867C}">
                  <a14:compatExt spid="_x0000_s23565"/>
                </a:ext>
                <a:ext uri="{FF2B5EF4-FFF2-40B4-BE49-F238E27FC236}">
                  <a16:creationId xmlns:a16="http://schemas.microsoft.com/office/drawing/2014/main" id="{00000000-0008-0000-0400-00000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124</xdr:row>
          <xdr:rowOff>152400</xdr:rowOff>
        </xdr:from>
        <xdr:to>
          <xdr:col>2</xdr:col>
          <xdr:colOff>525780</xdr:colOff>
          <xdr:row>126</xdr:row>
          <xdr:rowOff>22860</xdr:rowOff>
        </xdr:to>
        <xdr:sp macro="" textlink="">
          <xdr:nvSpPr>
            <xdr:cNvPr id="23566" name="Check Box 14" hidden="1">
              <a:extLst>
                <a:ext uri="{63B3BB69-23CF-44E3-9099-C40C66FF867C}">
                  <a14:compatExt spid="_x0000_s23566"/>
                </a:ext>
                <a:ext uri="{FF2B5EF4-FFF2-40B4-BE49-F238E27FC236}">
                  <a16:creationId xmlns:a16="http://schemas.microsoft.com/office/drawing/2014/main" id="{00000000-0008-0000-0400-00000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126</xdr:row>
          <xdr:rowOff>144780</xdr:rowOff>
        </xdr:from>
        <xdr:to>
          <xdr:col>2</xdr:col>
          <xdr:colOff>525780</xdr:colOff>
          <xdr:row>128</xdr:row>
          <xdr:rowOff>22860</xdr:rowOff>
        </xdr:to>
        <xdr:sp macro="" textlink="">
          <xdr:nvSpPr>
            <xdr:cNvPr id="23567" name="Check Box 15" hidden="1">
              <a:extLst>
                <a:ext uri="{63B3BB69-23CF-44E3-9099-C40C66FF867C}">
                  <a14:compatExt spid="_x0000_s23567"/>
                </a:ext>
                <a:ext uri="{FF2B5EF4-FFF2-40B4-BE49-F238E27FC236}">
                  <a16:creationId xmlns:a16="http://schemas.microsoft.com/office/drawing/2014/main" id="{00000000-0008-0000-0400-00000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128</xdr:row>
          <xdr:rowOff>152400</xdr:rowOff>
        </xdr:from>
        <xdr:to>
          <xdr:col>2</xdr:col>
          <xdr:colOff>525780</xdr:colOff>
          <xdr:row>130</xdr:row>
          <xdr:rowOff>22860</xdr:rowOff>
        </xdr:to>
        <xdr:sp macro="" textlink="">
          <xdr:nvSpPr>
            <xdr:cNvPr id="23568" name="Check Box 16" hidden="1">
              <a:extLst>
                <a:ext uri="{63B3BB69-23CF-44E3-9099-C40C66FF867C}">
                  <a14:compatExt spid="_x0000_s23568"/>
                </a:ext>
                <a:ext uri="{FF2B5EF4-FFF2-40B4-BE49-F238E27FC236}">
                  <a16:creationId xmlns:a16="http://schemas.microsoft.com/office/drawing/2014/main" id="{00000000-0008-0000-0400-00001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130</xdr:row>
          <xdr:rowOff>144780</xdr:rowOff>
        </xdr:from>
        <xdr:to>
          <xdr:col>2</xdr:col>
          <xdr:colOff>525780</xdr:colOff>
          <xdr:row>132</xdr:row>
          <xdr:rowOff>0</xdr:rowOff>
        </xdr:to>
        <xdr:sp macro="" textlink="">
          <xdr:nvSpPr>
            <xdr:cNvPr id="23569" name="Check Box 17" hidden="1">
              <a:extLst>
                <a:ext uri="{63B3BB69-23CF-44E3-9099-C40C66FF867C}">
                  <a14:compatExt spid="_x0000_s23569"/>
                </a:ext>
                <a:ext uri="{FF2B5EF4-FFF2-40B4-BE49-F238E27FC236}">
                  <a16:creationId xmlns:a16="http://schemas.microsoft.com/office/drawing/2014/main" id="{00000000-0008-0000-0400-00001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132</xdr:row>
          <xdr:rowOff>152400</xdr:rowOff>
        </xdr:from>
        <xdr:to>
          <xdr:col>2</xdr:col>
          <xdr:colOff>525780</xdr:colOff>
          <xdr:row>182</xdr:row>
          <xdr:rowOff>22860</xdr:rowOff>
        </xdr:to>
        <xdr:sp macro="" textlink="">
          <xdr:nvSpPr>
            <xdr:cNvPr id="23570" name="Check Box 18" hidden="1">
              <a:extLst>
                <a:ext uri="{63B3BB69-23CF-44E3-9099-C40C66FF867C}">
                  <a14:compatExt spid="_x0000_s23570"/>
                </a:ext>
                <a:ext uri="{FF2B5EF4-FFF2-40B4-BE49-F238E27FC236}">
                  <a16:creationId xmlns:a16="http://schemas.microsoft.com/office/drawing/2014/main" id="{00000000-0008-0000-0400-00001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134</xdr:row>
          <xdr:rowOff>144780</xdr:rowOff>
        </xdr:from>
        <xdr:to>
          <xdr:col>2</xdr:col>
          <xdr:colOff>525780</xdr:colOff>
          <xdr:row>182</xdr:row>
          <xdr:rowOff>45720</xdr:rowOff>
        </xdr:to>
        <xdr:sp macro="" textlink="">
          <xdr:nvSpPr>
            <xdr:cNvPr id="23571" name="Check Box 19" hidden="1">
              <a:extLst>
                <a:ext uri="{63B3BB69-23CF-44E3-9099-C40C66FF867C}">
                  <a14:compatExt spid="_x0000_s23571"/>
                </a:ext>
                <a:ext uri="{FF2B5EF4-FFF2-40B4-BE49-F238E27FC236}">
                  <a16:creationId xmlns:a16="http://schemas.microsoft.com/office/drawing/2014/main" id="{00000000-0008-0000-0400-00001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136</xdr:row>
          <xdr:rowOff>152400</xdr:rowOff>
        </xdr:from>
        <xdr:to>
          <xdr:col>2</xdr:col>
          <xdr:colOff>525780</xdr:colOff>
          <xdr:row>182</xdr:row>
          <xdr:rowOff>30480</xdr:rowOff>
        </xdr:to>
        <xdr:sp macro="" textlink="">
          <xdr:nvSpPr>
            <xdr:cNvPr id="23572" name="Check Box 20" hidden="1">
              <a:extLst>
                <a:ext uri="{63B3BB69-23CF-44E3-9099-C40C66FF867C}">
                  <a14:compatExt spid="_x0000_s23572"/>
                </a:ext>
                <a:ext uri="{FF2B5EF4-FFF2-40B4-BE49-F238E27FC236}">
                  <a16:creationId xmlns:a16="http://schemas.microsoft.com/office/drawing/2014/main" id="{00000000-0008-0000-0400-00001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138</xdr:row>
          <xdr:rowOff>144780</xdr:rowOff>
        </xdr:from>
        <xdr:to>
          <xdr:col>2</xdr:col>
          <xdr:colOff>525780</xdr:colOff>
          <xdr:row>182</xdr:row>
          <xdr:rowOff>38100</xdr:rowOff>
        </xdr:to>
        <xdr:sp macro="" textlink="">
          <xdr:nvSpPr>
            <xdr:cNvPr id="23573" name="Check Box 21" hidden="1">
              <a:extLst>
                <a:ext uri="{63B3BB69-23CF-44E3-9099-C40C66FF867C}">
                  <a14:compatExt spid="_x0000_s23573"/>
                </a:ext>
                <a:ext uri="{FF2B5EF4-FFF2-40B4-BE49-F238E27FC236}">
                  <a16:creationId xmlns:a16="http://schemas.microsoft.com/office/drawing/2014/main" id="{00000000-0008-0000-0400-00001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140</xdr:row>
          <xdr:rowOff>152400</xdr:rowOff>
        </xdr:from>
        <xdr:to>
          <xdr:col>2</xdr:col>
          <xdr:colOff>525780</xdr:colOff>
          <xdr:row>182</xdr:row>
          <xdr:rowOff>30480</xdr:rowOff>
        </xdr:to>
        <xdr:sp macro="" textlink="">
          <xdr:nvSpPr>
            <xdr:cNvPr id="23574" name="Check Box 22" hidden="1">
              <a:extLst>
                <a:ext uri="{63B3BB69-23CF-44E3-9099-C40C66FF867C}">
                  <a14:compatExt spid="_x0000_s23574"/>
                </a:ext>
                <a:ext uri="{FF2B5EF4-FFF2-40B4-BE49-F238E27FC236}">
                  <a16:creationId xmlns:a16="http://schemas.microsoft.com/office/drawing/2014/main" id="{00000000-0008-0000-0400-00001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142</xdr:row>
          <xdr:rowOff>144780</xdr:rowOff>
        </xdr:from>
        <xdr:to>
          <xdr:col>2</xdr:col>
          <xdr:colOff>525780</xdr:colOff>
          <xdr:row>182</xdr:row>
          <xdr:rowOff>22860</xdr:rowOff>
        </xdr:to>
        <xdr:sp macro="" textlink="">
          <xdr:nvSpPr>
            <xdr:cNvPr id="23575" name="Check Box 23" hidden="1">
              <a:extLst>
                <a:ext uri="{63B3BB69-23CF-44E3-9099-C40C66FF867C}">
                  <a14:compatExt spid="_x0000_s23575"/>
                </a:ext>
                <a:ext uri="{FF2B5EF4-FFF2-40B4-BE49-F238E27FC236}">
                  <a16:creationId xmlns:a16="http://schemas.microsoft.com/office/drawing/2014/main" id="{00000000-0008-0000-0400-00001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144</xdr:row>
          <xdr:rowOff>152400</xdr:rowOff>
        </xdr:from>
        <xdr:to>
          <xdr:col>2</xdr:col>
          <xdr:colOff>525780</xdr:colOff>
          <xdr:row>182</xdr:row>
          <xdr:rowOff>30480</xdr:rowOff>
        </xdr:to>
        <xdr:sp macro="" textlink="">
          <xdr:nvSpPr>
            <xdr:cNvPr id="23576" name="Check Box 24" hidden="1">
              <a:extLst>
                <a:ext uri="{63B3BB69-23CF-44E3-9099-C40C66FF867C}">
                  <a14:compatExt spid="_x0000_s23576"/>
                </a:ext>
                <a:ext uri="{FF2B5EF4-FFF2-40B4-BE49-F238E27FC236}">
                  <a16:creationId xmlns:a16="http://schemas.microsoft.com/office/drawing/2014/main" id="{00000000-0008-0000-0400-00001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146</xdr:row>
          <xdr:rowOff>144780</xdr:rowOff>
        </xdr:from>
        <xdr:to>
          <xdr:col>2</xdr:col>
          <xdr:colOff>525780</xdr:colOff>
          <xdr:row>182</xdr:row>
          <xdr:rowOff>38100</xdr:rowOff>
        </xdr:to>
        <xdr:sp macro="" textlink="">
          <xdr:nvSpPr>
            <xdr:cNvPr id="23577" name="Check Box 25" hidden="1">
              <a:extLst>
                <a:ext uri="{63B3BB69-23CF-44E3-9099-C40C66FF867C}">
                  <a14:compatExt spid="_x0000_s23577"/>
                </a:ext>
                <a:ext uri="{FF2B5EF4-FFF2-40B4-BE49-F238E27FC236}">
                  <a16:creationId xmlns:a16="http://schemas.microsoft.com/office/drawing/2014/main" id="{00000000-0008-0000-0400-00001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148</xdr:row>
          <xdr:rowOff>152400</xdr:rowOff>
        </xdr:from>
        <xdr:to>
          <xdr:col>2</xdr:col>
          <xdr:colOff>525780</xdr:colOff>
          <xdr:row>182</xdr:row>
          <xdr:rowOff>30480</xdr:rowOff>
        </xdr:to>
        <xdr:sp macro="" textlink="">
          <xdr:nvSpPr>
            <xdr:cNvPr id="23578" name="Check Box 26" hidden="1">
              <a:extLst>
                <a:ext uri="{63B3BB69-23CF-44E3-9099-C40C66FF867C}">
                  <a14:compatExt spid="_x0000_s23578"/>
                </a:ext>
                <a:ext uri="{FF2B5EF4-FFF2-40B4-BE49-F238E27FC236}">
                  <a16:creationId xmlns:a16="http://schemas.microsoft.com/office/drawing/2014/main" id="{00000000-0008-0000-0400-00001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150</xdr:row>
          <xdr:rowOff>144780</xdr:rowOff>
        </xdr:from>
        <xdr:to>
          <xdr:col>2</xdr:col>
          <xdr:colOff>525780</xdr:colOff>
          <xdr:row>182</xdr:row>
          <xdr:rowOff>38100</xdr:rowOff>
        </xdr:to>
        <xdr:sp macro="" textlink="">
          <xdr:nvSpPr>
            <xdr:cNvPr id="23579" name="Check Box 27" hidden="1">
              <a:extLst>
                <a:ext uri="{63B3BB69-23CF-44E3-9099-C40C66FF867C}">
                  <a14:compatExt spid="_x0000_s23579"/>
                </a:ext>
                <a:ext uri="{FF2B5EF4-FFF2-40B4-BE49-F238E27FC236}">
                  <a16:creationId xmlns:a16="http://schemas.microsoft.com/office/drawing/2014/main" id="{00000000-0008-0000-0400-00001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152</xdr:row>
          <xdr:rowOff>152400</xdr:rowOff>
        </xdr:from>
        <xdr:to>
          <xdr:col>2</xdr:col>
          <xdr:colOff>525780</xdr:colOff>
          <xdr:row>182</xdr:row>
          <xdr:rowOff>30480</xdr:rowOff>
        </xdr:to>
        <xdr:sp macro="" textlink="">
          <xdr:nvSpPr>
            <xdr:cNvPr id="23580" name="Check Box 28" hidden="1">
              <a:extLst>
                <a:ext uri="{63B3BB69-23CF-44E3-9099-C40C66FF867C}">
                  <a14:compatExt spid="_x0000_s23580"/>
                </a:ext>
                <a:ext uri="{FF2B5EF4-FFF2-40B4-BE49-F238E27FC236}">
                  <a16:creationId xmlns:a16="http://schemas.microsoft.com/office/drawing/2014/main" id="{00000000-0008-0000-0400-00001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154</xdr:row>
          <xdr:rowOff>144780</xdr:rowOff>
        </xdr:from>
        <xdr:to>
          <xdr:col>2</xdr:col>
          <xdr:colOff>525780</xdr:colOff>
          <xdr:row>182</xdr:row>
          <xdr:rowOff>38100</xdr:rowOff>
        </xdr:to>
        <xdr:sp macro="" textlink="">
          <xdr:nvSpPr>
            <xdr:cNvPr id="23581" name="Check Box 29" hidden="1">
              <a:extLst>
                <a:ext uri="{63B3BB69-23CF-44E3-9099-C40C66FF867C}">
                  <a14:compatExt spid="_x0000_s23581"/>
                </a:ext>
                <a:ext uri="{FF2B5EF4-FFF2-40B4-BE49-F238E27FC236}">
                  <a16:creationId xmlns:a16="http://schemas.microsoft.com/office/drawing/2014/main" id="{00000000-0008-0000-0400-00001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156</xdr:row>
          <xdr:rowOff>152400</xdr:rowOff>
        </xdr:from>
        <xdr:to>
          <xdr:col>2</xdr:col>
          <xdr:colOff>525780</xdr:colOff>
          <xdr:row>182</xdr:row>
          <xdr:rowOff>30480</xdr:rowOff>
        </xdr:to>
        <xdr:sp macro="" textlink="">
          <xdr:nvSpPr>
            <xdr:cNvPr id="23582" name="Check Box 30" hidden="1">
              <a:extLst>
                <a:ext uri="{63B3BB69-23CF-44E3-9099-C40C66FF867C}">
                  <a14:compatExt spid="_x0000_s23582"/>
                </a:ext>
                <a:ext uri="{FF2B5EF4-FFF2-40B4-BE49-F238E27FC236}">
                  <a16:creationId xmlns:a16="http://schemas.microsoft.com/office/drawing/2014/main" id="{00000000-0008-0000-0400-00001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158</xdr:row>
          <xdr:rowOff>144780</xdr:rowOff>
        </xdr:from>
        <xdr:to>
          <xdr:col>2</xdr:col>
          <xdr:colOff>525780</xdr:colOff>
          <xdr:row>182</xdr:row>
          <xdr:rowOff>38100</xdr:rowOff>
        </xdr:to>
        <xdr:sp macro="" textlink="">
          <xdr:nvSpPr>
            <xdr:cNvPr id="23583" name="Check Box 31" hidden="1">
              <a:extLst>
                <a:ext uri="{63B3BB69-23CF-44E3-9099-C40C66FF867C}">
                  <a14:compatExt spid="_x0000_s23583"/>
                </a:ext>
                <a:ext uri="{FF2B5EF4-FFF2-40B4-BE49-F238E27FC236}">
                  <a16:creationId xmlns:a16="http://schemas.microsoft.com/office/drawing/2014/main" id="{00000000-0008-0000-0400-00001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160</xdr:row>
          <xdr:rowOff>152400</xdr:rowOff>
        </xdr:from>
        <xdr:to>
          <xdr:col>2</xdr:col>
          <xdr:colOff>525780</xdr:colOff>
          <xdr:row>182</xdr:row>
          <xdr:rowOff>30480</xdr:rowOff>
        </xdr:to>
        <xdr:sp macro="" textlink="">
          <xdr:nvSpPr>
            <xdr:cNvPr id="23584" name="Check Box 32" hidden="1">
              <a:extLst>
                <a:ext uri="{63B3BB69-23CF-44E3-9099-C40C66FF867C}">
                  <a14:compatExt spid="_x0000_s23584"/>
                </a:ext>
                <a:ext uri="{FF2B5EF4-FFF2-40B4-BE49-F238E27FC236}">
                  <a16:creationId xmlns:a16="http://schemas.microsoft.com/office/drawing/2014/main" id="{00000000-0008-0000-0400-00002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162</xdr:row>
          <xdr:rowOff>144780</xdr:rowOff>
        </xdr:from>
        <xdr:to>
          <xdr:col>2</xdr:col>
          <xdr:colOff>525780</xdr:colOff>
          <xdr:row>182</xdr:row>
          <xdr:rowOff>38100</xdr:rowOff>
        </xdr:to>
        <xdr:sp macro="" textlink="">
          <xdr:nvSpPr>
            <xdr:cNvPr id="23585" name="Check Box 33" hidden="1">
              <a:extLst>
                <a:ext uri="{63B3BB69-23CF-44E3-9099-C40C66FF867C}">
                  <a14:compatExt spid="_x0000_s23585"/>
                </a:ext>
                <a:ext uri="{FF2B5EF4-FFF2-40B4-BE49-F238E27FC236}">
                  <a16:creationId xmlns:a16="http://schemas.microsoft.com/office/drawing/2014/main" id="{00000000-0008-0000-0400-00002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164</xdr:row>
          <xdr:rowOff>152400</xdr:rowOff>
        </xdr:from>
        <xdr:to>
          <xdr:col>2</xdr:col>
          <xdr:colOff>525780</xdr:colOff>
          <xdr:row>182</xdr:row>
          <xdr:rowOff>30480</xdr:rowOff>
        </xdr:to>
        <xdr:sp macro="" textlink="">
          <xdr:nvSpPr>
            <xdr:cNvPr id="23586" name="Check Box 34" hidden="1">
              <a:extLst>
                <a:ext uri="{63B3BB69-23CF-44E3-9099-C40C66FF867C}">
                  <a14:compatExt spid="_x0000_s23586"/>
                </a:ext>
                <a:ext uri="{FF2B5EF4-FFF2-40B4-BE49-F238E27FC236}">
                  <a16:creationId xmlns:a16="http://schemas.microsoft.com/office/drawing/2014/main" id="{00000000-0008-0000-0400-00002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166</xdr:row>
          <xdr:rowOff>144780</xdr:rowOff>
        </xdr:from>
        <xdr:to>
          <xdr:col>2</xdr:col>
          <xdr:colOff>525780</xdr:colOff>
          <xdr:row>182</xdr:row>
          <xdr:rowOff>38100</xdr:rowOff>
        </xdr:to>
        <xdr:sp macro="" textlink="">
          <xdr:nvSpPr>
            <xdr:cNvPr id="23587" name="Check Box 35" hidden="1">
              <a:extLst>
                <a:ext uri="{63B3BB69-23CF-44E3-9099-C40C66FF867C}">
                  <a14:compatExt spid="_x0000_s23587"/>
                </a:ext>
                <a:ext uri="{FF2B5EF4-FFF2-40B4-BE49-F238E27FC236}">
                  <a16:creationId xmlns:a16="http://schemas.microsoft.com/office/drawing/2014/main" id="{00000000-0008-0000-0400-00002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168</xdr:row>
          <xdr:rowOff>152400</xdr:rowOff>
        </xdr:from>
        <xdr:to>
          <xdr:col>2</xdr:col>
          <xdr:colOff>525780</xdr:colOff>
          <xdr:row>182</xdr:row>
          <xdr:rowOff>30480</xdr:rowOff>
        </xdr:to>
        <xdr:sp macro="" textlink="">
          <xdr:nvSpPr>
            <xdr:cNvPr id="23588" name="Check Box 36" hidden="1">
              <a:extLst>
                <a:ext uri="{63B3BB69-23CF-44E3-9099-C40C66FF867C}">
                  <a14:compatExt spid="_x0000_s23588"/>
                </a:ext>
                <a:ext uri="{FF2B5EF4-FFF2-40B4-BE49-F238E27FC236}">
                  <a16:creationId xmlns:a16="http://schemas.microsoft.com/office/drawing/2014/main" id="{00000000-0008-0000-0400-00002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170</xdr:row>
          <xdr:rowOff>144780</xdr:rowOff>
        </xdr:from>
        <xdr:to>
          <xdr:col>2</xdr:col>
          <xdr:colOff>525780</xdr:colOff>
          <xdr:row>182</xdr:row>
          <xdr:rowOff>38100</xdr:rowOff>
        </xdr:to>
        <xdr:sp macro="" textlink="">
          <xdr:nvSpPr>
            <xdr:cNvPr id="23589" name="Check Box 37" hidden="1">
              <a:extLst>
                <a:ext uri="{63B3BB69-23CF-44E3-9099-C40C66FF867C}">
                  <a14:compatExt spid="_x0000_s23589"/>
                </a:ext>
                <a:ext uri="{FF2B5EF4-FFF2-40B4-BE49-F238E27FC236}">
                  <a16:creationId xmlns:a16="http://schemas.microsoft.com/office/drawing/2014/main" id="{00000000-0008-0000-0400-00002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172</xdr:row>
          <xdr:rowOff>152400</xdr:rowOff>
        </xdr:from>
        <xdr:to>
          <xdr:col>2</xdr:col>
          <xdr:colOff>525780</xdr:colOff>
          <xdr:row>182</xdr:row>
          <xdr:rowOff>30480</xdr:rowOff>
        </xdr:to>
        <xdr:sp macro="" textlink="">
          <xdr:nvSpPr>
            <xdr:cNvPr id="23590" name="Check Box 38" hidden="1">
              <a:extLst>
                <a:ext uri="{63B3BB69-23CF-44E3-9099-C40C66FF867C}">
                  <a14:compatExt spid="_x0000_s23590"/>
                </a:ext>
                <a:ext uri="{FF2B5EF4-FFF2-40B4-BE49-F238E27FC236}">
                  <a16:creationId xmlns:a16="http://schemas.microsoft.com/office/drawing/2014/main" id="{00000000-0008-0000-0400-00002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174</xdr:row>
          <xdr:rowOff>144780</xdr:rowOff>
        </xdr:from>
        <xdr:to>
          <xdr:col>2</xdr:col>
          <xdr:colOff>525780</xdr:colOff>
          <xdr:row>182</xdr:row>
          <xdr:rowOff>38100</xdr:rowOff>
        </xdr:to>
        <xdr:sp macro="" textlink="">
          <xdr:nvSpPr>
            <xdr:cNvPr id="23591" name="Check Box 39" hidden="1">
              <a:extLst>
                <a:ext uri="{63B3BB69-23CF-44E3-9099-C40C66FF867C}">
                  <a14:compatExt spid="_x0000_s23591"/>
                </a:ext>
                <a:ext uri="{FF2B5EF4-FFF2-40B4-BE49-F238E27FC236}">
                  <a16:creationId xmlns:a16="http://schemas.microsoft.com/office/drawing/2014/main" id="{00000000-0008-0000-0400-00002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176</xdr:row>
          <xdr:rowOff>152400</xdr:rowOff>
        </xdr:from>
        <xdr:to>
          <xdr:col>2</xdr:col>
          <xdr:colOff>525780</xdr:colOff>
          <xdr:row>182</xdr:row>
          <xdr:rowOff>30480</xdr:rowOff>
        </xdr:to>
        <xdr:sp macro="" textlink="">
          <xdr:nvSpPr>
            <xdr:cNvPr id="23592" name="Check Box 40" hidden="1">
              <a:extLst>
                <a:ext uri="{63B3BB69-23CF-44E3-9099-C40C66FF867C}">
                  <a14:compatExt spid="_x0000_s23592"/>
                </a:ext>
                <a:ext uri="{FF2B5EF4-FFF2-40B4-BE49-F238E27FC236}">
                  <a16:creationId xmlns:a16="http://schemas.microsoft.com/office/drawing/2014/main" id="{00000000-0008-0000-0400-00002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178</xdr:row>
          <xdr:rowOff>144780</xdr:rowOff>
        </xdr:from>
        <xdr:to>
          <xdr:col>2</xdr:col>
          <xdr:colOff>525780</xdr:colOff>
          <xdr:row>182</xdr:row>
          <xdr:rowOff>38100</xdr:rowOff>
        </xdr:to>
        <xdr:sp macro="" textlink="">
          <xdr:nvSpPr>
            <xdr:cNvPr id="23593" name="Check Box 41" hidden="1">
              <a:extLst>
                <a:ext uri="{63B3BB69-23CF-44E3-9099-C40C66FF867C}">
                  <a14:compatExt spid="_x0000_s23593"/>
                </a:ext>
                <a:ext uri="{FF2B5EF4-FFF2-40B4-BE49-F238E27FC236}">
                  <a16:creationId xmlns:a16="http://schemas.microsoft.com/office/drawing/2014/main" id="{00000000-0008-0000-0400-00002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182</xdr:row>
          <xdr:rowOff>152400</xdr:rowOff>
        </xdr:from>
        <xdr:to>
          <xdr:col>2</xdr:col>
          <xdr:colOff>525780</xdr:colOff>
          <xdr:row>184</xdr:row>
          <xdr:rowOff>22860</xdr:rowOff>
        </xdr:to>
        <xdr:sp macro="" textlink="">
          <xdr:nvSpPr>
            <xdr:cNvPr id="23594" name="Check Box 42" hidden="1">
              <a:extLst>
                <a:ext uri="{63B3BB69-23CF-44E3-9099-C40C66FF867C}">
                  <a14:compatExt spid="_x0000_s23594"/>
                </a:ext>
                <a:ext uri="{FF2B5EF4-FFF2-40B4-BE49-F238E27FC236}">
                  <a16:creationId xmlns:a16="http://schemas.microsoft.com/office/drawing/2014/main" id="{00000000-0008-0000-0400-00002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197</xdr:row>
          <xdr:rowOff>121920</xdr:rowOff>
        </xdr:from>
        <xdr:to>
          <xdr:col>2</xdr:col>
          <xdr:colOff>525780</xdr:colOff>
          <xdr:row>211</xdr:row>
          <xdr:rowOff>60960</xdr:rowOff>
        </xdr:to>
        <xdr:sp macro="" textlink="">
          <xdr:nvSpPr>
            <xdr:cNvPr id="23595" name="Check Box 43" hidden="1">
              <a:extLst>
                <a:ext uri="{63B3BB69-23CF-44E3-9099-C40C66FF867C}">
                  <a14:compatExt spid="_x0000_s23595"/>
                </a:ext>
                <a:ext uri="{FF2B5EF4-FFF2-40B4-BE49-F238E27FC236}">
                  <a16:creationId xmlns:a16="http://schemas.microsoft.com/office/drawing/2014/main" id="{00000000-0008-0000-0400-00002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185</xdr:row>
          <xdr:rowOff>152400</xdr:rowOff>
        </xdr:from>
        <xdr:to>
          <xdr:col>2</xdr:col>
          <xdr:colOff>525780</xdr:colOff>
          <xdr:row>187</xdr:row>
          <xdr:rowOff>22860</xdr:rowOff>
        </xdr:to>
        <xdr:sp macro="" textlink="">
          <xdr:nvSpPr>
            <xdr:cNvPr id="23596" name="Check Box 44" hidden="1">
              <a:extLst>
                <a:ext uri="{63B3BB69-23CF-44E3-9099-C40C66FF867C}">
                  <a14:compatExt spid="_x0000_s23596"/>
                </a:ext>
                <a:ext uri="{FF2B5EF4-FFF2-40B4-BE49-F238E27FC236}">
                  <a16:creationId xmlns:a16="http://schemas.microsoft.com/office/drawing/2014/main" id="{00000000-0008-0000-0400-00002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188</xdr:row>
          <xdr:rowOff>144780</xdr:rowOff>
        </xdr:from>
        <xdr:to>
          <xdr:col>2</xdr:col>
          <xdr:colOff>525780</xdr:colOff>
          <xdr:row>190</xdr:row>
          <xdr:rowOff>22860</xdr:rowOff>
        </xdr:to>
        <xdr:sp macro="" textlink="">
          <xdr:nvSpPr>
            <xdr:cNvPr id="23597" name="Check Box 45" hidden="1">
              <a:extLst>
                <a:ext uri="{63B3BB69-23CF-44E3-9099-C40C66FF867C}">
                  <a14:compatExt spid="_x0000_s23597"/>
                </a:ext>
                <a:ext uri="{FF2B5EF4-FFF2-40B4-BE49-F238E27FC236}">
                  <a16:creationId xmlns:a16="http://schemas.microsoft.com/office/drawing/2014/main" id="{00000000-0008-0000-0400-00002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191</xdr:row>
          <xdr:rowOff>144780</xdr:rowOff>
        </xdr:from>
        <xdr:to>
          <xdr:col>2</xdr:col>
          <xdr:colOff>525780</xdr:colOff>
          <xdr:row>193</xdr:row>
          <xdr:rowOff>22860</xdr:rowOff>
        </xdr:to>
        <xdr:sp macro="" textlink="">
          <xdr:nvSpPr>
            <xdr:cNvPr id="23598" name="Check Box 46" hidden="1">
              <a:extLst>
                <a:ext uri="{63B3BB69-23CF-44E3-9099-C40C66FF867C}">
                  <a14:compatExt spid="_x0000_s23598"/>
                </a:ext>
                <a:ext uri="{FF2B5EF4-FFF2-40B4-BE49-F238E27FC236}">
                  <a16:creationId xmlns:a16="http://schemas.microsoft.com/office/drawing/2014/main" id="{00000000-0008-0000-0400-00002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194</xdr:row>
          <xdr:rowOff>121920</xdr:rowOff>
        </xdr:from>
        <xdr:to>
          <xdr:col>2</xdr:col>
          <xdr:colOff>533400</xdr:colOff>
          <xdr:row>211</xdr:row>
          <xdr:rowOff>22860</xdr:rowOff>
        </xdr:to>
        <xdr:sp macro="" textlink="">
          <xdr:nvSpPr>
            <xdr:cNvPr id="23599" name="Check Box 47" hidden="1">
              <a:extLst>
                <a:ext uri="{63B3BB69-23CF-44E3-9099-C40C66FF867C}">
                  <a14:compatExt spid="_x0000_s23599"/>
                </a:ext>
                <a:ext uri="{FF2B5EF4-FFF2-40B4-BE49-F238E27FC236}">
                  <a16:creationId xmlns:a16="http://schemas.microsoft.com/office/drawing/2014/main" id="{00000000-0008-0000-0400-00002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206</xdr:row>
          <xdr:rowOff>121920</xdr:rowOff>
        </xdr:from>
        <xdr:to>
          <xdr:col>2</xdr:col>
          <xdr:colOff>533400</xdr:colOff>
          <xdr:row>211</xdr:row>
          <xdr:rowOff>60960</xdr:rowOff>
        </xdr:to>
        <xdr:sp macro="" textlink="">
          <xdr:nvSpPr>
            <xdr:cNvPr id="23600" name="Check Box 48" hidden="1">
              <a:extLst>
                <a:ext uri="{63B3BB69-23CF-44E3-9099-C40C66FF867C}">
                  <a14:compatExt spid="_x0000_s23600"/>
                </a:ext>
                <a:ext uri="{FF2B5EF4-FFF2-40B4-BE49-F238E27FC236}">
                  <a16:creationId xmlns:a16="http://schemas.microsoft.com/office/drawing/2014/main" id="{00000000-0008-0000-0400-00003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200</xdr:row>
          <xdr:rowOff>137160</xdr:rowOff>
        </xdr:from>
        <xdr:to>
          <xdr:col>2</xdr:col>
          <xdr:colOff>525780</xdr:colOff>
          <xdr:row>211</xdr:row>
          <xdr:rowOff>60960</xdr:rowOff>
        </xdr:to>
        <xdr:sp macro="" textlink="">
          <xdr:nvSpPr>
            <xdr:cNvPr id="23601" name="Check Box 49" hidden="1">
              <a:extLst>
                <a:ext uri="{63B3BB69-23CF-44E3-9099-C40C66FF867C}">
                  <a14:compatExt spid="_x0000_s23601"/>
                </a:ext>
                <a:ext uri="{FF2B5EF4-FFF2-40B4-BE49-F238E27FC236}">
                  <a16:creationId xmlns:a16="http://schemas.microsoft.com/office/drawing/2014/main" id="{00000000-0008-0000-0400-00003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203</xdr:row>
          <xdr:rowOff>137160</xdr:rowOff>
        </xdr:from>
        <xdr:to>
          <xdr:col>2</xdr:col>
          <xdr:colOff>533400</xdr:colOff>
          <xdr:row>211</xdr:row>
          <xdr:rowOff>60960</xdr:rowOff>
        </xdr:to>
        <xdr:sp macro="" textlink="">
          <xdr:nvSpPr>
            <xdr:cNvPr id="23602" name="Check Box 50" hidden="1">
              <a:extLst>
                <a:ext uri="{63B3BB69-23CF-44E3-9099-C40C66FF867C}">
                  <a14:compatExt spid="_x0000_s23602"/>
                </a:ext>
                <a:ext uri="{FF2B5EF4-FFF2-40B4-BE49-F238E27FC236}">
                  <a16:creationId xmlns:a16="http://schemas.microsoft.com/office/drawing/2014/main" id="{00000000-0008-0000-0400-00003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42</xdr:row>
          <xdr:rowOff>152400</xdr:rowOff>
        </xdr:from>
        <xdr:to>
          <xdr:col>1</xdr:col>
          <xdr:colOff>198120</xdr:colOff>
          <xdr:row>44</xdr:row>
          <xdr:rowOff>22860</xdr:rowOff>
        </xdr:to>
        <xdr:sp macro="" textlink="">
          <xdr:nvSpPr>
            <xdr:cNvPr id="23606" name="Check Box 54" hidden="1">
              <a:extLst>
                <a:ext uri="{63B3BB69-23CF-44E3-9099-C40C66FF867C}">
                  <a14:compatExt spid="_x0000_s23606"/>
                </a:ext>
                <a:ext uri="{FF2B5EF4-FFF2-40B4-BE49-F238E27FC236}">
                  <a16:creationId xmlns:a16="http://schemas.microsoft.com/office/drawing/2014/main" id="{00000000-0008-0000-0400-00003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69</xdr:row>
          <xdr:rowOff>152400</xdr:rowOff>
        </xdr:from>
        <xdr:to>
          <xdr:col>1</xdr:col>
          <xdr:colOff>213360</xdr:colOff>
          <xdr:row>71</xdr:row>
          <xdr:rowOff>38100</xdr:rowOff>
        </xdr:to>
        <xdr:sp macro="" textlink="">
          <xdr:nvSpPr>
            <xdr:cNvPr id="23607" name="Check Box 55" hidden="1">
              <a:extLst>
                <a:ext uri="{63B3BB69-23CF-44E3-9099-C40C66FF867C}">
                  <a14:compatExt spid="_x0000_s23607"/>
                </a:ext>
                <a:ext uri="{FF2B5EF4-FFF2-40B4-BE49-F238E27FC236}">
                  <a16:creationId xmlns:a16="http://schemas.microsoft.com/office/drawing/2014/main" id="{00000000-0008-0000-0400-00003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144780</xdr:rowOff>
        </xdr:from>
        <xdr:to>
          <xdr:col>1</xdr:col>
          <xdr:colOff>213360</xdr:colOff>
          <xdr:row>44</xdr:row>
          <xdr:rowOff>30480</xdr:rowOff>
        </xdr:to>
        <xdr:sp macro="" textlink="">
          <xdr:nvSpPr>
            <xdr:cNvPr id="23611" name="Check Box 59" hidden="1">
              <a:extLst>
                <a:ext uri="{63B3BB69-23CF-44E3-9099-C40C66FF867C}">
                  <a14:compatExt spid="_x0000_s23611"/>
                </a:ext>
                <a:ext uri="{FF2B5EF4-FFF2-40B4-BE49-F238E27FC236}">
                  <a16:creationId xmlns:a16="http://schemas.microsoft.com/office/drawing/2014/main" id="{00000000-0008-0000-0400-00003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23612" name="Check Box 60" hidden="1">
              <a:extLst>
                <a:ext uri="{63B3BB69-23CF-44E3-9099-C40C66FF867C}">
                  <a14:compatExt spid="_x0000_s23612"/>
                </a:ext>
                <a:ext uri="{FF2B5EF4-FFF2-40B4-BE49-F238E27FC236}">
                  <a16:creationId xmlns:a16="http://schemas.microsoft.com/office/drawing/2014/main" id="{00000000-0008-0000-0400-00003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11</xdr:row>
          <xdr:rowOff>144780</xdr:rowOff>
        </xdr:from>
        <xdr:to>
          <xdr:col>2</xdr:col>
          <xdr:colOff>525780</xdr:colOff>
          <xdr:row>13</xdr:row>
          <xdr:rowOff>22860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5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xdr:row>
          <xdr:rowOff>152400</xdr:rowOff>
        </xdr:from>
        <xdr:to>
          <xdr:col>2</xdr:col>
          <xdr:colOff>525780</xdr:colOff>
          <xdr:row>14</xdr:row>
          <xdr:rowOff>22860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5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xdr:row>
          <xdr:rowOff>144780</xdr:rowOff>
        </xdr:from>
        <xdr:to>
          <xdr:col>2</xdr:col>
          <xdr:colOff>525780</xdr:colOff>
          <xdr:row>16</xdr:row>
          <xdr:rowOff>152400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5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xdr:row>
          <xdr:rowOff>144780</xdr:rowOff>
        </xdr:from>
        <xdr:to>
          <xdr:col>2</xdr:col>
          <xdr:colOff>525780</xdr:colOff>
          <xdr:row>22</xdr:row>
          <xdr:rowOff>22860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5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21</xdr:row>
          <xdr:rowOff>144780</xdr:rowOff>
        </xdr:from>
        <xdr:to>
          <xdr:col>2</xdr:col>
          <xdr:colOff>525780</xdr:colOff>
          <xdr:row>23</xdr:row>
          <xdr:rowOff>22860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5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22</xdr:row>
          <xdr:rowOff>144780</xdr:rowOff>
        </xdr:from>
        <xdr:to>
          <xdr:col>2</xdr:col>
          <xdr:colOff>525780</xdr:colOff>
          <xdr:row>24</xdr:row>
          <xdr:rowOff>22860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5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23</xdr:row>
          <xdr:rowOff>144780</xdr:rowOff>
        </xdr:from>
        <xdr:to>
          <xdr:col>2</xdr:col>
          <xdr:colOff>525780</xdr:colOff>
          <xdr:row>25</xdr:row>
          <xdr:rowOff>22860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5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24</xdr:row>
          <xdr:rowOff>137160</xdr:rowOff>
        </xdr:from>
        <xdr:to>
          <xdr:col>1</xdr:col>
          <xdr:colOff>213360</xdr:colOff>
          <xdr:row>26</xdr:row>
          <xdr:rowOff>22860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5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116</xdr:row>
          <xdr:rowOff>152400</xdr:rowOff>
        </xdr:from>
        <xdr:to>
          <xdr:col>2</xdr:col>
          <xdr:colOff>525780</xdr:colOff>
          <xdr:row>118</xdr:row>
          <xdr:rowOff>22860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5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118</xdr:row>
          <xdr:rowOff>144780</xdr:rowOff>
        </xdr:from>
        <xdr:to>
          <xdr:col>2</xdr:col>
          <xdr:colOff>525780</xdr:colOff>
          <xdr:row>120</xdr:row>
          <xdr:rowOff>22860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5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33</xdr:row>
          <xdr:rowOff>137160</xdr:rowOff>
        </xdr:from>
        <xdr:to>
          <xdr:col>2</xdr:col>
          <xdr:colOff>0</xdr:colOff>
          <xdr:row>35</xdr:row>
          <xdr:rowOff>22860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5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120</xdr:row>
          <xdr:rowOff>152400</xdr:rowOff>
        </xdr:from>
        <xdr:to>
          <xdr:col>2</xdr:col>
          <xdr:colOff>525780</xdr:colOff>
          <xdr:row>122</xdr:row>
          <xdr:rowOff>22860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5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122</xdr:row>
          <xdr:rowOff>144780</xdr:rowOff>
        </xdr:from>
        <xdr:to>
          <xdr:col>2</xdr:col>
          <xdr:colOff>525780</xdr:colOff>
          <xdr:row>124</xdr:row>
          <xdr:rowOff>22860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5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124</xdr:row>
          <xdr:rowOff>152400</xdr:rowOff>
        </xdr:from>
        <xdr:to>
          <xdr:col>2</xdr:col>
          <xdr:colOff>525780</xdr:colOff>
          <xdr:row>126</xdr:row>
          <xdr:rowOff>22860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5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126</xdr:row>
          <xdr:rowOff>144780</xdr:rowOff>
        </xdr:from>
        <xdr:to>
          <xdr:col>2</xdr:col>
          <xdr:colOff>525780</xdr:colOff>
          <xdr:row>128</xdr:row>
          <xdr:rowOff>22860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5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128</xdr:row>
          <xdr:rowOff>152400</xdr:rowOff>
        </xdr:from>
        <xdr:to>
          <xdr:col>2</xdr:col>
          <xdr:colOff>525780</xdr:colOff>
          <xdr:row>130</xdr:row>
          <xdr:rowOff>22860</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5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130</xdr:row>
          <xdr:rowOff>144780</xdr:rowOff>
        </xdr:from>
        <xdr:to>
          <xdr:col>2</xdr:col>
          <xdr:colOff>525780</xdr:colOff>
          <xdr:row>132</xdr:row>
          <xdr:rowOff>0</xdr:rowOff>
        </xdr:to>
        <xdr:sp macro="" textlink="">
          <xdr:nvSpPr>
            <xdr:cNvPr id="24593" name="Check Box 17" hidden="1">
              <a:extLst>
                <a:ext uri="{63B3BB69-23CF-44E3-9099-C40C66FF867C}">
                  <a14:compatExt spid="_x0000_s24593"/>
                </a:ext>
                <a:ext uri="{FF2B5EF4-FFF2-40B4-BE49-F238E27FC236}">
                  <a16:creationId xmlns:a16="http://schemas.microsoft.com/office/drawing/2014/main" id="{00000000-0008-0000-05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132</xdr:row>
          <xdr:rowOff>152400</xdr:rowOff>
        </xdr:from>
        <xdr:to>
          <xdr:col>2</xdr:col>
          <xdr:colOff>525780</xdr:colOff>
          <xdr:row>182</xdr:row>
          <xdr:rowOff>22860</xdr:rowOff>
        </xdr:to>
        <xdr:sp macro="" textlink="">
          <xdr:nvSpPr>
            <xdr:cNvPr id="24594" name="Check Box 18" hidden="1">
              <a:extLst>
                <a:ext uri="{63B3BB69-23CF-44E3-9099-C40C66FF867C}">
                  <a14:compatExt spid="_x0000_s24594"/>
                </a:ext>
                <a:ext uri="{FF2B5EF4-FFF2-40B4-BE49-F238E27FC236}">
                  <a16:creationId xmlns:a16="http://schemas.microsoft.com/office/drawing/2014/main" id="{00000000-0008-0000-05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134</xdr:row>
          <xdr:rowOff>144780</xdr:rowOff>
        </xdr:from>
        <xdr:to>
          <xdr:col>2</xdr:col>
          <xdr:colOff>525780</xdr:colOff>
          <xdr:row>182</xdr:row>
          <xdr:rowOff>45720</xdr:rowOff>
        </xdr:to>
        <xdr:sp macro="" textlink="">
          <xdr:nvSpPr>
            <xdr:cNvPr id="24595" name="Check Box 19" hidden="1">
              <a:extLst>
                <a:ext uri="{63B3BB69-23CF-44E3-9099-C40C66FF867C}">
                  <a14:compatExt spid="_x0000_s24595"/>
                </a:ext>
                <a:ext uri="{FF2B5EF4-FFF2-40B4-BE49-F238E27FC236}">
                  <a16:creationId xmlns:a16="http://schemas.microsoft.com/office/drawing/2014/main" id="{00000000-0008-0000-05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136</xdr:row>
          <xdr:rowOff>152400</xdr:rowOff>
        </xdr:from>
        <xdr:to>
          <xdr:col>2</xdr:col>
          <xdr:colOff>525780</xdr:colOff>
          <xdr:row>182</xdr:row>
          <xdr:rowOff>30480</xdr:rowOff>
        </xdr:to>
        <xdr:sp macro="" textlink="">
          <xdr:nvSpPr>
            <xdr:cNvPr id="24596" name="Check Box 20" hidden="1">
              <a:extLst>
                <a:ext uri="{63B3BB69-23CF-44E3-9099-C40C66FF867C}">
                  <a14:compatExt spid="_x0000_s24596"/>
                </a:ext>
                <a:ext uri="{FF2B5EF4-FFF2-40B4-BE49-F238E27FC236}">
                  <a16:creationId xmlns:a16="http://schemas.microsoft.com/office/drawing/2014/main" id="{00000000-0008-0000-05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138</xdr:row>
          <xdr:rowOff>144780</xdr:rowOff>
        </xdr:from>
        <xdr:to>
          <xdr:col>2</xdr:col>
          <xdr:colOff>525780</xdr:colOff>
          <xdr:row>182</xdr:row>
          <xdr:rowOff>38100</xdr:rowOff>
        </xdr:to>
        <xdr:sp macro="" textlink="">
          <xdr:nvSpPr>
            <xdr:cNvPr id="24597" name="Check Box 21" hidden="1">
              <a:extLst>
                <a:ext uri="{63B3BB69-23CF-44E3-9099-C40C66FF867C}">
                  <a14:compatExt spid="_x0000_s24597"/>
                </a:ext>
                <a:ext uri="{FF2B5EF4-FFF2-40B4-BE49-F238E27FC236}">
                  <a16:creationId xmlns:a16="http://schemas.microsoft.com/office/drawing/2014/main" id="{00000000-0008-0000-05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140</xdr:row>
          <xdr:rowOff>152400</xdr:rowOff>
        </xdr:from>
        <xdr:to>
          <xdr:col>2</xdr:col>
          <xdr:colOff>525780</xdr:colOff>
          <xdr:row>182</xdr:row>
          <xdr:rowOff>30480</xdr:rowOff>
        </xdr:to>
        <xdr:sp macro="" textlink="">
          <xdr:nvSpPr>
            <xdr:cNvPr id="24598" name="Check Box 22" hidden="1">
              <a:extLst>
                <a:ext uri="{63B3BB69-23CF-44E3-9099-C40C66FF867C}">
                  <a14:compatExt spid="_x0000_s24598"/>
                </a:ext>
                <a:ext uri="{FF2B5EF4-FFF2-40B4-BE49-F238E27FC236}">
                  <a16:creationId xmlns:a16="http://schemas.microsoft.com/office/drawing/2014/main" id="{00000000-0008-0000-0500-00001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142</xdr:row>
          <xdr:rowOff>144780</xdr:rowOff>
        </xdr:from>
        <xdr:to>
          <xdr:col>2</xdr:col>
          <xdr:colOff>525780</xdr:colOff>
          <xdr:row>182</xdr:row>
          <xdr:rowOff>22860</xdr:rowOff>
        </xdr:to>
        <xdr:sp macro="" textlink="">
          <xdr:nvSpPr>
            <xdr:cNvPr id="24599" name="Check Box 23" hidden="1">
              <a:extLst>
                <a:ext uri="{63B3BB69-23CF-44E3-9099-C40C66FF867C}">
                  <a14:compatExt spid="_x0000_s24599"/>
                </a:ext>
                <a:ext uri="{FF2B5EF4-FFF2-40B4-BE49-F238E27FC236}">
                  <a16:creationId xmlns:a16="http://schemas.microsoft.com/office/drawing/2014/main" id="{00000000-0008-0000-0500-00001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144</xdr:row>
          <xdr:rowOff>152400</xdr:rowOff>
        </xdr:from>
        <xdr:to>
          <xdr:col>2</xdr:col>
          <xdr:colOff>525780</xdr:colOff>
          <xdr:row>182</xdr:row>
          <xdr:rowOff>30480</xdr:rowOff>
        </xdr:to>
        <xdr:sp macro="" textlink="">
          <xdr:nvSpPr>
            <xdr:cNvPr id="24600" name="Check Box 24" hidden="1">
              <a:extLst>
                <a:ext uri="{63B3BB69-23CF-44E3-9099-C40C66FF867C}">
                  <a14:compatExt spid="_x0000_s24600"/>
                </a:ext>
                <a:ext uri="{FF2B5EF4-FFF2-40B4-BE49-F238E27FC236}">
                  <a16:creationId xmlns:a16="http://schemas.microsoft.com/office/drawing/2014/main" id="{00000000-0008-0000-05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146</xdr:row>
          <xdr:rowOff>144780</xdr:rowOff>
        </xdr:from>
        <xdr:to>
          <xdr:col>2</xdr:col>
          <xdr:colOff>525780</xdr:colOff>
          <xdr:row>182</xdr:row>
          <xdr:rowOff>38100</xdr:rowOff>
        </xdr:to>
        <xdr:sp macro="" textlink="">
          <xdr:nvSpPr>
            <xdr:cNvPr id="24601" name="Check Box 25" hidden="1">
              <a:extLst>
                <a:ext uri="{63B3BB69-23CF-44E3-9099-C40C66FF867C}">
                  <a14:compatExt spid="_x0000_s24601"/>
                </a:ext>
                <a:ext uri="{FF2B5EF4-FFF2-40B4-BE49-F238E27FC236}">
                  <a16:creationId xmlns:a16="http://schemas.microsoft.com/office/drawing/2014/main" id="{00000000-0008-0000-05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148</xdr:row>
          <xdr:rowOff>152400</xdr:rowOff>
        </xdr:from>
        <xdr:to>
          <xdr:col>2</xdr:col>
          <xdr:colOff>525780</xdr:colOff>
          <xdr:row>182</xdr:row>
          <xdr:rowOff>30480</xdr:rowOff>
        </xdr:to>
        <xdr:sp macro="" textlink="">
          <xdr:nvSpPr>
            <xdr:cNvPr id="24602" name="Check Box 26" hidden="1">
              <a:extLst>
                <a:ext uri="{63B3BB69-23CF-44E3-9099-C40C66FF867C}">
                  <a14:compatExt spid="_x0000_s24602"/>
                </a:ext>
                <a:ext uri="{FF2B5EF4-FFF2-40B4-BE49-F238E27FC236}">
                  <a16:creationId xmlns:a16="http://schemas.microsoft.com/office/drawing/2014/main" id="{00000000-0008-0000-05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150</xdr:row>
          <xdr:rowOff>144780</xdr:rowOff>
        </xdr:from>
        <xdr:to>
          <xdr:col>2</xdr:col>
          <xdr:colOff>525780</xdr:colOff>
          <xdr:row>182</xdr:row>
          <xdr:rowOff>38100</xdr:rowOff>
        </xdr:to>
        <xdr:sp macro="" textlink="">
          <xdr:nvSpPr>
            <xdr:cNvPr id="24603" name="Check Box 27" hidden="1">
              <a:extLst>
                <a:ext uri="{63B3BB69-23CF-44E3-9099-C40C66FF867C}">
                  <a14:compatExt spid="_x0000_s24603"/>
                </a:ext>
                <a:ext uri="{FF2B5EF4-FFF2-40B4-BE49-F238E27FC236}">
                  <a16:creationId xmlns:a16="http://schemas.microsoft.com/office/drawing/2014/main" id="{00000000-0008-0000-05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152</xdr:row>
          <xdr:rowOff>152400</xdr:rowOff>
        </xdr:from>
        <xdr:to>
          <xdr:col>2</xdr:col>
          <xdr:colOff>525780</xdr:colOff>
          <xdr:row>182</xdr:row>
          <xdr:rowOff>30480</xdr:rowOff>
        </xdr:to>
        <xdr:sp macro="" textlink="">
          <xdr:nvSpPr>
            <xdr:cNvPr id="24604" name="Check Box 28" hidden="1">
              <a:extLst>
                <a:ext uri="{63B3BB69-23CF-44E3-9099-C40C66FF867C}">
                  <a14:compatExt spid="_x0000_s24604"/>
                </a:ext>
                <a:ext uri="{FF2B5EF4-FFF2-40B4-BE49-F238E27FC236}">
                  <a16:creationId xmlns:a16="http://schemas.microsoft.com/office/drawing/2014/main" id="{00000000-0008-0000-05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154</xdr:row>
          <xdr:rowOff>144780</xdr:rowOff>
        </xdr:from>
        <xdr:to>
          <xdr:col>2</xdr:col>
          <xdr:colOff>525780</xdr:colOff>
          <xdr:row>182</xdr:row>
          <xdr:rowOff>38100</xdr:rowOff>
        </xdr:to>
        <xdr:sp macro="" textlink="">
          <xdr:nvSpPr>
            <xdr:cNvPr id="24605" name="Check Box 29" hidden="1">
              <a:extLst>
                <a:ext uri="{63B3BB69-23CF-44E3-9099-C40C66FF867C}">
                  <a14:compatExt spid="_x0000_s24605"/>
                </a:ext>
                <a:ext uri="{FF2B5EF4-FFF2-40B4-BE49-F238E27FC236}">
                  <a16:creationId xmlns:a16="http://schemas.microsoft.com/office/drawing/2014/main" id="{00000000-0008-0000-0500-00001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156</xdr:row>
          <xdr:rowOff>152400</xdr:rowOff>
        </xdr:from>
        <xdr:to>
          <xdr:col>2</xdr:col>
          <xdr:colOff>525780</xdr:colOff>
          <xdr:row>182</xdr:row>
          <xdr:rowOff>30480</xdr:rowOff>
        </xdr:to>
        <xdr:sp macro="" textlink="">
          <xdr:nvSpPr>
            <xdr:cNvPr id="24606" name="Check Box 30" hidden="1">
              <a:extLst>
                <a:ext uri="{63B3BB69-23CF-44E3-9099-C40C66FF867C}">
                  <a14:compatExt spid="_x0000_s24606"/>
                </a:ext>
                <a:ext uri="{FF2B5EF4-FFF2-40B4-BE49-F238E27FC236}">
                  <a16:creationId xmlns:a16="http://schemas.microsoft.com/office/drawing/2014/main" id="{00000000-0008-0000-0500-00001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158</xdr:row>
          <xdr:rowOff>144780</xdr:rowOff>
        </xdr:from>
        <xdr:to>
          <xdr:col>2</xdr:col>
          <xdr:colOff>525780</xdr:colOff>
          <xdr:row>182</xdr:row>
          <xdr:rowOff>38100</xdr:rowOff>
        </xdr:to>
        <xdr:sp macro="" textlink="">
          <xdr:nvSpPr>
            <xdr:cNvPr id="24607" name="Check Box 31" hidden="1">
              <a:extLst>
                <a:ext uri="{63B3BB69-23CF-44E3-9099-C40C66FF867C}">
                  <a14:compatExt spid="_x0000_s24607"/>
                </a:ext>
                <a:ext uri="{FF2B5EF4-FFF2-40B4-BE49-F238E27FC236}">
                  <a16:creationId xmlns:a16="http://schemas.microsoft.com/office/drawing/2014/main" id="{00000000-0008-0000-0500-00001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160</xdr:row>
          <xdr:rowOff>152400</xdr:rowOff>
        </xdr:from>
        <xdr:to>
          <xdr:col>2</xdr:col>
          <xdr:colOff>525780</xdr:colOff>
          <xdr:row>182</xdr:row>
          <xdr:rowOff>30480</xdr:rowOff>
        </xdr:to>
        <xdr:sp macro="" textlink="">
          <xdr:nvSpPr>
            <xdr:cNvPr id="24608" name="Check Box 32" hidden="1">
              <a:extLst>
                <a:ext uri="{63B3BB69-23CF-44E3-9099-C40C66FF867C}">
                  <a14:compatExt spid="_x0000_s24608"/>
                </a:ext>
                <a:ext uri="{FF2B5EF4-FFF2-40B4-BE49-F238E27FC236}">
                  <a16:creationId xmlns:a16="http://schemas.microsoft.com/office/drawing/2014/main" id="{00000000-0008-0000-0500-00002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162</xdr:row>
          <xdr:rowOff>144780</xdr:rowOff>
        </xdr:from>
        <xdr:to>
          <xdr:col>2</xdr:col>
          <xdr:colOff>525780</xdr:colOff>
          <xdr:row>182</xdr:row>
          <xdr:rowOff>38100</xdr:rowOff>
        </xdr:to>
        <xdr:sp macro="" textlink="">
          <xdr:nvSpPr>
            <xdr:cNvPr id="24609" name="Check Box 33" hidden="1">
              <a:extLst>
                <a:ext uri="{63B3BB69-23CF-44E3-9099-C40C66FF867C}">
                  <a14:compatExt spid="_x0000_s24609"/>
                </a:ext>
                <a:ext uri="{FF2B5EF4-FFF2-40B4-BE49-F238E27FC236}">
                  <a16:creationId xmlns:a16="http://schemas.microsoft.com/office/drawing/2014/main" id="{00000000-0008-0000-0500-00002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164</xdr:row>
          <xdr:rowOff>152400</xdr:rowOff>
        </xdr:from>
        <xdr:to>
          <xdr:col>2</xdr:col>
          <xdr:colOff>525780</xdr:colOff>
          <xdr:row>182</xdr:row>
          <xdr:rowOff>30480</xdr:rowOff>
        </xdr:to>
        <xdr:sp macro="" textlink="">
          <xdr:nvSpPr>
            <xdr:cNvPr id="24610" name="Check Box 34" hidden="1">
              <a:extLst>
                <a:ext uri="{63B3BB69-23CF-44E3-9099-C40C66FF867C}">
                  <a14:compatExt spid="_x0000_s24610"/>
                </a:ext>
                <a:ext uri="{FF2B5EF4-FFF2-40B4-BE49-F238E27FC236}">
                  <a16:creationId xmlns:a16="http://schemas.microsoft.com/office/drawing/2014/main" id="{00000000-0008-0000-0500-00002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166</xdr:row>
          <xdr:rowOff>144780</xdr:rowOff>
        </xdr:from>
        <xdr:to>
          <xdr:col>2</xdr:col>
          <xdr:colOff>525780</xdr:colOff>
          <xdr:row>182</xdr:row>
          <xdr:rowOff>38100</xdr:rowOff>
        </xdr:to>
        <xdr:sp macro="" textlink="">
          <xdr:nvSpPr>
            <xdr:cNvPr id="24611" name="Check Box 35" hidden="1">
              <a:extLst>
                <a:ext uri="{63B3BB69-23CF-44E3-9099-C40C66FF867C}">
                  <a14:compatExt spid="_x0000_s24611"/>
                </a:ext>
                <a:ext uri="{FF2B5EF4-FFF2-40B4-BE49-F238E27FC236}">
                  <a16:creationId xmlns:a16="http://schemas.microsoft.com/office/drawing/2014/main" id="{00000000-0008-0000-0500-00002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168</xdr:row>
          <xdr:rowOff>152400</xdr:rowOff>
        </xdr:from>
        <xdr:to>
          <xdr:col>2</xdr:col>
          <xdr:colOff>525780</xdr:colOff>
          <xdr:row>182</xdr:row>
          <xdr:rowOff>30480</xdr:rowOff>
        </xdr:to>
        <xdr:sp macro="" textlink="">
          <xdr:nvSpPr>
            <xdr:cNvPr id="24612" name="Check Box 36" hidden="1">
              <a:extLst>
                <a:ext uri="{63B3BB69-23CF-44E3-9099-C40C66FF867C}">
                  <a14:compatExt spid="_x0000_s24612"/>
                </a:ext>
                <a:ext uri="{FF2B5EF4-FFF2-40B4-BE49-F238E27FC236}">
                  <a16:creationId xmlns:a16="http://schemas.microsoft.com/office/drawing/2014/main" id="{00000000-0008-0000-0500-00002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170</xdr:row>
          <xdr:rowOff>144780</xdr:rowOff>
        </xdr:from>
        <xdr:to>
          <xdr:col>2</xdr:col>
          <xdr:colOff>525780</xdr:colOff>
          <xdr:row>182</xdr:row>
          <xdr:rowOff>38100</xdr:rowOff>
        </xdr:to>
        <xdr:sp macro="" textlink="">
          <xdr:nvSpPr>
            <xdr:cNvPr id="24613" name="Check Box 37" hidden="1">
              <a:extLst>
                <a:ext uri="{63B3BB69-23CF-44E3-9099-C40C66FF867C}">
                  <a14:compatExt spid="_x0000_s24613"/>
                </a:ext>
                <a:ext uri="{FF2B5EF4-FFF2-40B4-BE49-F238E27FC236}">
                  <a16:creationId xmlns:a16="http://schemas.microsoft.com/office/drawing/2014/main" id="{00000000-0008-0000-0500-00002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172</xdr:row>
          <xdr:rowOff>152400</xdr:rowOff>
        </xdr:from>
        <xdr:to>
          <xdr:col>2</xdr:col>
          <xdr:colOff>525780</xdr:colOff>
          <xdr:row>182</xdr:row>
          <xdr:rowOff>30480</xdr:rowOff>
        </xdr:to>
        <xdr:sp macro="" textlink="">
          <xdr:nvSpPr>
            <xdr:cNvPr id="24614" name="Check Box 38" hidden="1">
              <a:extLst>
                <a:ext uri="{63B3BB69-23CF-44E3-9099-C40C66FF867C}">
                  <a14:compatExt spid="_x0000_s24614"/>
                </a:ext>
                <a:ext uri="{FF2B5EF4-FFF2-40B4-BE49-F238E27FC236}">
                  <a16:creationId xmlns:a16="http://schemas.microsoft.com/office/drawing/2014/main" id="{00000000-0008-0000-0500-00002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174</xdr:row>
          <xdr:rowOff>144780</xdr:rowOff>
        </xdr:from>
        <xdr:to>
          <xdr:col>2</xdr:col>
          <xdr:colOff>525780</xdr:colOff>
          <xdr:row>182</xdr:row>
          <xdr:rowOff>38100</xdr:rowOff>
        </xdr:to>
        <xdr:sp macro="" textlink="">
          <xdr:nvSpPr>
            <xdr:cNvPr id="24615" name="Check Box 39" hidden="1">
              <a:extLst>
                <a:ext uri="{63B3BB69-23CF-44E3-9099-C40C66FF867C}">
                  <a14:compatExt spid="_x0000_s24615"/>
                </a:ext>
                <a:ext uri="{FF2B5EF4-FFF2-40B4-BE49-F238E27FC236}">
                  <a16:creationId xmlns:a16="http://schemas.microsoft.com/office/drawing/2014/main" id="{00000000-0008-0000-0500-00002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176</xdr:row>
          <xdr:rowOff>152400</xdr:rowOff>
        </xdr:from>
        <xdr:to>
          <xdr:col>2</xdr:col>
          <xdr:colOff>525780</xdr:colOff>
          <xdr:row>182</xdr:row>
          <xdr:rowOff>30480</xdr:rowOff>
        </xdr:to>
        <xdr:sp macro="" textlink="">
          <xdr:nvSpPr>
            <xdr:cNvPr id="24616" name="Check Box 40" hidden="1">
              <a:extLst>
                <a:ext uri="{63B3BB69-23CF-44E3-9099-C40C66FF867C}">
                  <a14:compatExt spid="_x0000_s24616"/>
                </a:ext>
                <a:ext uri="{FF2B5EF4-FFF2-40B4-BE49-F238E27FC236}">
                  <a16:creationId xmlns:a16="http://schemas.microsoft.com/office/drawing/2014/main" id="{00000000-0008-0000-0500-00002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178</xdr:row>
          <xdr:rowOff>144780</xdr:rowOff>
        </xdr:from>
        <xdr:to>
          <xdr:col>2</xdr:col>
          <xdr:colOff>525780</xdr:colOff>
          <xdr:row>182</xdr:row>
          <xdr:rowOff>38100</xdr:rowOff>
        </xdr:to>
        <xdr:sp macro="" textlink="">
          <xdr:nvSpPr>
            <xdr:cNvPr id="24617" name="Check Box 41" hidden="1">
              <a:extLst>
                <a:ext uri="{63B3BB69-23CF-44E3-9099-C40C66FF867C}">
                  <a14:compatExt spid="_x0000_s24617"/>
                </a:ext>
                <a:ext uri="{FF2B5EF4-FFF2-40B4-BE49-F238E27FC236}">
                  <a16:creationId xmlns:a16="http://schemas.microsoft.com/office/drawing/2014/main" id="{00000000-0008-0000-0500-00002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182</xdr:row>
          <xdr:rowOff>152400</xdr:rowOff>
        </xdr:from>
        <xdr:to>
          <xdr:col>2</xdr:col>
          <xdr:colOff>525780</xdr:colOff>
          <xdr:row>184</xdr:row>
          <xdr:rowOff>22860</xdr:rowOff>
        </xdr:to>
        <xdr:sp macro="" textlink="">
          <xdr:nvSpPr>
            <xdr:cNvPr id="24618" name="Check Box 42" hidden="1">
              <a:extLst>
                <a:ext uri="{63B3BB69-23CF-44E3-9099-C40C66FF867C}">
                  <a14:compatExt spid="_x0000_s24618"/>
                </a:ext>
                <a:ext uri="{FF2B5EF4-FFF2-40B4-BE49-F238E27FC236}">
                  <a16:creationId xmlns:a16="http://schemas.microsoft.com/office/drawing/2014/main" id="{00000000-0008-0000-0500-00002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197</xdr:row>
          <xdr:rowOff>121920</xdr:rowOff>
        </xdr:from>
        <xdr:to>
          <xdr:col>2</xdr:col>
          <xdr:colOff>525780</xdr:colOff>
          <xdr:row>211</xdr:row>
          <xdr:rowOff>60960</xdr:rowOff>
        </xdr:to>
        <xdr:sp macro="" textlink="">
          <xdr:nvSpPr>
            <xdr:cNvPr id="24619" name="Check Box 43" hidden="1">
              <a:extLst>
                <a:ext uri="{63B3BB69-23CF-44E3-9099-C40C66FF867C}">
                  <a14:compatExt spid="_x0000_s24619"/>
                </a:ext>
                <a:ext uri="{FF2B5EF4-FFF2-40B4-BE49-F238E27FC236}">
                  <a16:creationId xmlns:a16="http://schemas.microsoft.com/office/drawing/2014/main" id="{00000000-0008-0000-0500-00002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185</xdr:row>
          <xdr:rowOff>152400</xdr:rowOff>
        </xdr:from>
        <xdr:to>
          <xdr:col>2</xdr:col>
          <xdr:colOff>525780</xdr:colOff>
          <xdr:row>187</xdr:row>
          <xdr:rowOff>22860</xdr:rowOff>
        </xdr:to>
        <xdr:sp macro="" textlink="">
          <xdr:nvSpPr>
            <xdr:cNvPr id="24620" name="Check Box 44" hidden="1">
              <a:extLst>
                <a:ext uri="{63B3BB69-23CF-44E3-9099-C40C66FF867C}">
                  <a14:compatExt spid="_x0000_s24620"/>
                </a:ext>
                <a:ext uri="{FF2B5EF4-FFF2-40B4-BE49-F238E27FC236}">
                  <a16:creationId xmlns:a16="http://schemas.microsoft.com/office/drawing/2014/main" id="{00000000-0008-0000-0500-00002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188</xdr:row>
          <xdr:rowOff>144780</xdr:rowOff>
        </xdr:from>
        <xdr:to>
          <xdr:col>2</xdr:col>
          <xdr:colOff>525780</xdr:colOff>
          <xdr:row>190</xdr:row>
          <xdr:rowOff>22860</xdr:rowOff>
        </xdr:to>
        <xdr:sp macro="" textlink="">
          <xdr:nvSpPr>
            <xdr:cNvPr id="24621" name="Check Box 45" hidden="1">
              <a:extLst>
                <a:ext uri="{63B3BB69-23CF-44E3-9099-C40C66FF867C}">
                  <a14:compatExt spid="_x0000_s24621"/>
                </a:ext>
                <a:ext uri="{FF2B5EF4-FFF2-40B4-BE49-F238E27FC236}">
                  <a16:creationId xmlns:a16="http://schemas.microsoft.com/office/drawing/2014/main" id="{00000000-0008-0000-0500-00002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191</xdr:row>
          <xdr:rowOff>144780</xdr:rowOff>
        </xdr:from>
        <xdr:to>
          <xdr:col>2</xdr:col>
          <xdr:colOff>525780</xdr:colOff>
          <xdr:row>193</xdr:row>
          <xdr:rowOff>22860</xdr:rowOff>
        </xdr:to>
        <xdr:sp macro="" textlink="">
          <xdr:nvSpPr>
            <xdr:cNvPr id="24622" name="Check Box 46" hidden="1">
              <a:extLst>
                <a:ext uri="{63B3BB69-23CF-44E3-9099-C40C66FF867C}">
                  <a14:compatExt spid="_x0000_s24622"/>
                </a:ext>
                <a:ext uri="{FF2B5EF4-FFF2-40B4-BE49-F238E27FC236}">
                  <a16:creationId xmlns:a16="http://schemas.microsoft.com/office/drawing/2014/main" id="{00000000-0008-0000-0500-00002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194</xdr:row>
          <xdr:rowOff>121920</xdr:rowOff>
        </xdr:from>
        <xdr:to>
          <xdr:col>2</xdr:col>
          <xdr:colOff>533400</xdr:colOff>
          <xdr:row>211</xdr:row>
          <xdr:rowOff>22860</xdr:rowOff>
        </xdr:to>
        <xdr:sp macro="" textlink="">
          <xdr:nvSpPr>
            <xdr:cNvPr id="24623" name="Check Box 47" hidden="1">
              <a:extLst>
                <a:ext uri="{63B3BB69-23CF-44E3-9099-C40C66FF867C}">
                  <a14:compatExt spid="_x0000_s24623"/>
                </a:ext>
                <a:ext uri="{FF2B5EF4-FFF2-40B4-BE49-F238E27FC236}">
                  <a16:creationId xmlns:a16="http://schemas.microsoft.com/office/drawing/2014/main" id="{00000000-0008-0000-0500-00002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206</xdr:row>
          <xdr:rowOff>121920</xdr:rowOff>
        </xdr:from>
        <xdr:to>
          <xdr:col>2</xdr:col>
          <xdr:colOff>525780</xdr:colOff>
          <xdr:row>211</xdr:row>
          <xdr:rowOff>60960</xdr:rowOff>
        </xdr:to>
        <xdr:sp macro="" textlink="">
          <xdr:nvSpPr>
            <xdr:cNvPr id="24624" name="Check Box 48" hidden="1">
              <a:extLst>
                <a:ext uri="{63B3BB69-23CF-44E3-9099-C40C66FF867C}">
                  <a14:compatExt spid="_x0000_s24624"/>
                </a:ext>
                <a:ext uri="{FF2B5EF4-FFF2-40B4-BE49-F238E27FC236}">
                  <a16:creationId xmlns:a16="http://schemas.microsoft.com/office/drawing/2014/main" id="{00000000-0008-0000-0500-00003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200</xdr:row>
          <xdr:rowOff>137160</xdr:rowOff>
        </xdr:from>
        <xdr:to>
          <xdr:col>2</xdr:col>
          <xdr:colOff>525780</xdr:colOff>
          <xdr:row>211</xdr:row>
          <xdr:rowOff>60960</xdr:rowOff>
        </xdr:to>
        <xdr:sp macro="" textlink="">
          <xdr:nvSpPr>
            <xdr:cNvPr id="24625" name="Check Box 49" hidden="1">
              <a:extLst>
                <a:ext uri="{63B3BB69-23CF-44E3-9099-C40C66FF867C}">
                  <a14:compatExt spid="_x0000_s24625"/>
                </a:ext>
                <a:ext uri="{FF2B5EF4-FFF2-40B4-BE49-F238E27FC236}">
                  <a16:creationId xmlns:a16="http://schemas.microsoft.com/office/drawing/2014/main" id="{00000000-0008-0000-0500-00003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203</xdr:row>
          <xdr:rowOff>121920</xdr:rowOff>
        </xdr:from>
        <xdr:to>
          <xdr:col>2</xdr:col>
          <xdr:colOff>533400</xdr:colOff>
          <xdr:row>211</xdr:row>
          <xdr:rowOff>60960</xdr:rowOff>
        </xdr:to>
        <xdr:sp macro="" textlink="">
          <xdr:nvSpPr>
            <xdr:cNvPr id="24626" name="Check Box 50" hidden="1">
              <a:extLst>
                <a:ext uri="{63B3BB69-23CF-44E3-9099-C40C66FF867C}">
                  <a14:compatExt spid="_x0000_s24626"/>
                </a:ext>
                <a:ext uri="{FF2B5EF4-FFF2-40B4-BE49-F238E27FC236}">
                  <a16:creationId xmlns:a16="http://schemas.microsoft.com/office/drawing/2014/main" id="{00000000-0008-0000-0500-00003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152400</xdr:rowOff>
        </xdr:from>
        <xdr:to>
          <xdr:col>1</xdr:col>
          <xdr:colOff>213360</xdr:colOff>
          <xdr:row>44</xdr:row>
          <xdr:rowOff>22860</xdr:rowOff>
        </xdr:to>
        <xdr:sp macro="" textlink="">
          <xdr:nvSpPr>
            <xdr:cNvPr id="24630" name="Check Box 54" hidden="1">
              <a:extLst>
                <a:ext uri="{63B3BB69-23CF-44E3-9099-C40C66FF867C}">
                  <a14:compatExt spid="_x0000_s24630"/>
                </a:ext>
                <a:ext uri="{FF2B5EF4-FFF2-40B4-BE49-F238E27FC236}">
                  <a16:creationId xmlns:a16="http://schemas.microsoft.com/office/drawing/2014/main" id="{00000000-0008-0000-0500-00003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24631" name="Check Box 55" hidden="1">
              <a:extLst>
                <a:ext uri="{63B3BB69-23CF-44E3-9099-C40C66FF867C}">
                  <a14:compatExt spid="_x0000_s24631"/>
                </a:ext>
                <a:ext uri="{FF2B5EF4-FFF2-40B4-BE49-F238E27FC236}">
                  <a16:creationId xmlns:a16="http://schemas.microsoft.com/office/drawing/2014/main" id="{00000000-0008-0000-0500-00003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144780</xdr:rowOff>
        </xdr:from>
        <xdr:to>
          <xdr:col>1</xdr:col>
          <xdr:colOff>213360</xdr:colOff>
          <xdr:row>44</xdr:row>
          <xdr:rowOff>30480</xdr:rowOff>
        </xdr:to>
        <xdr:sp macro="" textlink="">
          <xdr:nvSpPr>
            <xdr:cNvPr id="24635" name="Check Box 59" hidden="1">
              <a:extLst>
                <a:ext uri="{63B3BB69-23CF-44E3-9099-C40C66FF867C}">
                  <a14:compatExt spid="_x0000_s24635"/>
                </a:ext>
                <a:ext uri="{FF2B5EF4-FFF2-40B4-BE49-F238E27FC236}">
                  <a16:creationId xmlns:a16="http://schemas.microsoft.com/office/drawing/2014/main" id="{00000000-0008-0000-0500-00003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24636" name="Check Box 60" hidden="1">
              <a:extLst>
                <a:ext uri="{63B3BB69-23CF-44E3-9099-C40C66FF867C}">
                  <a14:compatExt spid="_x0000_s24636"/>
                </a:ext>
                <a:ext uri="{FF2B5EF4-FFF2-40B4-BE49-F238E27FC236}">
                  <a16:creationId xmlns:a16="http://schemas.microsoft.com/office/drawing/2014/main" id="{00000000-0008-0000-0500-00003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11</xdr:row>
          <xdr:rowOff>144780</xdr:rowOff>
        </xdr:from>
        <xdr:to>
          <xdr:col>2</xdr:col>
          <xdr:colOff>525780</xdr:colOff>
          <xdr:row>13</xdr:row>
          <xdr:rowOff>22860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0600-00000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xdr:row>
          <xdr:rowOff>152400</xdr:rowOff>
        </xdr:from>
        <xdr:to>
          <xdr:col>2</xdr:col>
          <xdr:colOff>525780</xdr:colOff>
          <xdr:row>14</xdr:row>
          <xdr:rowOff>22860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0600-00000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xdr:row>
          <xdr:rowOff>144780</xdr:rowOff>
        </xdr:from>
        <xdr:to>
          <xdr:col>2</xdr:col>
          <xdr:colOff>525780</xdr:colOff>
          <xdr:row>16</xdr:row>
          <xdr:rowOff>152400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0600-00000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xdr:row>
          <xdr:rowOff>144780</xdr:rowOff>
        </xdr:from>
        <xdr:to>
          <xdr:col>2</xdr:col>
          <xdr:colOff>525780</xdr:colOff>
          <xdr:row>22</xdr:row>
          <xdr:rowOff>22860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0600-00000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21</xdr:row>
          <xdr:rowOff>144780</xdr:rowOff>
        </xdr:from>
        <xdr:to>
          <xdr:col>2</xdr:col>
          <xdr:colOff>525780</xdr:colOff>
          <xdr:row>23</xdr:row>
          <xdr:rowOff>22860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0600-00000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22</xdr:row>
          <xdr:rowOff>144780</xdr:rowOff>
        </xdr:from>
        <xdr:to>
          <xdr:col>2</xdr:col>
          <xdr:colOff>525780</xdr:colOff>
          <xdr:row>24</xdr:row>
          <xdr:rowOff>22860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0600-00000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23</xdr:row>
          <xdr:rowOff>144780</xdr:rowOff>
        </xdr:from>
        <xdr:to>
          <xdr:col>2</xdr:col>
          <xdr:colOff>525780</xdr:colOff>
          <xdr:row>25</xdr:row>
          <xdr:rowOff>22860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0600-00000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24</xdr:row>
          <xdr:rowOff>137160</xdr:rowOff>
        </xdr:from>
        <xdr:to>
          <xdr:col>1</xdr:col>
          <xdr:colOff>213360</xdr:colOff>
          <xdr:row>26</xdr:row>
          <xdr:rowOff>22860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0600-00000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116</xdr:row>
          <xdr:rowOff>152400</xdr:rowOff>
        </xdr:from>
        <xdr:to>
          <xdr:col>2</xdr:col>
          <xdr:colOff>525780</xdr:colOff>
          <xdr:row>118</xdr:row>
          <xdr:rowOff>22860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0600-00000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118</xdr:row>
          <xdr:rowOff>144780</xdr:rowOff>
        </xdr:from>
        <xdr:to>
          <xdr:col>2</xdr:col>
          <xdr:colOff>525780</xdr:colOff>
          <xdr:row>120</xdr:row>
          <xdr:rowOff>22860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0600-00000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33</xdr:row>
          <xdr:rowOff>137160</xdr:rowOff>
        </xdr:from>
        <xdr:to>
          <xdr:col>2</xdr:col>
          <xdr:colOff>0</xdr:colOff>
          <xdr:row>35</xdr:row>
          <xdr:rowOff>22860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0600-00000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120</xdr:row>
          <xdr:rowOff>152400</xdr:rowOff>
        </xdr:from>
        <xdr:to>
          <xdr:col>2</xdr:col>
          <xdr:colOff>525780</xdr:colOff>
          <xdr:row>122</xdr:row>
          <xdr:rowOff>22860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0600-00000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122</xdr:row>
          <xdr:rowOff>144780</xdr:rowOff>
        </xdr:from>
        <xdr:to>
          <xdr:col>2</xdr:col>
          <xdr:colOff>525780</xdr:colOff>
          <xdr:row>124</xdr:row>
          <xdr:rowOff>22860</xdr:rowOff>
        </xdr:to>
        <xdr:sp macro="" textlink="">
          <xdr:nvSpPr>
            <xdr:cNvPr id="25614" name="Check Box 14" hidden="1">
              <a:extLst>
                <a:ext uri="{63B3BB69-23CF-44E3-9099-C40C66FF867C}">
                  <a14:compatExt spid="_x0000_s25614"/>
                </a:ext>
                <a:ext uri="{FF2B5EF4-FFF2-40B4-BE49-F238E27FC236}">
                  <a16:creationId xmlns:a16="http://schemas.microsoft.com/office/drawing/2014/main" id="{00000000-0008-0000-0600-00000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124</xdr:row>
          <xdr:rowOff>152400</xdr:rowOff>
        </xdr:from>
        <xdr:to>
          <xdr:col>2</xdr:col>
          <xdr:colOff>525780</xdr:colOff>
          <xdr:row>126</xdr:row>
          <xdr:rowOff>22860</xdr:rowOff>
        </xdr:to>
        <xdr:sp macro="" textlink="">
          <xdr:nvSpPr>
            <xdr:cNvPr id="25615" name="Check Box 15" hidden="1">
              <a:extLst>
                <a:ext uri="{63B3BB69-23CF-44E3-9099-C40C66FF867C}">
                  <a14:compatExt spid="_x0000_s25615"/>
                </a:ext>
                <a:ext uri="{FF2B5EF4-FFF2-40B4-BE49-F238E27FC236}">
                  <a16:creationId xmlns:a16="http://schemas.microsoft.com/office/drawing/2014/main" id="{00000000-0008-0000-0600-00000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126</xdr:row>
          <xdr:rowOff>144780</xdr:rowOff>
        </xdr:from>
        <xdr:to>
          <xdr:col>2</xdr:col>
          <xdr:colOff>525780</xdr:colOff>
          <xdr:row>128</xdr:row>
          <xdr:rowOff>22860</xdr:rowOff>
        </xdr:to>
        <xdr:sp macro="" textlink="">
          <xdr:nvSpPr>
            <xdr:cNvPr id="25616" name="Check Box 16" hidden="1">
              <a:extLst>
                <a:ext uri="{63B3BB69-23CF-44E3-9099-C40C66FF867C}">
                  <a14:compatExt spid="_x0000_s25616"/>
                </a:ext>
                <a:ext uri="{FF2B5EF4-FFF2-40B4-BE49-F238E27FC236}">
                  <a16:creationId xmlns:a16="http://schemas.microsoft.com/office/drawing/2014/main" id="{00000000-0008-0000-0600-00001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128</xdr:row>
          <xdr:rowOff>152400</xdr:rowOff>
        </xdr:from>
        <xdr:to>
          <xdr:col>2</xdr:col>
          <xdr:colOff>525780</xdr:colOff>
          <xdr:row>130</xdr:row>
          <xdr:rowOff>22860</xdr:rowOff>
        </xdr:to>
        <xdr:sp macro="" textlink="">
          <xdr:nvSpPr>
            <xdr:cNvPr id="25617" name="Check Box 17" hidden="1">
              <a:extLst>
                <a:ext uri="{63B3BB69-23CF-44E3-9099-C40C66FF867C}">
                  <a14:compatExt spid="_x0000_s25617"/>
                </a:ext>
                <a:ext uri="{FF2B5EF4-FFF2-40B4-BE49-F238E27FC236}">
                  <a16:creationId xmlns:a16="http://schemas.microsoft.com/office/drawing/2014/main" id="{00000000-0008-0000-0600-00001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130</xdr:row>
          <xdr:rowOff>144780</xdr:rowOff>
        </xdr:from>
        <xdr:to>
          <xdr:col>2</xdr:col>
          <xdr:colOff>525780</xdr:colOff>
          <xdr:row>132</xdr:row>
          <xdr:rowOff>0</xdr:rowOff>
        </xdr:to>
        <xdr:sp macro="" textlink="">
          <xdr:nvSpPr>
            <xdr:cNvPr id="25618" name="Check Box 18" hidden="1">
              <a:extLst>
                <a:ext uri="{63B3BB69-23CF-44E3-9099-C40C66FF867C}">
                  <a14:compatExt spid="_x0000_s25618"/>
                </a:ext>
                <a:ext uri="{FF2B5EF4-FFF2-40B4-BE49-F238E27FC236}">
                  <a16:creationId xmlns:a16="http://schemas.microsoft.com/office/drawing/2014/main" id="{00000000-0008-0000-0600-00001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132</xdr:row>
          <xdr:rowOff>152400</xdr:rowOff>
        </xdr:from>
        <xdr:to>
          <xdr:col>2</xdr:col>
          <xdr:colOff>525780</xdr:colOff>
          <xdr:row>182</xdr:row>
          <xdr:rowOff>22860</xdr:rowOff>
        </xdr:to>
        <xdr:sp macro="" textlink="">
          <xdr:nvSpPr>
            <xdr:cNvPr id="25619" name="Check Box 19" hidden="1">
              <a:extLst>
                <a:ext uri="{63B3BB69-23CF-44E3-9099-C40C66FF867C}">
                  <a14:compatExt spid="_x0000_s25619"/>
                </a:ext>
                <a:ext uri="{FF2B5EF4-FFF2-40B4-BE49-F238E27FC236}">
                  <a16:creationId xmlns:a16="http://schemas.microsoft.com/office/drawing/2014/main" id="{00000000-0008-0000-0600-00001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134</xdr:row>
          <xdr:rowOff>144780</xdr:rowOff>
        </xdr:from>
        <xdr:to>
          <xdr:col>2</xdr:col>
          <xdr:colOff>525780</xdr:colOff>
          <xdr:row>182</xdr:row>
          <xdr:rowOff>45720</xdr:rowOff>
        </xdr:to>
        <xdr:sp macro="" textlink="">
          <xdr:nvSpPr>
            <xdr:cNvPr id="25620" name="Check Box 20" hidden="1">
              <a:extLst>
                <a:ext uri="{63B3BB69-23CF-44E3-9099-C40C66FF867C}">
                  <a14:compatExt spid="_x0000_s25620"/>
                </a:ext>
                <a:ext uri="{FF2B5EF4-FFF2-40B4-BE49-F238E27FC236}">
                  <a16:creationId xmlns:a16="http://schemas.microsoft.com/office/drawing/2014/main" id="{00000000-0008-0000-0600-00001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136</xdr:row>
          <xdr:rowOff>152400</xdr:rowOff>
        </xdr:from>
        <xdr:to>
          <xdr:col>2</xdr:col>
          <xdr:colOff>525780</xdr:colOff>
          <xdr:row>182</xdr:row>
          <xdr:rowOff>30480</xdr:rowOff>
        </xdr:to>
        <xdr:sp macro="" textlink="">
          <xdr:nvSpPr>
            <xdr:cNvPr id="25621" name="Check Box 21" hidden="1">
              <a:extLst>
                <a:ext uri="{63B3BB69-23CF-44E3-9099-C40C66FF867C}">
                  <a14:compatExt spid="_x0000_s25621"/>
                </a:ext>
                <a:ext uri="{FF2B5EF4-FFF2-40B4-BE49-F238E27FC236}">
                  <a16:creationId xmlns:a16="http://schemas.microsoft.com/office/drawing/2014/main" id="{00000000-0008-0000-0600-00001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138</xdr:row>
          <xdr:rowOff>144780</xdr:rowOff>
        </xdr:from>
        <xdr:to>
          <xdr:col>2</xdr:col>
          <xdr:colOff>525780</xdr:colOff>
          <xdr:row>182</xdr:row>
          <xdr:rowOff>38100</xdr:rowOff>
        </xdr:to>
        <xdr:sp macro="" textlink="">
          <xdr:nvSpPr>
            <xdr:cNvPr id="25622" name="Check Box 22" hidden="1">
              <a:extLst>
                <a:ext uri="{63B3BB69-23CF-44E3-9099-C40C66FF867C}">
                  <a14:compatExt spid="_x0000_s25622"/>
                </a:ext>
                <a:ext uri="{FF2B5EF4-FFF2-40B4-BE49-F238E27FC236}">
                  <a16:creationId xmlns:a16="http://schemas.microsoft.com/office/drawing/2014/main" id="{00000000-0008-0000-0600-00001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140</xdr:row>
          <xdr:rowOff>152400</xdr:rowOff>
        </xdr:from>
        <xdr:to>
          <xdr:col>2</xdr:col>
          <xdr:colOff>525780</xdr:colOff>
          <xdr:row>182</xdr:row>
          <xdr:rowOff>30480</xdr:rowOff>
        </xdr:to>
        <xdr:sp macro="" textlink="">
          <xdr:nvSpPr>
            <xdr:cNvPr id="25623" name="Check Box 23" hidden="1">
              <a:extLst>
                <a:ext uri="{63B3BB69-23CF-44E3-9099-C40C66FF867C}">
                  <a14:compatExt spid="_x0000_s25623"/>
                </a:ext>
                <a:ext uri="{FF2B5EF4-FFF2-40B4-BE49-F238E27FC236}">
                  <a16:creationId xmlns:a16="http://schemas.microsoft.com/office/drawing/2014/main" id="{00000000-0008-0000-0600-00001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142</xdr:row>
          <xdr:rowOff>144780</xdr:rowOff>
        </xdr:from>
        <xdr:to>
          <xdr:col>2</xdr:col>
          <xdr:colOff>525780</xdr:colOff>
          <xdr:row>182</xdr:row>
          <xdr:rowOff>22860</xdr:rowOff>
        </xdr:to>
        <xdr:sp macro="" textlink="">
          <xdr:nvSpPr>
            <xdr:cNvPr id="25624" name="Check Box 24" hidden="1">
              <a:extLst>
                <a:ext uri="{63B3BB69-23CF-44E3-9099-C40C66FF867C}">
                  <a14:compatExt spid="_x0000_s25624"/>
                </a:ext>
                <a:ext uri="{FF2B5EF4-FFF2-40B4-BE49-F238E27FC236}">
                  <a16:creationId xmlns:a16="http://schemas.microsoft.com/office/drawing/2014/main" id="{00000000-0008-0000-0600-00001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144</xdr:row>
          <xdr:rowOff>152400</xdr:rowOff>
        </xdr:from>
        <xdr:to>
          <xdr:col>2</xdr:col>
          <xdr:colOff>525780</xdr:colOff>
          <xdr:row>182</xdr:row>
          <xdr:rowOff>30480</xdr:rowOff>
        </xdr:to>
        <xdr:sp macro="" textlink="">
          <xdr:nvSpPr>
            <xdr:cNvPr id="25625" name="Check Box 25" hidden="1">
              <a:extLst>
                <a:ext uri="{63B3BB69-23CF-44E3-9099-C40C66FF867C}">
                  <a14:compatExt spid="_x0000_s25625"/>
                </a:ext>
                <a:ext uri="{FF2B5EF4-FFF2-40B4-BE49-F238E27FC236}">
                  <a16:creationId xmlns:a16="http://schemas.microsoft.com/office/drawing/2014/main" id="{00000000-0008-0000-0600-00001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146</xdr:row>
          <xdr:rowOff>144780</xdr:rowOff>
        </xdr:from>
        <xdr:to>
          <xdr:col>2</xdr:col>
          <xdr:colOff>525780</xdr:colOff>
          <xdr:row>182</xdr:row>
          <xdr:rowOff>38100</xdr:rowOff>
        </xdr:to>
        <xdr:sp macro="" textlink="">
          <xdr:nvSpPr>
            <xdr:cNvPr id="25626" name="Check Box 26" hidden="1">
              <a:extLst>
                <a:ext uri="{63B3BB69-23CF-44E3-9099-C40C66FF867C}">
                  <a14:compatExt spid="_x0000_s25626"/>
                </a:ext>
                <a:ext uri="{FF2B5EF4-FFF2-40B4-BE49-F238E27FC236}">
                  <a16:creationId xmlns:a16="http://schemas.microsoft.com/office/drawing/2014/main" id="{00000000-0008-0000-0600-00001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148</xdr:row>
          <xdr:rowOff>152400</xdr:rowOff>
        </xdr:from>
        <xdr:to>
          <xdr:col>2</xdr:col>
          <xdr:colOff>525780</xdr:colOff>
          <xdr:row>182</xdr:row>
          <xdr:rowOff>30480</xdr:rowOff>
        </xdr:to>
        <xdr:sp macro="" textlink="">
          <xdr:nvSpPr>
            <xdr:cNvPr id="25627" name="Check Box 27" hidden="1">
              <a:extLst>
                <a:ext uri="{63B3BB69-23CF-44E3-9099-C40C66FF867C}">
                  <a14:compatExt spid="_x0000_s25627"/>
                </a:ext>
                <a:ext uri="{FF2B5EF4-FFF2-40B4-BE49-F238E27FC236}">
                  <a16:creationId xmlns:a16="http://schemas.microsoft.com/office/drawing/2014/main" id="{00000000-0008-0000-0600-00001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150</xdr:row>
          <xdr:rowOff>144780</xdr:rowOff>
        </xdr:from>
        <xdr:to>
          <xdr:col>2</xdr:col>
          <xdr:colOff>525780</xdr:colOff>
          <xdr:row>182</xdr:row>
          <xdr:rowOff>38100</xdr:rowOff>
        </xdr:to>
        <xdr:sp macro="" textlink="">
          <xdr:nvSpPr>
            <xdr:cNvPr id="25628" name="Check Box 28" hidden="1">
              <a:extLst>
                <a:ext uri="{63B3BB69-23CF-44E3-9099-C40C66FF867C}">
                  <a14:compatExt spid="_x0000_s25628"/>
                </a:ext>
                <a:ext uri="{FF2B5EF4-FFF2-40B4-BE49-F238E27FC236}">
                  <a16:creationId xmlns:a16="http://schemas.microsoft.com/office/drawing/2014/main" id="{00000000-0008-0000-0600-00001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152</xdr:row>
          <xdr:rowOff>152400</xdr:rowOff>
        </xdr:from>
        <xdr:to>
          <xdr:col>2</xdr:col>
          <xdr:colOff>525780</xdr:colOff>
          <xdr:row>182</xdr:row>
          <xdr:rowOff>30480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600-00001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154</xdr:row>
          <xdr:rowOff>144780</xdr:rowOff>
        </xdr:from>
        <xdr:to>
          <xdr:col>2</xdr:col>
          <xdr:colOff>525780</xdr:colOff>
          <xdr:row>182</xdr:row>
          <xdr:rowOff>38100</xdr:rowOff>
        </xdr:to>
        <xdr:sp macro="" textlink="">
          <xdr:nvSpPr>
            <xdr:cNvPr id="25630" name="Check Box 30" hidden="1">
              <a:extLst>
                <a:ext uri="{63B3BB69-23CF-44E3-9099-C40C66FF867C}">
                  <a14:compatExt spid="_x0000_s25630"/>
                </a:ext>
                <a:ext uri="{FF2B5EF4-FFF2-40B4-BE49-F238E27FC236}">
                  <a16:creationId xmlns:a16="http://schemas.microsoft.com/office/drawing/2014/main" id="{00000000-0008-0000-0600-00001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156</xdr:row>
          <xdr:rowOff>152400</xdr:rowOff>
        </xdr:from>
        <xdr:to>
          <xdr:col>2</xdr:col>
          <xdr:colOff>525780</xdr:colOff>
          <xdr:row>182</xdr:row>
          <xdr:rowOff>30480</xdr:rowOff>
        </xdr:to>
        <xdr:sp macro="" textlink="">
          <xdr:nvSpPr>
            <xdr:cNvPr id="25631" name="Check Box 31" hidden="1">
              <a:extLst>
                <a:ext uri="{63B3BB69-23CF-44E3-9099-C40C66FF867C}">
                  <a14:compatExt spid="_x0000_s25631"/>
                </a:ext>
                <a:ext uri="{FF2B5EF4-FFF2-40B4-BE49-F238E27FC236}">
                  <a16:creationId xmlns:a16="http://schemas.microsoft.com/office/drawing/2014/main" id="{00000000-0008-0000-0600-00001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158</xdr:row>
          <xdr:rowOff>144780</xdr:rowOff>
        </xdr:from>
        <xdr:to>
          <xdr:col>2</xdr:col>
          <xdr:colOff>525780</xdr:colOff>
          <xdr:row>182</xdr:row>
          <xdr:rowOff>38100</xdr:rowOff>
        </xdr:to>
        <xdr:sp macro="" textlink="">
          <xdr:nvSpPr>
            <xdr:cNvPr id="25632" name="Check Box 32" hidden="1">
              <a:extLst>
                <a:ext uri="{63B3BB69-23CF-44E3-9099-C40C66FF867C}">
                  <a14:compatExt spid="_x0000_s25632"/>
                </a:ext>
                <a:ext uri="{FF2B5EF4-FFF2-40B4-BE49-F238E27FC236}">
                  <a16:creationId xmlns:a16="http://schemas.microsoft.com/office/drawing/2014/main" id="{00000000-0008-0000-0600-00002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160</xdr:row>
          <xdr:rowOff>152400</xdr:rowOff>
        </xdr:from>
        <xdr:to>
          <xdr:col>2</xdr:col>
          <xdr:colOff>525780</xdr:colOff>
          <xdr:row>182</xdr:row>
          <xdr:rowOff>30480</xdr:rowOff>
        </xdr:to>
        <xdr:sp macro="" textlink="">
          <xdr:nvSpPr>
            <xdr:cNvPr id="25633" name="Check Box 33" hidden="1">
              <a:extLst>
                <a:ext uri="{63B3BB69-23CF-44E3-9099-C40C66FF867C}">
                  <a14:compatExt spid="_x0000_s25633"/>
                </a:ext>
                <a:ext uri="{FF2B5EF4-FFF2-40B4-BE49-F238E27FC236}">
                  <a16:creationId xmlns:a16="http://schemas.microsoft.com/office/drawing/2014/main" id="{00000000-0008-0000-0600-00002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162</xdr:row>
          <xdr:rowOff>144780</xdr:rowOff>
        </xdr:from>
        <xdr:to>
          <xdr:col>2</xdr:col>
          <xdr:colOff>525780</xdr:colOff>
          <xdr:row>182</xdr:row>
          <xdr:rowOff>38100</xdr:rowOff>
        </xdr:to>
        <xdr:sp macro="" textlink="">
          <xdr:nvSpPr>
            <xdr:cNvPr id="25634" name="Check Box 34" hidden="1">
              <a:extLst>
                <a:ext uri="{63B3BB69-23CF-44E3-9099-C40C66FF867C}">
                  <a14:compatExt spid="_x0000_s25634"/>
                </a:ext>
                <a:ext uri="{FF2B5EF4-FFF2-40B4-BE49-F238E27FC236}">
                  <a16:creationId xmlns:a16="http://schemas.microsoft.com/office/drawing/2014/main" id="{00000000-0008-0000-0600-00002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164</xdr:row>
          <xdr:rowOff>152400</xdr:rowOff>
        </xdr:from>
        <xdr:to>
          <xdr:col>2</xdr:col>
          <xdr:colOff>525780</xdr:colOff>
          <xdr:row>182</xdr:row>
          <xdr:rowOff>30480</xdr:rowOff>
        </xdr:to>
        <xdr:sp macro="" textlink="">
          <xdr:nvSpPr>
            <xdr:cNvPr id="25635" name="Check Box 35" hidden="1">
              <a:extLst>
                <a:ext uri="{63B3BB69-23CF-44E3-9099-C40C66FF867C}">
                  <a14:compatExt spid="_x0000_s25635"/>
                </a:ext>
                <a:ext uri="{FF2B5EF4-FFF2-40B4-BE49-F238E27FC236}">
                  <a16:creationId xmlns:a16="http://schemas.microsoft.com/office/drawing/2014/main" id="{00000000-0008-0000-0600-00002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166</xdr:row>
          <xdr:rowOff>144780</xdr:rowOff>
        </xdr:from>
        <xdr:to>
          <xdr:col>2</xdr:col>
          <xdr:colOff>525780</xdr:colOff>
          <xdr:row>182</xdr:row>
          <xdr:rowOff>38100</xdr:rowOff>
        </xdr:to>
        <xdr:sp macro="" textlink="">
          <xdr:nvSpPr>
            <xdr:cNvPr id="25636" name="Check Box 36" hidden="1">
              <a:extLst>
                <a:ext uri="{63B3BB69-23CF-44E3-9099-C40C66FF867C}">
                  <a14:compatExt spid="_x0000_s25636"/>
                </a:ext>
                <a:ext uri="{FF2B5EF4-FFF2-40B4-BE49-F238E27FC236}">
                  <a16:creationId xmlns:a16="http://schemas.microsoft.com/office/drawing/2014/main" id="{00000000-0008-0000-0600-00002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168</xdr:row>
          <xdr:rowOff>152400</xdr:rowOff>
        </xdr:from>
        <xdr:to>
          <xdr:col>2</xdr:col>
          <xdr:colOff>525780</xdr:colOff>
          <xdr:row>182</xdr:row>
          <xdr:rowOff>30480</xdr:rowOff>
        </xdr:to>
        <xdr:sp macro="" textlink="">
          <xdr:nvSpPr>
            <xdr:cNvPr id="25637" name="Check Box 37" hidden="1">
              <a:extLst>
                <a:ext uri="{63B3BB69-23CF-44E3-9099-C40C66FF867C}">
                  <a14:compatExt spid="_x0000_s25637"/>
                </a:ext>
                <a:ext uri="{FF2B5EF4-FFF2-40B4-BE49-F238E27FC236}">
                  <a16:creationId xmlns:a16="http://schemas.microsoft.com/office/drawing/2014/main" id="{00000000-0008-0000-0600-00002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170</xdr:row>
          <xdr:rowOff>144780</xdr:rowOff>
        </xdr:from>
        <xdr:to>
          <xdr:col>2</xdr:col>
          <xdr:colOff>525780</xdr:colOff>
          <xdr:row>182</xdr:row>
          <xdr:rowOff>38100</xdr:rowOff>
        </xdr:to>
        <xdr:sp macro="" textlink="">
          <xdr:nvSpPr>
            <xdr:cNvPr id="25638" name="Check Box 38" hidden="1">
              <a:extLst>
                <a:ext uri="{63B3BB69-23CF-44E3-9099-C40C66FF867C}">
                  <a14:compatExt spid="_x0000_s25638"/>
                </a:ext>
                <a:ext uri="{FF2B5EF4-FFF2-40B4-BE49-F238E27FC236}">
                  <a16:creationId xmlns:a16="http://schemas.microsoft.com/office/drawing/2014/main" id="{00000000-0008-0000-0600-00002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172</xdr:row>
          <xdr:rowOff>152400</xdr:rowOff>
        </xdr:from>
        <xdr:to>
          <xdr:col>2</xdr:col>
          <xdr:colOff>525780</xdr:colOff>
          <xdr:row>182</xdr:row>
          <xdr:rowOff>30480</xdr:rowOff>
        </xdr:to>
        <xdr:sp macro="" textlink="">
          <xdr:nvSpPr>
            <xdr:cNvPr id="25639" name="Check Box 39" hidden="1">
              <a:extLst>
                <a:ext uri="{63B3BB69-23CF-44E3-9099-C40C66FF867C}">
                  <a14:compatExt spid="_x0000_s25639"/>
                </a:ext>
                <a:ext uri="{FF2B5EF4-FFF2-40B4-BE49-F238E27FC236}">
                  <a16:creationId xmlns:a16="http://schemas.microsoft.com/office/drawing/2014/main" id="{00000000-0008-0000-0600-00002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174</xdr:row>
          <xdr:rowOff>144780</xdr:rowOff>
        </xdr:from>
        <xdr:to>
          <xdr:col>2</xdr:col>
          <xdr:colOff>525780</xdr:colOff>
          <xdr:row>182</xdr:row>
          <xdr:rowOff>38100</xdr:rowOff>
        </xdr:to>
        <xdr:sp macro="" textlink="">
          <xdr:nvSpPr>
            <xdr:cNvPr id="25640" name="Check Box 40" hidden="1">
              <a:extLst>
                <a:ext uri="{63B3BB69-23CF-44E3-9099-C40C66FF867C}">
                  <a14:compatExt spid="_x0000_s25640"/>
                </a:ext>
                <a:ext uri="{FF2B5EF4-FFF2-40B4-BE49-F238E27FC236}">
                  <a16:creationId xmlns:a16="http://schemas.microsoft.com/office/drawing/2014/main" id="{00000000-0008-0000-0600-00002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176</xdr:row>
          <xdr:rowOff>152400</xdr:rowOff>
        </xdr:from>
        <xdr:to>
          <xdr:col>2</xdr:col>
          <xdr:colOff>525780</xdr:colOff>
          <xdr:row>182</xdr:row>
          <xdr:rowOff>30480</xdr:rowOff>
        </xdr:to>
        <xdr:sp macro="" textlink="">
          <xdr:nvSpPr>
            <xdr:cNvPr id="25641" name="Check Box 41" hidden="1">
              <a:extLst>
                <a:ext uri="{63B3BB69-23CF-44E3-9099-C40C66FF867C}">
                  <a14:compatExt spid="_x0000_s25641"/>
                </a:ext>
                <a:ext uri="{FF2B5EF4-FFF2-40B4-BE49-F238E27FC236}">
                  <a16:creationId xmlns:a16="http://schemas.microsoft.com/office/drawing/2014/main" id="{00000000-0008-0000-0600-00002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178</xdr:row>
          <xdr:rowOff>144780</xdr:rowOff>
        </xdr:from>
        <xdr:to>
          <xdr:col>2</xdr:col>
          <xdr:colOff>525780</xdr:colOff>
          <xdr:row>182</xdr:row>
          <xdr:rowOff>38100</xdr:rowOff>
        </xdr:to>
        <xdr:sp macro="" textlink="">
          <xdr:nvSpPr>
            <xdr:cNvPr id="25642" name="Check Box 42" hidden="1">
              <a:extLst>
                <a:ext uri="{63B3BB69-23CF-44E3-9099-C40C66FF867C}">
                  <a14:compatExt spid="_x0000_s25642"/>
                </a:ext>
                <a:ext uri="{FF2B5EF4-FFF2-40B4-BE49-F238E27FC236}">
                  <a16:creationId xmlns:a16="http://schemas.microsoft.com/office/drawing/2014/main" id="{00000000-0008-0000-0600-00002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182</xdr:row>
          <xdr:rowOff>152400</xdr:rowOff>
        </xdr:from>
        <xdr:to>
          <xdr:col>2</xdr:col>
          <xdr:colOff>525780</xdr:colOff>
          <xdr:row>184</xdr:row>
          <xdr:rowOff>22860</xdr:rowOff>
        </xdr:to>
        <xdr:sp macro="" textlink="">
          <xdr:nvSpPr>
            <xdr:cNvPr id="25643" name="Check Box 43" hidden="1">
              <a:extLst>
                <a:ext uri="{63B3BB69-23CF-44E3-9099-C40C66FF867C}">
                  <a14:compatExt spid="_x0000_s25643"/>
                </a:ext>
                <a:ext uri="{FF2B5EF4-FFF2-40B4-BE49-F238E27FC236}">
                  <a16:creationId xmlns:a16="http://schemas.microsoft.com/office/drawing/2014/main" id="{00000000-0008-0000-0600-00002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197</xdr:row>
          <xdr:rowOff>121920</xdr:rowOff>
        </xdr:from>
        <xdr:to>
          <xdr:col>2</xdr:col>
          <xdr:colOff>518160</xdr:colOff>
          <xdr:row>211</xdr:row>
          <xdr:rowOff>60960</xdr:rowOff>
        </xdr:to>
        <xdr:sp macro="" textlink="">
          <xdr:nvSpPr>
            <xdr:cNvPr id="25644" name="Check Box 44" hidden="1">
              <a:extLst>
                <a:ext uri="{63B3BB69-23CF-44E3-9099-C40C66FF867C}">
                  <a14:compatExt spid="_x0000_s25644"/>
                </a:ext>
                <a:ext uri="{FF2B5EF4-FFF2-40B4-BE49-F238E27FC236}">
                  <a16:creationId xmlns:a16="http://schemas.microsoft.com/office/drawing/2014/main" id="{00000000-0008-0000-0600-00002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185</xdr:row>
          <xdr:rowOff>152400</xdr:rowOff>
        </xdr:from>
        <xdr:to>
          <xdr:col>2</xdr:col>
          <xdr:colOff>525780</xdr:colOff>
          <xdr:row>187</xdr:row>
          <xdr:rowOff>22860</xdr:rowOff>
        </xdr:to>
        <xdr:sp macro="" textlink="">
          <xdr:nvSpPr>
            <xdr:cNvPr id="25645" name="Check Box 45" hidden="1">
              <a:extLst>
                <a:ext uri="{63B3BB69-23CF-44E3-9099-C40C66FF867C}">
                  <a14:compatExt spid="_x0000_s25645"/>
                </a:ext>
                <a:ext uri="{FF2B5EF4-FFF2-40B4-BE49-F238E27FC236}">
                  <a16:creationId xmlns:a16="http://schemas.microsoft.com/office/drawing/2014/main" id="{00000000-0008-0000-0600-00002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188</xdr:row>
          <xdr:rowOff>144780</xdr:rowOff>
        </xdr:from>
        <xdr:to>
          <xdr:col>2</xdr:col>
          <xdr:colOff>525780</xdr:colOff>
          <xdr:row>190</xdr:row>
          <xdr:rowOff>22860</xdr:rowOff>
        </xdr:to>
        <xdr:sp macro="" textlink="">
          <xdr:nvSpPr>
            <xdr:cNvPr id="25646" name="Check Box 46" hidden="1">
              <a:extLst>
                <a:ext uri="{63B3BB69-23CF-44E3-9099-C40C66FF867C}">
                  <a14:compatExt spid="_x0000_s25646"/>
                </a:ext>
                <a:ext uri="{FF2B5EF4-FFF2-40B4-BE49-F238E27FC236}">
                  <a16:creationId xmlns:a16="http://schemas.microsoft.com/office/drawing/2014/main" id="{00000000-0008-0000-0600-00002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191</xdr:row>
          <xdr:rowOff>144780</xdr:rowOff>
        </xdr:from>
        <xdr:to>
          <xdr:col>2</xdr:col>
          <xdr:colOff>525780</xdr:colOff>
          <xdr:row>193</xdr:row>
          <xdr:rowOff>22860</xdr:rowOff>
        </xdr:to>
        <xdr:sp macro="" textlink="">
          <xdr:nvSpPr>
            <xdr:cNvPr id="25647" name="Check Box 47" hidden="1">
              <a:extLst>
                <a:ext uri="{63B3BB69-23CF-44E3-9099-C40C66FF867C}">
                  <a14:compatExt spid="_x0000_s25647"/>
                </a:ext>
                <a:ext uri="{FF2B5EF4-FFF2-40B4-BE49-F238E27FC236}">
                  <a16:creationId xmlns:a16="http://schemas.microsoft.com/office/drawing/2014/main" id="{00000000-0008-0000-0600-00002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194</xdr:row>
          <xdr:rowOff>137160</xdr:rowOff>
        </xdr:from>
        <xdr:to>
          <xdr:col>2</xdr:col>
          <xdr:colOff>533400</xdr:colOff>
          <xdr:row>211</xdr:row>
          <xdr:rowOff>30480</xdr:rowOff>
        </xdr:to>
        <xdr:sp macro="" textlink="">
          <xdr:nvSpPr>
            <xdr:cNvPr id="25648" name="Check Box 48" hidden="1">
              <a:extLst>
                <a:ext uri="{63B3BB69-23CF-44E3-9099-C40C66FF867C}">
                  <a14:compatExt spid="_x0000_s25648"/>
                </a:ext>
                <a:ext uri="{FF2B5EF4-FFF2-40B4-BE49-F238E27FC236}">
                  <a16:creationId xmlns:a16="http://schemas.microsoft.com/office/drawing/2014/main" id="{00000000-0008-0000-0600-00003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206</xdr:row>
          <xdr:rowOff>121920</xdr:rowOff>
        </xdr:from>
        <xdr:to>
          <xdr:col>2</xdr:col>
          <xdr:colOff>533400</xdr:colOff>
          <xdr:row>211</xdr:row>
          <xdr:rowOff>60960</xdr:rowOff>
        </xdr:to>
        <xdr:sp macro="" textlink="">
          <xdr:nvSpPr>
            <xdr:cNvPr id="25649" name="Check Box 49" hidden="1">
              <a:extLst>
                <a:ext uri="{63B3BB69-23CF-44E3-9099-C40C66FF867C}">
                  <a14:compatExt spid="_x0000_s25649"/>
                </a:ext>
                <a:ext uri="{FF2B5EF4-FFF2-40B4-BE49-F238E27FC236}">
                  <a16:creationId xmlns:a16="http://schemas.microsoft.com/office/drawing/2014/main" id="{00000000-0008-0000-0600-00003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200</xdr:row>
          <xdr:rowOff>121920</xdr:rowOff>
        </xdr:from>
        <xdr:to>
          <xdr:col>2</xdr:col>
          <xdr:colOff>525780</xdr:colOff>
          <xdr:row>211</xdr:row>
          <xdr:rowOff>60960</xdr:rowOff>
        </xdr:to>
        <xdr:sp macro="" textlink="">
          <xdr:nvSpPr>
            <xdr:cNvPr id="25650" name="Check Box 50" hidden="1">
              <a:extLst>
                <a:ext uri="{63B3BB69-23CF-44E3-9099-C40C66FF867C}">
                  <a14:compatExt spid="_x0000_s25650"/>
                </a:ext>
                <a:ext uri="{FF2B5EF4-FFF2-40B4-BE49-F238E27FC236}">
                  <a16:creationId xmlns:a16="http://schemas.microsoft.com/office/drawing/2014/main" id="{00000000-0008-0000-0600-00003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203</xdr:row>
          <xdr:rowOff>121920</xdr:rowOff>
        </xdr:from>
        <xdr:to>
          <xdr:col>2</xdr:col>
          <xdr:colOff>533400</xdr:colOff>
          <xdr:row>211</xdr:row>
          <xdr:rowOff>60960</xdr:rowOff>
        </xdr:to>
        <xdr:sp macro="" textlink="">
          <xdr:nvSpPr>
            <xdr:cNvPr id="25651" name="Check Box 51" hidden="1">
              <a:extLst>
                <a:ext uri="{63B3BB69-23CF-44E3-9099-C40C66FF867C}">
                  <a14:compatExt spid="_x0000_s25651"/>
                </a:ext>
                <a:ext uri="{FF2B5EF4-FFF2-40B4-BE49-F238E27FC236}">
                  <a16:creationId xmlns:a16="http://schemas.microsoft.com/office/drawing/2014/main" id="{00000000-0008-0000-0600-00003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42</xdr:row>
          <xdr:rowOff>152400</xdr:rowOff>
        </xdr:from>
        <xdr:to>
          <xdr:col>1</xdr:col>
          <xdr:colOff>198120</xdr:colOff>
          <xdr:row>44</xdr:row>
          <xdr:rowOff>22860</xdr:rowOff>
        </xdr:to>
        <xdr:sp macro="" textlink="">
          <xdr:nvSpPr>
            <xdr:cNvPr id="25655" name="Check Box 55" hidden="1">
              <a:extLst>
                <a:ext uri="{63B3BB69-23CF-44E3-9099-C40C66FF867C}">
                  <a14:compatExt spid="_x0000_s25655"/>
                </a:ext>
                <a:ext uri="{FF2B5EF4-FFF2-40B4-BE49-F238E27FC236}">
                  <a16:creationId xmlns:a16="http://schemas.microsoft.com/office/drawing/2014/main" id="{00000000-0008-0000-0600-00003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144780</xdr:rowOff>
        </xdr:from>
        <xdr:to>
          <xdr:col>1</xdr:col>
          <xdr:colOff>198120</xdr:colOff>
          <xdr:row>71</xdr:row>
          <xdr:rowOff>30480</xdr:rowOff>
        </xdr:to>
        <xdr:sp macro="" textlink="">
          <xdr:nvSpPr>
            <xdr:cNvPr id="25656" name="Check Box 56" hidden="1">
              <a:extLst>
                <a:ext uri="{63B3BB69-23CF-44E3-9099-C40C66FF867C}">
                  <a14:compatExt spid="_x0000_s25656"/>
                </a:ext>
                <a:ext uri="{FF2B5EF4-FFF2-40B4-BE49-F238E27FC236}">
                  <a16:creationId xmlns:a16="http://schemas.microsoft.com/office/drawing/2014/main" id="{00000000-0008-0000-0600-00003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42</xdr:row>
          <xdr:rowOff>144780</xdr:rowOff>
        </xdr:from>
        <xdr:to>
          <xdr:col>1</xdr:col>
          <xdr:colOff>213360</xdr:colOff>
          <xdr:row>44</xdr:row>
          <xdr:rowOff>30480</xdr:rowOff>
        </xdr:to>
        <xdr:sp macro="" textlink="">
          <xdr:nvSpPr>
            <xdr:cNvPr id="25659" name="Check Box 59" hidden="1">
              <a:extLst>
                <a:ext uri="{63B3BB69-23CF-44E3-9099-C40C66FF867C}">
                  <a14:compatExt spid="_x0000_s25659"/>
                </a:ext>
                <a:ext uri="{FF2B5EF4-FFF2-40B4-BE49-F238E27FC236}">
                  <a16:creationId xmlns:a16="http://schemas.microsoft.com/office/drawing/2014/main" id="{00000000-0008-0000-0600-00003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69</xdr:row>
          <xdr:rowOff>152400</xdr:rowOff>
        </xdr:from>
        <xdr:to>
          <xdr:col>1</xdr:col>
          <xdr:colOff>198120</xdr:colOff>
          <xdr:row>71</xdr:row>
          <xdr:rowOff>38100</xdr:rowOff>
        </xdr:to>
        <xdr:sp macro="" textlink="">
          <xdr:nvSpPr>
            <xdr:cNvPr id="25660" name="Check Box 60" hidden="1">
              <a:extLst>
                <a:ext uri="{63B3BB69-23CF-44E3-9099-C40C66FF867C}">
                  <a14:compatExt spid="_x0000_s25660"/>
                </a:ext>
                <a:ext uri="{FF2B5EF4-FFF2-40B4-BE49-F238E27FC236}">
                  <a16:creationId xmlns:a16="http://schemas.microsoft.com/office/drawing/2014/main" id="{00000000-0008-0000-0600-00003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DB_usage_power" displayName="UDB_usage_power" ref="A3:F50" totalsRowShown="0" headerRowDxfId="741" tableBorderDxfId="740">
  <autoFilter ref="A3:F50" xr:uid="{00000000-0009-0000-0100-000004000000}"/>
  <tableColumns count="6">
    <tableColumn id="1" xr3:uid="{00000000-0010-0000-0000-000001000000}" name="Component" dataDxfId="739"/>
    <tableColumn id="2" xr3:uid="{00000000-0010-0000-0000-000002000000}" name="Datapaths" dataDxfId="738"/>
    <tableColumn id="3" xr3:uid="{00000000-0010-0000-0000-000003000000}" name="Macrocells" dataDxfId="737"/>
    <tableColumn id="4" xr3:uid="{00000000-0010-0000-0000-000004000000}" name="Status Reg" dataDxfId="736"/>
    <tableColumn id="5" xr3:uid="{00000000-0010-0000-0000-000005000000}" name="Control Reg" dataDxfId="735"/>
    <tableColumn id="6" xr3:uid="{00000000-0010-0000-0000-000006000000}" name="uA/MHz"/>
  </tableColumns>
  <tableStyleInfo name="TableStyleMedium1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2" Type="http://schemas.openxmlformats.org/officeDocument/2006/relationships/drawing" Target="../drawings/drawing2.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 Type="http://schemas.openxmlformats.org/officeDocument/2006/relationships/ctrlProp" Target="../ctrlProps/ctrlProp2.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62.xml"/><Relationship Id="rId18" Type="http://schemas.openxmlformats.org/officeDocument/2006/relationships/ctrlProp" Target="../ctrlProps/ctrlProp67.xml"/><Relationship Id="rId26" Type="http://schemas.openxmlformats.org/officeDocument/2006/relationships/ctrlProp" Target="../ctrlProps/ctrlProp75.xml"/><Relationship Id="rId39" Type="http://schemas.openxmlformats.org/officeDocument/2006/relationships/ctrlProp" Target="../ctrlProps/ctrlProp88.xml"/><Relationship Id="rId21" Type="http://schemas.openxmlformats.org/officeDocument/2006/relationships/ctrlProp" Target="../ctrlProps/ctrlProp70.xml"/><Relationship Id="rId34" Type="http://schemas.openxmlformats.org/officeDocument/2006/relationships/ctrlProp" Target="../ctrlProps/ctrlProp83.xml"/><Relationship Id="rId42" Type="http://schemas.openxmlformats.org/officeDocument/2006/relationships/ctrlProp" Target="../ctrlProps/ctrlProp91.xml"/><Relationship Id="rId47" Type="http://schemas.openxmlformats.org/officeDocument/2006/relationships/ctrlProp" Target="../ctrlProps/ctrlProp96.xml"/><Relationship Id="rId50" Type="http://schemas.openxmlformats.org/officeDocument/2006/relationships/ctrlProp" Target="../ctrlProps/ctrlProp99.xml"/><Relationship Id="rId55" Type="http://schemas.openxmlformats.org/officeDocument/2006/relationships/ctrlProp" Target="../ctrlProps/ctrlProp104.xml"/><Relationship Id="rId7" Type="http://schemas.openxmlformats.org/officeDocument/2006/relationships/ctrlProp" Target="../ctrlProps/ctrlProp56.xml"/><Relationship Id="rId2" Type="http://schemas.openxmlformats.org/officeDocument/2006/relationships/drawing" Target="../drawings/drawing3.xml"/><Relationship Id="rId16" Type="http://schemas.openxmlformats.org/officeDocument/2006/relationships/ctrlProp" Target="../ctrlProps/ctrlProp65.xml"/><Relationship Id="rId29" Type="http://schemas.openxmlformats.org/officeDocument/2006/relationships/ctrlProp" Target="../ctrlProps/ctrlProp78.xml"/><Relationship Id="rId11" Type="http://schemas.openxmlformats.org/officeDocument/2006/relationships/ctrlProp" Target="../ctrlProps/ctrlProp60.xml"/><Relationship Id="rId24" Type="http://schemas.openxmlformats.org/officeDocument/2006/relationships/ctrlProp" Target="../ctrlProps/ctrlProp73.xml"/><Relationship Id="rId32" Type="http://schemas.openxmlformats.org/officeDocument/2006/relationships/ctrlProp" Target="../ctrlProps/ctrlProp81.xml"/><Relationship Id="rId37" Type="http://schemas.openxmlformats.org/officeDocument/2006/relationships/ctrlProp" Target="../ctrlProps/ctrlProp86.xml"/><Relationship Id="rId40" Type="http://schemas.openxmlformats.org/officeDocument/2006/relationships/ctrlProp" Target="../ctrlProps/ctrlProp89.xml"/><Relationship Id="rId45" Type="http://schemas.openxmlformats.org/officeDocument/2006/relationships/ctrlProp" Target="../ctrlProps/ctrlProp94.xml"/><Relationship Id="rId53" Type="http://schemas.openxmlformats.org/officeDocument/2006/relationships/ctrlProp" Target="../ctrlProps/ctrlProp102.xml"/><Relationship Id="rId5" Type="http://schemas.openxmlformats.org/officeDocument/2006/relationships/ctrlProp" Target="../ctrlProps/ctrlProp54.xml"/><Relationship Id="rId19" Type="http://schemas.openxmlformats.org/officeDocument/2006/relationships/ctrlProp" Target="../ctrlProps/ctrlProp68.xml"/><Relationship Id="rId4" Type="http://schemas.openxmlformats.org/officeDocument/2006/relationships/ctrlProp" Target="../ctrlProps/ctrlProp53.xml"/><Relationship Id="rId9" Type="http://schemas.openxmlformats.org/officeDocument/2006/relationships/ctrlProp" Target="../ctrlProps/ctrlProp58.xml"/><Relationship Id="rId14" Type="http://schemas.openxmlformats.org/officeDocument/2006/relationships/ctrlProp" Target="../ctrlProps/ctrlProp63.xml"/><Relationship Id="rId22" Type="http://schemas.openxmlformats.org/officeDocument/2006/relationships/ctrlProp" Target="../ctrlProps/ctrlProp71.xml"/><Relationship Id="rId27" Type="http://schemas.openxmlformats.org/officeDocument/2006/relationships/ctrlProp" Target="../ctrlProps/ctrlProp76.xml"/><Relationship Id="rId30" Type="http://schemas.openxmlformats.org/officeDocument/2006/relationships/ctrlProp" Target="../ctrlProps/ctrlProp79.xml"/><Relationship Id="rId35" Type="http://schemas.openxmlformats.org/officeDocument/2006/relationships/ctrlProp" Target="../ctrlProps/ctrlProp84.xml"/><Relationship Id="rId43" Type="http://schemas.openxmlformats.org/officeDocument/2006/relationships/ctrlProp" Target="../ctrlProps/ctrlProp92.xml"/><Relationship Id="rId48" Type="http://schemas.openxmlformats.org/officeDocument/2006/relationships/ctrlProp" Target="../ctrlProps/ctrlProp97.xml"/><Relationship Id="rId56" Type="http://schemas.openxmlformats.org/officeDocument/2006/relationships/ctrlProp" Target="../ctrlProps/ctrlProp105.xml"/><Relationship Id="rId8" Type="http://schemas.openxmlformats.org/officeDocument/2006/relationships/ctrlProp" Target="../ctrlProps/ctrlProp57.xml"/><Relationship Id="rId51" Type="http://schemas.openxmlformats.org/officeDocument/2006/relationships/ctrlProp" Target="../ctrlProps/ctrlProp100.xml"/><Relationship Id="rId3" Type="http://schemas.openxmlformats.org/officeDocument/2006/relationships/vmlDrawing" Target="../drawings/vmlDrawing2.vml"/><Relationship Id="rId12" Type="http://schemas.openxmlformats.org/officeDocument/2006/relationships/ctrlProp" Target="../ctrlProps/ctrlProp61.xml"/><Relationship Id="rId17" Type="http://schemas.openxmlformats.org/officeDocument/2006/relationships/ctrlProp" Target="../ctrlProps/ctrlProp66.xml"/><Relationship Id="rId25" Type="http://schemas.openxmlformats.org/officeDocument/2006/relationships/ctrlProp" Target="../ctrlProps/ctrlProp74.xml"/><Relationship Id="rId33" Type="http://schemas.openxmlformats.org/officeDocument/2006/relationships/ctrlProp" Target="../ctrlProps/ctrlProp82.xml"/><Relationship Id="rId38" Type="http://schemas.openxmlformats.org/officeDocument/2006/relationships/ctrlProp" Target="../ctrlProps/ctrlProp87.xml"/><Relationship Id="rId46" Type="http://schemas.openxmlformats.org/officeDocument/2006/relationships/ctrlProp" Target="../ctrlProps/ctrlProp95.xml"/><Relationship Id="rId20" Type="http://schemas.openxmlformats.org/officeDocument/2006/relationships/ctrlProp" Target="../ctrlProps/ctrlProp69.xml"/><Relationship Id="rId41" Type="http://schemas.openxmlformats.org/officeDocument/2006/relationships/ctrlProp" Target="../ctrlProps/ctrlProp90.xml"/><Relationship Id="rId54" Type="http://schemas.openxmlformats.org/officeDocument/2006/relationships/ctrlProp" Target="../ctrlProps/ctrlProp103.xml"/><Relationship Id="rId1" Type="http://schemas.openxmlformats.org/officeDocument/2006/relationships/printerSettings" Target="../printerSettings/printerSettings4.bin"/><Relationship Id="rId6" Type="http://schemas.openxmlformats.org/officeDocument/2006/relationships/ctrlProp" Target="../ctrlProps/ctrlProp55.xml"/><Relationship Id="rId15" Type="http://schemas.openxmlformats.org/officeDocument/2006/relationships/ctrlProp" Target="../ctrlProps/ctrlProp64.xml"/><Relationship Id="rId23" Type="http://schemas.openxmlformats.org/officeDocument/2006/relationships/ctrlProp" Target="../ctrlProps/ctrlProp72.xml"/><Relationship Id="rId28" Type="http://schemas.openxmlformats.org/officeDocument/2006/relationships/ctrlProp" Target="../ctrlProps/ctrlProp77.xml"/><Relationship Id="rId36" Type="http://schemas.openxmlformats.org/officeDocument/2006/relationships/ctrlProp" Target="../ctrlProps/ctrlProp85.xml"/><Relationship Id="rId49" Type="http://schemas.openxmlformats.org/officeDocument/2006/relationships/ctrlProp" Target="../ctrlProps/ctrlProp98.xml"/><Relationship Id="rId57" Type="http://schemas.openxmlformats.org/officeDocument/2006/relationships/ctrlProp" Target="../ctrlProps/ctrlProp106.xml"/><Relationship Id="rId10" Type="http://schemas.openxmlformats.org/officeDocument/2006/relationships/ctrlProp" Target="../ctrlProps/ctrlProp59.xml"/><Relationship Id="rId31" Type="http://schemas.openxmlformats.org/officeDocument/2006/relationships/ctrlProp" Target="../ctrlProps/ctrlProp80.xml"/><Relationship Id="rId44" Type="http://schemas.openxmlformats.org/officeDocument/2006/relationships/ctrlProp" Target="../ctrlProps/ctrlProp93.xml"/><Relationship Id="rId52" Type="http://schemas.openxmlformats.org/officeDocument/2006/relationships/ctrlProp" Target="../ctrlProps/ctrlProp101.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16.xml"/><Relationship Id="rId18" Type="http://schemas.openxmlformats.org/officeDocument/2006/relationships/ctrlProp" Target="../ctrlProps/ctrlProp121.xml"/><Relationship Id="rId26" Type="http://schemas.openxmlformats.org/officeDocument/2006/relationships/ctrlProp" Target="../ctrlProps/ctrlProp129.xml"/><Relationship Id="rId39" Type="http://schemas.openxmlformats.org/officeDocument/2006/relationships/ctrlProp" Target="../ctrlProps/ctrlProp142.xml"/><Relationship Id="rId21" Type="http://schemas.openxmlformats.org/officeDocument/2006/relationships/ctrlProp" Target="../ctrlProps/ctrlProp124.xml"/><Relationship Id="rId34" Type="http://schemas.openxmlformats.org/officeDocument/2006/relationships/ctrlProp" Target="../ctrlProps/ctrlProp137.xml"/><Relationship Id="rId42" Type="http://schemas.openxmlformats.org/officeDocument/2006/relationships/ctrlProp" Target="../ctrlProps/ctrlProp145.xml"/><Relationship Id="rId47" Type="http://schemas.openxmlformats.org/officeDocument/2006/relationships/ctrlProp" Target="../ctrlProps/ctrlProp150.xml"/><Relationship Id="rId50" Type="http://schemas.openxmlformats.org/officeDocument/2006/relationships/ctrlProp" Target="../ctrlProps/ctrlProp153.xml"/><Relationship Id="rId55" Type="http://schemas.openxmlformats.org/officeDocument/2006/relationships/ctrlProp" Target="../ctrlProps/ctrlProp158.xml"/><Relationship Id="rId7" Type="http://schemas.openxmlformats.org/officeDocument/2006/relationships/ctrlProp" Target="../ctrlProps/ctrlProp110.xml"/><Relationship Id="rId2" Type="http://schemas.openxmlformats.org/officeDocument/2006/relationships/drawing" Target="../drawings/drawing4.xml"/><Relationship Id="rId16" Type="http://schemas.openxmlformats.org/officeDocument/2006/relationships/ctrlProp" Target="../ctrlProps/ctrlProp119.xml"/><Relationship Id="rId29" Type="http://schemas.openxmlformats.org/officeDocument/2006/relationships/ctrlProp" Target="../ctrlProps/ctrlProp132.xml"/><Relationship Id="rId11" Type="http://schemas.openxmlformats.org/officeDocument/2006/relationships/ctrlProp" Target="../ctrlProps/ctrlProp114.xml"/><Relationship Id="rId24" Type="http://schemas.openxmlformats.org/officeDocument/2006/relationships/ctrlProp" Target="../ctrlProps/ctrlProp127.xml"/><Relationship Id="rId32" Type="http://schemas.openxmlformats.org/officeDocument/2006/relationships/ctrlProp" Target="../ctrlProps/ctrlProp135.xml"/><Relationship Id="rId37" Type="http://schemas.openxmlformats.org/officeDocument/2006/relationships/ctrlProp" Target="../ctrlProps/ctrlProp140.xml"/><Relationship Id="rId40" Type="http://schemas.openxmlformats.org/officeDocument/2006/relationships/ctrlProp" Target="../ctrlProps/ctrlProp143.xml"/><Relationship Id="rId45" Type="http://schemas.openxmlformats.org/officeDocument/2006/relationships/ctrlProp" Target="../ctrlProps/ctrlProp148.xml"/><Relationship Id="rId53" Type="http://schemas.openxmlformats.org/officeDocument/2006/relationships/ctrlProp" Target="../ctrlProps/ctrlProp156.xml"/><Relationship Id="rId5" Type="http://schemas.openxmlformats.org/officeDocument/2006/relationships/ctrlProp" Target="../ctrlProps/ctrlProp108.xml"/><Relationship Id="rId19" Type="http://schemas.openxmlformats.org/officeDocument/2006/relationships/ctrlProp" Target="../ctrlProps/ctrlProp122.xml"/><Relationship Id="rId4" Type="http://schemas.openxmlformats.org/officeDocument/2006/relationships/ctrlProp" Target="../ctrlProps/ctrlProp107.xml"/><Relationship Id="rId9" Type="http://schemas.openxmlformats.org/officeDocument/2006/relationships/ctrlProp" Target="../ctrlProps/ctrlProp112.xml"/><Relationship Id="rId14" Type="http://schemas.openxmlformats.org/officeDocument/2006/relationships/ctrlProp" Target="../ctrlProps/ctrlProp117.xml"/><Relationship Id="rId22" Type="http://schemas.openxmlformats.org/officeDocument/2006/relationships/ctrlProp" Target="../ctrlProps/ctrlProp125.xml"/><Relationship Id="rId27" Type="http://schemas.openxmlformats.org/officeDocument/2006/relationships/ctrlProp" Target="../ctrlProps/ctrlProp130.xml"/><Relationship Id="rId30" Type="http://schemas.openxmlformats.org/officeDocument/2006/relationships/ctrlProp" Target="../ctrlProps/ctrlProp133.xml"/><Relationship Id="rId35" Type="http://schemas.openxmlformats.org/officeDocument/2006/relationships/ctrlProp" Target="../ctrlProps/ctrlProp138.xml"/><Relationship Id="rId43" Type="http://schemas.openxmlformats.org/officeDocument/2006/relationships/ctrlProp" Target="../ctrlProps/ctrlProp146.xml"/><Relationship Id="rId48" Type="http://schemas.openxmlformats.org/officeDocument/2006/relationships/ctrlProp" Target="../ctrlProps/ctrlProp151.xml"/><Relationship Id="rId56" Type="http://schemas.openxmlformats.org/officeDocument/2006/relationships/ctrlProp" Target="../ctrlProps/ctrlProp159.xml"/><Relationship Id="rId8" Type="http://schemas.openxmlformats.org/officeDocument/2006/relationships/ctrlProp" Target="../ctrlProps/ctrlProp111.xml"/><Relationship Id="rId51" Type="http://schemas.openxmlformats.org/officeDocument/2006/relationships/ctrlProp" Target="../ctrlProps/ctrlProp154.xml"/><Relationship Id="rId3" Type="http://schemas.openxmlformats.org/officeDocument/2006/relationships/vmlDrawing" Target="../drawings/vmlDrawing3.vml"/><Relationship Id="rId12" Type="http://schemas.openxmlformats.org/officeDocument/2006/relationships/ctrlProp" Target="../ctrlProps/ctrlProp115.xml"/><Relationship Id="rId17" Type="http://schemas.openxmlformats.org/officeDocument/2006/relationships/ctrlProp" Target="../ctrlProps/ctrlProp120.xml"/><Relationship Id="rId25" Type="http://schemas.openxmlformats.org/officeDocument/2006/relationships/ctrlProp" Target="../ctrlProps/ctrlProp128.xml"/><Relationship Id="rId33" Type="http://schemas.openxmlformats.org/officeDocument/2006/relationships/ctrlProp" Target="../ctrlProps/ctrlProp136.xml"/><Relationship Id="rId38" Type="http://schemas.openxmlformats.org/officeDocument/2006/relationships/ctrlProp" Target="../ctrlProps/ctrlProp141.xml"/><Relationship Id="rId46" Type="http://schemas.openxmlformats.org/officeDocument/2006/relationships/ctrlProp" Target="../ctrlProps/ctrlProp149.xml"/><Relationship Id="rId20" Type="http://schemas.openxmlformats.org/officeDocument/2006/relationships/ctrlProp" Target="../ctrlProps/ctrlProp123.xml"/><Relationship Id="rId41" Type="http://schemas.openxmlformats.org/officeDocument/2006/relationships/ctrlProp" Target="../ctrlProps/ctrlProp144.xml"/><Relationship Id="rId54" Type="http://schemas.openxmlformats.org/officeDocument/2006/relationships/ctrlProp" Target="../ctrlProps/ctrlProp157.xml"/><Relationship Id="rId1" Type="http://schemas.openxmlformats.org/officeDocument/2006/relationships/printerSettings" Target="../printerSettings/printerSettings5.bin"/><Relationship Id="rId6" Type="http://schemas.openxmlformats.org/officeDocument/2006/relationships/ctrlProp" Target="../ctrlProps/ctrlProp109.xml"/><Relationship Id="rId15" Type="http://schemas.openxmlformats.org/officeDocument/2006/relationships/ctrlProp" Target="../ctrlProps/ctrlProp118.xml"/><Relationship Id="rId23" Type="http://schemas.openxmlformats.org/officeDocument/2006/relationships/ctrlProp" Target="../ctrlProps/ctrlProp126.xml"/><Relationship Id="rId28" Type="http://schemas.openxmlformats.org/officeDocument/2006/relationships/ctrlProp" Target="../ctrlProps/ctrlProp131.xml"/><Relationship Id="rId36" Type="http://schemas.openxmlformats.org/officeDocument/2006/relationships/ctrlProp" Target="../ctrlProps/ctrlProp139.xml"/><Relationship Id="rId49" Type="http://schemas.openxmlformats.org/officeDocument/2006/relationships/ctrlProp" Target="../ctrlProps/ctrlProp152.xml"/><Relationship Id="rId57" Type="http://schemas.openxmlformats.org/officeDocument/2006/relationships/ctrlProp" Target="../ctrlProps/ctrlProp160.xml"/><Relationship Id="rId10" Type="http://schemas.openxmlformats.org/officeDocument/2006/relationships/ctrlProp" Target="../ctrlProps/ctrlProp113.xml"/><Relationship Id="rId31" Type="http://schemas.openxmlformats.org/officeDocument/2006/relationships/ctrlProp" Target="../ctrlProps/ctrlProp134.xml"/><Relationship Id="rId44" Type="http://schemas.openxmlformats.org/officeDocument/2006/relationships/ctrlProp" Target="../ctrlProps/ctrlProp147.xml"/><Relationship Id="rId52" Type="http://schemas.openxmlformats.org/officeDocument/2006/relationships/ctrlProp" Target="../ctrlProps/ctrlProp155.xml"/></Relationships>
</file>

<file path=xl/worksheets/_rels/sheet6.xml.rels><?xml version="1.0" encoding="UTF-8" standalone="yes"?>
<Relationships xmlns="http://schemas.openxmlformats.org/package/2006/relationships"><Relationship Id="rId13" Type="http://schemas.openxmlformats.org/officeDocument/2006/relationships/ctrlProp" Target="../ctrlProps/ctrlProp170.xml"/><Relationship Id="rId18" Type="http://schemas.openxmlformats.org/officeDocument/2006/relationships/ctrlProp" Target="../ctrlProps/ctrlProp175.xml"/><Relationship Id="rId26" Type="http://schemas.openxmlformats.org/officeDocument/2006/relationships/ctrlProp" Target="../ctrlProps/ctrlProp183.xml"/><Relationship Id="rId39" Type="http://schemas.openxmlformats.org/officeDocument/2006/relationships/ctrlProp" Target="../ctrlProps/ctrlProp196.xml"/><Relationship Id="rId21" Type="http://schemas.openxmlformats.org/officeDocument/2006/relationships/ctrlProp" Target="../ctrlProps/ctrlProp178.xml"/><Relationship Id="rId34" Type="http://schemas.openxmlformats.org/officeDocument/2006/relationships/ctrlProp" Target="../ctrlProps/ctrlProp191.xml"/><Relationship Id="rId42" Type="http://schemas.openxmlformats.org/officeDocument/2006/relationships/ctrlProp" Target="../ctrlProps/ctrlProp199.xml"/><Relationship Id="rId47" Type="http://schemas.openxmlformats.org/officeDocument/2006/relationships/ctrlProp" Target="../ctrlProps/ctrlProp204.xml"/><Relationship Id="rId50" Type="http://schemas.openxmlformats.org/officeDocument/2006/relationships/ctrlProp" Target="../ctrlProps/ctrlProp207.xml"/><Relationship Id="rId55" Type="http://schemas.openxmlformats.org/officeDocument/2006/relationships/ctrlProp" Target="../ctrlProps/ctrlProp212.xml"/><Relationship Id="rId7" Type="http://schemas.openxmlformats.org/officeDocument/2006/relationships/ctrlProp" Target="../ctrlProps/ctrlProp164.xml"/><Relationship Id="rId2" Type="http://schemas.openxmlformats.org/officeDocument/2006/relationships/drawing" Target="../drawings/drawing5.xml"/><Relationship Id="rId16" Type="http://schemas.openxmlformats.org/officeDocument/2006/relationships/ctrlProp" Target="../ctrlProps/ctrlProp173.xml"/><Relationship Id="rId29" Type="http://schemas.openxmlformats.org/officeDocument/2006/relationships/ctrlProp" Target="../ctrlProps/ctrlProp186.xml"/><Relationship Id="rId11" Type="http://schemas.openxmlformats.org/officeDocument/2006/relationships/ctrlProp" Target="../ctrlProps/ctrlProp168.xml"/><Relationship Id="rId24" Type="http://schemas.openxmlformats.org/officeDocument/2006/relationships/ctrlProp" Target="../ctrlProps/ctrlProp181.xml"/><Relationship Id="rId32" Type="http://schemas.openxmlformats.org/officeDocument/2006/relationships/ctrlProp" Target="../ctrlProps/ctrlProp189.xml"/><Relationship Id="rId37" Type="http://schemas.openxmlformats.org/officeDocument/2006/relationships/ctrlProp" Target="../ctrlProps/ctrlProp194.xml"/><Relationship Id="rId40" Type="http://schemas.openxmlformats.org/officeDocument/2006/relationships/ctrlProp" Target="../ctrlProps/ctrlProp197.xml"/><Relationship Id="rId45" Type="http://schemas.openxmlformats.org/officeDocument/2006/relationships/ctrlProp" Target="../ctrlProps/ctrlProp202.xml"/><Relationship Id="rId53" Type="http://schemas.openxmlformats.org/officeDocument/2006/relationships/ctrlProp" Target="../ctrlProps/ctrlProp210.xml"/><Relationship Id="rId5" Type="http://schemas.openxmlformats.org/officeDocument/2006/relationships/ctrlProp" Target="../ctrlProps/ctrlProp162.xml"/><Relationship Id="rId19" Type="http://schemas.openxmlformats.org/officeDocument/2006/relationships/ctrlProp" Target="../ctrlProps/ctrlProp176.xml"/><Relationship Id="rId4" Type="http://schemas.openxmlformats.org/officeDocument/2006/relationships/ctrlProp" Target="../ctrlProps/ctrlProp161.xml"/><Relationship Id="rId9" Type="http://schemas.openxmlformats.org/officeDocument/2006/relationships/ctrlProp" Target="../ctrlProps/ctrlProp166.xml"/><Relationship Id="rId14" Type="http://schemas.openxmlformats.org/officeDocument/2006/relationships/ctrlProp" Target="../ctrlProps/ctrlProp171.xml"/><Relationship Id="rId22" Type="http://schemas.openxmlformats.org/officeDocument/2006/relationships/ctrlProp" Target="../ctrlProps/ctrlProp179.xml"/><Relationship Id="rId27" Type="http://schemas.openxmlformats.org/officeDocument/2006/relationships/ctrlProp" Target="../ctrlProps/ctrlProp184.xml"/><Relationship Id="rId30" Type="http://schemas.openxmlformats.org/officeDocument/2006/relationships/ctrlProp" Target="../ctrlProps/ctrlProp187.xml"/><Relationship Id="rId35" Type="http://schemas.openxmlformats.org/officeDocument/2006/relationships/ctrlProp" Target="../ctrlProps/ctrlProp192.xml"/><Relationship Id="rId43" Type="http://schemas.openxmlformats.org/officeDocument/2006/relationships/ctrlProp" Target="../ctrlProps/ctrlProp200.xml"/><Relationship Id="rId48" Type="http://schemas.openxmlformats.org/officeDocument/2006/relationships/ctrlProp" Target="../ctrlProps/ctrlProp205.xml"/><Relationship Id="rId56" Type="http://schemas.openxmlformats.org/officeDocument/2006/relationships/ctrlProp" Target="../ctrlProps/ctrlProp213.xml"/><Relationship Id="rId8" Type="http://schemas.openxmlformats.org/officeDocument/2006/relationships/ctrlProp" Target="../ctrlProps/ctrlProp165.xml"/><Relationship Id="rId51" Type="http://schemas.openxmlformats.org/officeDocument/2006/relationships/ctrlProp" Target="../ctrlProps/ctrlProp208.xml"/><Relationship Id="rId3" Type="http://schemas.openxmlformats.org/officeDocument/2006/relationships/vmlDrawing" Target="../drawings/vmlDrawing4.vml"/><Relationship Id="rId12" Type="http://schemas.openxmlformats.org/officeDocument/2006/relationships/ctrlProp" Target="../ctrlProps/ctrlProp169.xml"/><Relationship Id="rId17" Type="http://schemas.openxmlformats.org/officeDocument/2006/relationships/ctrlProp" Target="../ctrlProps/ctrlProp174.xml"/><Relationship Id="rId25" Type="http://schemas.openxmlformats.org/officeDocument/2006/relationships/ctrlProp" Target="../ctrlProps/ctrlProp182.xml"/><Relationship Id="rId33" Type="http://schemas.openxmlformats.org/officeDocument/2006/relationships/ctrlProp" Target="../ctrlProps/ctrlProp190.xml"/><Relationship Id="rId38" Type="http://schemas.openxmlformats.org/officeDocument/2006/relationships/ctrlProp" Target="../ctrlProps/ctrlProp195.xml"/><Relationship Id="rId46" Type="http://schemas.openxmlformats.org/officeDocument/2006/relationships/ctrlProp" Target="../ctrlProps/ctrlProp203.xml"/><Relationship Id="rId20" Type="http://schemas.openxmlformats.org/officeDocument/2006/relationships/ctrlProp" Target="../ctrlProps/ctrlProp177.xml"/><Relationship Id="rId41" Type="http://schemas.openxmlformats.org/officeDocument/2006/relationships/ctrlProp" Target="../ctrlProps/ctrlProp198.xml"/><Relationship Id="rId54" Type="http://schemas.openxmlformats.org/officeDocument/2006/relationships/ctrlProp" Target="../ctrlProps/ctrlProp211.xml"/><Relationship Id="rId1" Type="http://schemas.openxmlformats.org/officeDocument/2006/relationships/printerSettings" Target="../printerSettings/printerSettings6.bin"/><Relationship Id="rId6" Type="http://schemas.openxmlformats.org/officeDocument/2006/relationships/ctrlProp" Target="../ctrlProps/ctrlProp163.xml"/><Relationship Id="rId15" Type="http://schemas.openxmlformats.org/officeDocument/2006/relationships/ctrlProp" Target="../ctrlProps/ctrlProp172.xml"/><Relationship Id="rId23" Type="http://schemas.openxmlformats.org/officeDocument/2006/relationships/ctrlProp" Target="../ctrlProps/ctrlProp180.xml"/><Relationship Id="rId28" Type="http://schemas.openxmlformats.org/officeDocument/2006/relationships/ctrlProp" Target="../ctrlProps/ctrlProp185.xml"/><Relationship Id="rId36" Type="http://schemas.openxmlformats.org/officeDocument/2006/relationships/ctrlProp" Target="../ctrlProps/ctrlProp193.xml"/><Relationship Id="rId49" Type="http://schemas.openxmlformats.org/officeDocument/2006/relationships/ctrlProp" Target="../ctrlProps/ctrlProp206.xml"/><Relationship Id="rId57" Type="http://schemas.openxmlformats.org/officeDocument/2006/relationships/ctrlProp" Target="../ctrlProps/ctrlProp214.xml"/><Relationship Id="rId10" Type="http://schemas.openxmlformats.org/officeDocument/2006/relationships/ctrlProp" Target="../ctrlProps/ctrlProp167.xml"/><Relationship Id="rId31" Type="http://schemas.openxmlformats.org/officeDocument/2006/relationships/ctrlProp" Target="../ctrlProps/ctrlProp188.xml"/><Relationship Id="rId44" Type="http://schemas.openxmlformats.org/officeDocument/2006/relationships/ctrlProp" Target="../ctrlProps/ctrlProp201.xml"/><Relationship Id="rId52" Type="http://schemas.openxmlformats.org/officeDocument/2006/relationships/ctrlProp" Target="../ctrlProps/ctrlProp209.xml"/></Relationships>
</file>

<file path=xl/worksheets/_rels/sheet7.xml.rels><?xml version="1.0" encoding="UTF-8" standalone="yes"?>
<Relationships xmlns="http://schemas.openxmlformats.org/package/2006/relationships"><Relationship Id="rId13" Type="http://schemas.openxmlformats.org/officeDocument/2006/relationships/ctrlProp" Target="../ctrlProps/ctrlProp224.xml"/><Relationship Id="rId18" Type="http://schemas.openxmlformats.org/officeDocument/2006/relationships/ctrlProp" Target="../ctrlProps/ctrlProp229.xml"/><Relationship Id="rId26" Type="http://schemas.openxmlformats.org/officeDocument/2006/relationships/ctrlProp" Target="../ctrlProps/ctrlProp237.xml"/><Relationship Id="rId39" Type="http://schemas.openxmlformats.org/officeDocument/2006/relationships/ctrlProp" Target="../ctrlProps/ctrlProp250.xml"/><Relationship Id="rId21" Type="http://schemas.openxmlformats.org/officeDocument/2006/relationships/ctrlProp" Target="../ctrlProps/ctrlProp232.xml"/><Relationship Id="rId34" Type="http://schemas.openxmlformats.org/officeDocument/2006/relationships/ctrlProp" Target="../ctrlProps/ctrlProp245.xml"/><Relationship Id="rId42" Type="http://schemas.openxmlformats.org/officeDocument/2006/relationships/ctrlProp" Target="../ctrlProps/ctrlProp253.xml"/><Relationship Id="rId47" Type="http://schemas.openxmlformats.org/officeDocument/2006/relationships/ctrlProp" Target="../ctrlProps/ctrlProp258.xml"/><Relationship Id="rId50" Type="http://schemas.openxmlformats.org/officeDocument/2006/relationships/ctrlProp" Target="../ctrlProps/ctrlProp261.xml"/><Relationship Id="rId55" Type="http://schemas.openxmlformats.org/officeDocument/2006/relationships/ctrlProp" Target="../ctrlProps/ctrlProp266.xml"/><Relationship Id="rId7" Type="http://schemas.openxmlformats.org/officeDocument/2006/relationships/ctrlProp" Target="../ctrlProps/ctrlProp218.xml"/><Relationship Id="rId2" Type="http://schemas.openxmlformats.org/officeDocument/2006/relationships/drawing" Target="../drawings/drawing6.xml"/><Relationship Id="rId16" Type="http://schemas.openxmlformats.org/officeDocument/2006/relationships/ctrlProp" Target="../ctrlProps/ctrlProp227.xml"/><Relationship Id="rId29" Type="http://schemas.openxmlformats.org/officeDocument/2006/relationships/ctrlProp" Target="../ctrlProps/ctrlProp240.xml"/><Relationship Id="rId11" Type="http://schemas.openxmlformats.org/officeDocument/2006/relationships/ctrlProp" Target="../ctrlProps/ctrlProp222.xml"/><Relationship Id="rId24" Type="http://schemas.openxmlformats.org/officeDocument/2006/relationships/ctrlProp" Target="../ctrlProps/ctrlProp235.xml"/><Relationship Id="rId32" Type="http://schemas.openxmlformats.org/officeDocument/2006/relationships/ctrlProp" Target="../ctrlProps/ctrlProp243.xml"/><Relationship Id="rId37" Type="http://schemas.openxmlformats.org/officeDocument/2006/relationships/ctrlProp" Target="../ctrlProps/ctrlProp248.xml"/><Relationship Id="rId40" Type="http://schemas.openxmlformats.org/officeDocument/2006/relationships/ctrlProp" Target="../ctrlProps/ctrlProp251.xml"/><Relationship Id="rId45" Type="http://schemas.openxmlformats.org/officeDocument/2006/relationships/ctrlProp" Target="../ctrlProps/ctrlProp256.xml"/><Relationship Id="rId53" Type="http://schemas.openxmlformats.org/officeDocument/2006/relationships/ctrlProp" Target="../ctrlProps/ctrlProp264.xml"/><Relationship Id="rId5" Type="http://schemas.openxmlformats.org/officeDocument/2006/relationships/ctrlProp" Target="../ctrlProps/ctrlProp216.xml"/><Relationship Id="rId19" Type="http://schemas.openxmlformats.org/officeDocument/2006/relationships/ctrlProp" Target="../ctrlProps/ctrlProp230.xml"/><Relationship Id="rId4" Type="http://schemas.openxmlformats.org/officeDocument/2006/relationships/ctrlProp" Target="../ctrlProps/ctrlProp215.xml"/><Relationship Id="rId9" Type="http://schemas.openxmlformats.org/officeDocument/2006/relationships/ctrlProp" Target="../ctrlProps/ctrlProp220.xml"/><Relationship Id="rId14" Type="http://schemas.openxmlformats.org/officeDocument/2006/relationships/ctrlProp" Target="../ctrlProps/ctrlProp225.xml"/><Relationship Id="rId22" Type="http://schemas.openxmlformats.org/officeDocument/2006/relationships/ctrlProp" Target="../ctrlProps/ctrlProp233.xml"/><Relationship Id="rId27" Type="http://schemas.openxmlformats.org/officeDocument/2006/relationships/ctrlProp" Target="../ctrlProps/ctrlProp238.xml"/><Relationship Id="rId30" Type="http://schemas.openxmlformats.org/officeDocument/2006/relationships/ctrlProp" Target="../ctrlProps/ctrlProp241.xml"/><Relationship Id="rId35" Type="http://schemas.openxmlformats.org/officeDocument/2006/relationships/ctrlProp" Target="../ctrlProps/ctrlProp246.xml"/><Relationship Id="rId43" Type="http://schemas.openxmlformats.org/officeDocument/2006/relationships/ctrlProp" Target="../ctrlProps/ctrlProp254.xml"/><Relationship Id="rId48" Type="http://schemas.openxmlformats.org/officeDocument/2006/relationships/ctrlProp" Target="../ctrlProps/ctrlProp259.xml"/><Relationship Id="rId56" Type="http://schemas.openxmlformats.org/officeDocument/2006/relationships/ctrlProp" Target="../ctrlProps/ctrlProp267.xml"/><Relationship Id="rId8" Type="http://schemas.openxmlformats.org/officeDocument/2006/relationships/ctrlProp" Target="../ctrlProps/ctrlProp219.xml"/><Relationship Id="rId51" Type="http://schemas.openxmlformats.org/officeDocument/2006/relationships/ctrlProp" Target="../ctrlProps/ctrlProp262.xml"/><Relationship Id="rId3" Type="http://schemas.openxmlformats.org/officeDocument/2006/relationships/vmlDrawing" Target="../drawings/vmlDrawing5.vml"/><Relationship Id="rId12" Type="http://schemas.openxmlformats.org/officeDocument/2006/relationships/ctrlProp" Target="../ctrlProps/ctrlProp223.xml"/><Relationship Id="rId17" Type="http://schemas.openxmlformats.org/officeDocument/2006/relationships/ctrlProp" Target="../ctrlProps/ctrlProp228.xml"/><Relationship Id="rId25" Type="http://schemas.openxmlformats.org/officeDocument/2006/relationships/ctrlProp" Target="../ctrlProps/ctrlProp236.xml"/><Relationship Id="rId33" Type="http://schemas.openxmlformats.org/officeDocument/2006/relationships/ctrlProp" Target="../ctrlProps/ctrlProp244.xml"/><Relationship Id="rId38" Type="http://schemas.openxmlformats.org/officeDocument/2006/relationships/ctrlProp" Target="../ctrlProps/ctrlProp249.xml"/><Relationship Id="rId46" Type="http://schemas.openxmlformats.org/officeDocument/2006/relationships/ctrlProp" Target="../ctrlProps/ctrlProp257.xml"/><Relationship Id="rId20" Type="http://schemas.openxmlformats.org/officeDocument/2006/relationships/ctrlProp" Target="../ctrlProps/ctrlProp231.xml"/><Relationship Id="rId41" Type="http://schemas.openxmlformats.org/officeDocument/2006/relationships/ctrlProp" Target="../ctrlProps/ctrlProp252.xml"/><Relationship Id="rId54" Type="http://schemas.openxmlformats.org/officeDocument/2006/relationships/ctrlProp" Target="../ctrlProps/ctrlProp265.xml"/><Relationship Id="rId1" Type="http://schemas.openxmlformats.org/officeDocument/2006/relationships/printerSettings" Target="../printerSettings/printerSettings7.bin"/><Relationship Id="rId6" Type="http://schemas.openxmlformats.org/officeDocument/2006/relationships/ctrlProp" Target="../ctrlProps/ctrlProp217.xml"/><Relationship Id="rId15" Type="http://schemas.openxmlformats.org/officeDocument/2006/relationships/ctrlProp" Target="../ctrlProps/ctrlProp226.xml"/><Relationship Id="rId23" Type="http://schemas.openxmlformats.org/officeDocument/2006/relationships/ctrlProp" Target="../ctrlProps/ctrlProp234.xml"/><Relationship Id="rId28" Type="http://schemas.openxmlformats.org/officeDocument/2006/relationships/ctrlProp" Target="../ctrlProps/ctrlProp239.xml"/><Relationship Id="rId36" Type="http://schemas.openxmlformats.org/officeDocument/2006/relationships/ctrlProp" Target="../ctrlProps/ctrlProp247.xml"/><Relationship Id="rId49" Type="http://schemas.openxmlformats.org/officeDocument/2006/relationships/ctrlProp" Target="../ctrlProps/ctrlProp260.xml"/><Relationship Id="rId57" Type="http://schemas.openxmlformats.org/officeDocument/2006/relationships/ctrlProp" Target="../ctrlProps/ctrlProp268.xml"/><Relationship Id="rId10" Type="http://schemas.openxmlformats.org/officeDocument/2006/relationships/ctrlProp" Target="../ctrlProps/ctrlProp221.xml"/><Relationship Id="rId31" Type="http://schemas.openxmlformats.org/officeDocument/2006/relationships/ctrlProp" Target="../ctrlProps/ctrlProp242.xml"/><Relationship Id="rId44" Type="http://schemas.openxmlformats.org/officeDocument/2006/relationships/ctrlProp" Target="../ctrlProps/ctrlProp255.xml"/><Relationship Id="rId52" Type="http://schemas.openxmlformats.org/officeDocument/2006/relationships/ctrlProp" Target="../ctrlProps/ctrlProp26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I26"/>
  <sheetViews>
    <sheetView zoomScaleNormal="100" zoomScaleSheetLayoutView="100" workbookViewId="0">
      <selection sqref="A1:I1"/>
    </sheetView>
  </sheetViews>
  <sheetFormatPr defaultRowHeight="13.2" x14ac:dyDescent="0.25"/>
  <cols>
    <col min="1" max="1" width="11.6640625" bestFit="1" customWidth="1"/>
  </cols>
  <sheetData>
    <row r="1" spans="1:9" ht="15.6" x14ac:dyDescent="0.3">
      <c r="A1" s="202" t="s">
        <v>473</v>
      </c>
      <c r="B1" s="202"/>
      <c r="C1" s="202"/>
      <c r="D1" s="202"/>
      <c r="E1" s="202"/>
      <c r="F1" s="202"/>
      <c r="G1" s="202"/>
      <c r="H1" s="202"/>
      <c r="I1" s="202"/>
    </row>
    <row r="2" spans="1:9" ht="12" customHeight="1" x14ac:dyDescent="0.3">
      <c r="A2" s="36" t="s">
        <v>217</v>
      </c>
      <c r="B2" s="13"/>
      <c r="C2" s="13"/>
      <c r="D2" s="13"/>
      <c r="E2" s="13"/>
      <c r="F2" s="13"/>
      <c r="G2" s="13"/>
      <c r="H2" s="13"/>
      <c r="I2" s="13"/>
    </row>
    <row r="3" spans="1:9" ht="12" customHeight="1" x14ac:dyDescent="0.3">
      <c r="A3" s="26">
        <f ca="1">TODAY()</f>
        <v>45785</v>
      </c>
      <c r="B3" s="13"/>
      <c r="C3" s="13"/>
      <c r="D3" s="13"/>
      <c r="E3" s="13"/>
      <c r="F3" s="13"/>
      <c r="G3" s="13"/>
      <c r="H3" s="13"/>
      <c r="I3" s="13"/>
    </row>
    <row r="4" spans="1:9" ht="6" customHeight="1" x14ac:dyDescent="0.25"/>
    <row r="5" spans="1:9" ht="15.6" x14ac:dyDescent="0.3">
      <c r="A5" s="205" t="s">
        <v>0</v>
      </c>
      <c r="B5" s="205"/>
      <c r="C5" s="205"/>
      <c r="D5" s="205"/>
      <c r="E5" s="205"/>
      <c r="F5" s="205"/>
      <c r="G5" s="205"/>
      <c r="H5" s="205"/>
      <c r="I5" s="205"/>
    </row>
    <row r="6" spans="1:9" ht="25.5" customHeight="1" x14ac:dyDescent="0.25">
      <c r="A6" s="203" t="s">
        <v>50</v>
      </c>
      <c r="B6" s="203"/>
      <c r="C6" s="203"/>
      <c r="D6" s="203"/>
      <c r="E6" s="203"/>
      <c r="F6" s="203"/>
      <c r="G6" s="203"/>
      <c r="H6" s="203"/>
      <c r="I6" s="203"/>
    </row>
    <row r="7" spans="1:9" ht="12.75" customHeight="1" x14ac:dyDescent="0.25">
      <c r="A7" s="31"/>
      <c r="B7" s="31"/>
      <c r="C7" s="31"/>
      <c r="D7" s="31"/>
      <c r="E7" s="31"/>
      <c r="F7" s="31"/>
      <c r="G7" s="31"/>
      <c r="H7" s="31"/>
      <c r="I7" s="31"/>
    </row>
    <row r="8" spans="1:9" ht="15.6" x14ac:dyDescent="0.3">
      <c r="A8" s="205" t="s">
        <v>42</v>
      </c>
      <c r="B8" s="205"/>
      <c r="C8" s="205"/>
      <c r="D8" s="205"/>
      <c r="E8" s="205"/>
      <c r="F8" s="205"/>
      <c r="G8" s="205"/>
      <c r="H8" s="205"/>
      <c r="I8" s="205"/>
    </row>
    <row r="9" spans="1:9" ht="51" customHeight="1" x14ac:dyDescent="0.25">
      <c r="A9" s="208" t="s">
        <v>43</v>
      </c>
      <c r="B9" s="209"/>
      <c r="C9" s="209"/>
      <c r="D9" s="209"/>
      <c r="E9" s="209"/>
      <c r="F9" s="209"/>
      <c r="G9" s="209"/>
      <c r="H9" s="209"/>
      <c r="I9" s="209"/>
    </row>
    <row r="10" spans="1:9" ht="12.75" customHeight="1" x14ac:dyDescent="0.25">
      <c r="A10" s="14"/>
      <c r="B10" s="14"/>
      <c r="C10" s="14"/>
      <c r="D10" s="14"/>
      <c r="E10" s="14"/>
      <c r="F10" s="14"/>
      <c r="G10" s="14"/>
      <c r="H10" s="14"/>
      <c r="I10" s="14"/>
    </row>
    <row r="11" spans="1:9" ht="15.75" customHeight="1" x14ac:dyDescent="0.25">
      <c r="A11" s="204" t="s">
        <v>79</v>
      </c>
      <c r="B11" s="204"/>
      <c r="C11" s="204"/>
      <c r="D11" s="204"/>
      <c r="E11" s="204"/>
      <c r="F11" s="204"/>
      <c r="G11" s="204"/>
      <c r="H11" s="204"/>
      <c r="I11" s="204"/>
    </row>
    <row r="12" spans="1:9" ht="12.75" customHeight="1" x14ac:dyDescent="0.25">
      <c r="A12" s="25"/>
      <c r="B12" s="37" t="s">
        <v>77</v>
      </c>
      <c r="C12" s="14"/>
      <c r="D12" s="14"/>
      <c r="E12" s="14"/>
      <c r="F12" s="14"/>
      <c r="G12" s="14"/>
      <c r="H12" s="14"/>
    </row>
    <row r="13" spans="1:9" ht="12.75" customHeight="1" x14ac:dyDescent="0.25">
      <c r="A13" s="15"/>
      <c r="B13" s="17" t="s">
        <v>30</v>
      </c>
      <c r="C13" s="14"/>
      <c r="D13" s="14"/>
      <c r="E13" s="14"/>
      <c r="F13" s="14"/>
      <c r="G13" s="14"/>
      <c r="H13" s="14"/>
    </row>
    <row r="14" spans="1:9" ht="12.75" customHeight="1" x14ac:dyDescent="0.25">
      <c r="A14" s="16"/>
      <c r="B14" s="37" t="s">
        <v>78</v>
      </c>
      <c r="C14" s="14"/>
      <c r="D14" s="14"/>
      <c r="E14" s="14"/>
      <c r="F14" s="14"/>
      <c r="G14" s="14"/>
      <c r="H14" s="14"/>
    </row>
    <row r="15" spans="1:9" ht="12.75" customHeight="1" x14ac:dyDescent="0.25">
      <c r="A15" s="78"/>
      <c r="B15" s="37" t="s">
        <v>163</v>
      </c>
      <c r="C15" s="14"/>
      <c r="D15" s="14"/>
      <c r="E15" s="14"/>
      <c r="F15" s="14"/>
      <c r="G15" s="14"/>
      <c r="H15" s="14"/>
    </row>
    <row r="16" spans="1:9" ht="12.75" customHeight="1" x14ac:dyDescent="0.25">
      <c r="A16" s="142"/>
      <c r="B16" s="143" t="s">
        <v>258</v>
      </c>
      <c r="C16" s="14"/>
      <c r="D16" s="14"/>
      <c r="E16" s="14"/>
      <c r="F16" s="14"/>
      <c r="G16" s="14"/>
      <c r="H16" s="14"/>
    </row>
    <row r="18" spans="1:9" ht="15.6" x14ac:dyDescent="0.3">
      <c r="A18" s="205" t="s">
        <v>38</v>
      </c>
      <c r="B18" s="205"/>
      <c r="C18" s="205"/>
      <c r="D18" s="205"/>
      <c r="E18" s="205"/>
      <c r="F18" s="205"/>
      <c r="G18" s="205"/>
      <c r="H18" s="205"/>
      <c r="I18" s="205"/>
    </row>
    <row r="19" spans="1:9" ht="38.25" customHeight="1" x14ac:dyDescent="0.25">
      <c r="A19" s="203" t="s">
        <v>41</v>
      </c>
      <c r="B19" s="203"/>
      <c r="C19" s="203"/>
      <c r="D19" s="203"/>
      <c r="E19" s="203"/>
      <c r="F19" s="203"/>
      <c r="G19" s="203"/>
      <c r="H19" s="203"/>
      <c r="I19" s="203"/>
    </row>
    <row r="20" spans="1:9" ht="12.75" customHeight="1" x14ac:dyDescent="0.25">
      <c r="A20" s="207" t="s">
        <v>29</v>
      </c>
      <c r="B20" s="207"/>
      <c r="C20" s="207"/>
      <c r="D20" s="207"/>
      <c r="E20" s="207"/>
      <c r="F20" s="207"/>
      <c r="G20" s="207"/>
      <c r="H20" s="207"/>
      <c r="I20" s="207"/>
    </row>
    <row r="21" spans="1:9" ht="25.5" customHeight="1" x14ac:dyDescent="0.25">
      <c r="A21" s="211" t="s">
        <v>161</v>
      </c>
      <c r="B21" s="212"/>
      <c r="C21" s="212"/>
      <c r="D21" s="212"/>
      <c r="E21" s="212"/>
      <c r="F21" s="212"/>
      <c r="G21" s="212"/>
      <c r="H21" s="212"/>
      <c r="I21" s="212"/>
    </row>
    <row r="22" spans="1:9" x14ac:dyDescent="0.25">
      <c r="A22" s="213" t="s">
        <v>162</v>
      </c>
      <c r="B22" s="213"/>
      <c r="C22" s="213"/>
      <c r="D22" s="213"/>
      <c r="E22" s="213"/>
      <c r="F22" s="213"/>
      <c r="G22" s="213"/>
      <c r="H22" s="213"/>
      <c r="I22" s="213"/>
    </row>
    <row r="23" spans="1:9" ht="51" customHeight="1" x14ac:dyDescent="0.25">
      <c r="A23" s="210" t="s">
        <v>218</v>
      </c>
      <c r="B23" s="210"/>
      <c r="C23" s="210"/>
      <c r="D23" s="210"/>
      <c r="E23" s="210"/>
      <c r="F23" s="210"/>
      <c r="G23" s="210"/>
      <c r="H23" s="210"/>
      <c r="I23" s="210"/>
    </row>
    <row r="25" spans="1:9" ht="15.6" x14ac:dyDescent="0.3">
      <c r="A25" s="205" t="s">
        <v>48</v>
      </c>
      <c r="B25" s="205"/>
      <c r="C25" s="205"/>
      <c r="D25" s="205"/>
      <c r="E25" s="205"/>
      <c r="F25" s="205"/>
      <c r="G25" s="205"/>
      <c r="H25" s="205"/>
      <c r="I25" s="205"/>
    </row>
    <row r="26" spans="1:9" ht="114.75" customHeight="1" x14ac:dyDescent="0.25">
      <c r="A26" s="206" t="s">
        <v>51</v>
      </c>
      <c r="B26" s="206"/>
      <c r="C26" s="206"/>
      <c r="D26" s="206"/>
      <c r="E26" s="206"/>
      <c r="F26" s="206"/>
      <c r="G26" s="206"/>
      <c r="H26" s="206"/>
      <c r="I26" s="206"/>
    </row>
  </sheetData>
  <mergeCells count="14">
    <mergeCell ref="A1:I1"/>
    <mergeCell ref="A6:I6"/>
    <mergeCell ref="A11:I11"/>
    <mergeCell ref="A5:I5"/>
    <mergeCell ref="A26:I26"/>
    <mergeCell ref="A20:I20"/>
    <mergeCell ref="A8:I8"/>
    <mergeCell ref="A9:I9"/>
    <mergeCell ref="A25:I25"/>
    <mergeCell ref="A23:I23"/>
    <mergeCell ref="A21:I21"/>
    <mergeCell ref="A22:I22"/>
    <mergeCell ref="A18:I18"/>
    <mergeCell ref="A19:I19"/>
  </mergeCells>
  <phoneticPr fontId="3" type="noConversion"/>
  <pageMargins left="0.75" right="0.75" top="1" bottom="1" header="0.5" footer="0.5"/>
  <pageSetup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15"/>
  <sheetViews>
    <sheetView tabSelected="1" workbookViewId="0">
      <selection activeCell="K18" sqref="K18"/>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4.33203125" bestFit="1" customWidth="1"/>
    <col min="10" max="10" width="18"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487</v>
      </c>
      <c r="J2" s="121" t="s">
        <v>488</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11.479999999999999</v>
      </c>
      <c r="D4" s="54">
        <v>11.479999999999999</v>
      </c>
      <c r="E4" s="54">
        <v>11.479999999999999</v>
      </c>
      <c r="F4" s="54">
        <v>11.479999999999999</v>
      </c>
      <c r="G4" s="54">
        <v>11.479999999999999</v>
      </c>
      <c r="H4" s="54">
        <v>11.479999999999999</v>
      </c>
      <c r="I4" s="54">
        <v>11.479999999999999</v>
      </c>
      <c r="J4" s="54">
        <v>11.479999999999999</v>
      </c>
    </row>
    <row r="5" spans="1:10" x14ac:dyDescent="0.25">
      <c r="A5" s="255"/>
      <c r="B5" s="124" t="s">
        <v>300</v>
      </c>
      <c r="C5" s="127">
        <f t="shared" si="0"/>
        <v>3.5200000000000009</v>
      </c>
      <c r="D5" s="54">
        <v>3.5200000000000009</v>
      </c>
      <c r="E5" s="54">
        <v>3.5200000000000009</v>
      </c>
      <c r="F5" s="54">
        <v>3.5200000000000009</v>
      </c>
      <c r="G5" s="54">
        <v>3.5200000000000009</v>
      </c>
      <c r="H5" s="54">
        <v>3.5200000000000009</v>
      </c>
      <c r="I5" s="54">
        <v>3.5200000000000009</v>
      </c>
      <c r="J5" s="54">
        <v>3.5200000000000009</v>
      </c>
    </row>
    <row r="6" spans="1:10" x14ac:dyDescent="0.25">
      <c r="A6" s="255"/>
      <c r="B6" s="144" t="s">
        <v>299</v>
      </c>
      <c r="C6" s="127">
        <f t="shared" si="0"/>
        <v>17.939999999999998</v>
      </c>
      <c r="D6" s="54">
        <v>17.939999999999998</v>
      </c>
      <c r="E6" s="54">
        <v>17.939999999999998</v>
      </c>
      <c r="F6" s="54">
        <v>17.939999999999998</v>
      </c>
      <c r="G6" s="54">
        <v>17.939999999999998</v>
      </c>
      <c r="H6" s="54">
        <v>17.939999999999998</v>
      </c>
      <c r="I6" s="54">
        <v>17.939999999999998</v>
      </c>
      <c r="J6" s="54">
        <v>17.939999999999998</v>
      </c>
    </row>
    <row r="7" spans="1:10" x14ac:dyDescent="0.25">
      <c r="A7" s="255"/>
      <c r="B7" s="144" t="s">
        <v>298</v>
      </c>
      <c r="C7" s="127">
        <f t="shared" si="0"/>
        <v>1.1199999999999999</v>
      </c>
      <c r="D7" s="54">
        <v>1.1199999999999999</v>
      </c>
      <c r="E7" s="54">
        <v>1.1199999999999999</v>
      </c>
      <c r="F7" s="54">
        <v>1.1199999999999999</v>
      </c>
      <c r="G7" s="54">
        <v>1.1199999999999999</v>
      </c>
      <c r="H7" s="54">
        <v>1.1199999999999999</v>
      </c>
      <c r="I7" s="54">
        <v>1.1199999999999999</v>
      </c>
      <c r="J7" s="54">
        <v>1.1199999999999999</v>
      </c>
    </row>
    <row r="8" spans="1:10" ht="12" customHeight="1" x14ac:dyDescent="0.25">
      <c r="A8" s="255"/>
      <c r="B8" s="145" t="s">
        <v>297</v>
      </c>
      <c r="C8" s="127">
        <f t="shared" si="0"/>
        <v>0.53999999999999937</v>
      </c>
      <c r="D8" s="54">
        <v>0.53999999999999937</v>
      </c>
      <c r="E8" s="54">
        <v>0.53999999999999937</v>
      </c>
      <c r="F8" s="54">
        <v>0.53999999999999937</v>
      </c>
      <c r="G8" s="54">
        <v>0.53999999999999937</v>
      </c>
      <c r="H8" s="54">
        <v>0.53999999999999937</v>
      </c>
      <c r="I8" s="54">
        <v>0.53999999999999937</v>
      </c>
      <c r="J8" s="54">
        <v>0.53999999999999937</v>
      </c>
    </row>
    <row r="9" spans="1:10" ht="12.75" customHeight="1" x14ac:dyDescent="0.25">
      <c r="A9" s="255"/>
      <c r="B9" s="144" t="s">
        <v>224</v>
      </c>
      <c r="C9" s="127">
        <f t="shared" si="0"/>
        <v>7</v>
      </c>
      <c r="D9" s="54">
        <v>7</v>
      </c>
      <c r="E9" s="54">
        <v>7</v>
      </c>
      <c r="F9" s="54">
        <v>7</v>
      </c>
      <c r="G9" s="54">
        <v>7</v>
      </c>
      <c r="H9" s="54">
        <v>7</v>
      </c>
      <c r="I9" s="54">
        <v>7</v>
      </c>
      <c r="J9" s="54">
        <v>7</v>
      </c>
    </row>
    <row r="10" spans="1:10" ht="12.75" customHeight="1" x14ac:dyDescent="0.25">
      <c r="A10" s="255"/>
      <c r="B10" s="144" t="s">
        <v>225</v>
      </c>
      <c r="C10" s="127">
        <f t="shared" si="0"/>
        <v>0.8</v>
      </c>
      <c r="D10" s="54">
        <v>0.8</v>
      </c>
      <c r="E10" s="54">
        <v>0.8</v>
      </c>
      <c r="F10" s="54">
        <v>0.8</v>
      </c>
      <c r="G10" s="54">
        <v>0.8</v>
      </c>
      <c r="H10" s="54">
        <v>0.8</v>
      </c>
      <c r="I10" s="54">
        <v>0.8</v>
      </c>
      <c r="J10" s="54">
        <v>0.8</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3.640000000000001</v>
      </c>
      <c r="D12" s="162">
        <v>3.640000000000001</v>
      </c>
      <c r="E12" s="162">
        <v>3.640000000000001</v>
      </c>
      <c r="F12" s="162">
        <v>3.640000000000001</v>
      </c>
      <c r="G12" s="162">
        <v>3.640000000000001</v>
      </c>
      <c r="H12" s="162">
        <v>3.640000000000001</v>
      </c>
      <c r="I12" s="162">
        <v>3.640000000000001</v>
      </c>
      <c r="J12" s="162">
        <v>3.640000000000001</v>
      </c>
    </row>
    <row r="13" spans="1:10" ht="13.8" x14ac:dyDescent="0.3">
      <c r="A13" s="252"/>
      <c r="B13" s="125" t="s">
        <v>295</v>
      </c>
      <c r="C13" s="127">
        <f t="shared" si="1"/>
        <v>6.2400000000000011</v>
      </c>
      <c r="D13" s="162">
        <v>6.2400000000000011</v>
      </c>
      <c r="E13" s="162">
        <v>6.2400000000000011</v>
      </c>
      <c r="F13" s="162">
        <v>6.2400000000000011</v>
      </c>
      <c r="G13" s="162">
        <v>6.2400000000000011</v>
      </c>
      <c r="H13" s="162">
        <v>6.2400000000000011</v>
      </c>
      <c r="I13" s="162">
        <v>6.2400000000000011</v>
      </c>
      <c r="J13" s="162">
        <v>6.2400000000000011</v>
      </c>
    </row>
    <row r="14" spans="1:10" x14ac:dyDescent="0.25">
      <c r="A14" s="252"/>
      <c r="B14" s="125" t="s">
        <v>294</v>
      </c>
      <c r="C14" s="127">
        <f t="shared" si="1"/>
        <v>194</v>
      </c>
      <c r="D14" s="162">
        <v>194</v>
      </c>
      <c r="E14" s="162">
        <v>194</v>
      </c>
      <c r="F14" s="162">
        <v>194</v>
      </c>
      <c r="G14" s="162">
        <v>194</v>
      </c>
      <c r="H14" s="162">
        <v>194</v>
      </c>
      <c r="I14" s="162">
        <v>194</v>
      </c>
      <c r="J14" s="162">
        <v>194</v>
      </c>
    </row>
    <row r="15" spans="1:10" x14ac:dyDescent="0.25">
      <c r="A15" s="252"/>
      <c r="B15" s="125" t="s">
        <v>330</v>
      </c>
      <c r="C15" s="127">
        <f t="shared" si="1"/>
        <v>0.67999999999999616</v>
      </c>
      <c r="D15" s="162">
        <v>0.67999999999999616</v>
      </c>
      <c r="E15" s="162">
        <v>0.67999999999999616</v>
      </c>
      <c r="F15" s="162">
        <v>0.67999999999999616</v>
      </c>
      <c r="G15" s="162">
        <v>0.67999999999999616</v>
      </c>
      <c r="H15" s="162">
        <v>0.67999999999999616</v>
      </c>
      <c r="I15" s="162">
        <v>0.67999999999999616</v>
      </c>
      <c r="J15" s="162">
        <v>0.67999999999999616</v>
      </c>
    </row>
    <row r="16" spans="1:10" x14ac:dyDescent="0.25">
      <c r="A16" s="252"/>
      <c r="B16" s="125" t="s">
        <v>302</v>
      </c>
      <c r="C16" s="127">
        <f t="shared" si="1"/>
        <v>173.35999999999993</v>
      </c>
      <c r="D16" s="162">
        <v>173.35999999999993</v>
      </c>
      <c r="E16" s="162">
        <v>173.35999999999993</v>
      </c>
      <c r="F16" s="162">
        <v>173.35999999999993</v>
      </c>
      <c r="G16" s="162">
        <v>173.35999999999993</v>
      </c>
      <c r="H16" s="162">
        <v>173.35999999999993</v>
      </c>
      <c r="I16" s="162">
        <v>173.35999999999993</v>
      </c>
      <c r="J16" s="162">
        <v>173.35999999999993</v>
      </c>
    </row>
    <row r="17" spans="1:10" x14ac:dyDescent="0.25">
      <c r="A17" s="252"/>
      <c r="B17" s="125" t="s">
        <v>303</v>
      </c>
      <c r="C17" s="127">
        <f t="shared" si="1"/>
        <v>157.36000000000058</v>
      </c>
      <c r="D17" s="162">
        <v>157.36000000000058</v>
      </c>
      <c r="E17" s="162">
        <v>157.36000000000058</v>
      </c>
      <c r="F17" s="162">
        <v>157.36000000000058</v>
      </c>
      <c r="G17" s="162">
        <v>157.36000000000058</v>
      </c>
      <c r="H17" s="162">
        <v>157.36000000000058</v>
      </c>
      <c r="I17" s="162">
        <v>157.36000000000058</v>
      </c>
      <c r="J17" s="162">
        <v>157.36000000000058</v>
      </c>
    </row>
    <row r="18" spans="1:10" x14ac:dyDescent="0.25">
      <c r="A18" s="252"/>
      <c r="B18" s="125" t="s">
        <v>328</v>
      </c>
      <c r="C18" s="127">
        <f t="shared" si="1"/>
        <v>8.333333333333341</v>
      </c>
      <c r="D18" s="162">
        <v>8.333333333333341</v>
      </c>
      <c r="E18" s="162">
        <v>8.333333333333341</v>
      </c>
      <c r="F18" s="162">
        <v>8.333333333333341</v>
      </c>
      <c r="G18" s="162">
        <v>8.333333333333341</v>
      </c>
      <c r="H18" s="162">
        <v>8.333333333333341</v>
      </c>
      <c r="I18" s="162">
        <v>8.333333333333341</v>
      </c>
      <c r="J18" s="162">
        <v>8.333333333333341</v>
      </c>
    </row>
    <row r="19" spans="1:10" x14ac:dyDescent="0.25">
      <c r="A19" s="252"/>
      <c r="B19" s="125" t="s">
        <v>329</v>
      </c>
      <c r="C19" s="127">
        <f t="shared" si="1"/>
        <v>9.8333333333333233</v>
      </c>
      <c r="D19" s="162">
        <v>9.8333333333333233</v>
      </c>
      <c r="E19" s="162">
        <v>9.8333333333333233</v>
      </c>
      <c r="F19" s="162">
        <v>9.8333333333333233</v>
      </c>
      <c r="G19" s="162">
        <v>9.8333333333333233</v>
      </c>
      <c r="H19" s="162">
        <v>9.8333333333333233</v>
      </c>
      <c r="I19" s="162">
        <v>9.8333333333333233</v>
      </c>
      <c r="J19" s="162">
        <v>9.8333333333333233</v>
      </c>
    </row>
    <row r="20" spans="1:10" x14ac:dyDescent="0.25">
      <c r="A20" s="252"/>
      <c r="B20" s="125" t="s">
        <v>323</v>
      </c>
      <c r="C20" s="127">
        <f t="shared" si="1"/>
        <v>0.7</v>
      </c>
      <c r="D20" s="162">
        <v>0.7</v>
      </c>
      <c r="E20" s="162">
        <v>0.7</v>
      </c>
      <c r="F20" s="162">
        <v>0.7</v>
      </c>
      <c r="G20" s="162">
        <v>0.7</v>
      </c>
      <c r="H20" s="162">
        <v>0.7</v>
      </c>
      <c r="I20" s="162">
        <v>0.7</v>
      </c>
      <c r="J20" s="162">
        <v>0.7</v>
      </c>
    </row>
    <row r="21" spans="1:10" x14ac:dyDescent="0.25">
      <c r="A21" s="252"/>
      <c r="B21" s="125" t="s">
        <v>322</v>
      </c>
      <c r="C21" s="127">
        <f t="shared" si="1"/>
        <v>1</v>
      </c>
      <c r="D21" s="162">
        <v>1</v>
      </c>
      <c r="E21" s="162">
        <v>1</v>
      </c>
      <c r="F21" s="162">
        <v>1</v>
      </c>
      <c r="G21" s="162">
        <v>1</v>
      </c>
      <c r="H21" s="162">
        <v>1</v>
      </c>
      <c r="I21" s="162">
        <v>1</v>
      </c>
      <c r="J21" s="162">
        <v>1</v>
      </c>
    </row>
    <row r="22" spans="1:10" x14ac:dyDescent="0.25">
      <c r="A22" s="252"/>
      <c r="B22" s="125" t="s">
        <v>324</v>
      </c>
      <c r="C22" s="127">
        <f t="shared" si="1"/>
        <v>3</v>
      </c>
      <c r="D22" s="162">
        <v>3</v>
      </c>
      <c r="E22" s="162">
        <v>3</v>
      </c>
      <c r="F22" s="162">
        <v>3</v>
      </c>
      <c r="G22" s="162">
        <v>3</v>
      </c>
      <c r="H22" s="162">
        <v>3</v>
      </c>
      <c r="I22" s="162">
        <v>3</v>
      </c>
      <c r="J22" s="162">
        <v>3</v>
      </c>
    </row>
    <row r="23" spans="1:10" x14ac:dyDescent="0.25">
      <c r="A23" s="253"/>
      <c r="B23" s="125" t="s">
        <v>325</v>
      </c>
      <c r="C23" s="127">
        <f t="shared" si="1"/>
        <v>36.039387562923601</v>
      </c>
      <c r="D23" s="162">
        <v>36.039387562923601</v>
      </c>
      <c r="E23" s="162">
        <v>36.039387562923601</v>
      </c>
      <c r="F23" s="162">
        <v>36.039387562923601</v>
      </c>
      <c r="G23" s="162">
        <v>36.039387562923601</v>
      </c>
      <c r="H23" s="162">
        <v>36.039387562923601</v>
      </c>
      <c r="I23" s="162">
        <v>36.039387562923601</v>
      </c>
      <c r="J23" s="162">
        <v>36.039387562923601</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449.99999999999994</v>
      </c>
      <c r="D34" s="163">
        <v>449.99999999999994</v>
      </c>
      <c r="E34" s="163">
        <v>449.99999999999994</v>
      </c>
      <c r="F34" s="163">
        <v>449.99999999999994</v>
      </c>
      <c r="G34" s="163">
        <v>449.99999999999994</v>
      </c>
      <c r="H34" s="163">
        <v>449.99999999999994</v>
      </c>
      <c r="I34" s="163">
        <v>449.99999999999994</v>
      </c>
      <c r="J34" s="163">
        <v>449.99999999999994</v>
      </c>
    </row>
    <row r="35" spans="1:10" x14ac:dyDescent="0.25">
      <c r="A35" s="243"/>
      <c r="B35" s="85" t="s">
        <v>181</v>
      </c>
      <c r="C35" s="127">
        <f t="shared" si="3"/>
        <v>0.31306754011388283</v>
      </c>
      <c r="D35" s="163">
        <v>0.31306754011388283</v>
      </c>
      <c r="E35" s="163">
        <v>0.31306754011388283</v>
      </c>
      <c r="F35" s="163">
        <v>0.31306754011388283</v>
      </c>
      <c r="G35" s="163">
        <v>0.31306754011388283</v>
      </c>
      <c r="H35" s="163">
        <v>0.31306754011388283</v>
      </c>
      <c r="I35" s="163">
        <v>0.31306754011388283</v>
      </c>
      <c r="J35" s="163">
        <v>0.31306754011388283</v>
      </c>
    </row>
    <row r="36" spans="1:10" x14ac:dyDescent="0.25">
      <c r="A36" s="243"/>
      <c r="B36" s="161" t="s">
        <v>383</v>
      </c>
      <c r="C36" s="127">
        <f t="shared" si="3"/>
        <v>600.00000000000011</v>
      </c>
      <c r="D36" s="164">
        <v>600.00000000000011</v>
      </c>
      <c r="E36" s="164">
        <v>600.00000000000011</v>
      </c>
      <c r="F36" s="164">
        <v>600.00000000000011</v>
      </c>
      <c r="G36" s="164">
        <v>600.00000000000011</v>
      </c>
      <c r="H36" s="164">
        <v>600.00000000000011</v>
      </c>
      <c r="I36" s="164">
        <v>600.00000000000011</v>
      </c>
      <c r="J36" s="164">
        <v>600.00000000000011</v>
      </c>
    </row>
    <row r="37" spans="1:10" x14ac:dyDescent="0.25">
      <c r="A37" s="243"/>
      <c r="B37" s="124" t="s">
        <v>384</v>
      </c>
      <c r="C37" s="127">
        <f t="shared" si="3"/>
        <v>407</v>
      </c>
      <c r="D37" s="163">
        <v>407</v>
      </c>
      <c r="E37" s="163">
        <v>407</v>
      </c>
      <c r="F37" s="163">
        <v>407</v>
      </c>
      <c r="G37" s="163">
        <v>407</v>
      </c>
      <c r="H37" s="163">
        <v>407</v>
      </c>
      <c r="I37" s="163">
        <v>407</v>
      </c>
      <c r="J37" s="163">
        <v>407</v>
      </c>
    </row>
    <row r="38" spans="1:10" x14ac:dyDescent="0.25">
      <c r="A38" s="243"/>
      <c r="B38" s="124" t="s">
        <v>385</v>
      </c>
      <c r="C38" s="127">
        <f t="shared" si="3"/>
        <v>615</v>
      </c>
      <c r="D38" s="163">
        <v>615</v>
      </c>
      <c r="E38" s="163">
        <v>615</v>
      </c>
      <c r="F38" s="163">
        <v>615</v>
      </c>
      <c r="G38" s="163">
        <v>615</v>
      </c>
      <c r="H38" s="163">
        <v>615</v>
      </c>
      <c r="I38" s="163">
        <v>615</v>
      </c>
      <c r="J38" s="163">
        <v>615</v>
      </c>
    </row>
    <row r="39" spans="1:10" x14ac:dyDescent="0.25">
      <c r="A39" s="250"/>
      <c r="B39" s="124" t="s">
        <v>386</v>
      </c>
      <c r="C39" s="127">
        <f t="shared" si="3"/>
        <v>486.96619543830303</v>
      </c>
      <c r="D39" s="163">
        <v>486.96619543830303</v>
      </c>
      <c r="E39" s="163">
        <v>486.96619543830303</v>
      </c>
      <c r="F39" s="163">
        <v>486.96619543830303</v>
      </c>
      <c r="G39" s="163">
        <v>486.96619543830303</v>
      </c>
      <c r="H39" s="163">
        <v>486.96619543830303</v>
      </c>
      <c r="I39" s="163">
        <v>486.96619543830303</v>
      </c>
      <c r="J39" s="163">
        <v>486.96619543830303</v>
      </c>
    </row>
    <row r="40" spans="1:10" x14ac:dyDescent="0.25">
      <c r="A40" s="90"/>
      <c r="B40" s="124" t="s">
        <v>450</v>
      </c>
      <c r="C40" s="127">
        <f t="shared" si="3"/>
        <v>0</v>
      </c>
      <c r="D40" s="86">
        <v>0</v>
      </c>
      <c r="E40" s="86">
        <v>0</v>
      </c>
      <c r="F40" s="86">
        <v>0</v>
      </c>
      <c r="G40" s="86">
        <v>0</v>
      </c>
      <c r="H40" s="86">
        <v>0</v>
      </c>
      <c r="I40" s="86">
        <v>800</v>
      </c>
      <c r="J40" s="86">
        <v>800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5.0000000000000044</v>
      </c>
      <c r="D55" s="85">
        <v>5.0000000000000044</v>
      </c>
      <c r="E55" s="85">
        <v>5.0000000000000044</v>
      </c>
      <c r="F55" s="85">
        <v>5.0000000000000044</v>
      </c>
      <c r="G55" s="85">
        <v>5.0000000000000044</v>
      </c>
      <c r="H55" s="85">
        <v>5.0000000000000044</v>
      </c>
      <c r="I55" s="85">
        <v>5.0000000000000044</v>
      </c>
      <c r="J55" s="85">
        <v>5.0000000000000044</v>
      </c>
    </row>
    <row r="56" spans="1:10" x14ac:dyDescent="0.25">
      <c r="A56" s="256"/>
      <c r="B56" s="85" t="s">
        <v>332</v>
      </c>
      <c r="C56" s="127">
        <f>INDEX(D56:J56,$C$1)</f>
        <v>1.0666666666666602</v>
      </c>
      <c r="D56" s="85">
        <v>1.0666666666666602</v>
      </c>
      <c r="E56" s="85">
        <v>1.0666666666666602</v>
      </c>
      <c r="F56" s="85">
        <v>1.0666666666666602</v>
      </c>
      <c r="G56" s="85">
        <v>1.0666666666666602</v>
      </c>
      <c r="H56" s="85">
        <v>1.0666666666666602</v>
      </c>
      <c r="I56" s="85">
        <v>1.0666666666666602</v>
      </c>
      <c r="J56" s="85">
        <v>1.0666666666666602</v>
      </c>
    </row>
    <row r="57" spans="1:10" x14ac:dyDescent="0.25">
      <c r="A57" s="256"/>
      <c r="B57" s="85" t="s">
        <v>336</v>
      </c>
      <c r="C57" s="127">
        <f>INDEX(D57:J57,$C$1)</f>
        <v>0.80000000000000071</v>
      </c>
      <c r="D57" s="85">
        <v>0.80000000000000071</v>
      </c>
      <c r="E57" s="85">
        <v>0.80000000000000071</v>
      </c>
      <c r="F57" s="85">
        <v>0.80000000000000071</v>
      </c>
      <c r="G57" s="85">
        <v>0.80000000000000071</v>
      </c>
      <c r="H57" s="85">
        <v>0.80000000000000071</v>
      </c>
      <c r="I57" s="85">
        <v>0.80000000000000071</v>
      </c>
      <c r="J57" s="85">
        <v>0.80000000000000071</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97.000000000000085</v>
      </c>
      <c r="D69" s="86">
        <v>97.000000000000085</v>
      </c>
      <c r="E69" s="86">
        <v>97.000000000000085</v>
      </c>
      <c r="F69" s="86">
        <v>97.000000000000085</v>
      </c>
      <c r="G69" s="86">
        <v>97.000000000000085</v>
      </c>
      <c r="H69" s="86">
        <v>97.000000000000085</v>
      </c>
      <c r="I69" s="86">
        <v>97.000000000000085</v>
      </c>
      <c r="J69" s="86">
        <v>97.000000000000085</v>
      </c>
    </row>
    <row r="70" spans="1:10" x14ac:dyDescent="0.25">
      <c r="A70" s="243"/>
      <c r="B70" s="85" t="s">
        <v>150</v>
      </c>
      <c r="C70" s="127">
        <f>INDEX(D70:J70,$C$1)</f>
        <v>126</v>
      </c>
      <c r="D70" s="86">
        <v>126</v>
      </c>
      <c r="E70" s="86">
        <v>126</v>
      </c>
      <c r="F70" s="86">
        <v>126</v>
      </c>
      <c r="G70" s="86">
        <v>126</v>
      </c>
      <c r="H70" s="86">
        <v>126</v>
      </c>
      <c r="I70" s="86">
        <v>126</v>
      </c>
      <c r="J70" s="86">
        <v>126</v>
      </c>
    </row>
    <row r="71" spans="1:10" x14ac:dyDescent="0.25">
      <c r="A71" s="243"/>
      <c r="B71" s="85" t="s">
        <v>371</v>
      </c>
      <c r="C71" s="127">
        <f>INDEX(D71:J71,$C$1)</f>
        <v>718</v>
      </c>
      <c r="D71" s="85">
        <v>718</v>
      </c>
      <c r="E71" s="85">
        <v>718</v>
      </c>
      <c r="F71" s="85">
        <v>718</v>
      </c>
      <c r="G71" s="85">
        <v>718</v>
      </c>
      <c r="H71" s="85">
        <v>718</v>
      </c>
      <c r="I71" s="85">
        <v>718</v>
      </c>
      <c r="J71" s="85">
        <v>718</v>
      </c>
    </row>
    <row r="72" spans="1:10" x14ac:dyDescent="0.25">
      <c r="A72" s="243"/>
      <c r="B72" s="125" t="s">
        <v>394</v>
      </c>
      <c r="C72" s="127">
        <f>INDEX(D72:J72,$C$1)</f>
        <v>164.00000000000003</v>
      </c>
      <c r="D72" s="85">
        <v>164.00000000000003</v>
      </c>
      <c r="E72" s="85">
        <v>164.00000000000003</v>
      </c>
      <c r="F72" s="85">
        <v>164.00000000000003</v>
      </c>
      <c r="G72" s="85">
        <v>164.00000000000003</v>
      </c>
      <c r="H72" s="85">
        <v>164.00000000000003</v>
      </c>
      <c r="I72" s="85">
        <v>164.00000000000003</v>
      </c>
      <c r="J72" s="85">
        <v>164.00000000000003</v>
      </c>
    </row>
    <row r="73" spans="1:10" x14ac:dyDescent="0.25">
      <c r="A73" s="243"/>
      <c r="B73" s="125" t="s">
        <v>395</v>
      </c>
      <c r="C73" s="127">
        <f>INDEX(D73:J73,$C$1)</f>
        <v>38.999999999999922</v>
      </c>
      <c r="D73" s="85">
        <v>38.999999999999922</v>
      </c>
      <c r="E73" s="85">
        <v>38.999999999999922</v>
      </c>
      <c r="F73" s="85">
        <v>38.999999999999922</v>
      </c>
      <c r="G73" s="85">
        <v>38.999999999999922</v>
      </c>
      <c r="H73" s="85">
        <v>38.999999999999922</v>
      </c>
      <c r="I73" s="85">
        <v>38.999999999999922</v>
      </c>
      <c r="J73" s="85">
        <v>38.999999999999922</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x14ac:dyDescent="0.25">
      <c r="A94" s="247" t="s">
        <v>1</v>
      </c>
      <c r="B94" s="85" t="s">
        <v>141</v>
      </c>
      <c r="C94" s="127">
        <f>INDEX(D94:J94,$C$1)</f>
        <v>650</v>
      </c>
      <c r="D94" s="85">
        <v>650</v>
      </c>
      <c r="E94" s="85">
        <v>650</v>
      </c>
      <c r="F94" s="85">
        <v>650</v>
      </c>
      <c r="G94" s="85">
        <v>650</v>
      </c>
      <c r="H94" s="85">
        <v>650</v>
      </c>
      <c r="I94" s="85">
        <v>650</v>
      </c>
      <c r="J94" s="85">
        <v>650</v>
      </c>
    </row>
    <row r="95" spans="1:10" x14ac:dyDescent="0.25">
      <c r="A95" s="248"/>
      <c r="B95" s="85" t="s">
        <v>117</v>
      </c>
      <c r="C95" s="127">
        <f>INDEX(D95:J95,$C$1)</f>
        <v>41</v>
      </c>
      <c r="D95" s="85">
        <v>41</v>
      </c>
      <c r="E95" s="85">
        <v>41</v>
      </c>
      <c r="F95" s="85">
        <v>41</v>
      </c>
      <c r="G95" s="85">
        <v>41</v>
      </c>
      <c r="H95" s="85">
        <v>41</v>
      </c>
      <c r="I95" s="85">
        <v>41</v>
      </c>
      <c r="J95" s="85">
        <v>41</v>
      </c>
    </row>
    <row r="96" spans="1:10"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3.1644444444444517E-2</v>
      </c>
      <c r="D98" s="165">
        <v>3.1644444444444517E-2</v>
      </c>
      <c r="E98" s="165">
        <v>3.1644444444444517E-2</v>
      </c>
      <c r="F98" s="165">
        <v>3.1644444444444517E-2</v>
      </c>
      <c r="G98" s="165">
        <v>3.1644444444444517E-2</v>
      </c>
      <c r="H98" s="165">
        <v>3.1644444444444517E-2</v>
      </c>
      <c r="I98" s="165">
        <v>3.1644444444444517E-2</v>
      </c>
      <c r="J98" s="165">
        <v>3.1644444444444517E-2</v>
      </c>
    </row>
    <row r="99" spans="1:10" x14ac:dyDescent="0.25">
      <c r="A99" s="243"/>
      <c r="B99" s="92" t="s">
        <v>188</v>
      </c>
      <c r="C99" s="127">
        <f t="shared" si="4"/>
        <v>3.1644444444444517E-2</v>
      </c>
      <c r="D99" s="165">
        <v>3.1644444444444517E-2</v>
      </c>
      <c r="E99" s="165">
        <v>3.1644444444444517E-2</v>
      </c>
      <c r="F99" s="165">
        <v>3.1644444444444517E-2</v>
      </c>
      <c r="G99" s="165">
        <v>3.1644444444444517E-2</v>
      </c>
      <c r="H99" s="165">
        <v>3.1644444444444517E-2</v>
      </c>
      <c r="I99" s="165">
        <v>3.1644444444444517E-2</v>
      </c>
      <c r="J99" s="165">
        <v>3.1644444444444517E-2</v>
      </c>
    </row>
    <row r="100" spans="1:10" x14ac:dyDescent="0.25">
      <c r="A100" s="243"/>
      <c r="B100" s="92" t="s">
        <v>187</v>
      </c>
      <c r="C100" s="127">
        <f t="shared" si="4"/>
        <v>6.9866666666666674E-2</v>
      </c>
      <c r="D100" s="165">
        <v>6.9866666666666674E-2</v>
      </c>
      <c r="E100" s="165">
        <v>6.9866666666666674E-2</v>
      </c>
      <c r="F100" s="165">
        <v>6.9866666666666674E-2</v>
      </c>
      <c r="G100" s="165">
        <v>6.9866666666666674E-2</v>
      </c>
      <c r="H100" s="165">
        <v>6.9866666666666674E-2</v>
      </c>
      <c r="I100" s="165">
        <v>6.9866666666666674E-2</v>
      </c>
      <c r="J100" s="165">
        <v>6.9866666666666674E-2</v>
      </c>
    </row>
    <row r="101" spans="1:10" x14ac:dyDescent="0.25">
      <c r="A101" s="243"/>
      <c r="B101" s="157" t="s">
        <v>376</v>
      </c>
      <c r="C101" s="127">
        <f t="shared" si="4"/>
        <v>0</v>
      </c>
      <c r="D101" s="165">
        <v>0</v>
      </c>
      <c r="E101" s="165">
        <v>0</v>
      </c>
      <c r="F101" s="165">
        <v>0</v>
      </c>
      <c r="G101" s="165">
        <v>0</v>
      </c>
      <c r="H101" s="165">
        <v>0</v>
      </c>
      <c r="I101" s="165">
        <v>0</v>
      </c>
      <c r="J101" s="165">
        <v>0</v>
      </c>
    </row>
    <row r="102" spans="1:10" x14ac:dyDescent="0.25">
      <c r="A102" s="243"/>
      <c r="B102" s="157" t="s">
        <v>377</v>
      </c>
      <c r="C102" s="127">
        <f t="shared" si="4"/>
        <v>-6.4000000000000055E-3</v>
      </c>
      <c r="D102" s="165">
        <v>-6.4000000000000055E-3</v>
      </c>
      <c r="E102" s="165">
        <v>-6.4000000000000055E-3</v>
      </c>
      <c r="F102" s="165">
        <v>-6.4000000000000055E-3</v>
      </c>
      <c r="G102" s="165">
        <v>-6.4000000000000055E-3</v>
      </c>
      <c r="H102" s="165">
        <v>-6.4000000000000055E-3</v>
      </c>
      <c r="I102" s="165">
        <v>-6.4000000000000055E-3</v>
      </c>
      <c r="J102" s="165">
        <v>-6.4000000000000055E-3</v>
      </c>
    </row>
    <row r="103" spans="1:10" x14ac:dyDescent="0.25">
      <c r="A103" s="243"/>
      <c r="B103" s="157" t="s">
        <v>378</v>
      </c>
      <c r="C103" s="127">
        <f t="shared" si="4"/>
        <v>6.4000000000000055E-3</v>
      </c>
      <c r="D103" s="165">
        <v>6.4000000000000055E-3</v>
      </c>
      <c r="E103" s="165">
        <v>6.4000000000000055E-3</v>
      </c>
      <c r="F103" s="165">
        <v>6.4000000000000055E-3</v>
      </c>
      <c r="G103" s="165">
        <v>6.4000000000000055E-3</v>
      </c>
      <c r="H103" s="165">
        <v>6.4000000000000055E-3</v>
      </c>
      <c r="I103" s="165">
        <v>6.4000000000000055E-3</v>
      </c>
      <c r="J103" s="165">
        <v>6.4000000000000055E-3</v>
      </c>
    </row>
    <row r="104" spans="1:10" x14ac:dyDescent="0.25">
      <c r="A104" s="243"/>
      <c r="B104" s="157" t="s">
        <v>379</v>
      </c>
      <c r="C104" s="127">
        <f t="shared" si="4"/>
        <v>6.4000000000000055E-3</v>
      </c>
      <c r="D104" s="165">
        <v>6.4000000000000055E-3</v>
      </c>
      <c r="E104" s="165">
        <v>6.4000000000000055E-3</v>
      </c>
      <c r="F104" s="165">
        <v>6.4000000000000055E-3</v>
      </c>
      <c r="G104" s="165">
        <v>6.4000000000000055E-3</v>
      </c>
      <c r="H104" s="165">
        <v>6.4000000000000055E-3</v>
      </c>
      <c r="I104" s="165">
        <v>6.4000000000000055E-3</v>
      </c>
      <c r="J104" s="165">
        <v>6.4000000000000055E-3</v>
      </c>
    </row>
    <row r="105" spans="1:10" x14ac:dyDescent="0.25">
      <c r="A105" s="243"/>
      <c r="B105" s="130" t="s">
        <v>216</v>
      </c>
      <c r="C105" s="127">
        <f t="shared" si="4"/>
        <v>1.7</v>
      </c>
      <c r="D105" s="166">
        <v>1.7</v>
      </c>
      <c r="E105" s="166">
        <v>1.7</v>
      </c>
      <c r="F105" s="166">
        <v>1.7</v>
      </c>
      <c r="G105" s="166">
        <v>1.7</v>
      </c>
      <c r="H105" s="166">
        <v>1.7</v>
      </c>
      <c r="I105" s="166">
        <v>1.7</v>
      </c>
      <c r="J105" s="166">
        <v>1.7</v>
      </c>
    </row>
    <row r="106" spans="1:10" x14ac:dyDescent="0.25">
      <c r="A106" s="243"/>
      <c r="B106" s="157" t="s">
        <v>403</v>
      </c>
      <c r="C106" s="127">
        <f t="shared" si="4"/>
        <v>57.999999999999943</v>
      </c>
      <c r="D106" s="166">
        <v>57.999999999999943</v>
      </c>
      <c r="E106" s="166">
        <v>57.999999999999943</v>
      </c>
      <c r="F106" s="166">
        <v>57.999999999999943</v>
      </c>
      <c r="G106" s="166">
        <v>57.999999999999943</v>
      </c>
      <c r="H106" s="166">
        <v>57.999999999999943</v>
      </c>
      <c r="I106" s="166">
        <v>57.999999999999943</v>
      </c>
      <c r="J106" s="166">
        <v>57.999999999999943</v>
      </c>
    </row>
    <row r="107" spans="1:10" x14ac:dyDescent="0.25">
      <c r="A107" s="243"/>
      <c r="B107" s="157" t="s">
        <v>405</v>
      </c>
      <c r="C107" s="127">
        <f t="shared" si="4"/>
        <v>18.111111111111001</v>
      </c>
      <c r="D107" s="166">
        <v>18.111111111111001</v>
      </c>
      <c r="E107" s="166">
        <v>18.111111111111001</v>
      </c>
      <c r="F107" s="166">
        <v>18.111111111111001</v>
      </c>
      <c r="G107" s="166">
        <v>18.111111111111001</v>
      </c>
      <c r="H107" s="166">
        <v>18.111111111111001</v>
      </c>
      <c r="I107" s="166">
        <v>18.111111111111001</v>
      </c>
      <c r="J107" s="166">
        <v>18.111111111111001</v>
      </c>
    </row>
    <row r="108" spans="1:10" x14ac:dyDescent="0.25">
      <c r="A108" s="243"/>
      <c r="B108" s="157" t="s">
        <v>404</v>
      </c>
      <c r="C108" s="127">
        <f t="shared" si="4"/>
        <v>78.000000000000014</v>
      </c>
      <c r="D108" s="166">
        <v>78.000000000000014</v>
      </c>
      <c r="E108" s="166">
        <v>78.000000000000014</v>
      </c>
      <c r="F108" s="166">
        <v>78.000000000000014</v>
      </c>
      <c r="G108" s="166">
        <v>78.000000000000014</v>
      </c>
      <c r="H108" s="166">
        <v>78.000000000000014</v>
      </c>
      <c r="I108" s="166">
        <v>78.000000000000014</v>
      </c>
      <c r="J108" s="166">
        <v>78.000000000000014</v>
      </c>
    </row>
    <row r="109" spans="1:10" x14ac:dyDescent="0.25">
      <c r="A109" s="243"/>
      <c r="B109" s="108"/>
      <c r="C109" s="127"/>
      <c r="D109" s="91"/>
      <c r="E109" s="85"/>
      <c r="F109" s="85"/>
      <c r="G109" s="85"/>
      <c r="H109" s="85"/>
      <c r="I109" s="85"/>
      <c r="J109" s="85"/>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E1:H1"/>
    <mergeCell ref="A4:A10"/>
    <mergeCell ref="A47:A49"/>
    <mergeCell ref="A51:A53"/>
    <mergeCell ref="A55:A57"/>
    <mergeCell ref="A12:A23"/>
    <mergeCell ref="A25:A32"/>
    <mergeCell ref="A34:A39"/>
    <mergeCell ref="A42:A45"/>
    <mergeCell ref="A112:A114"/>
    <mergeCell ref="A63:A67"/>
    <mergeCell ref="A69:A74"/>
    <mergeCell ref="A80:A82"/>
    <mergeCell ref="A84:A88"/>
    <mergeCell ref="A94:A96"/>
    <mergeCell ref="A76:A78"/>
    <mergeCell ref="A90:A92"/>
    <mergeCell ref="A98:A1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5.5546875" bestFit="1" customWidth="1"/>
    <col min="10" max="10" width="17.664062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33.800000000000004</v>
      </c>
      <c r="D4" s="86">
        <v>33.800000000000004</v>
      </c>
      <c r="E4" s="86">
        <v>33.819999999999993</v>
      </c>
      <c r="F4" s="86">
        <v>33.819999999999993</v>
      </c>
      <c r="G4" s="86">
        <v>33.819999999999993</v>
      </c>
      <c r="H4" s="86">
        <v>33.819999999999993</v>
      </c>
      <c r="I4" s="86">
        <v>33.819999999999993</v>
      </c>
      <c r="J4" s="86">
        <v>33.819999999999993</v>
      </c>
    </row>
    <row r="5" spans="1:10" x14ac:dyDescent="0.25">
      <c r="A5" s="255"/>
      <c r="B5" s="124" t="s">
        <v>300</v>
      </c>
      <c r="C5" s="127">
        <f t="shared" si="0"/>
        <v>10.6</v>
      </c>
      <c r="D5" s="86">
        <v>10.6</v>
      </c>
      <c r="E5" s="86">
        <v>10.599999999999996</v>
      </c>
      <c r="F5" s="86">
        <v>10.599999999999996</v>
      </c>
      <c r="G5" s="86">
        <v>10.599999999999996</v>
      </c>
      <c r="H5" s="86">
        <v>10.599999999999996</v>
      </c>
      <c r="I5" s="86">
        <v>10.599999999999996</v>
      </c>
      <c r="J5" s="86">
        <v>10.599999999999996</v>
      </c>
    </row>
    <row r="6" spans="1:10" x14ac:dyDescent="0.25">
      <c r="A6" s="255"/>
      <c r="B6" s="144" t="s">
        <v>299</v>
      </c>
      <c r="C6" s="127">
        <f t="shared" si="0"/>
        <v>50.98</v>
      </c>
      <c r="D6" s="86">
        <v>50.98</v>
      </c>
      <c r="E6" s="86">
        <v>53.350000000000009</v>
      </c>
      <c r="F6" s="86">
        <v>53.350000000000009</v>
      </c>
      <c r="G6" s="86">
        <v>53.350000000000009</v>
      </c>
      <c r="H6" s="86">
        <v>53.350000000000009</v>
      </c>
      <c r="I6" s="86">
        <v>53.350000000000009</v>
      </c>
      <c r="J6" s="86">
        <v>53.350000000000009</v>
      </c>
    </row>
    <row r="7" spans="1:10" x14ac:dyDescent="0.25">
      <c r="A7" s="255"/>
      <c r="B7" s="144" t="s">
        <v>298</v>
      </c>
      <c r="C7" s="127">
        <f t="shared" si="0"/>
        <v>3.1199999999999983</v>
      </c>
      <c r="D7" s="86">
        <v>3.1199999999999983</v>
      </c>
      <c r="E7" s="86">
        <v>2.7299999999999991</v>
      </c>
      <c r="F7" s="86">
        <v>2.7299999999999991</v>
      </c>
      <c r="G7" s="86">
        <v>2.7299999999999991</v>
      </c>
      <c r="H7" s="86">
        <v>2.7299999999999991</v>
      </c>
      <c r="I7" s="86">
        <v>2.7299999999999991</v>
      </c>
      <c r="J7" s="86">
        <v>2.7299999999999991</v>
      </c>
    </row>
    <row r="8" spans="1:10" ht="12" customHeight="1" x14ac:dyDescent="0.25">
      <c r="A8" s="255"/>
      <c r="B8" s="145" t="s">
        <v>297</v>
      </c>
      <c r="C8" s="127">
        <f t="shared" si="0"/>
        <v>1.5899999999999981</v>
      </c>
      <c r="D8" s="86">
        <v>1.5899999999999981</v>
      </c>
      <c r="E8" s="86">
        <v>1.1799999999999988</v>
      </c>
      <c r="F8" s="86">
        <v>1.1799999999999988</v>
      </c>
      <c r="G8" s="86">
        <v>1.1799999999999988</v>
      </c>
      <c r="H8" s="86">
        <v>1.1799999999999988</v>
      </c>
      <c r="I8" s="86">
        <v>1.1799999999999988</v>
      </c>
      <c r="J8" s="86">
        <v>1.1799999999999988</v>
      </c>
    </row>
    <row r="9" spans="1:10" ht="12.75" customHeight="1" x14ac:dyDescent="0.25">
      <c r="A9" s="255"/>
      <c r="B9" s="144" t="s">
        <v>224</v>
      </c>
      <c r="C9" s="127">
        <f t="shared" si="0"/>
        <v>7</v>
      </c>
      <c r="D9" s="86">
        <v>7</v>
      </c>
      <c r="E9" s="86">
        <v>7</v>
      </c>
      <c r="F9" s="86">
        <v>7</v>
      </c>
      <c r="G9" s="86">
        <v>7</v>
      </c>
      <c r="H9" s="86">
        <v>7</v>
      </c>
      <c r="I9" s="86">
        <v>7</v>
      </c>
      <c r="J9" s="86">
        <v>7</v>
      </c>
    </row>
    <row r="10" spans="1:10" ht="12.75" customHeight="1" x14ac:dyDescent="0.25">
      <c r="A10" s="255"/>
      <c r="B10" s="144" t="s">
        <v>225</v>
      </c>
      <c r="C10" s="127">
        <f t="shared" si="0"/>
        <v>0.8</v>
      </c>
      <c r="D10" s="86">
        <v>0.8</v>
      </c>
      <c r="E10" s="86">
        <v>0.8</v>
      </c>
      <c r="F10" s="86">
        <v>0.8</v>
      </c>
      <c r="G10" s="86">
        <v>0.8</v>
      </c>
      <c r="H10" s="86">
        <v>0.8</v>
      </c>
      <c r="I10" s="86">
        <v>0.8</v>
      </c>
      <c r="J10" s="86">
        <v>0.8</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10.746666666666668</v>
      </c>
      <c r="D12" s="85">
        <v>10.746666666666668</v>
      </c>
      <c r="E12" s="85">
        <v>11.133333333333333</v>
      </c>
      <c r="F12" s="85">
        <v>11.133333333333333</v>
      </c>
      <c r="G12" s="85">
        <v>11.133333333333333</v>
      </c>
      <c r="H12" s="85">
        <v>11.133333333333333</v>
      </c>
      <c r="I12" s="85">
        <v>11.133333333333333</v>
      </c>
      <c r="J12" s="85">
        <v>11.133333333333333</v>
      </c>
    </row>
    <row r="13" spans="1:10" ht="13.8" x14ac:dyDescent="0.3">
      <c r="A13" s="252"/>
      <c r="B13" s="125" t="s">
        <v>295</v>
      </c>
      <c r="C13" s="127">
        <f t="shared" si="1"/>
        <v>18.469999999999995</v>
      </c>
      <c r="D13" s="85">
        <v>18.469999999999995</v>
      </c>
      <c r="E13" s="85">
        <v>18.13</v>
      </c>
      <c r="F13" s="85">
        <v>18.13</v>
      </c>
      <c r="G13" s="85">
        <v>18.13</v>
      </c>
      <c r="H13" s="85">
        <v>18.13</v>
      </c>
      <c r="I13" s="85">
        <v>18.13</v>
      </c>
      <c r="J13" s="85">
        <v>18.13</v>
      </c>
    </row>
    <row r="14" spans="1:10" x14ac:dyDescent="0.25">
      <c r="A14" s="252"/>
      <c r="B14" s="125" t="s">
        <v>294</v>
      </c>
      <c r="C14" s="127">
        <f t="shared" si="1"/>
        <v>544</v>
      </c>
      <c r="D14" s="85">
        <v>544</v>
      </c>
      <c r="E14" s="85">
        <v>568</v>
      </c>
      <c r="F14" s="85">
        <v>568</v>
      </c>
      <c r="G14" s="85">
        <v>568</v>
      </c>
      <c r="H14" s="85">
        <v>568</v>
      </c>
      <c r="I14" s="85">
        <v>568</v>
      </c>
      <c r="J14" s="85">
        <v>568</v>
      </c>
    </row>
    <row r="15" spans="1:10" x14ac:dyDescent="0.25">
      <c r="A15" s="252"/>
      <c r="B15" s="125" t="s">
        <v>330</v>
      </c>
      <c r="C15" s="127">
        <f t="shared" si="1"/>
        <v>1.7600000000000016</v>
      </c>
      <c r="D15" s="85">
        <v>1.7600000000000016</v>
      </c>
      <c r="E15" s="85">
        <v>1.9999999999999987</v>
      </c>
      <c r="F15" s="85">
        <v>1.9999999999999987</v>
      </c>
      <c r="G15" s="85">
        <v>1.9999999999999987</v>
      </c>
      <c r="H15" s="85">
        <v>1.9999999999999987</v>
      </c>
      <c r="I15" s="85">
        <v>1.9999999999999987</v>
      </c>
      <c r="J15" s="85">
        <v>1.9999999999999987</v>
      </c>
    </row>
    <row r="16" spans="1:10" x14ac:dyDescent="0.25">
      <c r="A16" s="252"/>
      <c r="B16" s="125" t="s">
        <v>302</v>
      </c>
      <c r="C16" s="127">
        <f t="shared" si="1"/>
        <v>22.519999999999456</v>
      </c>
      <c r="D16" s="85">
        <v>22.519999999999456</v>
      </c>
      <c r="E16" s="85">
        <v>22.999999999998828</v>
      </c>
      <c r="F16" s="85">
        <v>22.999999999998828</v>
      </c>
      <c r="G16" s="85">
        <v>22.999999999998828</v>
      </c>
      <c r="H16" s="85">
        <v>22.999999999998828</v>
      </c>
      <c r="I16" s="85">
        <v>22.999999999998828</v>
      </c>
      <c r="J16" s="85">
        <v>22.999999999998828</v>
      </c>
    </row>
    <row r="17" spans="1:10" x14ac:dyDescent="0.25">
      <c r="A17" s="252"/>
      <c r="B17" s="125" t="s">
        <v>303</v>
      </c>
      <c r="C17" s="127">
        <f t="shared" si="1"/>
        <v>200.51999999999961</v>
      </c>
      <c r="D17" s="85">
        <v>200.51999999999961</v>
      </c>
      <c r="E17" s="85">
        <v>145.00000000000048</v>
      </c>
      <c r="F17" s="85">
        <v>145.00000000000048</v>
      </c>
      <c r="G17" s="85">
        <v>145.00000000000048</v>
      </c>
      <c r="H17" s="85">
        <v>145.00000000000048</v>
      </c>
      <c r="I17" s="85">
        <v>145.00000000000048</v>
      </c>
      <c r="J17" s="85">
        <v>145.00000000000048</v>
      </c>
    </row>
    <row r="18" spans="1:10" x14ac:dyDescent="0.25">
      <c r="A18" s="252"/>
      <c r="B18" s="125" t="s">
        <v>328</v>
      </c>
      <c r="C18" s="127">
        <f t="shared" si="1"/>
        <v>12.333333333333345</v>
      </c>
      <c r="D18" s="85">
        <v>12.333333333333345</v>
      </c>
      <c r="E18" s="85">
        <v>11.166666666666694</v>
      </c>
      <c r="F18" s="85">
        <v>11.166666666666694</v>
      </c>
      <c r="G18" s="85">
        <v>11.166666666666694</v>
      </c>
      <c r="H18" s="85">
        <v>11.166666666666694</v>
      </c>
      <c r="I18" s="85">
        <v>11.166666666666694</v>
      </c>
      <c r="J18" s="85">
        <v>11.166666666666694</v>
      </c>
    </row>
    <row r="19" spans="1:10" x14ac:dyDescent="0.25">
      <c r="A19" s="252"/>
      <c r="B19" s="125" t="s">
        <v>329</v>
      </c>
      <c r="C19" s="127">
        <f t="shared" si="1"/>
        <v>9.666666666666675</v>
      </c>
      <c r="D19" s="85">
        <v>9.666666666666675</v>
      </c>
      <c r="E19" s="85">
        <v>9.8333333333333233</v>
      </c>
      <c r="F19" s="85">
        <v>9.8333333333333233</v>
      </c>
      <c r="G19" s="85">
        <v>9.8333333333333233</v>
      </c>
      <c r="H19" s="85">
        <v>9.8333333333333233</v>
      </c>
      <c r="I19" s="85">
        <v>9.8333333333333233</v>
      </c>
      <c r="J19" s="85">
        <v>9.8333333333333233</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50.803910854831017</v>
      </c>
      <c r="D23" s="85">
        <v>50.803910854831017</v>
      </c>
      <c r="E23" s="85">
        <v>45.281746631479834</v>
      </c>
      <c r="F23" s="85">
        <v>45.281746631479834</v>
      </c>
      <c r="G23" s="85">
        <v>45.281746631479834</v>
      </c>
      <c r="H23" s="85">
        <v>45.281746631479834</v>
      </c>
      <c r="I23" s="85">
        <v>45.281746631479834</v>
      </c>
      <c r="J23" s="85">
        <v>45.281746631479834</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578.99999999999977</v>
      </c>
      <c r="D34" s="86">
        <v>578.99999999999977</v>
      </c>
      <c r="E34" s="86">
        <v>555.99999999999966</v>
      </c>
      <c r="F34" s="86">
        <v>555.99999999999966</v>
      </c>
      <c r="G34" s="86">
        <v>555.99999999999966</v>
      </c>
      <c r="H34" s="86">
        <v>555.99999999999966</v>
      </c>
      <c r="I34" s="86">
        <v>555.99999999999966</v>
      </c>
      <c r="J34" s="86">
        <v>555.99999999999966</v>
      </c>
    </row>
    <row r="35" spans="1:10" x14ac:dyDescent="0.25">
      <c r="A35" s="243"/>
      <c r="B35" s="85" t="s">
        <v>181</v>
      </c>
      <c r="C35" s="127">
        <f t="shared" si="3"/>
        <v>0.32924759661359082</v>
      </c>
      <c r="D35" s="86">
        <v>0.32924759661359082</v>
      </c>
      <c r="E35" s="86">
        <v>0.15857145278080986</v>
      </c>
      <c r="F35" s="86">
        <v>0.15857145278080986</v>
      </c>
      <c r="G35" s="86">
        <v>0.15857145278080986</v>
      </c>
      <c r="H35" s="86">
        <v>0.15857145278080986</v>
      </c>
      <c r="I35" s="86">
        <v>0.15857145278080986</v>
      </c>
      <c r="J35" s="86">
        <v>0.15857145278080986</v>
      </c>
    </row>
    <row r="36" spans="1:10" x14ac:dyDescent="0.25">
      <c r="A36" s="243"/>
      <c r="B36" s="161" t="s">
        <v>383</v>
      </c>
      <c r="C36" s="127">
        <f t="shared" si="3"/>
        <v>764.99999999999966</v>
      </c>
      <c r="D36" s="160">
        <v>764.99999999999966</v>
      </c>
      <c r="E36" s="160">
        <v>746.99999999999943</v>
      </c>
      <c r="F36" s="160">
        <v>746.99999999999943</v>
      </c>
      <c r="G36" s="160">
        <v>746.99999999999943</v>
      </c>
      <c r="H36" s="160">
        <v>746.99999999999943</v>
      </c>
      <c r="I36" s="160">
        <v>746.99999999999943</v>
      </c>
      <c r="J36" s="160">
        <v>746.99999999999943</v>
      </c>
    </row>
    <row r="37" spans="1:10" x14ac:dyDescent="0.25">
      <c r="A37" s="243"/>
      <c r="B37" s="124" t="s">
        <v>384</v>
      </c>
      <c r="C37" s="127">
        <f t="shared" si="3"/>
        <v>573.99999999999989</v>
      </c>
      <c r="D37" s="86">
        <v>573.99999999999989</v>
      </c>
      <c r="E37" s="86">
        <v>547.00000000000011</v>
      </c>
      <c r="F37" s="86">
        <v>547.00000000000011</v>
      </c>
      <c r="G37" s="86">
        <v>547.00000000000011</v>
      </c>
      <c r="H37" s="86">
        <v>547.00000000000011</v>
      </c>
      <c r="I37" s="86">
        <v>547.00000000000011</v>
      </c>
      <c r="J37" s="86">
        <v>547.00000000000011</v>
      </c>
    </row>
    <row r="38" spans="1:10" x14ac:dyDescent="0.25">
      <c r="A38" s="243"/>
      <c r="B38" s="124" t="s">
        <v>385</v>
      </c>
      <c r="C38" s="127">
        <f t="shared" si="3"/>
        <v>788.00000000000023</v>
      </c>
      <c r="D38" s="86">
        <v>788.00000000000023</v>
      </c>
      <c r="E38" s="86">
        <v>781.99999999999955</v>
      </c>
      <c r="F38" s="86">
        <v>781.99999999999955</v>
      </c>
      <c r="G38" s="86">
        <v>781.99999999999955</v>
      </c>
      <c r="H38" s="86">
        <v>781.99999999999955</v>
      </c>
      <c r="I38" s="86">
        <v>781.99999999999955</v>
      </c>
      <c r="J38" s="86">
        <v>781.99999999999955</v>
      </c>
    </row>
    <row r="39" spans="1:10" x14ac:dyDescent="0.25">
      <c r="A39" s="243"/>
      <c r="B39" s="124" t="s">
        <v>386</v>
      </c>
      <c r="C39" s="127">
        <f t="shared" si="3"/>
        <v>3921.8589101420357</v>
      </c>
      <c r="D39" s="86">
        <v>3921.8589101420357</v>
      </c>
      <c r="E39" s="86">
        <v>3909.8254309875247</v>
      </c>
      <c r="F39" s="86">
        <v>3909.8254309875247</v>
      </c>
      <c r="G39" s="86">
        <v>3909.8254309875247</v>
      </c>
      <c r="H39" s="86">
        <v>3909.8254309875247</v>
      </c>
      <c r="I39" s="86">
        <v>3909.8254309875247</v>
      </c>
      <c r="J39" s="86">
        <v>3909.8254309875247</v>
      </c>
    </row>
    <row r="40" spans="1:10" x14ac:dyDescent="0.25">
      <c r="A40" s="250"/>
      <c r="B40" s="124" t="s">
        <v>450</v>
      </c>
      <c r="C40" s="127">
        <f t="shared" si="3"/>
        <v>0</v>
      </c>
      <c r="D40" s="86">
        <v>0</v>
      </c>
      <c r="E40" s="86">
        <v>0</v>
      </c>
      <c r="F40" s="86">
        <v>0</v>
      </c>
      <c r="G40" s="86">
        <v>0</v>
      </c>
      <c r="H40" s="86">
        <v>0</v>
      </c>
      <c r="I40" s="86">
        <v>320</v>
      </c>
      <c r="J40" s="86">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137</v>
      </c>
      <c r="D55" s="85">
        <v>137</v>
      </c>
      <c r="E55" s="85">
        <v>137</v>
      </c>
      <c r="F55" s="85">
        <v>137</v>
      </c>
      <c r="G55" s="85">
        <v>137</v>
      </c>
      <c r="H55" s="85">
        <v>137</v>
      </c>
      <c r="I55" s="85">
        <v>137</v>
      </c>
      <c r="J55" s="85">
        <v>137</v>
      </c>
    </row>
    <row r="56" spans="1:10" x14ac:dyDescent="0.25">
      <c r="A56" s="256"/>
      <c r="B56" s="85" t="s">
        <v>332</v>
      </c>
      <c r="C56" s="127">
        <f>INDEX(D56:J56,$C$1)</f>
        <v>0.375</v>
      </c>
      <c r="D56" s="85">
        <v>0.375</v>
      </c>
      <c r="E56" s="85">
        <v>0.375</v>
      </c>
      <c r="F56" s="85">
        <v>0.375</v>
      </c>
      <c r="G56" s="85">
        <v>0.375</v>
      </c>
      <c r="H56" s="85">
        <v>0.375</v>
      </c>
      <c r="I56" s="85">
        <v>0.375</v>
      </c>
      <c r="J56" s="85">
        <v>0.375</v>
      </c>
    </row>
    <row r="57" spans="1:10" x14ac:dyDescent="0.25">
      <c r="A57" s="256"/>
      <c r="B57" s="85" t="s">
        <v>336</v>
      </c>
      <c r="C57" s="127">
        <f>INDEX(D57:J57,$C$1)</f>
        <v>1.49</v>
      </c>
      <c r="D57" s="85">
        <v>1.49</v>
      </c>
      <c r="E57" s="85">
        <v>1.49</v>
      </c>
      <c r="F57" s="85">
        <v>1.49</v>
      </c>
      <c r="G57" s="85">
        <v>1.49</v>
      </c>
      <c r="H57" s="85">
        <v>1.49</v>
      </c>
      <c r="I57" s="85">
        <v>1.49</v>
      </c>
      <c r="J57" s="85">
        <v>1.49</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87.000000000000625</v>
      </c>
      <c r="D69" s="86">
        <v>87.000000000000625</v>
      </c>
      <c r="E69" s="86">
        <v>0</v>
      </c>
      <c r="F69" s="86">
        <v>0</v>
      </c>
      <c r="G69" s="86">
        <v>0</v>
      </c>
      <c r="H69" s="86">
        <v>0</v>
      </c>
      <c r="I69" s="86">
        <v>0</v>
      </c>
      <c r="J69" s="86">
        <v>0</v>
      </c>
    </row>
    <row r="70" spans="1:10" x14ac:dyDescent="0.25">
      <c r="A70" s="243"/>
      <c r="B70" s="85" t="s">
        <v>150</v>
      </c>
      <c r="C70" s="127">
        <f>INDEX(D70:J70,$C$1)</f>
        <v>222.00000000000043</v>
      </c>
      <c r="D70" s="86">
        <v>222.00000000000043</v>
      </c>
      <c r="E70" s="86">
        <v>134.99999999999977</v>
      </c>
      <c r="F70" s="86">
        <v>134.99999999999977</v>
      </c>
      <c r="G70" s="86">
        <v>134.99999999999977</v>
      </c>
      <c r="H70" s="86">
        <v>134.99999999999977</v>
      </c>
      <c r="I70" s="86">
        <v>134.99999999999977</v>
      </c>
      <c r="J70" s="86">
        <v>134.99999999999977</v>
      </c>
    </row>
    <row r="71" spans="1:10" x14ac:dyDescent="0.25">
      <c r="A71" s="243"/>
      <c r="B71" s="85" t="s">
        <v>371</v>
      </c>
      <c r="C71" s="127">
        <f>INDEX(D71:J71,$C$1)</f>
        <v>4574.9999999999991</v>
      </c>
      <c r="D71" s="85">
        <v>4574.9999999999991</v>
      </c>
      <c r="E71" s="85">
        <v>3918.9999999999986</v>
      </c>
      <c r="F71" s="85">
        <v>3918.9999999999986</v>
      </c>
      <c r="G71" s="85">
        <v>3918.9999999999986</v>
      </c>
      <c r="H71" s="85">
        <v>3918.9999999999986</v>
      </c>
      <c r="I71" s="85">
        <v>3918.9999999999986</v>
      </c>
      <c r="J71" s="85">
        <v>3918.9999999999986</v>
      </c>
    </row>
    <row r="72" spans="1:10" x14ac:dyDescent="0.25">
      <c r="A72" s="243"/>
      <c r="B72" s="125" t="s">
        <v>394</v>
      </c>
      <c r="C72" s="127">
        <f>INDEX(D72:J72,$C$1)</f>
        <v>1687.0000000000002</v>
      </c>
      <c r="D72" s="85">
        <v>1687.0000000000002</v>
      </c>
      <c r="E72" s="85">
        <v>1693.0000000000005</v>
      </c>
      <c r="F72" s="85">
        <v>1693.0000000000005</v>
      </c>
      <c r="G72" s="85">
        <v>1693.0000000000005</v>
      </c>
      <c r="H72" s="85">
        <v>1693.0000000000005</v>
      </c>
      <c r="I72" s="85">
        <v>1693.0000000000005</v>
      </c>
      <c r="J72" s="85">
        <v>1693.0000000000005</v>
      </c>
    </row>
    <row r="73" spans="1:10" x14ac:dyDescent="0.25">
      <c r="A73" s="243"/>
      <c r="B73" s="125" t="s">
        <v>395</v>
      </c>
      <c r="C73" s="127">
        <f>INDEX(D73:J73,$C$1)</f>
        <v>192.9999999999996</v>
      </c>
      <c r="D73" s="85">
        <v>192.9999999999996</v>
      </c>
      <c r="E73" s="85">
        <v>184.00000000000017</v>
      </c>
      <c r="F73" s="85">
        <v>184.00000000000017</v>
      </c>
      <c r="G73" s="85">
        <v>184.00000000000017</v>
      </c>
      <c r="H73" s="85">
        <v>184.00000000000017</v>
      </c>
      <c r="I73" s="85">
        <v>184.00000000000017</v>
      </c>
      <c r="J73" s="85">
        <v>184.00000000000017</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3.555555555555559E-2</v>
      </c>
      <c r="D98" s="86">
        <v>3.555555555555559E-2</v>
      </c>
      <c r="E98" s="86">
        <v>3.555555555555559E-2</v>
      </c>
      <c r="F98" s="86">
        <v>3.555555555555559E-2</v>
      </c>
      <c r="G98" s="86">
        <v>3.555555555555559E-2</v>
      </c>
      <c r="H98" s="86">
        <v>3.555555555555559E-2</v>
      </c>
      <c r="I98" s="86">
        <v>3.555555555555559E-2</v>
      </c>
      <c r="J98" s="86">
        <v>3.555555555555559E-2</v>
      </c>
    </row>
    <row r="99" spans="1:10" x14ac:dyDescent="0.25">
      <c r="A99" s="243"/>
      <c r="B99" s="92" t="s">
        <v>188</v>
      </c>
      <c r="C99" s="127">
        <f t="shared" si="4"/>
        <v>3.555555555555559E-2</v>
      </c>
      <c r="D99" s="86">
        <v>3.555555555555559E-2</v>
      </c>
      <c r="E99" s="86">
        <v>3.555555555555559E-2</v>
      </c>
      <c r="F99" s="86">
        <v>3.555555555555559E-2</v>
      </c>
      <c r="G99" s="86">
        <v>3.555555555555559E-2</v>
      </c>
      <c r="H99" s="86">
        <v>3.555555555555559E-2</v>
      </c>
      <c r="I99" s="86">
        <v>3.555555555555559E-2</v>
      </c>
      <c r="J99" s="86">
        <v>3.555555555555559E-2</v>
      </c>
    </row>
    <row r="100" spans="1:10" x14ac:dyDescent="0.25">
      <c r="A100" s="243"/>
      <c r="B100" s="92" t="s">
        <v>187</v>
      </c>
      <c r="C100" s="127">
        <f t="shared" si="4"/>
        <v>5.9555555555555507E-2</v>
      </c>
      <c r="D100" s="86">
        <v>5.9555555555555507E-2</v>
      </c>
      <c r="E100" s="86">
        <v>5.9555555555555507E-2</v>
      </c>
      <c r="F100" s="86">
        <v>5.9555555555555507E-2</v>
      </c>
      <c r="G100" s="86">
        <v>5.9555555555555507E-2</v>
      </c>
      <c r="H100" s="86">
        <v>5.9555555555555507E-2</v>
      </c>
      <c r="I100" s="86">
        <v>5.9555555555555507E-2</v>
      </c>
      <c r="J100" s="86">
        <v>5.9555555555555507E-2</v>
      </c>
    </row>
    <row r="101" spans="1:10" x14ac:dyDescent="0.25">
      <c r="A101" s="243"/>
      <c r="B101" s="157" t="s">
        <v>376</v>
      </c>
      <c r="C101" s="127">
        <f t="shared" si="4"/>
        <v>0</v>
      </c>
      <c r="D101" s="86">
        <v>0</v>
      </c>
      <c r="E101" s="86">
        <v>0</v>
      </c>
      <c r="F101" s="86">
        <v>0</v>
      </c>
      <c r="G101" s="86">
        <v>0</v>
      </c>
      <c r="H101" s="86">
        <v>0</v>
      </c>
      <c r="I101" s="86">
        <v>0</v>
      </c>
      <c r="J101" s="86">
        <v>0</v>
      </c>
    </row>
    <row r="102" spans="1:10" x14ac:dyDescent="0.25">
      <c r="A102" s="243"/>
      <c r="B102" s="157" t="s">
        <v>377</v>
      </c>
      <c r="C102" s="127">
        <f t="shared" si="4"/>
        <v>1.37777777777778E-2</v>
      </c>
      <c r="D102" s="86">
        <v>1.37777777777778E-2</v>
      </c>
      <c r="E102" s="86">
        <v>1.37777777777778E-2</v>
      </c>
      <c r="F102" s="86">
        <v>1.37777777777778E-2</v>
      </c>
      <c r="G102" s="86">
        <v>1.37777777777778E-2</v>
      </c>
      <c r="H102" s="86">
        <v>1.37777777777778E-2</v>
      </c>
      <c r="I102" s="86">
        <v>1.37777777777778E-2</v>
      </c>
      <c r="J102" s="86">
        <v>1.37777777777778E-2</v>
      </c>
    </row>
    <row r="103" spans="1:10" x14ac:dyDescent="0.25">
      <c r="A103" s="243"/>
      <c r="B103" s="157" t="s">
        <v>378</v>
      </c>
      <c r="C103" s="127">
        <f t="shared" si="4"/>
        <v>2.9333333333333655E-2</v>
      </c>
      <c r="D103" s="86">
        <v>2.9333333333333655E-2</v>
      </c>
      <c r="E103" s="86">
        <v>2.9333333333333655E-2</v>
      </c>
      <c r="F103" s="86">
        <v>2.9333333333333655E-2</v>
      </c>
      <c r="G103" s="86">
        <v>2.9333333333333655E-2</v>
      </c>
      <c r="H103" s="86">
        <v>2.9333333333333655E-2</v>
      </c>
      <c r="I103" s="86">
        <v>2.9333333333333655E-2</v>
      </c>
      <c r="J103" s="86">
        <v>2.9333333333333655E-2</v>
      </c>
    </row>
    <row r="104" spans="1:10" x14ac:dyDescent="0.25">
      <c r="A104" s="243"/>
      <c r="B104" s="157" t="s">
        <v>379</v>
      </c>
      <c r="C104" s="127">
        <f t="shared" si="4"/>
        <v>2.9333333333333655E-2</v>
      </c>
      <c r="D104" s="86">
        <v>2.9333333333333655E-2</v>
      </c>
      <c r="E104" s="86">
        <v>2.9333333333333655E-2</v>
      </c>
      <c r="F104" s="86">
        <v>2.9333333333333655E-2</v>
      </c>
      <c r="G104" s="86">
        <v>2.9333333333333655E-2</v>
      </c>
      <c r="H104" s="86">
        <v>2.9333333333333655E-2</v>
      </c>
      <c r="I104" s="86">
        <v>2.9333333333333655E-2</v>
      </c>
      <c r="J104" s="86">
        <v>2.9333333333333655E-2</v>
      </c>
    </row>
    <row r="105" spans="1:10" x14ac:dyDescent="0.25">
      <c r="A105" s="243"/>
      <c r="B105" s="130" t="s">
        <v>216</v>
      </c>
      <c r="C105" s="127">
        <f t="shared" si="4"/>
        <v>1.7</v>
      </c>
      <c r="D105" s="91">
        <v>1.7</v>
      </c>
      <c r="E105" s="91">
        <v>1.7</v>
      </c>
      <c r="F105" s="91">
        <v>1.7</v>
      </c>
      <c r="G105" s="91">
        <v>1.7</v>
      </c>
      <c r="H105" s="91">
        <v>1.7</v>
      </c>
      <c r="I105" s="91">
        <v>1.7</v>
      </c>
      <c r="J105" s="91">
        <v>1.7</v>
      </c>
    </row>
    <row r="106" spans="1:10" x14ac:dyDescent="0.25">
      <c r="A106" s="243"/>
      <c r="B106" s="157" t="s">
        <v>403</v>
      </c>
      <c r="C106" s="127">
        <f t="shared" si="4"/>
        <v>79.333333333333485</v>
      </c>
      <c r="D106" s="91">
        <v>79.333333333333485</v>
      </c>
      <c r="E106" s="91">
        <v>79.333333333333485</v>
      </c>
      <c r="F106" s="91">
        <v>79.333333333333485</v>
      </c>
      <c r="G106" s="91">
        <v>79.333333333333485</v>
      </c>
      <c r="H106" s="91">
        <v>79.333333333333485</v>
      </c>
      <c r="I106" s="91">
        <v>79.333333333333485</v>
      </c>
      <c r="J106" s="91">
        <v>79.333333333333485</v>
      </c>
    </row>
    <row r="107" spans="1:10" x14ac:dyDescent="0.25">
      <c r="A107" s="243"/>
      <c r="B107" s="157" t="s">
        <v>405</v>
      </c>
      <c r="C107" s="127">
        <f t="shared" si="4"/>
        <v>37.555555555555372</v>
      </c>
      <c r="D107" s="91">
        <v>37.555555555555372</v>
      </c>
      <c r="E107" s="91">
        <v>37.555555555555372</v>
      </c>
      <c r="F107" s="91">
        <v>37.555555555555372</v>
      </c>
      <c r="G107" s="91">
        <v>37.555555555555372</v>
      </c>
      <c r="H107" s="91">
        <v>37.555555555555372</v>
      </c>
      <c r="I107" s="91">
        <v>37.555555555555372</v>
      </c>
      <c r="J107" s="91">
        <v>37.555555555555372</v>
      </c>
    </row>
    <row r="108" spans="1:10" x14ac:dyDescent="0.25">
      <c r="A108" s="243"/>
      <c r="B108" s="157" t="s">
        <v>404</v>
      </c>
      <c r="C108" s="127">
        <f t="shared" si="4"/>
        <v>88.777777777777629</v>
      </c>
      <c r="D108" s="91">
        <v>88.777777777777629</v>
      </c>
      <c r="E108" s="91">
        <v>88.777777777777629</v>
      </c>
      <c r="F108" s="91">
        <v>88.777777777777629</v>
      </c>
      <c r="G108" s="91">
        <v>88.777777777777629</v>
      </c>
      <c r="H108" s="91">
        <v>88.777777777777629</v>
      </c>
      <c r="I108" s="91">
        <v>88.777777777777629</v>
      </c>
      <c r="J108" s="91">
        <v>88.777777777777629</v>
      </c>
    </row>
    <row r="109" spans="1:10" x14ac:dyDescent="0.25">
      <c r="A109" s="243"/>
      <c r="B109" s="108"/>
      <c r="C109" s="127"/>
      <c r="D109" s="91"/>
      <c r="E109" s="85"/>
      <c r="F109" s="85"/>
      <c r="G109" s="85"/>
      <c r="H109" s="85"/>
      <c r="I109" s="85"/>
      <c r="J109" s="85"/>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5.5546875" bestFit="1" customWidth="1"/>
    <col min="10" max="10" width="18.554687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28.8</v>
      </c>
      <c r="D4" s="54">
        <v>28.8</v>
      </c>
      <c r="E4" s="54">
        <v>28.8</v>
      </c>
      <c r="F4" s="54">
        <v>28.8</v>
      </c>
      <c r="G4" s="54">
        <v>28.8</v>
      </c>
      <c r="H4" s="54">
        <v>28.8</v>
      </c>
      <c r="I4" s="54">
        <v>28.8</v>
      </c>
      <c r="J4" s="54">
        <v>28.8</v>
      </c>
    </row>
    <row r="5" spans="1:10" x14ac:dyDescent="0.25">
      <c r="A5" s="255"/>
      <c r="B5" s="124" t="s">
        <v>300</v>
      </c>
      <c r="C5" s="127">
        <f t="shared" si="0"/>
        <v>8.7600000000000033</v>
      </c>
      <c r="D5" s="54">
        <v>8.7600000000000033</v>
      </c>
      <c r="E5" s="54">
        <v>8.7600000000000033</v>
      </c>
      <c r="F5" s="54">
        <v>8.7600000000000033</v>
      </c>
      <c r="G5" s="54">
        <v>8.7600000000000033</v>
      </c>
      <c r="H5" s="54">
        <v>8.7600000000000033</v>
      </c>
      <c r="I5" s="54">
        <v>8.7600000000000033</v>
      </c>
      <c r="J5" s="54">
        <v>8.7600000000000033</v>
      </c>
    </row>
    <row r="6" spans="1:10" x14ac:dyDescent="0.25">
      <c r="A6" s="255"/>
      <c r="B6" s="144" t="s">
        <v>299</v>
      </c>
      <c r="C6" s="127">
        <f t="shared" si="0"/>
        <v>42.74</v>
      </c>
      <c r="D6" s="54">
        <v>42.74</v>
      </c>
      <c r="E6" s="54">
        <v>42.74</v>
      </c>
      <c r="F6" s="54">
        <v>42.74</v>
      </c>
      <c r="G6" s="54">
        <v>42.74</v>
      </c>
      <c r="H6" s="54">
        <v>42.74</v>
      </c>
      <c r="I6" s="54">
        <v>42.74</v>
      </c>
      <c r="J6" s="54">
        <v>42.74</v>
      </c>
    </row>
    <row r="7" spans="1:10" x14ac:dyDescent="0.25">
      <c r="A7" s="255"/>
      <c r="B7" s="144" t="s">
        <v>298</v>
      </c>
      <c r="C7" s="127">
        <f t="shared" si="0"/>
        <v>2.62</v>
      </c>
      <c r="D7" s="54">
        <v>2.62</v>
      </c>
      <c r="E7" s="54">
        <v>2.62</v>
      </c>
      <c r="F7" s="54">
        <v>2.62</v>
      </c>
      <c r="G7" s="54">
        <v>2.62</v>
      </c>
      <c r="H7" s="54">
        <v>2.62</v>
      </c>
      <c r="I7" s="54">
        <v>2.62</v>
      </c>
      <c r="J7" s="54">
        <v>2.62</v>
      </c>
    </row>
    <row r="8" spans="1:10" ht="12" customHeight="1" x14ac:dyDescent="0.25">
      <c r="A8" s="255"/>
      <c r="B8" s="145" t="s">
        <v>297</v>
      </c>
      <c r="C8" s="127">
        <f t="shared" si="0"/>
        <v>1.0200000000000009</v>
      </c>
      <c r="D8" s="54">
        <v>1.0200000000000009</v>
      </c>
      <c r="E8" s="54">
        <v>1.0200000000000009</v>
      </c>
      <c r="F8" s="54">
        <v>1.0200000000000009</v>
      </c>
      <c r="G8" s="54">
        <v>1.0200000000000009</v>
      </c>
      <c r="H8" s="54">
        <v>1.0200000000000009</v>
      </c>
      <c r="I8" s="54">
        <v>1.0200000000000009</v>
      </c>
      <c r="J8" s="54">
        <v>1.0200000000000009</v>
      </c>
    </row>
    <row r="9" spans="1:10" ht="12.75" customHeight="1" x14ac:dyDescent="0.25">
      <c r="A9" s="255"/>
      <c r="B9" s="144" t="s">
        <v>224</v>
      </c>
      <c r="C9" s="127">
        <f t="shared" si="0"/>
        <v>7</v>
      </c>
      <c r="D9" s="54">
        <v>7</v>
      </c>
      <c r="E9" s="54">
        <v>7</v>
      </c>
      <c r="F9" s="54">
        <v>7</v>
      </c>
      <c r="G9" s="54">
        <v>7</v>
      </c>
      <c r="H9" s="54">
        <v>7</v>
      </c>
      <c r="I9" s="54">
        <v>7</v>
      </c>
      <c r="J9" s="54">
        <v>7</v>
      </c>
    </row>
    <row r="10" spans="1:10" ht="12.75" customHeight="1" x14ac:dyDescent="0.25">
      <c r="A10" s="255"/>
      <c r="B10" s="144" t="s">
        <v>225</v>
      </c>
      <c r="C10" s="127">
        <f t="shared" si="0"/>
        <v>0.8</v>
      </c>
      <c r="D10" s="54">
        <v>0.8</v>
      </c>
      <c r="E10" s="54">
        <v>0.8</v>
      </c>
      <c r="F10" s="54">
        <v>0.8</v>
      </c>
      <c r="G10" s="54">
        <v>0.8</v>
      </c>
      <c r="H10" s="54">
        <v>0.8</v>
      </c>
      <c r="I10" s="54">
        <v>0.8</v>
      </c>
      <c r="J10" s="54">
        <v>0.8</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8.5599999999999987</v>
      </c>
      <c r="D12" s="85">
        <v>8.5599999999999987</v>
      </c>
      <c r="E12" s="85">
        <v>8.5599999999999987</v>
      </c>
      <c r="F12" s="85">
        <v>8.5599999999999987</v>
      </c>
      <c r="G12" s="85">
        <v>8.5599999999999987</v>
      </c>
      <c r="H12" s="85">
        <v>8.5599999999999987</v>
      </c>
      <c r="I12" s="85">
        <v>8.5599999999999987</v>
      </c>
      <c r="J12" s="85">
        <v>8.5599999999999987</v>
      </c>
    </row>
    <row r="13" spans="1:10" ht="13.8" x14ac:dyDescent="0.3">
      <c r="A13" s="252"/>
      <c r="B13" s="125" t="s">
        <v>295</v>
      </c>
      <c r="C13" s="127">
        <f t="shared" si="1"/>
        <v>14.56</v>
      </c>
      <c r="D13" s="85">
        <v>14.56</v>
      </c>
      <c r="E13" s="85">
        <v>14.56</v>
      </c>
      <c r="F13" s="85">
        <v>14.56</v>
      </c>
      <c r="G13" s="85">
        <v>14.56</v>
      </c>
      <c r="H13" s="85">
        <v>14.56</v>
      </c>
      <c r="I13" s="85">
        <v>14.56</v>
      </c>
      <c r="J13" s="85">
        <v>14.56</v>
      </c>
    </row>
    <row r="14" spans="1:10" x14ac:dyDescent="0.25">
      <c r="A14" s="252"/>
      <c r="B14" s="125" t="s">
        <v>294</v>
      </c>
      <c r="C14" s="127">
        <f t="shared" si="1"/>
        <v>427</v>
      </c>
      <c r="D14" s="85">
        <v>427</v>
      </c>
      <c r="E14" s="85">
        <v>427</v>
      </c>
      <c r="F14" s="85">
        <v>427</v>
      </c>
      <c r="G14" s="85">
        <v>427</v>
      </c>
      <c r="H14" s="85">
        <v>427</v>
      </c>
      <c r="I14" s="85">
        <v>427</v>
      </c>
      <c r="J14" s="85">
        <v>427</v>
      </c>
    </row>
    <row r="15" spans="1:10" x14ac:dyDescent="0.25">
      <c r="A15" s="252"/>
      <c r="B15" s="125" t="s">
        <v>330</v>
      </c>
      <c r="C15" s="127">
        <f t="shared" si="1"/>
        <v>1.4799999999999969</v>
      </c>
      <c r="D15" s="85">
        <v>1.4799999999999969</v>
      </c>
      <c r="E15" s="85">
        <v>1.4799999999999969</v>
      </c>
      <c r="F15" s="85">
        <v>1.4799999999999969</v>
      </c>
      <c r="G15" s="85">
        <v>1.4799999999999969</v>
      </c>
      <c r="H15" s="85">
        <v>1.4799999999999969</v>
      </c>
      <c r="I15" s="85">
        <v>1.4799999999999969</v>
      </c>
      <c r="J15" s="85">
        <v>1.4799999999999969</v>
      </c>
    </row>
    <row r="16" spans="1:10" x14ac:dyDescent="0.25">
      <c r="A16" s="252"/>
      <c r="B16" s="125" t="s">
        <v>302</v>
      </c>
      <c r="C16" s="127">
        <f t="shared" si="1"/>
        <v>-51.039999999999615</v>
      </c>
      <c r="D16" s="85">
        <v>-51.039999999999615</v>
      </c>
      <c r="E16" s="85">
        <v>-51.039999999999615</v>
      </c>
      <c r="F16" s="85">
        <v>-51.039999999999615</v>
      </c>
      <c r="G16" s="85">
        <v>-51.039999999999615</v>
      </c>
      <c r="H16" s="85">
        <v>-51.039999999999615</v>
      </c>
      <c r="I16" s="85">
        <v>-51.039999999999615</v>
      </c>
      <c r="J16" s="85">
        <v>-51.039999999999615</v>
      </c>
    </row>
    <row r="17" spans="1:10" x14ac:dyDescent="0.25">
      <c r="A17" s="252"/>
      <c r="B17" s="125" t="s">
        <v>303</v>
      </c>
      <c r="C17" s="127">
        <f t="shared" si="1"/>
        <v>210.95999999999995</v>
      </c>
      <c r="D17" s="85">
        <v>210.95999999999995</v>
      </c>
      <c r="E17" s="85">
        <v>210.95999999999995</v>
      </c>
      <c r="F17" s="85">
        <v>210.95999999999995</v>
      </c>
      <c r="G17" s="85">
        <v>210.95999999999995</v>
      </c>
      <c r="H17" s="85">
        <v>210.95999999999995</v>
      </c>
      <c r="I17" s="85">
        <v>210.95999999999995</v>
      </c>
      <c r="J17" s="85">
        <v>210.95999999999995</v>
      </c>
    </row>
    <row r="18" spans="1:10" x14ac:dyDescent="0.25">
      <c r="A18" s="252"/>
      <c r="B18" s="125" t="s">
        <v>328</v>
      </c>
      <c r="C18" s="127">
        <f t="shared" si="1"/>
        <v>12.833333333333327</v>
      </c>
      <c r="D18" s="85">
        <v>12.833333333333327</v>
      </c>
      <c r="E18" s="85">
        <v>12.833333333333327</v>
      </c>
      <c r="F18" s="85">
        <v>12.833333333333327</v>
      </c>
      <c r="G18" s="85">
        <v>12.833333333333327</v>
      </c>
      <c r="H18" s="85">
        <v>12.833333333333327</v>
      </c>
      <c r="I18" s="85">
        <v>12.833333333333327</v>
      </c>
      <c r="J18" s="85">
        <v>12.833333333333327</v>
      </c>
    </row>
    <row r="19" spans="1:10" x14ac:dyDescent="0.25">
      <c r="A19" s="252"/>
      <c r="B19" s="125" t="s">
        <v>329</v>
      </c>
      <c r="C19" s="127">
        <f t="shared" si="1"/>
        <v>7.8333333333333401</v>
      </c>
      <c r="D19" s="85">
        <v>7.8333333333333401</v>
      </c>
      <c r="E19" s="85">
        <v>7.8333333333333401</v>
      </c>
      <c r="F19" s="85">
        <v>7.8333333333333401</v>
      </c>
      <c r="G19" s="85">
        <v>7.8333333333333401</v>
      </c>
      <c r="H19" s="85">
        <v>7.8333333333333401</v>
      </c>
      <c r="I19" s="85">
        <v>7.8333333333333401</v>
      </c>
      <c r="J19" s="85">
        <v>7.8333333333333401</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42.026576141925425</v>
      </c>
      <c r="D23" s="85">
        <v>42.026576141925425</v>
      </c>
      <c r="E23" s="85">
        <v>42.026576141925425</v>
      </c>
      <c r="F23" s="85">
        <v>42.026576141925425</v>
      </c>
      <c r="G23" s="85">
        <v>42.026576141925425</v>
      </c>
      <c r="H23" s="85">
        <v>42.026576141925425</v>
      </c>
      <c r="I23" s="85">
        <v>42.026576141925425</v>
      </c>
      <c r="J23" s="85">
        <v>42.026576141925425</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468</v>
      </c>
      <c r="D34">
        <v>468</v>
      </c>
      <c r="E34">
        <v>468</v>
      </c>
      <c r="F34">
        <v>468</v>
      </c>
      <c r="G34">
        <v>468</v>
      </c>
      <c r="H34">
        <v>468</v>
      </c>
      <c r="I34">
        <v>468</v>
      </c>
      <c r="J34">
        <v>468</v>
      </c>
    </row>
    <row r="35" spans="1:10" x14ac:dyDescent="0.25">
      <c r="A35" s="243"/>
      <c r="B35" s="85" t="s">
        <v>181</v>
      </c>
      <c r="C35" s="127">
        <f t="shared" si="3"/>
        <v>0.33326544592768131</v>
      </c>
      <c r="D35">
        <v>0.33326544592768131</v>
      </c>
      <c r="E35">
        <v>0.33326544592768131</v>
      </c>
      <c r="F35">
        <v>0.33326544592768131</v>
      </c>
      <c r="G35">
        <v>0.33326544592768131</v>
      </c>
      <c r="H35">
        <v>0.33326544592768131</v>
      </c>
      <c r="I35">
        <v>0.33326544592768131</v>
      </c>
      <c r="J35">
        <v>0.33326544592768131</v>
      </c>
    </row>
    <row r="36" spans="1:10" x14ac:dyDescent="0.25">
      <c r="A36" s="243"/>
      <c r="B36" s="161" t="s">
        <v>383</v>
      </c>
      <c r="C36" s="127">
        <f t="shared" si="3"/>
        <v>637</v>
      </c>
      <c r="D36">
        <v>637</v>
      </c>
      <c r="E36">
        <v>637</v>
      </c>
      <c r="F36">
        <v>637</v>
      </c>
      <c r="G36">
        <v>637</v>
      </c>
      <c r="H36">
        <v>637</v>
      </c>
      <c r="I36">
        <v>637</v>
      </c>
      <c r="J36">
        <v>637</v>
      </c>
    </row>
    <row r="37" spans="1:10" x14ac:dyDescent="0.25">
      <c r="A37" s="243"/>
      <c r="B37" s="124" t="s">
        <v>384</v>
      </c>
      <c r="C37" s="127">
        <f t="shared" si="3"/>
        <v>444.99999999999983</v>
      </c>
      <c r="D37">
        <v>444.99999999999983</v>
      </c>
      <c r="E37">
        <v>444.99999999999983</v>
      </c>
      <c r="F37">
        <v>444.99999999999983</v>
      </c>
      <c r="G37">
        <v>444.99999999999983</v>
      </c>
      <c r="H37">
        <v>444.99999999999983</v>
      </c>
      <c r="I37">
        <v>444.99999999999983</v>
      </c>
      <c r="J37">
        <v>444.99999999999983</v>
      </c>
    </row>
    <row r="38" spans="1:10" x14ac:dyDescent="0.25">
      <c r="A38" s="243"/>
      <c r="B38" s="124" t="s">
        <v>385</v>
      </c>
      <c r="C38" s="127">
        <f t="shared" si="3"/>
        <v>651.99999999999989</v>
      </c>
      <c r="D38">
        <v>651.99999999999989</v>
      </c>
      <c r="E38">
        <v>651.99999999999989</v>
      </c>
      <c r="F38">
        <v>651.99999999999989</v>
      </c>
      <c r="G38">
        <v>651.99999999999989</v>
      </c>
      <c r="H38">
        <v>651.99999999999989</v>
      </c>
      <c r="I38">
        <v>651.99999999999989</v>
      </c>
      <c r="J38">
        <v>651.99999999999989</v>
      </c>
    </row>
    <row r="39" spans="1:10" x14ac:dyDescent="0.25">
      <c r="A39" s="243"/>
      <c r="B39" s="124" t="s">
        <v>386</v>
      </c>
      <c r="C39" s="127">
        <f t="shared" si="3"/>
        <v>1092.254337079484</v>
      </c>
      <c r="D39">
        <v>1092.254337079484</v>
      </c>
      <c r="E39">
        <v>1092.254337079484</v>
      </c>
      <c r="F39">
        <v>1092.254337079484</v>
      </c>
      <c r="G39">
        <v>1092.254337079484</v>
      </c>
      <c r="H39">
        <v>1092.254337079484</v>
      </c>
      <c r="I39">
        <v>1092.254337079484</v>
      </c>
      <c r="J39">
        <v>1092.254337079484</v>
      </c>
    </row>
    <row r="40" spans="1:10" x14ac:dyDescent="0.25">
      <c r="A40" s="250"/>
      <c r="B40" s="124" t="s">
        <v>450</v>
      </c>
      <c r="C40" s="127">
        <f t="shared" si="3"/>
        <v>0</v>
      </c>
      <c r="D40">
        <v>0</v>
      </c>
      <c r="E40">
        <v>0</v>
      </c>
      <c r="F40">
        <v>0</v>
      </c>
      <c r="G40">
        <v>0</v>
      </c>
      <c r="H40">
        <v>0</v>
      </c>
      <c r="I40">
        <v>320</v>
      </c>
      <c r="J40">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24.999999999999911</v>
      </c>
      <c r="D55" s="85">
        <v>24.999999999999911</v>
      </c>
      <c r="E55" s="85">
        <v>24.999999999999911</v>
      </c>
      <c r="F55" s="85">
        <v>24.999999999999911</v>
      </c>
      <c r="G55" s="85">
        <v>24.999999999999911</v>
      </c>
      <c r="H55" s="85">
        <v>24.999999999999911</v>
      </c>
      <c r="I55" s="85">
        <v>24.999999999999911</v>
      </c>
      <c r="J55" s="85">
        <v>24.999999999999911</v>
      </c>
    </row>
    <row r="56" spans="1:10" x14ac:dyDescent="0.25">
      <c r="A56" s="256"/>
      <c r="B56" s="85" t="s">
        <v>332</v>
      </c>
      <c r="C56" s="127">
        <f>INDEX(D56:J56,$C$1)</f>
        <v>2.9333333333333358</v>
      </c>
      <c r="D56" s="85">
        <v>2.9333333333333358</v>
      </c>
      <c r="E56" s="85">
        <v>2.9333333333333358</v>
      </c>
      <c r="F56" s="85">
        <v>2.9333333333333358</v>
      </c>
      <c r="G56" s="85">
        <v>2.9333333333333358</v>
      </c>
      <c r="H56" s="85">
        <v>2.9333333333333358</v>
      </c>
      <c r="I56" s="85">
        <v>2.9333333333333358</v>
      </c>
      <c r="J56" s="85">
        <v>2.9333333333333358</v>
      </c>
    </row>
    <row r="57" spans="1:10" x14ac:dyDescent="0.25">
      <c r="A57" s="256"/>
      <c r="B57" s="85" t="s">
        <v>336</v>
      </c>
      <c r="C57" s="127">
        <f>INDEX(D57:J57,$C$1)</f>
        <v>1.2800000000000011</v>
      </c>
      <c r="D57" s="85">
        <v>1.2800000000000011</v>
      </c>
      <c r="E57" s="85">
        <v>1.2800000000000011</v>
      </c>
      <c r="F57" s="85">
        <v>1.2800000000000011</v>
      </c>
      <c r="G57" s="85">
        <v>1.2800000000000011</v>
      </c>
      <c r="H57" s="85">
        <v>1.2800000000000011</v>
      </c>
      <c r="I57" s="85">
        <v>1.2800000000000011</v>
      </c>
      <c r="J57" s="85">
        <v>1.2800000000000011</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98.999999999999972</v>
      </c>
      <c r="D69" s="86">
        <v>98.999999999999972</v>
      </c>
      <c r="E69" s="86">
        <v>98.999999999999972</v>
      </c>
      <c r="F69" s="86">
        <v>98.999999999999972</v>
      </c>
      <c r="G69" s="86">
        <v>98.999999999999972</v>
      </c>
      <c r="H69" s="86">
        <v>98.999999999999972</v>
      </c>
      <c r="I69" s="86">
        <v>98.999999999999972</v>
      </c>
      <c r="J69" s="86">
        <v>98.999999999999972</v>
      </c>
    </row>
    <row r="70" spans="1:10" x14ac:dyDescent="0.25">
      <c r="A70" s="243"/>
      <c r="B70" s="85" t="s">
        <v>150</v>
      </c>
      <c r="C70" s="127">
        <f>INDEX(D70:J70,$C$1)</f>
        <v>167.99999999999991</v>
      </c>
      <c r="D70" s="86">
        <v>167.99999999999991</v>
      </c>
      <c r="E70" s="86">
        <v>167.99999999999991</v>
      </c>
      <c r="F70" s="86">
        <v>167.99999999999991</v>
      </c>
      <c r="G70" s="86">
        <v>167.99999999999991</v>
      </c>
      <c r="H70" s="86">
        <v>167.99999999999991</v>
      </c>
      <c r="I70" s="86">
        <v>167.99999999999991</v>
      </c>
      <c r="J70" s="86">
        <v>167.99999999999991</v>
      </c>
    </row>
    <row r="71" spans="1:10" x14ac:dyDescent="0.25">
      <c r="A71" s="243"/>
      <c r="B71" s="85" t="s">
        <v>371</v>
      </c>
      <c r="C71" s="127">
        <f>INDEX(D71:J71,$C$1)</f>
        <v>1273.0000000000002</v>
      </c>
      <c r="D71" s="85">
        <v>1273.0000000000002</v>
      </c>
      <c r="E71" s="85">
        <v>1273.0000000000002</v>
      </c>
      <c r="F71" s="85">
        <v>1273.0000000000002</v>
      </c>
      <c r="G71" s="85">
        <v>1273.0000000000002</v>
      </c>
      <c r="H71" s="85">
        <v>1273.0000000000002</v>
      </c>
      <c r="I71" s="85">
        <v>1273.0000000000002</v>
      </c>
      <c r="J71" s="85">
        <v>1273.0000000000002</v>
      </c>
    </row>
    <row r="72" spans="1:10" x14ac:dyDescent="0.25">
      <c r="A72" s="243"/>
      <c r="B72" s="125" t="s">
        <v>394</v>
      </c>
      <c r="C72" s="127">
        <f>INDEX(D72:J72,$C$1)</f>
        <v>391.99999999999989</v>
      </c>
      <c r="D72" s="85">
        <v>391.99999999999989</v>
      </c>
      <c r="E72" s="85">
        <v>391.99999999999989</v>
      </c>
      <c r="F72" s="85">
        <v>391.99999999999989</v>
      </c>
      <c r="G72" s="85">
        <v>391.99999999999989</v>
      </c>
      <c r="H72" s="85">
        <v>391.99999999999989</v>
      </c>
      <c r="I72" s="85">
        <v>391.99999999999989</v>
      </c>
      <c r="J72" s="85">
        <v>391.99999999999989</v>
      </c>
    </row>
    <row r="73" spans="1:10" x14ac:dyDescent="0.25">
      <c r="A73" s="243"/>
      <c r="B73" s="125" t="s">
        <v>395</v>
      </c>
      <c r="C73" s="127">
        <f>INDEX(D73:J73,$C$1)</f>
        <v>94.999999999999972</v>
      </c>
      <c r="D73" s="85">
        <v>94.999999999999972</v>
      </c>
      <c r="E73" s="85">
        <v>94.999999999999972</v>
      </c>
      <c r="F73" s="85">
        <v>94.999999999999972</v>
      </c>
      <c r="G73" s="85">
        <v>94.999999999999972</v>
      </c>
      <c r="H73" s="85">
        <v>94.999999999999972</v>
      </c>
      <c r="I73" s="85">
        <v>94.999999999999972</v>
      </c>
      <c r="J73" s="85">
        <v>94.999999999999972</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3.1288888888888831E-2</v>
      </c>
      <c r="D98" s="86">
        <v>3.1288888888888831E-2</v>
      </c>
      <c r="E98" s="86">
        <v>3.1288888888888831E-2</v>
      </c>
      <c r="F98" s="86">
        <v>3.1288888888888831E-2</v>
      </c>
      <c r="G98" s="86">
        <v>3.1288888888888831E-2</v>
      </c>
      <c r="H98" s="86">
        <v>3.1288888888888831E-2</v>
      </c>
      <c r="I98" s="86">
        <v>3.1288888888888831E-2</v>
      </c>
      <c r="J98" s="86">
        <v>3.1288888888888831E-2</v>
      </c>
    </row>
    <row r="99" spans="1:10" x14ac:dyDescent="0.25">
      <c r="A99" s="243"/>
      <c r="B99" s="92" t="s">
        <v>188</v>
      </c>
      <c r="C99" s="127">
        <f t="shared" si="4"/>
        <v>3.1288888888888831E-2</v>
      </c>
      <c r="D99" s="86">
        <v>3.1288888888888831E-2</v>
      </c>
      <c r="E99" s="86">
        <v>3.1288888888888831E-2</v>
      </c>
      <c r="F99" s="86">
        <v>3.1288888888888831E-2</v>
      </c>
      <c r="G99" s="86">
        <v>3.1288888888888831E-2</v>
      </c>
      <c r="H99" s="86">
        <v>3.1288888888888831E-2</v>
      </c>
      <c r="I99" s="86">
        <v>3.1288888888888831E-2</v>
      </c>
      <c r="J99" s="86">
        <v>3.1288888888888831E-2</v>
      </c>
    </row>
    <row r="100" spans="1:10" x14ac:dyDescent="0.25">
      <c r="A100" s="243"/>
      <c r="B100" s="92" t="s">
        <v>187</v>
      </c>
      <c r="C100" s="127">
        <f t="shared" si="4"/>
        <v>5.973333333333327E-2</v>
      </c>
      <c r="D100" s="86">
        <v>5.973333333333327E-2</v>
      </c>
      <c r="E100" s="86">
        <v>5.973333333333327E-2</v>
      </c>
      <c r="F100" s="86">
        <v>5.973333333333327E-2</v>
      </c>
      <c r="G100" s="86">
        <v>5.973333333333327E-2</v>
      </c>
      <c r="H100" s="86">
        <v>5.973333333333327E-2</v>
      </c>
      <c r="I100" s="86">
        <v>5.973333333333327E-2</v>
      </c>
      <c r="J100" s="86">
        <v>5.973333333333327E-2</v>
      </c>
    </row>
    <row r="101" spans="1:10" x14ac:dyDescent="0.25">
      <c r="A101" s="243"/>
      <c r="B101" s="157" t="s">
        <v>376</v>
      </c>
      <c r="C101" s="127">
        <f t="shared" si="4"/>
        <v>0</v>
      </c>
      <c r="D101" s="86">
        <v>0</v>
      </c>
      <c r="E101" s="86">
        <v>0</v>
      </c>
      <c r="F101" s="86">
        <v>0</v>
      </c>
      <c r="G101" s="86">
        <v>0</v>
      </c>
      <c r="H101" s="86">
        <v>0</v>
      </c>
      <c r="I101" s="86">
        <v>0</v>
      </c>
      <c r="J101" s="86">
        <v>0</v>
      </c>
    </row>
    <row r="102" spans="1:10" x14ac:dyDescent="0.25">
      <c r="A102" s="243"/>
      <c r="B102" s="157" t="s">
        <v>377</v>
      </c>
      <c r="C102" s="127">
        <f t="shared" si="4"/>
        <v>1.2266666666666736E-2</v>
      </c>
      <c r="D102" s="86">
        <v>1.2266666666666736E-2</v>
      </c>
      <c r="E102" s="86">
        <v>1.2266666666666736E-2</v>
      </c>
      <c r="F102" s="86">
        <v>1.2266666666666736E-2</v>
      </c>
      <c r="G102" s="86">
        <v>1.2266666666666736E-2</v>
      </c>
      <c r="H102" s="86">
        <v>1.2266666666666736E-2</v>
      </c>
      <c r="I102" s="86">
        <v>1.2266666666666736E-2</v>
      </c>
      <c r="J102" s="86">
        <v>1.2266666666666736E-2</v>
      </c>
    </row>
    <row r="103" spans="1:10" x14ac:dyDescent="0.25">
      <c r="A103" s="243"/>
      <c r="B103" s="157" t="s">
        <v>378</v>
      </c>
      <c r="C103" s="127">
        <f t="shared" si="4"/>
        <v>1.6000000000000052E-2</v>
      </c>
      <c r="D103" s="86">
        <v>1.6000000000000052E-2</v>
      </c>
      <c r="E103" s="86">
        <v>1.6000000000000052E-2</v>
      </c>
      <c r="F103" s="86">
        <v>1.6000000000000052E-2</v>
      </c>
      <c r="G103" s="86">
        <v>1.6000000000000052E-2</v>
      </c>
      <c r="H103" s="86">
        <v>1.6000000000000052E-2</v>
      </c>
      <c r="I103" s="86">
        <v>1.6000000000000052E-2</v>
      </c>
      <c r="J103" s="86">
        <v>1.6000000000000052E-2</v>
      </c>
    </row>
    <row r="104" spans="1:10" x14ac:dyDescent="0.25">
      <c r="A104" s="243"/>
      <c r="B104" s="157" t="s">
        <v>379</v>
      </c>
      <c r="C104" s="127">
        <f t="shared" si="4"/>
        <v>1.6000000000000052E-2</v>
      </c>
      <c r="D104" s="86">
        <v>1.6000000000000052E-2</v>
      </c>
      <c r="E104" s="86">
        <v>1.6000000000000052E-2</v>
      </c>
      <c r="F104" s="86">
        <v>1.6000000000000052E-2</v>
      </c>
      <c r="G104" s="86">
        <v>1.6000000000000052E-2</v>
      </c>
      <c r="H104" s="86">
        <v>1.6000000000000052E-2</v>
      </c>
      <c r="I104" s="86">
        <v>1.6000000000000052E-2</v>
      </c>
      <c r="J104" s="86">
        <v>1.6000000000000052E-2</v>
      </c>
    </row>
    <row r="105" spans="1:10" x14ac:dyDescent="0.25">
      <c r="A105" s="243"/>
      <c r="B105" s="130" t="s">
        <v>216</v>
      </c>
      <c r="C105" s="127">
        <f t="shared" si="4"/>
        <v>1.7</v>
      </c>
      <c r="D105" s="91">
        <v>1.7</v>
      </c>
      <c r="E105" s="91">
        <v>1.7</v>
      </c>
      <c r="F105" s="91">
        <v>1.7</v>
      </c>
      <c r="G105" s="91">
        <v>1.7</v>
      </c>
      <c r="H105" s="91">
        <v>1.7</v>
      </c>
      <c r="I105" s="91">
        <v>1.7</v>
      </c>
      <c r="J105" s="91">
        <v>1.7</v>
      </c>
    </row>
    <row r="106" spans="1:10" x14ac:dyDescent="0.25">
      <c r="A106" s="243"/>
      <c r="B106" s="157" t="s">
        <v>403</v>
      </c>
      <c r="C106" s="127">
        <f t="shared" si="4"/>
        <v>67.999999999999929</v>
      </c>
      <c r="D106" s="91">
        <v>67.999999999999929</v>
      </c>
      <c r="E106" s="91">
        <v>67.999999999999929</v>
      </c>
      <c r="F106" s="91">
        <v>67.999999999999929</v>
      </c>
      <c r="G106" s="91">
        <v>67.999999999999929</v>
      </c>
      <c r="H106" s="91">
        <v>67.999999999999929</v>
      </c>
      <c r="I106" s="91">
        <v>67.999999999999929</v>
      </c>
      <c r="J106" s="91">
        <v>67.999999999999929</v>
      </c>
    </row>
    <row r="107" spans="1:10" x14ac:dyDescent="0.25">
      <c r="A107" s="243"/>
      <c r="B107" s="157" t="s">
        <v>405</v>
      </c>
      <c r="C107" s="127">
        <f t="shared" si="4"/>
        <v>21.222222222222378</v>
      </c>
      <c r="D107" s="91">
        <v>21.222222222222378</v>
      </c>
      <c r="E107" s="91">
        <v>21.222222222222378</v>
      </c>
      <c r="F107" s="91">
        <v>21.222222222222378</v>
      </c>
      <c r="G107" s="91">
        <v>21.222222222222378</v>
      </c>
      <c r="H107" s="91">
        <v>21.222222222222378</v>
      </c>
      <c r="I107" s="91">
        <v>21.222222222222378</v>
      </c>
      <c r="J107" s="91">
        <v>21.222222222222378</v>
      </c>
    </row>
    <row r="108" spans="1:10" x14ac:dyDescent="0.25">
      <c r="A108" s="243"/>
      <c r="B108" s="157" t="s">
        <v>404</v>
      </c>
      <c r="C108" s="127">
        <f t="shared" si="4"/>
        <v>67.666666666666544</v>
      </c>
      <c r="D108" s="91">
        <v>67.666666666666544</v>
      </c>
      <c r="E108" s="91">
        <v>67.666666666666544</v>
      </c>
      <c r="F108" s="91">
        <v>67.666666666666544</v>
      </c>
      <c r="G108" s="91">
        <v>67.666666666666544</v>
      </c>
      <c r="H108" s="91">
        <v>67.666666666666544</v>
      </c>
      <c r="I108" s="91">
        <v>67.666666666666544</v>
      </c>
      <c r="J108" s="91">
        <v>67.666666666666544</v>
      </c>
    </row>
    <row r="109" spans="1:10" x14ac:dyDescent="0.25">
      <c r="A109" s="243"/>
      <c r="B109" s="108"/>
      <c r="C109" s="127"/>
      <c r="D109" s="91"/>
      <c r="E109" s="85"/>
      <c r="F109" s="85"/>
      <c r="G109" s="85"/>
      <c r="H109" s="85"/>
      <c r="I109" s="85"/>
      <c r="J109" s="85"/>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5.5546875" bestFit="1" customWidth="1"/>
    <col min="10" max="10" width="18.10937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27.220000000000006</v>
      </c>
      <c r="D4" s="86">
        <v>27.220000000000006</v>
      </c>
      <c r="E4" s="86">
        <v>27.220000000000006</v>
      </c>
      <c r="F4" s="86">
        <v>27.220000000000006</v>
      </c>
      <c r="G4" s="86">
        <v>27.220000000000006</v>
      </c>
      <c r="H4" s="86">
        <v>27.220000000000006</v>
      </c>
      <c r="I4" s="86">
        <v>27.220000000000006</v>
      </c>
      <c r="J4" s="86">
        <v>27.220000000000006</v>
      </c>
    </row>
    <row r="5" spans="1:10" x14ac:dyDescent="0.25">
      <c r="A5" s="255"/>
      <c r="B5" s="124" t="s">
        <v>300</v>
      </c>
      <c r="C5" s="127">
        <f t="shared" si="0"/>
        <v>8.490000000000002</v>
      </c>
      <c r="D5" s="86">
        <v>8.490000000000002</v>
      </c>
      <c r="E5" s="86">
        <v>8.490000000000002</v>
      </c>
      <c r="F5" s="86">
        <v>8.490000000000002</v>
      </c>
      <c r="G5" s="86">
        <v>8.490000000000002</v>
      </c>
      <c r="H5" s="86">
        <v>8.490000000000002</v>
      </c>
      <c r="I5" s="86">
        <v>8.490000000000002</v>
      </c>
      <c r="J5" s="86">
        <v>8.490000000000002</v>
      </c>
    </row>
    <row r="6" spans="1:10" x14ac:dyDescent="0.25">
      <c r="A6" s="255"/>
      <c r="B6" s="144" t="s">
        <v>299</v>
      </c>
      <c r="C6" s="127">
        <f t="shared" si="0"/>
        <v>42.699999999999996</v>
      </c>
      <c r="D6" s="86">
        <v>42.699999999999996</v>
      </c>
      <c r="E6" s="86">
        <v>42.699999999999996</v>
      </c>
      <c r="F6" s="86">
        <v>42.699999999999996</v>
      </c>
      <c r="G6" s="86">
        <v>42.699999999999996</v>
      </c>
      <c r="H6" s="86">
        <v>42.699999999999996</v>
      </c>
      <c r="I6" s="86">
        <v>42.699999999999996</v>
      </c>
      <c r="J6" s="86">
        <v>42.699999999999996</v>
      </c>
    </row>
    <row r="7" spans="1:10" x14ac:dyDescent="0.25">
      <c r="A7" s="255"/>
      <c r="B7" s="144" t="s">
        <v>298</v>
      </c>
      <c r="C7" s="127">
        <f t="shared" si="0"/>
        <v>2.52</v>
      </c>
      <c r="D7" s="86">
        <v>2.52</v>
      </c>
      <c r="E7" s="86">
        <v>2.52</v>
      </c>
      <c r="F7" s="86">
        <v>2.52</v>
      </c>
      <c r="G7" s="86">
        <v>2.52</v>
      </c>
      <c r="H7" s="86">
        <v>2.52</v>
      </c>
      <c r="I7" s="86">
        <v>2.52</v>
      </c>
      <c r="J7" s="86">
        <v>2.52</v>
      </c>
    </row>
    <row r="8" spans="1:10" ht="12" customHeight="1" x14ac:dyDescent="0.25">
      <c r="A8" s="255"/>
      <c r="B8" s="145" t="s">
        <v>297</v>
      </c>
      <c r="C8" s="127">
        <f t="shared" si="0"/>
        <v>1.29</v>
      </c>
      <c r="D8" s="86">
        <v>1.29</v>
      </c>
      <c r="E8" s="86">
        <v>1.29</v>
      </c>
      <c r="F8" s="86">
        <v>1.29</v>
      </c>
      <c r="G8" s="86">
        <v>1.29</v>
      </c>
      <c r="H8" s="86">
        <v>1.29</v>
      </c>
      <c r="I8" s="86">
        <v>1.29</v>
      </c>
      <c r="J8" s="86">
        <v>1.29</v>
      </c>
    </row>
    <row r="9" spans="1:10" ht="12.75" customHeight="1" x14ac:dyDescent="0.25">
      <c r="A9" s="255"/>
      <c r="B9" s="144" t="s">
        <v>224</v>
      </c>
      <c r="C9" s="127">
        <f t="shared" si="0"/>
        <v>7</v>
      </c>
      <c r="D9" s="86">
        <v>7</v>
      </c>
      <c r="E9" s="86">
        <v>7</v>
      </c>
      <c r="F9" s="86">
        <v>7</v>
      </c>
      <c r="G9" s="86">
        <v>7</v>
      </c>
      <c r="H9" s="86">
        <v>7</v>
      </c>
      <c r="I9" s="86">
        <v>7</v>
      </c>
      <c r="J9" s="86">
        <v>7</v>
      </c>
    </row>
    <row r="10" spans="1:10" ht="12.75" customHeight="1" x14ac:dyDescent="0.25">
      <c r="A10" s="255"/>
      <c r="B10" s="144" t="s">
        <v>225</v>
      </c>
      <c r="C10" s="127">
        <f t="shared" si="0"/>
        <v>0.3</v>
      </c>
      <c r="D10" s="86">
        <v>0.3</v>
      </c>
      <c r="E10" s="86">
        <v>0.3</v>
      </c>
      <c r="F10" s="86">
        <v>0.3</v>
      </c>
      <c r="G10" s="86">
        <v>0.3</v>
      </c>
      <c r="H10" s="86">
        <v>0.3</v>
      </c>
      <c r="I10" s="86">
        <v>0.3</v>
      </c>
      <c r="J10" s="86">
        <v>0.3</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7.7866666666666662</v>
      </c>
      <c r="D12" s="85">
        <v>7.7866666666666662</v>
      </c>
      <c r="E12" s="85">
        <v>7.7866666666666662</v>
      </c>
      <c r="F12" s="85">
        <v>7.7866666666666662</v>
      </c>
      <c r="G12" s="85">
        <v>7.7866666666666662</v>
      </c>
      <c r="H12" s="85">
        <v>7.7866666666666662</v>
      </c>
      <c r="I12" s="85">
        <v>7.7866666666666662</v>
      </c>
      <c r="J12" s="85">
        <v>7.7866666666666662</v>
      </c>
    </row>
    <row r="13" spans="1:10" ht="13.8" x14ac:dyDescent="0.3">
      <c r="A13" s="252"/>
      <c r="B13" s="125" t="s">
        <v>295</v>
      </c>
      <c r="C13" s="127">
        <f t="shared" si="1"/>
        <v>14.729999999999999</v>
      </c>
      <c r="D13" s="85">
        <v>14.729999999999999</v>
      </c>
      <c r="E13" s="85">
        <v>14.729999999999999</v>
      </c>
      <c r="F13" s="85">
        <v>14.729999999999999</v>
      </c>
      <c r="G13" s="85">
        <v>14.729999999999999</v>
      </c>
      <c r="H13" s="85">
        <v>14.729999999999999</v>
      </c>
      <c r="I13" s="85">
        <v>14.729999999999999</v>
      </c>
      <c r="J13" s="85">
        <v>14.729999999999999</v>
      </c>
    </row>
    <row r="14" spans="1:10" x14ac:dyDescent="0.25">
      <c r="A14" s="252"/>
      <c r="B14" s="125" t="s">
        <v>294</v>
      </c>
      <c r="C14" s="127">
        <f t="shared" si="1"/>
        <v>429</v>
      </c>
      <c r="D14" s="85">
        <v>429</v>
      </c>
      <c r="E14" s="85">
        <v>429</v>
      </c>
      <c r="F14" s="85">
        <v>429</v>
      </c>
      <c r="G14" s="85">
        <v>429</v>
      </c>
      <c r="H14" s="85">
        <v>429</v>
      </c>
      <c r="I14" s="85">
        <v>429</v>
      </c>
      <c r="J14" s="85">
        <v>429</v>
      </c>
    </row>
    <row r="15" spans="1:10" x14ac:dyDescent="0.25">
      <c r="A15" s="252"/>
      <c r="B15" s="125" t="s">
        <v>330</v>
      </c>
      <c r="C15" s="127">
        <f t="shared" si="1"/>
        <v>0.63999999999999757</v>
      </c>
      <c r="D15" s="85">
        <v>0.63999999999999757</v>
      </c>
      <c r="E15" s="85">
        <v>0.63999999999999757</v>
      </c>
      <c r="F15" s="85">
        <v>0.63999999999999757</v>
      </c>
      <c r="G15" s="85">
        <v>0.63999999999999757</v>
      </c>
      <c r="H15" s="85">
        <v>0.63999999999999757</v>
      </c>
      <c r="I15" s="85">
        <v>0.63999999999999757</v>
      </c>
      <c r="J15" s="85">
        <v>0.63999999999999757</v>
      </c>
    </row>
    <row r="16" spans="1:10" x14ac:dyDescent="0.25">
      <c r="A16" s="252"/>
      <c r="B16" s="125" t="s">
        <v>302</v>
      </c>
      <c r="C16" s="127">
        <f t="shared" si="1"/>
        <v>188.27999999999975</v>
      </c>
      <c r="D16" s="85">
        <v>188.27999999999975</v>
      </c>
      <c r="E16" s="85">
        <v>188.27999999999975</v>
      </c>
      <c r="F16" s="85">
        <v>188.27999999999975</v>
      </c>
      <c r="G16" s="85">
        <v>188.27999999999975</v>
      </c>
      <c r="H16" s="85">
        <v>188.27999999999975</v>
      </c>
      <c r="I16" s="85">
        <v>188.27999999999975</v>
      </c>
      <c r="J16" s="85">
        <v>188.27999999999975</v>
      </c>
    </row>
    <row r="17" spans="1:10" x14ac:dyDescent="0.25">
      <c r="A17" s="252"/>
      <c r="B17" s="125" t="s">
        <v>303</v>
      </c>
      <c r="C17" s="127">
        <f t="shared" si="1"/>
        <v>214.27999999999977</v>
      </c>
      <c r="D17" s="85">
        <v>214.27999999999977</v>
      </c>
      <c r="E17" s="85">
        <v>214.27999999999977</v>
      </c>
      <c r="F17" s="85">
        <v>214.27999999999977</v>
      </c>
      <c r="G17" s="85">
        <v>214.27999999999977</v>
      </c>
      <c r="H17" s="85">
        <v>214.27999999999977</v>
      </c>
      <c r="I17" s="85">
        <v>214.27999999999977</v>
      </c>
      <c r="J17" s="85">
        <v>214.27999999999977</v>
      </c>
    </row>
    <row r="18" spans="1:10" x14ac:dyDescent="0.25">
      <c r="A18" s="252"/>
      <c r="B18" s="125" t="s">
        <v>328</v>
      </c>
      <c r="C18" s="127">
        <f t="shared" si="1"/>
        <v>9.666666666666675</v>
      </c>
      <c r="D18" s="85">
        <v>9.666666666666675</v>
      </c>
      <c r="E18" s="85">
        <v>9.666666666666675</v>
      </c>
      <c r="F18" s="85">
        <v>9.666666666666675</v>
      </c>
      <c r="G18" s="85">
        <v>9.666666666666675</v>
      </c>
      <c r="H18" s="85">
        <v>9.666666666666675</v>
      </c>
      <c r="I18" s="85">
        <v>9.666666666666675</v>
      </c>
      <c r="J18" s="85">
        <v>9.666666666666675</v>
      </c>
    </row>
    <row r="19" spans="1:10" x14ac:dyDescent="0.25">
      <c r="A19" s="252"/>
      <c r="B19" s="125" t="s">
        <v>329</v>
      </c>
      <c r="C19" s="127">
        <f t="shared" si="1"/>
        <v>10.333333333333343</v>
      </c>
      <c r="D19" s="85">
        <v>10.333333333333343</v>
      </c>
      <c r="E19" s="85">
        <v>10.333333333333343</v>
      </c>
      <c r="F19" s="85">
        <v>10.333333333333343</v>
      </c>
      <c r="G19" s="85">
        <v>10.333333333333343</v>
      </c>
      <c r="H19" s="85">
        <v>10.333333333333343</v>
      </c>
      <c r="I19" s="85">
        <v>10.333333333333343</v>
      </c>
      <c r="J19" s="85">
        <v>10.333333333333343</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43.131008986595681</v>
      </c>
      <c r="D23" s="85">
        <v>43.131008986595681</v>
      </c>
      <c r="E23" s="85">
        <v>43.131008986595681</v>
      </c>
      <c r="F23" s="85">
        <v>43.131008986595681</v>
      </c>
      <c r="G23" s="85">
        <v>43.131008986595681</v>
      </c>
      <c r="H23" s="85">
        <v>43.131008986595681</v>
      </c>
      <c r="I23" s="85">
        <v>43.131008986595681</v>
      </c>
      <c r="J23" s="85">
        <v>43.131008986595681</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517.99999999999977</v>
      </c>
      <c r="D34" s="86">
        <v>517.99999999999977</v>
      </c>
      <c r="E34" s="86">
        <v>517.99999999999977</v>
      </c>
      <c r="F34" s="86">
        <v>517.99999999999977</v>
      </c>
      <c r="G34" s="86">
        <v>517.99999999999977</v>
      </c>
      <c r="H34" s="86">
        <v>517.99999999999977</v>
      </c>
      <c r="I34" s="86">
        <v>517.99999999999977</v>
      </c>
      <c r="J34" s="86">
        <v>517.99999999999977</v>
      </c>
    </row>
    <row r="35" spans="1:10" x14ac:dyDescent="0.25">
      <c r="A35" s="243"/>
      <c r="B35" s="85" t="s">
        <v>181</v>
      </c>
      <c r="C35" s="127">
        <f t="shared" si="3"/>
        <v>0.1791494275691603</v>
      </c>
      <c r="D35" s="86">
        <v>0.1791494275691603</v>
      </c>
      <c r="E35" s="86">
        <v>0.1791494275691603</v>
      </c>
      <c r="F35" s="86">
        <v>0.1791494275691603</v>
      </c>
      <c r="G35" s="86">
        <v>0.1791494275691603</v>
      </c>
      <c r="H35" s="86">
        <v>0.1791494275691603</v>
      </c>
      <c r="I35" s="86">
        <v>0.1791494275691603</v>
      </c>
      <c r="J35" s="86">
        <v>0.1791494275691603</v>
      </c>
    </row>
    <row r="36" spans="1:10" x14ac:dyDescent="0.25">
      <c r="A36" s="243"/>
      <c r="B36" s="161" t="s">
        <v>383</v>
      </c>
      <c r="C36" s="127">
        <f t="shared" si="3"/>
        <v>706.99999999999989</v>
      </c>
      <c r="D36" s="160">
        <v>706.99999999999989</v>
      </c>
      <c r="E36" s="160">
        <v>706.99999999999989</v>
      </c>
      <c r="F36" s="160">
        <v>706.99999999999989</v>
      </c>
      <c r="G36" s="160">
        <v>706.99999999999989</v>
      </c>
      <c r="H36" s="160">
        <v>706.99999999999989</v>
      </c>
      <c r="I36" s="160">
        <v>706.99999999999989</v>
      </c>
      <c r="J36" s="160">
        <v>706.99999999999989</v>
      </c>
    </row>
    <row r="37" spans="1:10" x14ac:dyDescent="0.25">
      <c r="A37" s="243"/>
      <c r="B37" s="124" t="s">
        <v>384</v>
      </c>
      <c r="C37" s="127">
        <f t="shared" si="3"/>
        <v>506.99999999999966</v>
      </c>
      <c r="D37" s="86">
        <v>506.99999999999966</v>
      </c>
      <c r="E37" s="86">
        <v>506.99999999999966</v>
      </c>
      <c r="F37" s="86">
        <v>506.99999999999966</v>
      </c>
      <c r="G37" s="86">
        <v>506.99999999999966</v>
      </c>
      <c r="H37" s="86">
        <v>506.99999999999966</v>
      </c>
      <c r="I37" s="86">
        <v>506.99999999999966</v>
      </c>
      <c r="J37" s="86">
        <v>506.99999999999966</v>
      </c>
    </row>
    <row r="38" spans="1:10" x14ac:dyDescent="0.25">
      <c r="A38" s="243"/>
      <c r="B38" s="124" t="s">
        <v>385</v>
      </c>
      <c r="C38" s="127">
        <f t="shared" si="3"/>
        <v>715.99999999999977</v>
      </c>
      <c r="D38" s="86">
        <v>715.99999999999977</v>
      </c>
      <c r="E38" s="86">
        <v>715.99999999999977</v>
      </c>
      <c r="F38" s="86">
        <v>715.99999999999977</v>
      </c>
      <c r="G38" s="86">
        <v>715.99999999999977</v>
      </c>
      <c r="H38" s="86">
        <v>715.99999999999977</v>
      </c>
      <c r="I38" s="86">
        <v>715.99999999999977</v>
      </c>
      <c r="J38" s="86">
        <v>715.99999999999977</v>
      </c>
    </row>
    <row r="39" spans="1:10" x14ac:dyDescent="0.25">
      <c r="A39" s="243"/>
      <c r="B39" s="124" t="s">
        <v>386</v>
      </c>
      <c r="C39" s="127">
        <f t="shared" si="3"/>
        <v>3095.8791128714024</v>
      </c>
      <c r="D39" s="86">
        <v>3095.8791128714024</v>
      </c>
      <c r="E39" s="86">
        <v>3095.8791128714024</v>
      </c>
      <c r="F39" s="86">
        <v>3095.8791128714024</v>
      </c>
      <c r="G39" s="86">
        <v>3095.8791128714024</v>
      </c>
      <c r="H39" s="86">
        <v>3095.8791128714024</v>
      </c>
      <c r="I39" s="86">
        <v>3095.8791128714024</v>
      </c>
      <c r="J39" s="86">
        <v>3095.8791128714024</v>
      </c>
    </row>
    <row r="40" spans="1:10" x14ac:dyDescent="0.25">
      <c r="A40" s="250"/>
      <c r="B40" s="124" t="s">
        <v>450</v>
      </c>
      <c r="C40" s="127">
        <f t="shared" si="3"/>
        <v>0</v>
      </c>
      <c r="D40" s="86">
        <v>0</v>
      </c>
      <c r="E40" s="86">
        <v>0</v>
      </c>
      <c r="F40" s="86">
        <v>0</v>
      </c>
      <c r="G40" s="86">
        <v>0</v>
      </c>
      <c r="H40" s="86">
        <v>0</v>
      </c>
      <c r="I40" s="86">
        <v>320</v>
      </c>
      <c r="J40" s="86">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103</v>
      </c>
      <c r="D55" s="85">
        <v>103</v>
      </c>
      <c r="E55" s="85">
        <v>103</v>
      </c>
      <c r="F55" s="85">
        <v>103</v>
      </c>
      <c r="G55" s="85">
        <v>103</v>
      </c>
      <c r="H55" s="85">
        <v>103</v>
      </c>
      <c r="I55" s="85">
        <v>103</v>
      </c>
      <c r="J55" s="85">
        <v>103</v>
      </c>
    </row>
    <row r="56" spans="1:10" x14ac:dyDescent="0.25">
      <c r="A56" s="256"/>
      <c r="B56" s="85" t="s">
        <v>332</v>
      </c>
      <c r="C56" s="127">
        <f>INDEX(D56:J56,$C$1)</f>
        <v>2.2000000000000002</v>
      </c>
      <c r="D56" s="85">
        <v>2.2000000000000002</v>
      </c>
      <c r="E56" s="85">
        <v>2.2000000000000002</v>
      </c>
      <c r="F56" s="85">
        <v>2.2000000000000002</v>
      </c>
      <c r="G56" s="85">
        <v>2.2000000000000002</v>
      </c>
      <c r="H56" s="85">
        <v>2.2000000000000002</v>
      </c>
      <c r="I56" s="85">
        <v>2.2000000000000002</v>
      </c>
      <c r="J56" s="85">
        <v>2.2000000000000002</v>
      </c>
    </row>
    <row r="57" spans="1:10" x14ac:dyDescent="0.25">
      <c r="A57" s="256"/>
      <c r="B57" s="85" t="s">
        <v>336</v>
      </c>
      <c r="C57" s="127">
        <f>INDEX(D57:J57,$C$1)</f>
        <v>1.1100000000000001</v>
      </c>
      <c r="D57" s="85">
        <v>1.1100000000000001</v>
      </c>
      <c r="E57" s="85">
        <v>1.1100000000000001</v>
      </c>
      <c r="F57" s="85">
        <v>1.1100000000000001</v>
      </c>
      <c r="G57" s="85">
        <v>1.1100000000000001</v>
      </c>
      <c r="H57" s="85">
        <v>1.1100000000000001</v>
      </c>
      <c r="I57" s="85">
        <v>1.1100000000000001</v>
      </c>
      <c r="J57" s="85">
        <v>1.1100000000000001</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0</v>
      </c>
      <c r="D69" s="86">
        <v>0</v>
      </c>
      <c r="E69" s="86">
        <v>0</v>
      </c>
      <c r="F69" s="86">
        <v>0</v>
      </c>
      <c r="G69" s="86">
        <v>0</v>
      </c>
      <c r="H69" s="86">
        <v>0</v>
      </c>
      <c r="I69" s="86">
        <v>0</v>
      </c>
      <c r="J69" s="86">
        <v>0</v>
      </c>
    </row>
    <row r="70" spans="1:10" x14ac:dyDescent="0.25">
      <c r="A70" s="243"/>
      <c r="B70" s="85" t="s">
        <v>150</v>
      </c>
      <c r="C70" s="127">
        <f>INDEX(D70:J70,$C$1)</f>
        <v>107.0000000000002</v>
      </c>
      <c r="D70" s="86">
        <v>107.0000000000002</v>
      </c>
      <c r="E70" s="86">
        <v>107.0000000000002</v>
      </c>
      <c r="F70" s="86">
        <v>107.0000000000002</v>
      </c>
      <c r="G70" s="86">
        <v>107.0000000000002</v>
      </c>
      <c r="H70" s="86">
        <v>107.0000000000002</v>
      </c>
      <c r="I70" s="86">
        <v>107.0000000000002</v>
      </c>
      <c r="J70" s="86">
        <v>107.0000000000002</v>
      </c>
    </row>
    <row r="71" spans="1:10" x14ac:dyDescent="0.25">
      <c r="A71" s="243"/>
      <c r="B71" s="85" t="s">
        <v>371</v>
      </c>
      <c r="C71" s="127">
        <f>INDEX(D71:J71,$C$1)</f>
        <v>3325</v>
      </c>
      <c r="D71" s="85">
        <v>3325</v>
      </c>
      <c r="E71" s="85">
        <v>3325</v>
      </c>
      <c r="F71" s="85">
        <v>3325</v>
      </c>
      <c r="G71" s="85">
        <v>3325</v>
      </c>
      <c r="H71" s="85">
        <v>3325</v>
      </c>
      <c r="I71" s="85">
        <v>3325</v>
      </c>
      <c r="J71" s="85">
        <v>3325</v>
      </c>
    </row>
    <row r="72" spans="1:10" x14ac:dyDescent="0.25">
      <c r="A72" s="243"/>
      <c r="B72" s="125" t="s">
        <v>394</v>
      </c>
      <c r="C72" s="127">
        <f>INDEX(D72:J72,$C$1)</f>
        <v>1365.9999999999995</v>
      </c>
      <c r="D72" s="85">
        <v>1365.9999999999995</v>
      </c>
      <c r="E72" s="85">
        <v>1365.9999999999995</v>
      </c>
      <c r="F72" s="85">
        <v>1365.9999999999995</v>
      </c>
      <c r="G72" s="85">
        <v>1365.9999999999995</v>
      </c>
      <c r="H72" s="85">
        <v>1365.9999999999995</v>
      </c>
      <c r="I72" s="85">
        <v>1365.9999999999995</v>
      </c>
      <c r="J72" s="85">
        <v>1365.9999999999995</v>
      </c>
    </row>
    <row r="73" spans="1:10" x14ac:dyDescent="0.25">
      <c r="A73" s="243"/>
      <c r="B73" s="125" t="s">
        <v>395</v>
      </c>
      <c r="C73" s="127">
        <f>INDEX(D73:J73,$C$1)</f>
        <v>153.99999999999991</v>
      </c>
      <c r="D73" s="85">
        <v>153.99999999999991</v>
      </c>
      <c r="E73" s="85">
        <v>153.99999999999991</v>
      </c>
      <c r="F73" s="85">
        <v>153.99999999999991</v>
      </c>
      <c r="G73" s="85">
        <v>153.99999999999991</v>
      </c>
      <c r="H73" s="85">
        <v>153.99999999999991</v>
      </c>
      <c r="I73" s="85">
        <v>153.99999999999991</v>
      </c>
      <c r="J73" s="85">
        <v>153.99999999999991</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2.2222222222222147E-2</v>
      </c>
      <c r="D98" s="86">
        <v>2.2222222222222147E-2</v>
      </c>
      <c r="E98" s="86">
        <v>2.2222222222222147E-2</v>
      </c>
      <c r="F98" s="86">
        <v>2.2222222222222147E-2</v>
      </c>
      <c r="G98" s="86">
        <v>2.2222222222222147E-2</v>
      </c>
      <c r="H98" s="86">
        <v>2.2222222222222147E-2</v>
      </c>
      <c r="I98" s="86">
        <v>2.2222222222222147E-2</v>
      </c>
      <c r="J98" s="86">
        <v>2.2222222222222147E-2</v>
      </c>
    </row>
    <row r="99" spans="1:10" x14ac:dyDescent="0.25">
      <c r="A99" s="243"/>
      <c r="B99" s="92" t="s">
        <v>188</v>
      </c>
      <c r="C99" s="127">
        <f t="shared" si="4"/>
        <v>2.2222222222222147E-2</v>
      </c>
      <c r="D99" s="86">
        <v>2.2222222222222147E-2</v>
      </c>
      <c r="E99" s="86">
        <v>2.2222222222222147E-2</v>
      </c>
      <c r="F99" s="86">
        <v>2.2222222222222147E-2</v>
      </c>
      <c r="G99" s="86">
        <v>2.2222222222222147E-2</v>
      </c>
      <c r="H99" s="86">
        <v>2.2222222222222147E-2</v>
      </c>
      <c r="I99" s="86">
        <v>2.2222222222222147E-2</v>
      </c>
      <c r="J99" s="86">
        <v>2.2222222222222147E-2</v>
      </c>
    </row>
    <row r="100" spans="1:10" x14ac:dyDescent="0.25">
      <c r="A100" s="243"/>
      <c r="B100" s="92" t="s">
        <v>187</v>
      </c>
      <c r="C100" s="127">
        <f t="shared" si="4"/>
        <v>3.1466666666666712E-2</v>
      </c>
      <c r="D100" s="86">
        <v>3.1466666666666712E-2</v>
      </c>
      <c r="E100" s="86">
        <v>3.1466666666666712E-2</v>
      </c>
      <c r="F100" s="86">
        <v>3.1466666666666712E-2</v>
      </c>
      <c r="G100" s="86">
        <v>3.1466666666666712E-2</v>
      </c>
      <c r="H100" s="86">
        <v>3.1466666666666712E-2</v>
      </c>
      <c r="I100" s="86">
        <v>3.1466666666666712E-2</v>
      </c>
      <c r="J100" s="86">
        <v>3.1466666666666712E-2</v>
      </c>
    </row>
    <row r="101" spans="1:10" x14ac:dyDescent="0.25">
      <c r="A101" s="243"/>
      <c r="B101" s="157" t="s">
        <v>376</v>
      </c>
      <c r="C101" s="127">
        <f t="shared" si="4"/>
        <v>0</v>
      </c>
      <c r="D101" s="86">
        <v>0</v>
      </c>
      <c r="E101" s="86">
        <v>0</v>
      </c>
      <c r="F101" s="86">
        <v>0</v>
      </c>
      <c r="G101" s="86">
        <v>0</v>
      </c>
      <c r="H101" s="86">
        <v>0</v>
      </c>
      <c r="I101" s="86">
        <v>0</v>
      </c>
      <c r="J101" s="86">
        <v>0</v>
      </c>
    </row>
    <row r="102" spans="1:10" x14ac:dyDescent="0.25">
      <c r="A102" s="243"/>
      <c r="B102" s="157" t="s">
        <v>377</v>
      </c>
      <c r="C102" s="127">
        <f t="shared" si="4"/>
        <v>1.1377777777777749E-2</v>
      </c>
      <c r="D102" s="86">
        <v>1.1377777777777749E-2</v>
      </c>
      <c r="E102" s="86">
        <v>1.1377777777777749E-2</v>
      </c>
      <c r="F102" s="86">
        <v>1.1377777777777749E-2</v>
      </c>
      <c r="G102" s="86">
        <v>1.1377777777777749E-2</v>
      </c>
      <c r="H102" s="86">
        <v>1.1377777777777749E-2</v>
      </c>
      <c r="I102" s="86">
        <v>1.1377777777777749E-2</v>
      </c>
      <c r="J102" s="86">
        <v>1.1377777777777749E-2</v>
      </c>
    </row>
    <row r="103" spans="1:10" x14ac:dyDescent="0.25">
      <c r="A103" s="243"/>
      <c r="B103" s="157" t="s">
        <v>378</v>
      </c>
      <c r="C103" s="127">
        <f t="shared" si="4"/>
        <v>2.3111111111110933E-2</v>
      </c>
      <c r="D103" s="86">
        <v>2.3111111111110933E-2</v>
      </c>
      <c r="E103" s="86">
        <v>2.3111111111110933E-2</v>
      </c>
      <c r="F103" s="86">
        <v>2.3111111111110933E-2</v>
      </c>
      <c r="G103" s="86">
        <v>2.3111111111110933E-2</v>
      </c>
      <c r="H103" s="86">
        <v>2.3111111111110933E-2</v>
      </c>
      <c r="I103" s="86">
        <v>2.3111111111110933E-2</v>
      </c>
      <c r="J103" s="86">
        <v>2.3111111111110933E-2</v>
      </c>
    </row>
    <row r="104" spans="1:10" x14ac:dyDescent="0.25">
      <c r="A104" s="243"/>
      <c r="B104" s="157" t="s">
        <v>379</v>
      </c>
      <c r="C104" s="127">
        <f t="shared" si="4"/>
        <v>2.3111111111110933E-2</v>
      </c>
      <c r="D104" s="86">
        <v>2.3111111111110933E-2</v>
      </c>
      <c r="E104" s="86">
        <v>2.3111111111110933E-2</v>
      </c>
      <c r="F104" s="86">
        <v>2.3111111111110933E-2</v>
      </c>
      <c r="G104" s="86">
        <v>2.3111111111110933E-2</v>
      </c>
      <c r="H104" s="86">
        <v>2.3111111111110933E-2</v>
      </c>
      <c r="I104" s="86">
        <v>2.3111111111110933E-2</v>
      </c>
      <c r="J104" s="86">
        <v>2.3111111111110933E-2</v>
      </c>
    </row>
    <row r="105" spans="1:10" x14ac:dyDescent="0.25">
      <c r="A105" s="243"/>
      <c r="B105" s="130" t="s">
        <v>216</v>
      </c>
      <c r="C105" s="127">
        <f t="shared" si="4"/>
        <v>1.7</v>
      </c>
      <c r="D105" s="91">
        <v>1.7</v>
      </c>
      <c r="E105" s="91">
        <v>1.7</v>
      </c>
      <c r="F105" s="91">
        <v>1.7</v>
      </c>
      <c r="G105" s="91">
        <v>1.7</v>
      </c>
      <c r="H105" s="91">
        <v>1.7</v>
      </c>
      <c r="I105" s="91">
        <v>1.7</v>
      </c>
      <c r="J105" s="91">
        <v>1.7</v>
      </c>
    </row>
    <row r="106" spans="1:10" x14ac:dyDescent="0.25">
      <c r="A106" s="243"/>
      <c r="B106" s="157" t="s">
        <v>403</v>
      </c>
      <c r="C106" s="127">
        <f t="shared" si="4"/>
        <v>14.111111111111038</v>
      </c>
      <c r="D106" s="91">
        <v>14.111111111111038</v>
      </c>
      <c r="E106" s="91">
        <v>14.111111111111038</v>
      </c>
      <c r="F106" s="91">
        <v>14.111111111111038</v>
      </c>
      <c r="G106" s="91">
        <v>14.111111111111038</v>
      </c>
      <c r="H106" s="91">
        <v>14.111111111111038</v>
      </c>
      <c r="I106" s="91">
        <v>14.111111111111038</v>
      </c>
      <c r="J106" s="91">
        <v>14.111111111111038</v>
      </c>
    </row>
    <row r="107" spans="1:10" x14ac:dyDescent="0.25">
      <c r="A107" s="243"/>
      <c r="B107" s="157" t="s">
        <v>405</v>
      </c>
      <c r="C107" s="127">
        <f t="shared" si="4"/>
        <v>1.2222222222222352</v>
      </c>
      <c r="D107" s="91">
        <v>1.2222222222222352</v>
      </c>
      <c r="E107" s="91">
        <v>1.2222222222222352</v>
      </c>
      <c r="F107" s="91">
        <v>1.2222222222222352</v>
      </c>
      <c r="G107" s="91">
        <v>1.2222222222222352</v>
      </c>
      <c r="H107" s="91">
        <v>1.2222222222222352</v>
      </c>
      <c r="I107" s="91">
        <v>1.2222222222222352</v>
      </c>
      <c r="J107" s="91">
        <v>1.2222222222222352</v>
      </c>
    </row>
    <row r="108" spans="1:10" x14ac:dyDescent="0.25">
      <c r="A108" s="243"/>
      <c r="B108" s="157" t="s">
        <v>404</v>
      </c>
      <c r="C108" s="127">
        <f t="shared" si="4"/>
        <v>22.777777777777736</v>
      </c>
      <c r="D108" s="91">
        <v>22.777777777777736</v>
      </c>
      <c r="E108" s="91">
        <v>22.777777777777736</v>
      </c>
      <c r="F108" s="91">
        <v>22.777777777777736</v>
      </c>
      <c r="G108" s="91">
        <v>22.777777777777736</v>
      </c>
      <c r="H108" s="91">
        <v>22.777777777777736</v>
      </c>
      <c r="I108" s="91">
        <v>22.777777777777736</v>
      </c>
      <c r="J108" s="91">
        <v>22.777777777777736</v>
      </c>
    </row>
    <row r="109" spans="1:10" x14ac:dyDescent="0.25">
      <c r="A109" s="243"/>
      <c r="B109" s="108"/>
      <c r="C109" s="127"/>
      <c r="D109" s="91"/>
      <c r="E109" s="91"/>
      <c r="F109" s="91"/>
      <c r="G109" s="91"/>
      <c r="H109" s="91"/>
      <c r="I109" s="91"/>
      <c r="J109" s="91"/>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3.109375" customWidth="1"/>
    <col min="10" max="10" width="1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17.32</v>
      </c>
      <c r="D4" s="86">
        <v>17.32</v>
      </c>
      <c r="E4" s="86">
        <v>17.32</v>
      </c>
      <c r="F4" s="86">
        <v>17.32</v>
      </c>
      <c r="G4" s="86">
        <v>17.32</v>
      </c>
      <c r="H4" s="86">
        <v>17.32</v>
      </c>
      <c r="I4" s="86">
        <v>17.32</v>
      </c>
      <c r="J4" s="86">
        <v>17.32</v>
      </c>
    </row>
    <row r="5" spans="1:10" x14ac:dyDescent="0.25">
      <c r="A5" s="255"/>
      <c r="B5" s="124" t="s">
        <v>300</v>
      </c>
      <c r="C5" s="127">
        <f t="shared" si="0"/>
        <v>5.7599999999999962</v>
      </c>
      <c r="D5" s="86">
        <v>5.7599999999999962</v>
      </c>
      <c r="E5" s="86">
        <v>5.7599999999999962</v>
      </c>
      <c r="F5" s="86">
        <v>5.7599999999999962</v>
      </c>
      <c r="G5" s="86">
        <v>5.7599999999999962</v>
      </c>
      <c r="H5" s="86">
        <v>5.7599999999999962</v>
      </c>
      <c r="I5" s="86">
        <v>5.7599999999999962</v>
      </c>
      <c r="J5" s="86">
        <v>5.7599999999999962</v>
      </c>
    </row>
    <row r="6" spans="1:10" x14ac:dyDescent="0.25">
      <c r="A6" s="255"/>
      <c r="B6" s="144" t="s">
        <v>299</v>
      </c>
      <c r="C6" s="127">
        <f t="shared" si="0"/>
        <v>29.239999999999995</v>
      </c>
      <c r="D6" s="86">
        <v>29.239999999999995</v>
      </c>
      <c r="E6" s="86">
        <v>29.239999999999995</v>
      </c>
      <c r="F6" s="86">
        <v>29.239999999999995</v>
      </c>
      <c r="G6" s="86">
        <v>29.239999999999995</v>
      </c>
      <c r="H6" s="86">
        <v>29.239999999999995</v>
      </c>
      <c r="I6" s="86">
        <v>29.239999999999995</v>
      </c>
      <c r="J6" s="86">
        <v>29.239999999999995</v>
      </c>
    </row>
    <row r="7" spans="1:10" x14ac:dyDescent="0.25">
      <c r="A7" s="255"/>
      <c r="B7" s="144" t="s">
        <v>298</v>
      </c>
      <c r="C7" s="127">
        <f t="shared" si="0"/>
        <v>1.8999999999999995</v>
      </c>
      <c r="D7" s="86">
        <v>1.8999999999999995</v>
      </c>
      <c r="E7" s="86">
        <v>1.8999999999999995</v>
      </c>
      <c r="F7" s="86">
        <v>1.8999999999999995</v>
      </c>
      <c r="G7" s="86">
        <v>1.8999999999999995</v>
      </c>
      <c r="H7" s="86">
        <v>1.8999999999999995</v>
      </c>
      <c r="I7" s="86">
        <v>1.8999999999999995</v>
      </c>
      <c r="J7" s="86">
        <v>1.8999999999999995</v>
      </c>
    </row>
    <row r="8" spans="1:10" ht="12" customHeight="1" x14ac:dyDescent="0.25">
      <c r="A8" s="255"/>
      <c r="B8" s="145" t="s">
        <v>297</v>
      </c>
      <c r="C8" s="127">
        <f t="shared" si="0"/>
        <v>0.9199999999999986</v>
      </c>
      <c r="D8" s="86">
        <v>0.9199999999999986</v>
      </c>
      <c r="E8" s="86">
        <v>0.9199999999999986</v>
      </c>
      <c r="F8" s="86">
        <v>0.9199999999999986</v>
      </c>
      <c r="G8" s="86">
        <v>0.9199999999999986</v>
      </c>
      <c r="H8" s="86">
        <v>0.9199999999999986</v>
      </c>
      <c r="I8" s="86">
        <v>0.9199999999999986</v>
      </c>
      <c r="J8" s="86">
        <v>0.9199999999999986</v>
      </c>
    </row>
    <row r="9" spans="1:10" ht="12.75" customHeight="1" x14ac:dyDescent="0.25">
      <c r="A9" s="255"/>
      <c r="B9" s="144" t="s">
        <v>224</v>
      </c>
      <c r="C9" s="127">
        <f t="shared" si="0"/>
        <v>7</v>
      </c>
      <c r="D9" s="86">
        <v>7</v>
      </c>
      <c r="E9" s="86">
        <v>7</v>
      </c>
      <c r="F9" s="86">
        <v>7</v>
      </c>
      <c r="G9" s="86">
        <v>7</v>
      </c>
      <c r="H9" s="86">
        <v>7</v>
      </c>
      <c r="I9" s="86">
        <v>7</v>
      </c>
      <c r="J9" s="86">
        <v>7</v>
      </c>
    </row>
    <row r="10" spans="1:10" ht="12.75" customHeight="1" x14ac:dyDescent="0.25">
      <c r="A10" s="255"/>
      <c r="B10" s="144" t="s">
        <v>225</v>
      </c>
      <c r="C10" s="127">
        <f t="shared" si="0"/>
        <v>0.8</v>
      </c>
      <c r="D10" s="86">
        <v>0.8</v>
      </c>
      <c r="E10" s="86">
        <v>0.8</v>
      </c>
      <c r="F10" s="86">
        <v>0.8</v>
      </c>
      <c r="G10" s="86">
        <v>0.8</v>
      </c>
      <c r="H10" s="86">
        <v>0.8</v>
      </c>
      <c r="I10" s="86">
        <v>0.8</v>
      </c>
      <c r="J10" s="86">
        <v>0.8</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6.0400000000000009</v>
      </c>
      <c r="D12" s="85">
        <v>6.0400000000000009</v>
      </c>
      <c r="E12" s="85">
        <v>6.0400000000000009</v>
      </c>
      <c r="F12" s="85">
        <v>6.0400000000000009</v>
      </c>
      <c r="G12" s="85">
        <v>6.0400000000000009</v>
      </c>
      <c r="H12" s="85">
        <v>6.0400000000000009</v>
      </c>
      <c r="I12" s="85">
        <v>6.0400000000000009</v>
      </c>
      <c r="J12" s="85">
        <v>6.0400000000000009</v>
      </c>
    </row>
    <row r="13" spans="1:10" ht="13.8" x14ac:dyDescent="0.3">
      <c r="A13" s="252"/>
      <c r="B13" s="125" t="s">
        <v>295</v>
      </c>
      <c r="C13" s="127">
        <f t="shared" si="1"/>
        <v>10.96</v>
      </c>
      <c r="D13" s="85">
        <v>10.96</v>
      </c>
      <c r="E13" s="85">
        <v>10.96</v>
      </c>
      <c r="F13" s="85">
        <v>10.96</v>
      </c>
      <c r="G13" s="85">
        <v>10.96</v>
      </c>
      <c r="H13" s="85">
        <v>10.96</v>
      </c>
      <c r="I13" s="85">
        <v>10.96</v>
      </c>
      <c r="J13" s="85">
        <v>10.96</v>
      </c>
    </row>
    <row r="14" spans="1:10" x14ac:dyDescent="0.25">
      <c r="A14" s="252"/>
      <c r="B14" s="125" t="s">
        <v>294</v>
      </c>
      <c r="C14" s="127">
        <f t="shared" si="1"/>
        <v>255</v>
      </c>
      <c r="D14" s="85">
        <v>255</v>
      </c>
      <c r="E14" s="85">
        <v>255</v>
      </c>
      <c r="F14" s="85">
        <v>255</v>
      </c>
      <c r="G14" s="85">
        <v>255</v>
      </c>
      <c r="H14" s="85">
        <v>255</v>
      </c>
      <c r="I14" s="85">
        <v>255</v>
      </c>
      <c r="J14" s="85">
        <v>255</v>
      </c>
    </row>
    <row r="15" spans="1:10" x14ac:dyDescent="0.25">
      <c r="A15" s="252"/>
      <c r="B15" s="125" t="s">
        <v>330</v>
      </c>
      <c r="C15" s="127">
        <f t="shared" si="1"/>
        <v>1.0000000000000009</v>
      </c>
      <c r="D15" s="85">
        <v>1.0000000000000009</v>
      </c>
      <c r="E15" s="85">
        <v>1.0000000000000009</v>
      </c>
      <c r="F15" s="85">
        <v>1.0000000000000009</v>
      </c>
      <c r="G15" s="85">
        <v>1.0000000000000009</v>
      </c>
      <c r="H15" s="85">
        <v>1.0000000000000009</v>
      </c>
      <c r="I15" s="85">
        <v>1.0000000000000009</v>
      </c>
      <c r="J15" s="85">
        <v>1.0000000000000009</v>
      </c>
    </row>
    <row r="16" spans="1:10" x14ac:dyDescent="0.25">
      <c r="A16" s="252"/>
      <c r="B16" s="125" t="s">
        <v>302</v>
      </c>
      <c r="C16" s="127">
        <f t="shared" si="1"/>
        <v>75.999999999999517</v>
      </c>
      <c r="D16" s="85">
        <v>75.999999999999517</v>
      </c>
      <c r="E16" s="85">
        <v>75.999999999999517</v>
      </c>
      <c r="F16" s="85">
        <v>75.999999999999517</v>
      </c>
      <c r="G16" s="85">
        <v>75.999999999999517</v>
      </c>
      <c r="H16" s="85">
        <v>75.999999999999517</v>
      </c>
      <c r="I16" s="85">
        <v>75.999999999999517</v>
      </c>
      <c r="J16" s="85">
        <v>75.999999999999517</v>
      </c>
    </row>
    <row r="17" spans="1:10" x14ac:dyDescent="0.25">
      <c r="A17" s="252"/>
      <c r="B17" s="125" t="s">
        <v>303</v>
      </c>
      <c r="C17" s="127">
        <f t="shared" si="1"/>
        <v>240.00000000000031</v>
      </c>
      <c r="D17" s="85">
        <v>240.00000000000031</v>
      </c>
      <c r="E17" s="85">
        <v>240.00000000000031</v>
      </c>
      <c r="F17" s="85">
        <v>240.00000000000031</v>
      </c>
      <c r="G17" s="85">
        <v>240.00000000000031</v>
      </c>
      <c r="H17" s="85">
        <v>240.00000000000031</v>
      </c>
      <c r="I17" s="85">
        <v>240.00000000000031</v>
      </c>
      <c r="J17" s="85">
        <v>240.00000000000031</v>
      </c>
    </row>
    <row r="18" spans="1:10" x14ac:dyDescent="0.25">
      <c r="A18" s="252"/>
      <c r="B18" s="125" t="s">
        <v>328</v>
      </c>
      <c r="C18" s="127">
        <f t="shared" si="1"/>
        <v>10.500000000000009</v>
      </c>
      <c r="D18" s="85">
        <v>10.500000000000009</v>
      </c>
      <c r="E18" s="85">
        <v>10.500000000000009</v>
      </c>
      <c r="F18" s="85">
        <v>10.500000000000009</v>
      </c>
      <c r="G18" s="85">
        <v>10.500000000000009</v>
      </c>
      <c r="H18" s="85">
        <v>10.500000000000009</v>
      </c>
      <c r="I18" s="85">
        <v>10.500000000000009</v>
      </c>
      <c r="J18" s="85">
        <v>10.500000000000009</v>
      </c>
    </row>
    <row r="19" spans="1:10" x14ac:dyDescent="0.25">
      <c r="A19" s="252"/>
      <c r="B19" s="125" t="s">
        <v>329</v>
      </c>
      <c r="C19" s="127">
        <f t="shared" si="1"/>
        <v>7.4999999999999885</v>
      </c>
      <c r="D19" s="85">
        <v>7.4999999999999885</v>
      </c>
      <c r="E19" s="85">
        <v>7.4999999999999885</v>
      </c>
      <c r="F19" s="85">
        <v>7.4999999999999885</v>
      </c>
      <c r="G19" s="85">
        <v>7.4999999999999885</v>
      </c>
      <c r="H19" s="85">
        <v>7.4999999999999885</v>
      </c>
      <c r="I19" s="85">
        <v>7.4999999999999885</v>
      </c>
      <c r="J19" s="85">
        <v>7.4999999999999885</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32.493576851087582</v>
      </c>
      <c r="D23" s="85">
        <v>32.493576851087582</v>
      </c>
      <c r="E23" s="85">
        <v>32.493576851087582</v>
      </c>
      <c r="F23" s="85">
        <v>32.493576851087582</v>
      </c>
      <c r="G23" s="85">
        <v>32.493576851087582</v>
      </c>
      <c r="H23" s="85">
        <v>32.493576851087582</v>
      </c>
      <c r="I23" s="85">
        <v>32.493576851087582</v>
      </c>
      <c r="J23" s="85">
        <v>32.493576851087582</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409.00000000000006</v>
      </c>
      <c r="D34" s="86">
        <v>409.00000000000006</v>
      </c>
      <c r="E34" s="86">
        <v>409.00000000000006</v>
      </c>
      <c r="F34" s="86">
        <v>409.00000000000006</v>
      </c>
      <c r="G34" s="86">
        <v>409.00000000000006</v>
      </c>
      <c r="H34" s="86">
        <v>409.00000000000006</v>
      </c>
      <c r="I34" s="86">
        <v>409.00000000000006</v>
      </c>
      <c r="J34" s="86">
        <v>409.00000000000006</v>
      </c>
    </row>
    <row r="35" spans="1:10" x14ac:dyDescent="0.25">
      <c r="A35" s="243"/>
      <c r="B35" s="85" t="s">
        <v>181</v>
      </c>
      <c r="C35" s="127">
        <f t="shared" si="3"/>
        <v>0.14811797596785817</v>
      </c>
      <c r="D35" s="86">
        <v>0.14811797596785817</v>
      </c>
      <c r="E35" s="86">
        <v>0.14811797596785817</v>
      </c>
      <c r="F35" s="86">
        <v>0.14811797596785817</v>
      </c>
      <c r="G35" s="86">
        <v>0.14811797596785817</v>
      </c>
      <c r="H35" s="86">
        <v>0.14811797596785817</v>
      </c>
      <c r="I35" s="86">
        <v>0.14811797596785817</v>
      </c>
      <c r="J35" s="86">
        <v>0.14811797596785817</v>
      </c>
    </row>
    <row r="36" spans="1:10" x14ac:dyDescent="0.25">
      <c r="A36" s="243"/>
      <c r="B36" s="161" t="s">
        <v>383</v>
      </c>
      <c r="C36" s="127">
        <f t="shared" si="3"/>
        <v>568.00000000000011</v>
      </c>
      <c r="D36" s="160">
        <v>568.00000000000011</v>
      </c>
      <c r="E36" s="160">
        <v>568.00000000000011</v>
      </c>
      <c r="F36" s="160">
        <v>568.00000000000011</v>
      </c>
      <c r="G36" s="160">
        <v>568.00000000000011</v>
      </c>
      <c r="H36" s="160">
        <v>568.00000000000011</v>
      </c>
      <c r="I36" s="160">
        <v>568.00000000000011</v>
      </c>
      <c r="J36" s="160">
        <v>568.00000000000011</v>
      </c>
    </row>
    <row r="37" spans="1:10" x14ac:dyDescent="0.25">
      <c r="A37" s="243"/>
      <c r="B37" s="124" t="s">
        <v>384</v>
      </c>
      <c r="C37" s="127">
        <f t="shared" si="3"/>
        <v>369</v>
      </c>
      <c r="D37" s="86">
        <v>369</v>
      </c>
      <c r="E37" s="86">
        <v>369</v>
      </c>
      <c r="F37" s="86">
        <v>369</v>
      </c>
      <c r="G37" s="86">
        <v>369</v>
      </c>
      <c r="H37" s="86">
        <v>369</v>
      </c>
      <c r="I37" s="86">
        <v>369</v>
      </c>
      <c r="J37" s="86">
        <v>369</v>
      </c>
    </row>
    <row r="38" spans="1:10" x14ac:dyDescent="0.25">
      <c r="A38" s="243"/>
      <c r="B38" s="124" t="s">
        <v>385</v>
      </c>
      <c r="C38" s="127">
        <f t="shared" si="3"/>
        <v>575</v>
      </c>
      <c r="D38" s="86">
        <v>575</v>
      </c>
      <c r="E38" s="86">
        <v>575</v>
      </c>
      <c r="F38" s="86">
        <v>575</v>
      </c>
      <c r="G38" s="86">
        <v>575</v>
      </c>
      <c r="H38" s="86">
        <v>575</v>
      </c>
      <c r="I38" s="86">
        <v>575</v>
      </c>
      <c r="J38" s="86">
        <v>575</v>
      </c>
    </row>
    <row r="39" spans="1:10" x14ac:dyDescent="0.25">
      <c r="A39" s="243"/>
      <c r="B39" s="124" t="s">
        <v>386</v>
      </c>
      <c r="C39" s="127">
        <f t="shared" si="3"/>
        <v>727.44637203532614</v>
      </c>
      <c r="D39" s="86">
        <v>727.44637203532614</v>
      </c>
      <c r="E39" s="86">
        <v>727.44637203532614</v>
      </c>
      <c r="F39" s="86">
        <v>727.44637203532614</v>
      </c>
      <c r="G39" s="86">
        <v>727.44637203532614</v>
      </c>
      <c r="H39" s="86">
        <v>727.44637203532614</v>
      </c>
      <c r="I39" s="86">
        <v>727.44637203532614</v>
      </c>
      <c r="J39" s="86">
        <v>727.44637203532614</v>
      </c>
    </row>
    <row r="40" spans="1:10" x14ac:dyDescent="0.25">
      <c r="A40" s="250"/>
      <c r="B40" s="124" t="s">
        <v>450</v>
      </c>
      <c r="C40" s="127">
        <f t="shared" si="3"/>
        <v>0</v>
      </c>
      <c r="D40" s="86">
        <v>0</v>
      </c>
      <c r="E40" s="86">
        <v>0</v>
      </c>
      <c r="F40" s="86">
        <v>0</v>
      </c>
      <c r="G40" s="86">
        <v>0</v>
      </c>
      <c r="H40" s="86">
        <v>0</v>
      </c>
      <c r="I40" s="86">
        <v>320</v>
      </c>
      <c r="J40" s="86">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21.000000000000018</v>
      </c>
      <c r="D55" s="85">
        <v>21.000000000000018</v>
      </c>
      <c r="E55" s="85">
        <v>21.000000000000018</v>
      </c>
      <c r="F55" s="85">
        <v>21.000000000000018</v>
      </c>
      <c r="G55" s="85">
        <v>21.000000000000018</v>
      </c>
      <c r="H55" s="85">
        <v>21.000000000000018</v>
      </c>
      <c r="I55" s="85">
        <v>21.000000000000018</v>
      </c>
      <c r="J55" s="85">
        <v>21.000000000000018</v>
      </c>
    </row>
    <row r="56" spans="1:10" x14ac:dyDescent="0.25">
      <c r="A56" s="256"/>
      <c r="B56" s="85" t="s">
        <v>332</v>
      </c>
      <c r="C56" s="127">
        <f>INDEX(D56:J56,$C$1)</f>
        <v>1.8666666666666685</v>
      </c>
      <c r="D56" s="85">
        <v>1.8666666666666685</v>
      </c>
      <c r="E56" s="85">
        <v>1.8666666666666685</v>
      </c>
      <c r="F56" s="85">
        <v>1.8666666666666685</v>
      </c>
      <c r="G56" s="85">
        <v>1.8666666666666685</v>
      </c>
      <c r="H56" s="85">
        <v>1.8666666666666685</v>
      </c>
      <c r="I56" s="85">
        <v>1.8666666666666685</v>
      </c>
      <c r="J56" s="85">
        <v>1.8666666666666685</v>
      </c>
    </row>
    <row r="57" spans="1:10" x14ac:dyDescent="0.25">
      <c r="A57" s="256"/>
      <c r="B57" s="85" t="s">
        <v>336</v>
      </c>
      <c r="C57" s="127">
        <f>INDEX(D57:J57,$C$1)</f>
        <v>0.87999999999999634</v>
      </c>
      <c r="D57" s="85">
        <v>0.87999999999999634</v>
      </c>
      <c r="E57" s="85">
        <v>0.87999999999999634</v>
      </c>
      <c r="F57" s="85">
        <v>0.87999999999999634</v>
      </c>
      <c r="G57" s="85">
        <v>0.87999999999999634</v>
      </c>
      <c r="H57" s="85">
        <v>0.87999999999999634</v>
      </c>
      <c r="I57" s="85">
        <v>0.87999999999999634</v>
      </c>
      <c r="J57" s="85">
        <v>0.87999999999999634</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0</v>
      </c>
      <c r="D69" s="54">
        <v>0</v>
      </c>
      <c r="E69" s="54">
        <v>0</v>
      </c>
      <c r="F69" s="54">
        <v>0</v>
      </c>
      <c r="G69" s="54">
        <v>0</v>
      </c>
      <c r="H69" s="54">
        <v>0</v>
      </c>
      <c r="I69" s="54">
        <v>0</v>
      </c>
      <c r="J69" s="54">
        <v>0</v>
      </c>
    </row>
    <row r="70" spans="1:10" x14ac:dyDescent="0.25">
      <c r="A70" s="243"/>
      <c r="B70" s="85" t="s">
        <v>150</v>
      </c>
      <c r="C70" s="127">
        <f>INDEX(D70:J70,$C$1)</f>
        <v>48.000000000000043</v>
      </c>
      <c r="D70" s="54">
        <v>48.000000000000043</v>
      </c>
      <c r="E70" s="54">
        <v>48.000000000000043</v>
      </c>
      <c r="F70" s="54">
        <v>48.000000000000043</v>
      </c>
      <c r="G70" s="54">
        <v>48.000000000000043</v>
      </c>
      <c r="H70" s="54">
        <v>48.000000000000043</v>
      </c>
      <c r="I70" s="54">
        <v>48.000000000000043</v>
      </c>
      <c r="J70" s="54">
        <v>48.000000000000043</v>
      </c>
    </row>
    <row r="71" spans="1:10" x14ac:dyDescent="0.25">
      <c r="A71" s="243"/>
      <c r="B71" s="85" t="s">
        <v>371</v>
      </c>
      <c r="C71" s="127">
        <f>INDEX(D71:J71,$C$1)</f>
        <v>824.99999999999977</v>
      </c>
      <c r="D71" s="54">
        <v>824.99999999999977</v>
      </c>
      <c r="E71" s="54">
        <v>824.99999999999977</v>
      </c>
      <c r="F71" s="54">
        <v>824.99999999999977</v>
      </c>
      <c r="G71" s="54">
        <v>824.99999999999977</v>
      </c>
      <c r="H71" s="54">
        <v>824.99999999999977</v>
      </c>
      <c r="I71" s="54">
        <v>824.99999999999977</v>
      </c>
      <c r="J71" s="54">
        <v>824.99999999999977</v>
      </c>
    </row>
    <row r="72" spans="1:10" x14ac:dyDescent="0.25">
      <c r="A72" s="243"/>
      <c r="B72" s="125" t="s">
        <v>394</v>
      </c>
      <c r="C72" s="127">
        <f>INDEX(D72:J72,$C$1)</f>
        <v>239.00000000000011</v>
      </c>
      <c r="D72" s="54">
        <v>239.00000000000011</v>
      </c>
      <c r="E72" s="54">
        <v>239.00000000000011</v>
      </c>
      <c r="F72" s="54">
        <v>239.00000000000011</v>
      </c>
      <c r="G72" s="54">
        <v>239.00000000000011</v>
      </c>
      <c r="H72" s="54">
        <v>239.00000000000011</v>
      </c>
      <c r="I72" s="54">
        <v>239.00000000000011</v>
      </c>
      <c r="J72" s="54">
        <v>239.00000000000011</v>
      </c>
    </row>
    <row r="73" spans="1:10" x14ac:dyDescent="0.25">
      <c r="A73" s="243"/>
      <c r="B73" s="125" t="s">
        <v>395</v>
      </c>
      <c r="C73" s="127">
        <f>INDEX(D73:J73,$C$1)</f>
        <v>58.999999999999943</v>
      </c>
      <c r="D73" s="54">
        <v>58.999999999999943</v>
      </c>
      <c r="E73" s="54">
        <v>58.999999999999943</v>
      </c>
      <c r="F73" s="54">
        <v>58.999999999999943</v>
      </c>
      <c r="G73" s="54">
        <v>58.999999999999943</v>
      </c>
      <c r="H73" s="54">
        <v>58.999999999999943</v>
      </c>
      <c r="I73" s="54">
        <v>58.999999999999943</v>
      </c>
      <c r="J73" s="54">
        <v>58.999999999999943</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1.813333333333339E-2</v>
      </c>
      <c r="D98">
        <v>1.813333333333339E-2</v>
      </c>
      <c r="E98">
        <v>1.813333333333339E-2</v>
      </c>
      <c r="F98">
        <v>1.813333333333339E-2</v>
      </c>
      <c r="G98">
        <v>1.813333333333339E-2</v>
      </c>
      <c r="H98">
        <v>1.813333333333339E-2</v>
      </c>
      <c r="I98">
        <v>1.813333333333339E-2</v>
      </c>
      <c r="J98">
        <v>1.813333333333339E-2</v>
      </c>
    </row>
    <row r="99" spans="1:10" x14ac:dyDescent="0.25">
      <c r="A99" s="243"/>
      <c r="B99" s="92" t="s">
        <v>188</v>
      </c>
      <c r="C99" s="127">
        <f t="shared" si="4"/>
        <v>1.813333333333339E-2</v>
      </c>
      <c r="D99">
        <v>1.813333333333339E-2</v>
      </c>
      <c r="E99">
        <v>1.813333333333339E-2</v>
      </c>
      <c r="F99">
        <v>1.813333333333339E-2</v>
      </c>
      <c r="G99">
        <v>1.813333333333339E-2</v>
      </c>
      <c r="H99">
        <v>1.813333333333339E-2</v>
      </c>
      <c r="I99">
        <v>1.813333333333339E-2</v>
      </c>
      <c r="J99">
        <v>1.813333333333339E-2</v>
      </c>
    </row>
    <row r="100" spans="1:10" x14ac:dyDescent="0.25">
      <c r="A100" s="243"/>
      <c r="B100" s="92" t="s">
        <v>187</v>
      </c>
      <c r="C100" s="127">
        <f t="shared" si="4"/>
        <v>1.7600000000000074E-2</v>
      </c>
      <c r="D100">
        <v>1.7600000000000074E-2</v>
      </c>
      <c r="E100">
        <v>1.7600000000000074E-2</v>
      </c>
      <c r="F100">
        <v>1.7600000000000074E-2</v>
      </c>
      <c r="G100">
        <v>1.7600000000000074E-2</v>
      </c>
      <c r="H100">
        <v>1.7600000000000074E-2</v>
      </c>
      <c r="I100">
        <v>1.7600000000000074E-2</v>
      </c>
      <c r="J100">
        <v>1.7600000000000074E-2</v>
      </c>
    </row>
    <row r="101" spans="1:10" x14ac:dyDescent="0.25">
      <c r="A101" s="243"/>
      <c r="B101" s="157" t="s">
        <v>376</v>
      </c>
      <c r="C101" s="127">
        <f t="shared" si="4"/>
        <v>0</v>
      </c>
      <c r="D101">
        <v>0</v>
      </c>
      <c r="E101">
        <v>0</v>
      </c>
      <c r="F101">
        <v>0</v>
      </c>
      <c r="G101">
        <v>0</v>
      </c>
      <c r="H101">
        <v>0</v>
      </c>
      <c r="I101">
        <v>0</v>
      </c>
      <c r="J101">
        <v>0</v>
      </c>
    </row>
    <row r="102" spans="1:10" x14ac:dyDescent="0.25">
      <c r="A102" s="243"/>
      <c r="B102" s="157" t="s">
        <v>377</v>
      </c>
      <c r="C102" s="127">
        <f t="shared" si="4"/>
        <v>8.5333333333332817E-3</v>
      </c>
      <c r="D102">
        <v>8.5333333333332817E-3</v>
      </c>
      <c r="E102">
        <v>8.5333333333332817E-3</v>
      </c>
      <c r="F102">
        <v>8.5333333333332817E-3</v>
      </c>
      <c r="G102">
        <v>8.5333333333332817E-3</v>
      </c>
      <c r="H102">
        <v>8.5333333333332817E-3</v>
      </c>
      <c r="I102">
        <v>8.5333333333332817E-3</v>
      </c>
      <c r="J102">
        <v>8.5333333333332817E-3</v>
      </c>
    </row>
    <row r="103" spans="1:10" x14ac:dyDescent="0.25">
      <c r="A103" s="243"/>
      <c r="B103" s="157" t="s">
        <v>378</v>
      </c>
      <c r="C103" s="127">
        <f t="shared" si="4"/>
        <v>1.0311111111111082E-2</v>
      </c>
      <c r="D103">
        <v>1.0311111111111082E-2</v>
      </c>
      <c r="E103">
        <v>1.0311111111111082E-2</v>
      </c>
      <c r="F103">
        <v>1.0311111111111082E-2</v>
      </c>
      <c r="G103">
        <v>1.0311111111111082E-2</v>
      </c>
      <c r="H103">
        <v>1.0311111111111082E-2</v>
      </c>
      <c r="I103">
        <v>1.0311111111111082E-2</v>
      </c>
      <c r="J103">
        <v>1.0311111111111082E-2</v>
      </c>
    </row>
    <row r="104" spans="1:10" x14ac:dyDescent="0.25">
      <c r="A104" s="243"/>
      <c r="B104" s="157" t="s">
        <v>379</v>
      </c>
      <c r="C104" s="127">
        <f t="shared" si="4"/>
        <v>1.0311111111111082E-2</v>
      </c>
      <c r="D104">
        <v>1.0311111111111082E-2</v>
      </c>
      <c r="E104">
        <v>1.0311111111111082E-2</v>
      </c>
      <c r="F104">
        <v>1.0311111111111082E-2</v>
      </c>
      <c r="G104">
        <v>1.0311111111111082E-2</v>
      </c>
      <c r="H104">
        <v>1.0311111111111082E-2</v>
      </c>
      <c r="I104">
        <v>1.0311111111111082E-2</v>
      </c>
      <c r="J104">
        <v>1.0311111111111082E-2</v>
      </c>
    </row>
    <row r="105" spans="1:10" x14ac:dyDescent="0.25">
      <c r="A105" s="243"/>
      <c r="B105" s="130" t="s">
        <v>216</v>
      </c>
      <c r="C105" s="127">
        <f t="shared" si="4"/>
        <v>1.7</v>
      </c>
      <c r="D105">
        <v>1.7</v>
      </c>
      <c r="E105">
        <v>1.7</v>
      </c>
      <c r="F105">
        <v>1.7</v>
      </c>
      <c r="G105">
        <v>1.7</v>
      </c>
      <c r="H105">
        <v>1.7</v>
      </c>
      <c r="I105">
        <v>1.7</v>
      </c>
      <c r="J105">
        <v>1.7</v>
      </c>
    </row>
    <row r="106" spans="1:10" x14ac:dyDescent="0.25">
      <c r="A106" s="243"/>
      <c r="B106" s="157" t="s">
        <v>403</v>
      </c>
      <c r="C106" s="127">
        <f t="shared" si="4"/>
        <v>3.7777777777777932</v>
      </c>
      <c r="D106">
        <v>3.7777777777777932</v>
      </c>
      <c r="E106">
        <v>3.7777777777777932</v>
      </c>
      <c r="F106">
        <v>3.7777777777777932</v>
      </c>
      <c r="G106">
        <v>3.7777777777777932</v>
      </c>
      <c r="H106">
        <v>3.7777777777777932</v>
      </c>
      <c r="I106">
        <v>3.7777777777777932</v>
      </c>
      <c r="J106">
        <v>3.7777777777777932</v>
      </c>
    </row>
    <row r="107" spans="1:10" x14ac:dyDescent="0.25">
      <c r="A107" s="243"/>
      <c r="B107" s="157" t="s">
        <v>405</v>
      </c>
      <c r="C107" s="127">
        <f t="shared" si="4"/>
        <v>-3.6666666666666816</v>
      </c>
      <c r="D107" s="38">
        <v>-3.6666666666666816</v>
      </c>
      <c r="E107" s="38">
        <v>-3.6666666666666816</v>
      </c>
      <c r="F107" s="38">
        <v>-3.6666666666666816</v>
      </c>
      <c r="G107" s="38">
        <v>-3.6666666666666816</v>
      </c>
      <c r="H107" s="38">
        <v>-3.6666666666666816</v>
      </c>
      <c r="I107" s="38">
        <v>-3.6666666666666816</v>
      </c>
      <c r="J107" s="38">
        <v>-3.6666666666666816</v>
      </c>
    </row>
    <row r="108" spans="1:10" x14ac:dyDescent="0.25">
      <c r="A108" s="243"/>
      <c r="B108" s="157" t="s">
        <v>404</v>
      </c>
      <c r="C108" s="127">
        <f t="shared" si="4"/>
        <v>1.3333333333334085</v>
      </c>
      <c r="D108" s="38">
        <v>1.3333333333334085</v>
      </c>
      <c r="E108" s="38">
        <v>1.3333333333334085</v>
      </c>
      <c r="F108" s="38">
        <v>1.3333333333334085</v>
      </c>
      <c r="G108" s="38">
        <v>1.3333333333334085</v>
      </c>
      <c r="H108" s="38">
        <v>1.3333333333334085</v>
      </c>
      <c r="I108" s="38">
        <v>1.3333333333334085</v>
      </c>
      <c r="J108" s="38">
        <v>1.3333333333334085</v>
      </c>
    </row>
    <row r="109" spans="1:10" x14ac:dyDescent="0.25">
      <c r="A109" s="243"/>
      <c r="B109" s="108"/>
      <c r="C109" s="127"/>
      <c r="D109" s="91"/>
      <c r="E109" s="91"/>
      <c r="F109" s="91"/>
      <c r="G109" s="91"/>
      <c r="H109" s="91"/>
      <c r="I109" s="91"/>
      <c r="J109" s="91"/>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5.5546875" bestFit="1" customWidth="1"/>
    <col min="10" max="10" width="16.10937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33.819999999999993</v>
      </c>
      <c r="D4" s="86">
        <v>33.819999999999993</v>
      </c>
      <c r="E4" s="86">
        <v>33.819999999999993</v>
      </c>
      <c r="F4" s="86">
        <v>33.819999999999993</v>
      </c>
      <c r="G4" s="86">
        <v>33.819999999999993</v>
      </c>
      <c r="H4" s="86">
        <v>33.819999999999993</v>
      </c>
      <c r="I4" s="86">
        <v>33.819999999999993</v>
      </c>
      <c r="J4" s="86">
        <v>33.819999999999993</v>
      </c>
    </row>
    <row r="5" spans="1:10" x14ac:dyDescent="0.25">
      <c r="A5" s="255"/>
      <c r="B5" s="124" t="s">
        <v>300</v>
      </c>
      <c r="C5" s="127">
        <f t="shared" si="0"/>
        <v>10.599999999999996</v>
      </c>
      <c r="D5" s="86">
        <v>10.599999999999996</v>
      </c>
      <c r="E5" s="86">
        <v>10.599999999999996</v>
      </c>
      <c r="F5" s="86">
        <v>10.599999999999996</v>
      </c>
      <c r="G5" s="86">
        <v>10.599999999999996</v>
      </c>
      <c r="H5" s="86">
        <v>10.599999999999996</v>
      </c>
      <c r="I5" s="86">
        <v>10.599999999999996</v>
      </c>
      <c r="J5" s="86">
        <v>10.599999999999996</v>
      </c>
    </row>
    <row r="6" spans="1:10" x14ac:dyDescent="0.25">
      <c r="A6" s="255"/>
      <c r="B6" s="144" t="s">
        <v>299</v>
      </c>
      <c r="C6" s="127">
        <f t="shared" si="0"/>
        <v>53.350000000000009</v>
      </c>
      <c r="D6" s="86">
        <v>53.350000000000009</v>
      </c>
      <c r="E6" s="86">
        <v>53.350000000000009</v>
      </c>
      <c r="F6" s="86">
        <v>53.350000000000009</v>
      </c>
      <c r="G6" s="86">
        <v>53.350000000000009</v>
      </c>
      <c r="H6" s="86">
        <v>53.350000000000009</v>
      </c>
      <c r="I6" s="86">
        <v>53.350000000000009</v>
      </c>
      <c r="J6" s="86">
        <v>53.350000000000009</v>
      </c>
    </row>
    <row r="7" spans="1:10" x14ac:dyDescent="0.25">
      <c r="A7" s="255"/>
      <c r="B7" s="144" t="s">
        <v>298</v>
      </c>
      <c r="C7" s="127">
        <f t="shared" si="0"/>
        <v>2.7299999999999991</v>
      </c>
      <c r="D7" s="86">
        <v>2.7299999999999991</v>
      </c>
      <c r="E7" s="86">
        <v>2.7299999999999991</v>
      </c>
      <c r="F7" s="86">
        <v>2.7299999999999991</v>
      </c>
      <c r="G7" s="86">
        <v>2.7299999999999991</v>
      </c>
      <c r="H7" s="86">
        <v>2.7299999999999991</v>
      </c>
      <c r="I7" s="86">
        <v>2.7299999999999991</v>
      </c>
      <c r="J7" s="86">
        <v>2.7299999999999991</v>
      </c>
    </row>
    <row r="8" spans="1:10" ht="12" customHeight="1" x14ac:dyDescent="0.25">
      <c r="A8" s="255"/>
      <c r="B8" s="145" t="s">
        <v>297</v>
      </c>
      <c r="C8" s="127">
        <f t="shared" si="0"/>
        <v>1.1799999999999988</v>
      </c>
      <c r="D8" s="86">
        <v>1.1799999999999988</v>
      </c>
      <c r="E8" s="86">
        <v>1.1799999999999988</v>
      </c>
      <c r="F8" s="86">
        <v>1.1799999999999988</v>
      </c>
      <c r="G8" s="86">
        <v>1.1799999999999988</v>
      </c>
      <c r="H8" s="86">
        <v>1.1799999999999988</v>
      </c>
      <c r="I8" s="86">
        <v>1.1799999999999988</v>
      </c>
      <c r="J8" s="86">
        <v>1.1799999999999988</v>
      </c>
    </row>
    <row r="9" spans="1:10" ht="12.75" customHeight="1" x14ac:dyDescent="0.25">
      <c r="A9" s="255"/>
      <c r="B9" s="144" t="s">
        <v>224</v>
      </c>
      <c r="C9" s="127">
        <f t="shared" si="0"/>
        <v>7</v>
      </c>
      <c r="D9" s="86">
        <v>7</v>
      </c>
      <c r="E9" s="86">
        <v>7</v>
      </c>
      <c r="F9" s="86">
        <v>7</v>
      </c>
      <c r="G9" s="86">
        <v>7</v>
      </c>
      <c r="H9" s="86">
        <v>7</v>
      </c>
      <c r="I9" s="86">
        <v>7</v>
      </c>
      <c r="J9" s="86">
        <v>7</v>
      </c>
    </row>
    <row r="10" spans="1:10" ht="12.75" customHeight="1" x14ac:dyDescent="0.25">
      <c r="A10" s="255"/>
      <c r="B10" s="144" t="s">
        <v>225</v>
      </c>
      <c r="C10" s="127">
        <f t="shared" si="0"/>
        <v>0.3</v>
      </c>
      <c r="D10" s="86">
        <v>0.3</v>
      </c>
      <c r="E10" s="86">
        <v>0.3</v>
      </c>
      <c r="F10" s="86">
        <v>0.3</v>
      </c>
      <c r="G10" s="86">
        <v>0.3</v>
      </c>
      <c r="H10" s="86">
        <v>0.3</v>
      </c>
      <c r="I10" s="86">
        <v>0.3</v>
      </c>
      <c r="J10" s="86">
        <v>0.3</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11.133333333333333</v>
      </c>
      <c r="D12" s="85">
        <v>11.133333333333333</v>
      </c>
      <c r="E12" s="85">
        <v>11.133333333333333</v>
      </c>
      <c r="F12" s="85">
        <v>11.133333333333333</v>
      </c>
      <c r="G12" s="85">
        <v>11.133333333333333</v>
      </c>
      <c r="H12" s="85">
        <v>11.133333333333333</v>
      </c>
      <c r="I12" s="85">
        <v>11.133333333333333</v>
      </c>
      <c r="J12" s="85">
        <v>11.133333333333333</v>
      </c>
    </row>
    <row r="13" spans="1:10" ht="13.8" x14ac:dyDescent="0.3">
      <c r="A13" s="252"/>
      <c r="B13" s="125" t="s">
        <v>295</v>
      </c>
      <c r="C13" s="127">
        <f t="shared" si="1"/>
        <v>18.13</v>
      </c>
      <c r="D13" s="85">
        <v>18.13</v>
      </c>
      <c r="E13" s="85">
        <v>18.13</v>
      </c>
      <c r="F13" s="85">
        <v>18.13</v>
      </c>
      <c r="G13" s="85">
        <v>18.13</v>
      </c>
      <c r="H13" s="85">
        <v>18.13</v>
      </c>
      <c r="I13" s="85">
        <v>18.13</v>
      </c>
      <c r="J13" s="85">
        <v>18.13</v>
      </c>
    </row>
    <row r="14" spans="1:10" x14ac:dyDescent="0.25">
      <c r="A14" s="252"/>
      <c r="B14" s="125" t="s">
        <v>294</v>
      </c>
      <c r="C14" s="127">
        <f t="shared" si="1"/>
        <v>568</v>
      </c>
      <c r="D14" s="85">
        <v>568</v>
      </c>
      <c r="E14" s="85">
        <v>568</v>
      </c>
      <c r="F14" s="85">
        <v>568</v>
      </c>
      <c r="G14" s="85">
        <v>568</v>
      </c>
      <c r="H14" s="85">
        <v>568</v>
      </c>
      <c r="I14" s="85">
        <v>568</v>
      </c>
      <c r="J14" s="85">
        <v>568</v>
      </c>
    </row>
    <row r="15" spans="1:10" x14ac:dyDescent="0.25">
      <c r="A15" s="252"/>
      <c r="B15" s="125" t="s">
        <v>330</v>
      </c>
      <c r="C15" s="127">
        <f t="shared" si="1"/>
        <v>1.9999999999999987</v>
      </c>
      <c r="D15" s="85">
        <v>1.9999999999999987</v>
      </c>
      <c r="E15" s="85">
        <v>1.9999999999999987</v>
      </c>
      <c r="F15" s="85">
        <v>1.9999999999999987</v>
      </c>
      <c r="G15" s="85">
        <v>1.9999999999999987</v>
      </c>
      <c r="H15" s="85">
        <v>1.9999999999999987</v>
      </c>
      <c r="I15" s="85">
        <v>1.9999999999999987</v>
      </c>
      <c r="J15" s="85">
        <v>1.9999999999999987</v>
      </c>
    </row>
    <row r="16" spans="1:10" x14ac:dyDescent="0.25">
      <c r="A16" s="252"/>
      <c r="B16" s="125" t="s">
        <v>302</v>
      </c>
      <c r="C16" s="127">
        <f t="shared" si="1"/>
        <v>22.999999999998828</v>
      </c>
      <c r="D16" s="85">
        <v>22.999999999998828</v>
      </c>
      <c r="E16" s="85">
        <v>22.999999999998828</v>
      </c>
      <c r="F16" s="85">
        <v>22.999999999998828</v>
      </c>
      <c r="G16" s="85">
        <v>22.999999999998828</v>
      </c>
      <c r="H16" s="85">
        <v>22.999999999998828</v>
      </c>
      <c r="I16" s="85">
        <v>22.999999999998828</v>
      </c>
      <c r="J16" s="85">
        <v>22.999999999998828</v>
      </c>
    </row>
    <row r="17" spans="1:10" x14ac:dyDescent="0.25">
      <c r="A17" s="252"/>
      <c r="B17" s="125" t="s">
        <v>303</v>
      </c>
      <c r="C17" s="127">
        <f t="shared" si="1"/>
        <v>145.00000000000048</v>
      </c>
      <c r="D17" s="85">
        <v>145.00000000000048</v>
      </c>
      <c r="E17" s="85">
        <v>145.00000000000048</v>
      </c>
      <c r="F17" s="85">
        <v>145.00000000000048</v>
      </c>
      <c r="G17" s="85">
        <v>145.00000000000048</v>
      </c>
      <c r="H17" s="85">
        <v>145.00000000000048</v>
      </c>
      <c r="I17" s="85">
        <v>145.00000000000048</v>
      </c>
      <c r="J17" s="85">
        <v>145.00000000000048</v>
      </c>
    </row>
    <row r="18" spans="1:10" x14ac:dyDescent="0.25">
      <c r="A18" s="252"/>
      <c r="B18" s="125" t="s">
        <v>328</v>
      </c>
      <c r="C18" s="127">
        <f t="shared" si="1"/>
        <v>11.166666666666694</v>
      </c>
      <c r="D18" s="85">
        <v>11.166666666666694</v>
      </c>
      <c r="E18" s="85">
        <v>11.166666666666694</v>
      </c>
      <c r="F18" s="85">
        <v>11.166666666666694</v>
      </c>
      <c r="G18" s="85">
        <v>11.166666666666694</v>
      </c>
      <c r="H18" s="85">
        <v>11.166666666666694</v>
      </c>
      <c r="I18" s="85">
        <v>11.166666666666694</v>
      </c>
      <c r="J18" s="85">
        <v>11.166666666666694</v>
      </c>
    </row>
    <row r="19" spans="1:10" x14ac:dyDescent="0.25">
      <c r="A19" s="252"/>
      <c r="B19" s="125" t="s">
        <v>329</v>
      </c>
      <c r="C19" s="127">
        <f t="shared" si="1"/>
        <v>9.8333333333333233</v>
      </c>
      <c r="D19" s="85">
        <v>9.8333333333333233</v>
      </c>
      <c r="E19" s="85">
        <v>9.8333333333333233</v>
      </c>
      <c r="F19" s="85">
        <v>9.8333333333333233</v>
      </c>
      <c r="G19" s="85">
        <v>9.8333333333333233</v>
      </c>
      <c r="H19" s="85">
        <v>9.8333333333333233</v>
      </c>
      <c r="I19" s="85">
        <v>9.8333333333333233</v>
      </c>
      <c r="J19" s="85">
        <v>9.8333333333333233</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45.281746631479834</v>
      </c>
      <c r="D23" s="85">
        <v>45.281746631479834</v>
      </c>
      <c r="E23" s="85">
        <v>45.281746631479834</v>
      </c>
      <c r="F23" s="85">
        <v>45.281746631479834</v>
      </c>
      <c r="G23" s="85">
        <v>45.281746631479834</v>
      </c>
      <c r="H23" s="85">
        <v>45.281746631479834</v>
      </c>
      <c r="I23" s="85">
        <v>45.281746631479834</v>
      </c>
      <c r="J23" s="85">
        <v>45.281746631479834</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555.99999999999966</v>
      </c>
      <c r="D34" s="86">
        <v>555.99999999999966</v>
      </c>
      <c r="E34" s="86">
        <v>555.99999999999966</v>
      </c>
      <c r="F34" s="86">
        <v>555.99999999999966</v>
      </c>
      <c r="G34" s="86">
        <v>555.99999999999966</v>
      </c>
      <c r="H34" s="86">
        <v>555.99999999999966</v>
      </c>
      <c r="I34" s="86">
        <v>555.99999999999966</v>
      </c>
      <c r="J34" s="86">
        <v>555.99999999999966</v>
      </c>
    </row>
    <row r="35" spans="1:10" x14ac:dyDescent="0.25">
      <c r="A35" s="243"/>
      <c r="B35" s="85" t="s">
        <v>181</v>
      </c>
      <c r="C35" s="127">
        <f t="shared" si="3"/>
        <v>0.15857145278080986</v>
      </c>
      <c r="D35" s="86">
        <v>0.15857145278080986</v>
      </c>
      <c r="E35" s="86">
        <v>0.15857145278080986</v>
      </c>
      <c r="F35" s="86">
        <v>0.15857145278080986</v>
      </c>
      <c r="G35" s="86">
        <v>0.15857145278080986</v>
      </c>
      <c r="H35" s="86">
        <v>0.15857145278080986</v>
      </c>
      <c r="I35" s="86">
        <v>0.15857145278080986</v>
      </c>
      <c r="J35" s="86">
        <v>0.15857145278080986</v>
      </c>
    </row>
    <row r="36" spans="1:10" x14ac:dyDescent="0.25">
      <c r="A36" s="243"/>
      <c r="B36" s="161" t="s">
        <v>383</v>
      </c>
      <c r="C36" s="127">
        <f t="shared" si="3"/>
        <v>746.99999999999943</v>
      </c>
      <c r="D36" s="160">
        <v>746.99999999999943</v>
      </c>
      <c r="E36" s="160">
        <v>746.99999999999943</v>
      </c>
      <c r="F36" s="160">
        <v>746.99999999999943</v>
      </c>
      <c r="G36" s="160">
        <v>746.99999999999943</v>
      </c>
      <c r="H36" s="160">
        <v>746.99999999999943</v>
      </c>
      <c r="I36" s="160">
        <v>746.99999999999943</v>
      </c>
      <c r="J36" s="160">
        <v>746.99999999999943</v>
      </c>
    </row>
    <row r="37" spans="1:10" x14ac:dyDescent="0.25">
      <c r="A37" s="243"/>
      <c r="B37" s="124" t="s">
        <v>384</v>
      </c>
      <c r="C37" s="127">
        <f t="shared" si="3"/>
        <v>547.00000000000011</v>
      </c>
      <c r="D37" s="86">
        <v>547.00000000000011</v>
      </c>
      <c r="E37" s="86">
        <v>547.00000000000011</v>
      </c>
      <c r="F37" s="86">
        <v>547.00000000000011</v>
      </c>
      <c r="G37" s="86">
        <v>547.00000000000011</v>
      </c>
      <c r="H37" s="86">
        <v>547.00000000000011</v>
      </c>
      <c r="I37" s="86">
        <v>547.00000000000011</v>
      </c>
      <c r="J37" s="86">
        <v>547.00000000000011</v>
      </c>
    </row>
    <row r="38" spans="1:10" x14ac:dyDescent="0.25">
      <c r="A38" s="243"/>
      <c r="B38" s="124" t="s">
        <v>385</v>
      </c>
      <c r="C38" s="127">
        <f t="shared" si="3"/>
        <v>781.99999999999955</v>
      </c>
      <c r="D38" s="86">
        <v>781.99999999999955</v>
      </c>
      <c r="E38" s="86">
        <v>781.99999999999955</v>
      </c>
      <c r="F38" s="86">
        <v>781.99999999999955</v>
      </c>
      <c r="G38" s="86">
        <v>781.99999999999955</v>
      </c>
      <c r="H38" s="86">
        <v>781.99999999999955</v>
      </c>
      <c r="I38" s="86">
        <v>781.99999999999955</v>
      </c>
      <c r="J38" s="86">
        <v>781.99999999999955</v>
      </c>
    </row>
    <row r="39" spans="1:10" x14ac:dyDescent="0.25">
      <c r="A39" s="243"/>
      <c r="B39" s="124" t="s">
        <v>386</v>
      </c>
      <c r="C39" s="127">
        <f t="shared" si="3"/>
        <v>3909.8254309875247</v>
      </c>
      <c r="D39" s="86">
        <v>3909.8254309875247</v>
      </c>
      <c r="E39" s="86">
        <v>3909.8254309875247</v>
      </c>
      <c r="F39" s="86">
        <v>3909.8254309875247</v>
      </c>
      <c r="G39" s="86">
        <v>3909.8254309875247</v>
      </c>
      <c r="H39" s="86">
        <v>3909.8254309875247</v>
      </c>
      <c r="I39" s="86">
        <v>3909.8254309875247</v>
      </c>
      <c r="J39" s="86">
        <v>3909.8254309875247</v>
      </c>
    </row>
    <row r="40" spans="1:10" x14ac:dyDescent="0.25">
      <c r="A40" s="250"/>
      <c r="B40" s="124" t="s">
        <v>450</v>
      </c>
      <c r="C40" s="127">
        <f t="shared" si="3"/>
        <v>0</v>
      </c>
      <c r="D40" s="86">
        <v>0</v>
      </c>
      <c r="E40" s="86">
        <v>0</v>
      </c>
      <c r="F40" s="86">
        <v>0</v>
      </c>
      <c r="G40" s="86">
        <v>0</v>
      </c>
      <c r="H40" s="86">
        <v>0</v>
      </c>
      <c r="I40" s="86">
        <v>320</v>
      </c>
      <c r="J40" s="86">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123</v>
      </c>
      <c r="D55" s="85">
        <v>123</v>
      </c>
      <c r="E55" s="85">
        <v>0</v>
      </c>
      <c r="F55" s="85">
        <v>0</v>
      </c>
      <c r="G55" s="85">
        <v>0</v>
      </c>
      <c r="H55" s="85">
        <v>0</v>
      </c>
      <c r="I55" s="85">
        <v>0</v>
      </c>
      <c r="J55" s="85">
        <v>0</v>
      </c>
    </row>
    <row r="56" spans="1:10" x14ac:dyDescent="0.25">
      <c r="A56" s="256"/>
      <c r="B56" s="85" t="s">
        <v>332</v>
      </c>
      <c r="C56" s="127">
        <f>INDEX(D56:J56,$C$1)</f>
        <v>2.4249999999999998</v>
      </c>
      <c r="D56" s="85">
        <v>2.4249999999999998</v>
      </c>
      <c r="E56" s="85">
        <v>0</v>
      </c>
      <c r="F56" s="85">
        <v>0</v>
      </c>
      <c r="G56" s="85">
        <v>0</v>
      </c>
      <c r="H56" s="85">
        <v>0</v>
      </c>
      <c r="I56" s="85">
        <v>0</v>
      </c>
      <c r="J56" s="85">
        <v>0</v>
      </c>
    </row>
    <row r="57" spans="1:10" x14ac:dyDescent="0.25">
      <c r="A57" s="256"/>
      <c r="B57" s="85" t="s">
        <v>336</v>
      </c>
      <c r="C57" s="127">
        <f>INDEX(D57:J57,$C$1)</f>
        <v>1.6</v>
      </c>
      <c r="D57" s="85">
        <v>1.6</v>
      </c>
      <c r="E57" s="85">
        <v>0</v>
      </c>
      <c r="F57" s="85">
        <v>0</v>
      </c>
      <c r="G57" s="85">
        <v>0</v>
      </c>
      <c r="H57" s="85">
        <v>0</v>
      </c>
      <c r="I57" s="85">
        <v>0</v>
      </c>
      <c r="J57" s="85">
        <v>0</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0</v>
      </c>
      <c r="D69" s="86">
        <v>0</v>
      </c>
      <c r="E69" s="86">
        <v>0</v>
      </c>
      <c r="F69" s="86">
        <v>0</v>
      </c>
      <c r="G69" s="86">
        <v>0</v>
      </c>
      <c r="H69" s="86">
        <v>0</v>
      </c>
      <c r="I69" s="86">
        <v>0</v>
      </c>
      <c r="J69" s="86">
        <v>0</v>
      </c>
    </row>
    <row r="70" spans="1:10" x14ac:dyDescent="0.25">
      <c r="A70" s="243"/>
      <c r="B70" s="85" t="s">
        <v>150</v>
      </c>
      <c r="C70" s="127">
        <f>INDEX(D70:J70,$C$1)</f>
        <v>134.99999999999977</v>
      </c>
      <c r="D70" s="86">
        <v>134.99999999999977</v>
      </c>
      <c r="E70" s="86">
        <v>134.99999999999977</v>
      </c>
      <c r="F70" s="86">
        <v>134.99999999999977</v>
      </c>
      <c r="G70" s="86">
        <v>134.99999999999977</v>
      </c>
      <c r="H70" s="86">
        <v>134.99999999999977</v>
      </c>
      <c r="I70" s="86">
        <v>134.99999999999977</v>
      </c>
      <c r="J70" s="86">
        <v>134.99999999999977</v>
      </c>
    </row>
    <row r="71" spans="1:10" x14ac:dyDescent="0.25">
      <c r="A71" s="243"/>
      <c r="B71" s="85" t="s">
        <v>371</v>
      </c>
      <c r="C71" s="127">
        <f>INDEX(D71:J71,$C$1)</f>
        <v>3918.9999999999986</v>
      </c>
      <c r="D71" s="85">
        <v>3918.9999999999986</v>
      </c>
      <c r="E71" s="85">
        <v>3918.9999999999986</v>
      </c>
      <c r="F71" s="85">
        <v>3918.9999999999986</v>
      </c>
      <c r="G71" s="85">
        <v>3918.9999999999986</v>
      </c>
      <c r="H71" s="85">
        <v>3918.9999999999986</v>
      </c>
      <c r="I71" s="85">
        <v>3918.9999999999986</v>
      </c>
      <c r="J71" s="85">
        <v>3918.9999999999986</v>
      </c>
    </row>
    <row r="72" spans="1:10" x14ac:dyDescent="0.25">
      <c r="A72" s="243"/>
      <c r="B72" s="125" t="s">
        <v>394</v>
      </c>
      <c r="C72" s="127">
        <f>INDEX(D72:J72,$C$1)</f>
        <v>1693.0000000000005</v>
      </c>
      <c r="D72" s="85">
        <v>1693.0000000000005</v>
      </c>
      <c r="E72" s="85">
        <v>1693.0000000000005</v>
      </c>
      <c r="F72" s="85">
        <v>1693.0000000000005</v>
      </c>
      <c r="G72" s="85">
        <v>1693.0000000000005</v>
      </c>
      <c r="H72" s="85">
        <v>1693.0000000000005</v>
      </c>
      <c r="I72" s="85">
        <v>1693.0000000000005</v>
      </c>
      <c r="J72" s="85">
        <v>1693.0000000000005</v>
      </c>
    </row>
    <row r="73" spans="1:10" x14ac:dyDescent="0.25">
      <c r="A73" s="243"/>
      <c r="B73" s="125" t="s">
        <v>395</v>
      </c>
      <c r="C73" s="127">
        <f>INDEX(D73:J73,$C$1)</f>
        <v>184.00000000000017</v>
      </c>
      <c r="D73" s="85">
        <v>184.00000000000017</v>
      </c>
      <c r="E73" s="85">
        <v>184.00000000000017</v>
      </c>
      <c r="F73" s="85">
        <v>184.00000000000017</v>
      </c>
      <c r="G73" s="85">
        <v>184.00000000000017</v>
      </c>
      <c r="H73" s="85">
        <v>184.00000000000017</v>
      </c>
      <c r="I73" s="85">
        <v>184.00000000000017</v>
      </c>
      <c r="J73" s="85">
        <v>184.00000000000017</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1.955555555555577E-2</v>
      </c>
      <c r="D98">
        <v>1.955555555555577E-2</v>
      </c>
      <c r="E98">
        <v>1.955555555555577E-2</v>
      </c>
      <c r="F98">
        <v>1.955555555555577E-2</v>
      </c>
      <c r="G98">
        <v>1.955555555555577E-2</v>
      </c>
      <c r="H98">
        <v>1.955555555555577E-2</v>
      </c>
      <c r="I98">
        <v>1.955555555555577E-2</v>
      </c>
      <c r="J98">
        <v>1.955555555555577E-2</v>
      </c>
    </row>
    <row r="99" spans="1:10" x14ac:dyDescent="0.25">
      <c r="A99" s="243"/>
      <c r="B99" s="92" t="s">
        <v>188</v>
      </c>
      <c r="C99" s="127">
        <f t="shared" si="4"/>
        <v>1.955555555555577E-2</v>
      </c>
      <c r="D99">
        <v>1.955555555555577E-2</v>
      </c>
      <c r="E99">
        <v>1.955555555555577E-2</v>
      </c>
      <c r="F99">
        <v>1.955555555555577E-2</v>
      </c>
      <c r="G99">
        <v>1.955555555555577E-2</v>
      </c>
      <c r="H99">
        <v>1.955555555555577E-2</v>
      </c>
      <c r="I99">
        <v>1.955555555555577E-2</v>
      </c>
      <c r="J99">
        <v>1.955555555555577E-2</v>
      </c>
    </row>
    <row r="100" spans="1:10" x14ac:dyDescent="0.25">
      <c r="A100" s="243"/>
      <c r="B100" s="92" t="s">
        <v>187</v>
      </c>
      <c r="C100" s="127">
        <f t="shared" si="4"/>
        <v>3.3688888888888886E-2</v>
      </c>
      <c r="D100">
        <v>3.3688888888888886E-2</v>
      </c>
      <c r="E100">
        <v>3.3688888888888886E-2</v>
      </c>
      <c r="F100">
        <v>3.3688888888888886E-2</v>
      </c>
      <c r="G100">
        <v>3.3688888888888886E-2</v>
      </c>
      <c r="H100">
        <v>3.3688888888888886E-2</v>
      </c>
      <c r="I100">
        <v>3.3688888888888886E-2</v>
      </c>
      <c r="J100">
        <v>3.3688888888888886E-2</v>
      </c>
    </row>
    <row r="101" spans="1:10" x14ac:dyDescent="0.25">
      <c r="A101" s="243"/>
      <c r="B101" s="157" t="s">
        <v>376</v>
      </c>
      <c r="C101" s="127">
        <f t="shared" si="4"/>
        <v>0</v>
      </c>
      <c r="D101">
        <v>0</v>
      </c>
      <c r="E101">
        <v>0</v>
      </c>
      <c r="F101">
        <v>0</v>
      </c>
      <c r="G101">
        <v>0</v>
      </c>
      <c r="H101">
        <v>0</v>
      </c>
      <c r="I101">
        <v>0</v>
      </c>
      <c r="J101">
        <v>0</v>
      </c>
    </row>
    <row r="102" spans="1:10" x14ac:dyDescent="0.25">
      <c r="A102" s="243"/>
      <c r="B102" s="157" t="s">
        <v>377</v>
      </c>
      <c r="C102" s="127">
        <f t="shared" si="4"/>
        <v>1.3955555555555558E-2</v>
      </c>
      <c r="D102">
        <v>1.3955555555555558E-2</v>
      </c>
      <c r="E102">
        <v>1.3955555555555558E-2</v>
      </c>
      <c r="F102">
        <v>1.3955555555555558E-2</v>
      </c>
      <c r="G102">
        <v>1.3955555555555558E-2</v>
      </c>
      <c r="H102">
        <v>1.3955555555555558E-2</v>
      </c>
      <c r="I102">
        <v>1.3955555555555558E-2</v>
      </c>
      <c r="J102">
        <v>1.3955555555555558E-2</v>
      </c>
    </row>
    <row r="103" spans="1:10" x14ac:dyDescent="0.25">
      <c r="A103" s="243"/>
      <c r="B103" s="157" t="s">
        <v>378</v>
      </c>
      <c r="C103" s="127">
        <f t="shared" si="4"/>
        <v>2.2222222222222147E-2</v>
      </c>
      <c r="D103">
        <v>2.2222222222222147E-2</v>
      </c>
      <c r="E103">
        <v>2.2222222222222147E-2</v>
      </c>
      <c r="F103">
        <v>2.2222222222222147E-2</v>
      </c>
      <c r="G103">
        <v>2.2222222222222147E-2</v>
      </c>
      <c r="H103">
        <v>2.2222222222222147E-2</v>
      </c>
      <c r="I103">
        <v>2.2222222222222147E-2</v>
      </c>
      <c r="J103">
        <v>2.2222222222222147E-2</v>
      </c>
    </row>
    <row r="104" spans="1:10" x14ac:dyDescent="0.25">
      <c r="A104" s="243"/>
      <c r="B104" s="157" t="s">
        <v>379</v>
      </c>
      <c r="C104" s="127">
        <f t="shared" si="4"/>
        <v>2.2222222222222147E-2</v>
      </c>
      <c r="D104">
        <v>2.2222222222222147E-2</v>
      </c>
      <c r="E104">
        <v>2.2222222222222147E-2</v>
      </c>
      <c r="F104">
        <v>2.2222222222222147E-2</v>
      </c>
      <c r="G104">
        <v>2.2222222222222147E-2</v>
      </c>
      <c r="H104">
        <v>2.2222222222222147E-2</v>
      </c>
      <c r="I104">
        <v>2.2222222222222147E-2</v>
      </c>
      <c r="J104">
        <v>2.2222222222222147E-2</v>
      </c>
    </row>
    <row r="105" spans="1:10" x14ac:dyDescent="0.25">
      <c r="A105" s="243"/>
      <c r="B105" s="130" t="s">
        <v>216</v>
      </c>
      <c r="C105" s="127">
        <f t="shared" si="4"/>
        <v>1.7</v>
      </c>
      <c r="D105">
        <v>1.7</v>
      </c>
      <c r="E105">
        <v>1.7</v>
      </c>
      <c r="F105">
        <v>1.7</v>
      </c>
      <c r="G105">
        <v>1.7</v>
      </c>
      <c r="H105">
        <v>1.7</v>
      </c>
      <c r="I105">
        <v>1.7</v>
      </c>
      <c r="J105">
        <v>1.7</v>
      </c>
    </row>
    <row r="106" spans="1:10" x14ac:dyDescent="0.25">
      <c r="A106" s="243"/>
      <c r="B106" s="157" t="s">
        <v>403</v>
      </c>
      <c r="C106" s="127">
        <f t="shared" si="4"/>
        <v>14.222222222222136</v>
      </c>
      <c r="D106">
        <v>14.222222222222136</v>
      </c>
      <c r="E106">
        <v>14.222222222222136</v>
      </c>
      <c r="F106">
        <v>14.222222222222136</v>
      </c>
      <c r="G106">
        <v>14.222222222222136</v>
      </c>
      <c r="H106">
        <v>14.222222222222136</v>
      </c>
      <c r="I106">
        <v>14.222222222222136</v>
      </c>
      <c r="J106">
        <v>14.222222222222136</v>
      </c>
    </row>
    <row r="107" spans="1:10" x14ac:dyDescent="0.25">
      <c r="A107" s="243"/>
      <c r="B107" s="157" t="s">
        <v>405</v>
      </c>
      <c r="C107" s="127">
        <f t="shared" si="4"/>
        <v>9.5555555555559835</v>
      </c>
      <c r="D107" s="38">
        <v>9.5555555555559835</v>
      </c>
      <c r="E107" s="38">
        <v>9.5555555555559835</v>
      </c>
      <c r="F107" s="38">
        <v>9.5555555555559835</v>
      </c>
      <c r="G107" s="38">
        <v>9.5555555555559835</v>
      </c>
      <c r="H107" s="38">
        <v>9.5555555555559835</v>
      </c>
      <c r="I107" s="38">
        <v>9.5555555555559835</v>
      </c>
      <c r="J107" s="38">
        <v>9.5555555555559835</v>
      </c>
    </row>
    <row r="108" spans="1:10" x14ac:dyDescent="0.25">
      <c r="A108" s="243"/>
      <c r="B108" s="157" t="s">
        <v>404</v>
      </c>
      <c r="C108" s="127">
        <f t="shared" si="4"/>
        <v>-5.4444444444444358</v>
      </c>
      <c r="D108" s="38">
        <v>-5.4444444444444358</v>
      </c>
      <c r="E108" s="38">
        <v>-5.4444444444444358</v>
      </c>
      <c r="F108" s="38">
        <v>-5.4444444444444358</v>
      </c>
      <c r="G108" s="38">
        <v>-5.4444444444444358</v>
      </c>
      <c r="H108" s="38">
        <v>-5.4444444444444358</v>
      </c>
      <c r="I108" s="38">
        <v>-5.4444444444444358</v>
      </c>
      <c r="J108" s="38">
        <v>-5.4444444444444358</v>
      </c>
    </row>
    <row r="109" spans="1:10" x14ac:dyDescent="0.25">
      <c r="A109" s="243"/>
      <c r="B109" s="108"/>
      <c r="C109" s="127"/>
      <c r="D109" s="91"/>
      <c r="E109" s="85"/>
      <c r="F109" s="85"/>
      <c r="G109" s="85"/>
      <c r="H109" s="85"/>
      <c r="I109" s="85"/>
      <c r="J109" s="85"/>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15"/>
  <sheetViews>
    <sheetView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customWidth="1"/>
    <col min="6" max="6" width="12.6640625" customWidth="1"/>
    <col min="7" max="7" width="13.109375" customWidth="1"/>
    <col min="8" max="8" width="12.109375" customWidth="1"/>
    <col min="9" max="9" width="15.5546875" bestFit="1" customWidth="1"/>
    <col min="10" max="10" width="15.44140625" customWidth="1"/>
  </cols>
  <sheetData>
    <row r="1" spans="1:10"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0" ht="26.4" x14ac:dyDescent="0.25">
      <c r="A2" s="87"/>
      <c r="B2" s="87"/>
      <c r="C2" s="120" t="s">
        <v>190</v>
      </c>
      <c r="D2" s="121" t="s">
        <v>474</v>
      </c>
      <c r="E2" s="121" t="s">
        <v>478</v>
      </c>
      <c r="F2" s="121" t="s">
        <v>485</v>
      </c>
      <c r="G2" s="121" t="s">
        <v>486</v>
      </c>
      <c r="H2" s="121" t="s">
        <v>481</v>
      </c>
      <c r="I2" s="121" t="s">
        <v>482</v>
      </c>
      <c r="J2" s="121" t="s">
        <v>483</v>
      </c>
    </row>
    <row r="3" spans="1:10" x14ac:dyDescent="0.25">
      <c r="A3" s="84"/>
      <c r="B3" s="84"/>
      <c r="C3" s="84"/>
      <c r="D3" s="84"/>
      <c r="E3" s="84"/>
      <c r="F3" s="84"/>
      <c r="G3" s="84"/>
      <c r="H3" s="84"/>
      <c r="I3" s="84"/>
      <c r="J3" s="84"/>
    </row>
    <row r="4" spans="1:10" ht="13.2" customHeight="1" x14ac:dyDescent="0.25">
      <c r="A4" s="254" t="s">
        <v>309</v>
      </c>
      <c r="B4" s="124" t="s">
        <v>301</v>
      </c>
      <c r="C4" s="127">
        <f t="shared" ref="C4:C10" si="0">INDEX(D4:J4,$C$1)</f>
        <v>28.28</v>
      </c>
      <c r="D4" s="54">
        <v>28.28</v>
      </c>
      <c r="E4" s="54">
        <v>28.28</v>
      </c>
      <c r="F4" s="54">
        <v>28.28</v>
      </c>
      <c r="G4" s="54">
        <v>28.28</v>
      </c>
      <c r="H4" s="54">
        <v>28.28</v>
      </c>
      <c r="I4" s="54">
        <v>28.28</v>
      </c>
      <c r="J4" s="54">
        <v>28.28</v>
      </c>
    </row>
    <row r="5" spans="1:10" x14ac:dyDescent="0.25">
      <c r="A5" s="255"/>
      <c r="B5" s="124" t="s">
        <v>300</v>
      </c>
      <c r="C5" s="127">
        <f t="shared" si="0"/>
        <v>8.5999999999999979</v>
      </c>
      <c r="D5" s="54">
        <v>8.5999999999999979</v>
      </c>
      <c r="E5" s="54">
        <v>8.5999999999999979</v>
      </c>
      <c r="F5" s="54">
        <v>8.5999999999999979</v>
      </c>
      <c r="G5" s="54">
        <v>8.5999999999999979</v>
      </c>
      <c r="H5" s="54">
        <v>8.5999999999999979</v>
      </c>
      <c r="I5" s="54">
        <v>8.5999999999999979</v>
      </c>
      <c r="J5" s="54">
        <v>8.5999999999999979</v>
      </c>
    </row>
    <row r="6" spans="1:10" x14ac:dyDescent="0.25">
      <c r="A6" s="255"/>
      <c r="B6" s="144" t="s">
        <v>299</v>
      </c>
      <c r="C6" s="127">
        <f t="shared" si="0"/>
        <v>43.919999999999995</v>
      </c>
      <c r="D6" s="54">
        <v>43.919999999999995</v>
      </c>
      <c r="E6" s="54">
        <v>43.919999999999995</v>
      </c>
      <c r="F6" s="54">
        <v>43.919999999999995</v>
      </c>
      <c r="G6" s="54">
        <v>43.919999999999995</v>
      </c>
      <c r="H6" s="54">
        <v>43.919999999999995</v>
      </c>
      <c r="I6" s="54">
        <v>43.919999999999995</v>
      </c>
      <c r="J6" s="54">
        <v>43.919999999999995</v>
      </c>
    </row>
    <row r="7" spans="1:10" x14ac:dyDescent="0.25">
      <c r="A7" s="255"/>
      <c r="B7" s="144" t="s">
        <v>298</v>
      </c>
      <c r="C7" s="127">
        <f t="shared" si="0"/>
        <v>2.9200000000000004</v>
      </c>
      <c r="D7" s="54">
        <v>2.9200000000000004</v>
      </c>
      <c r="E7" s="54">
        <v>2.9200000000000004</v>
      </c>
      <c r="F7" s="54">
        <v>2.9200000000000004</v>
      </c>
      <c r="G7" s="54">
        <v>2.9200000000000004</v>
      </c>
      <c r="H7" s="54">
        <v>2.9200000000000004</v>
      </c>
      <c r="I7" s="54">
        <v>2.9200000000000004</v>
      </c>
      <c r="J7" s="54">
        <v>2.9200000000000004</v>
      </c>
    </row>
    <row r="8" spans="1:10" ht="12" customHeight="1" x14ac:dyDescent="0.25">
      <c r="A8" s="255"/>
      <c r="B8" s="145" t="s">
        <v>297</v>
      </c>
      <c r="C8" s="127">
        <f t="shared" si="0"/>
        <v>1.4000000000000012</v>
      </c>
      <c r="D8" s="54">
        <v>1.4000000000000012</v>
      </c>
      <c r="E8" s="54">
        <v>1.4000000000000012</v>
      </c>
      <c r="F8" s="54">
        <v>1.4000000000000012</v>
      </c>
      <c r="G8" s="54">
        <v>1.4000000000000012</v>
      </c>
      <c r="H8" s="54">
        <v>1.4000000000000012</v>
      </c>
      <c r="I8" s="54">
        <v>1.4000000000000012</v>
      </c>
      <c r="J8" s="54">
        <v>1.4000000000000012</v>
      </c>
    </row>
    <row r="9" spans="1:10" ht="12.75" customHeight="1" x14ac:dyDescent="0.25">
      <c r="A9" s="255"/>
      <c r="B9" s="144" t="s">
        <v>224</v>
      </c>
      <c r="C9" s="127">
        <f t="shared" si="0"/>
        <v>7</v>
      </c>
      <c r="D9" s="54">
        <v>7</v>
      </c>
      <c r="E9" s="54">
        <v>7</v>
      </c>
      <c r="F9" s="54">
        <v>7</v>
      </c>
      <c r="G9" s="54">
        <v>7</v>
      </c>
      <c r="H9" s="54">
        <v>7</v>
      </c>
      <c r="I9" s="54">
        <v>7</v>
      </c>
      <c r="J9" s="54">
        <v>7</v>
      </c>
    </row>
    <row r="10" spans="1:10" ht="12.75" customHeight="1" x14ac:dyDescent="0.25">
      <c r="A10" s="255"/>
      <c r="B10" s="144" t="s">
        <v>225</v>
      </c>
      <c r="C10" s="127">
        <f t="shared" si="0"/>
        <v>0.3</v>
      </c>
      <c r="D10" s="54">
        <v>0.3</v>
      </c>
      <c r="E10" s="54">
        <v>0.3</v>
      </c>
      <c r="F10" s="54">
        <v>0.3</v>
      </c>
      <c r="G10" s="54">
        <v>0.3</v>
      </c>
      <c r="H10" s="54">
        <v>0.3</v>
      </c>
      <c r="I10" s="54">
        <v>0.3</v>
      </c>
      <c r="J10" s="54">
        <v>0.3</v>
      </c>
    </row>
    <row r="11" spans="1:10" x14ac:dyDescent="0.25">
      <c r="A11" s="84"/>
      <c r="B11" s="84"/>
      <c r="C11" s="84"/>
      <c r="D11" s="84"/>
      <c r="E11" s="84"/>
      <c r="F11" s="84"/>
      <c r="G11" s="84"/>
      <c r="H11" s="84"/>
      <c r="I11" s="84"/>
      <c r="J11" s="84"/>
    </row>
    <row r="12" spans="1:10" x14ac:dyDescent="0.25">
      <c r="A12" s="249" t="s">
        <v>115</v>
      </c>
      <c r="B12" s="125" t="s">
        <v>296</v>
      </c>
      <c r="C12" s="127">
        <f t="shared" ref="C12:C23" si="1">INDEX(D12:J12,$C$1)</f>
        <v>8.5599999999999987</v>
      </c>
      <c r="D12" s="85">
        <v>8.5599999999999987</v>
      </c>
      <c r="E12" s="85">
        <v>8.5599999999999987</v>
      </c>
      <c r="F12" s="85">
        <v>8.5599999999999987</v>
      </c>
      <c r="G12" s="85">
        <v>8.5599999999999987</v>
      </c>
      <c r="H12" s="85">
        <v>8.5599999999999987</v>
      </c>
      <c r="I12" s="85">
        <v>8.5599999999999987</v>
      </c>
      <c r="J12" s="85">
        <v>8.5599999999999987</v>
      </c>
    </row>
    <row r="13" spans="1:10" ht="13.8" x14ac:dyDescent="0.3">
      <c r="A13" s="252"/>
      <c r="B13" s="125" t="s">
        <v>295</v>
      </c>
      <c r="C13" s="127">
        <f t="shared" si="1"/>
        <v>15.360000000000001</v>
      </c>
      <c r="D13" s="85">
        <v>15.360000000000001</v>
      </c>
      <c r="E13" s="85">
        <v>15.360000000000001</v>
      </c>
      <c r="F13" s="85">
        <v>15.360000000000001</v>
      </c>
      <c r="G13" s="85">
        <v>15.360000000000001</v>
      </c>
      <c r="H13" s="85">
        <v>15.360000000000001</v>
      </c>
      <c r="I13" s="85">
        <v>15.360000000000001</v>
      </c>
      <c r="J13" s="85">
        <v>15.360000000000001</v>
      </c>
    </row>
    <row r="14" spans="1:10" x14ac:dyDescent="0.25">
      <c r="A14" s="252"/>
      <c r="B14" s="125" t="s">
        <v>294</v>
      </c>
      <c r="C14" s="127">
        <f t="shared" si="1"/>
        <v>391</v>
      </c>
      <c r="D14" s="85">
        <v>391</v>
      </c>
      <c r="E14" s="85">
        <v>391</v>
      </c>
      <c r="F14" s="85">
        <v>391</v>
      </c>
      <c r="G14" s="85">
        <v>391</v>
      </c>
      <c r="H14" s="85">
        <v>391</v>
      </c>
      <c r="I14" s="85">
        <v>391</v>
      </c>
      <c r="J14" s="85">
        <v>391</v>
      </c>
    </row>
    <row r="15" spans="1:10" x14ac:dyDescent="0.25">
      <c r="A15" s="252"/>
      <c r="B15" s="125" t="s">
        <v>330</v>
      </c>
      <c r="C15" s="127">
        <f t="shared" si="1"/>
        <v>1.4400000000000013</v>
      </c>
      <c r="D15" s="85">
        <v>1.4400000000000013</v>
      </c>
      <c r="E15" s="85">
        <v>1.4400000000000013</v>
      </c>
      <c r="F15" s="85">
        <v>1.4400000000000013</v>
      </c>
      <c r="G15" s="85">
        <v>1.4400000000000013</v>
      </c>
      <c r="H15" s="85">
        <v>1.4400000000000013</v>
      </c>
      <c r="I15" s="85">
        <v>1.4400000000000013</v>
      </c>
      <c r="J15" s="85">
        <v>1.4400000000000013</v>
      </c>
    </row>
    <row r="16" spans="1:10" x14ac:dyDescent="0.25">
      <c r="A16" s="252"/>
      <c r="B16" s="125" t="s">
        <v>302</v>
      </c>
      <c r="C16" s="127">
        <f t="shared" si="1"/>
        <v>155.87999999999869</v>
      </c>
      <c r="D16" s="85">
        <v>155.87999999999869</v>
      </c>
      <c r="E16" s="85">
        <v>155.87999999999869</v>
      </c>
      <c r="F16" s="85">
        <v>155.87999999999869</v>
      </c>
      <c r="G16" s="85">
        <v>155.87999999999869</v>
      </c>
      <c r="H16" s="85">
        <v>155.87999999999869</v>
      </c>
      <c r="I16" s="85">
        <v>155.87999999999869</v>
      </c>
      <c r="J16" s="85">
        <v>155.87999999999869</v>
      </c>
    </row>
    <row r="17" spans="1:10" x14ac:dyDescent="0.25">
      <c r="A17" s="252"/>
      <c r="B17" s="125" t="s">
        <v>303</v>
      </c>
      <c r="C17" s="127">
        <f t="shared" si="1"/>
        <v>174.88000000000025</v>
      </c>
      <c r="D17" s="85">
        <v>174.88000000000025</v>
      </c>
      <c r="E17" s="85">
        <v>174.88000000000025</v>
      </c>
      <c r="F17" s="85">
        <v>174.88000000000025</v>
      </c>
      <c r="G17" s="85">
        <v>174.88000000000025</v>
      </c>
      <c r="H17" s="85">
        <v>174.88000000000025</v>
      </c>
      <c r="I17" s="85">
        <v>174.88000000000025</v>
      </c>
      <c r="J17" s="85">
        <v>174.88000000000025</v>
      </c>
    </row>
    <row r="18" spans="1:10" x14ac:dyDescent="0.25">
      <c r="A18" s="252"/>
      <c r="B18" s="125" t="s">
        <v>328</v>
      </c>
      <c r="C18" s="127">
        <f t="shared" si="1"/>
        <v>9.1666666666666927</v>
      </c>
      <c r="D18" s="85">
        <v>9.1666666666666927</v>
      </c>
      <c r="E18" s="85">
        <v>9.1666666666666927</v>
      </c>
      <c r="F18" s="85">
        <v>9.1666666666666927</v>
      </c>
      <c r="G18" s="85">
        <v>9.1666666666666927</v>
      </c>
      <c r="H18" s="85">
        <v>9.1666666666666927</v>
      </c>
      <c r="I18" s="85">
        <v>9.1666666666666927</v>
      </c>
      <c r="J18" s="85">
        <v>9.1666666666666927</v>
      </c>
    </row>
    <row r="19" spans="1:10" x14ac:dyDescent="0.25">
      <c r="A19" s="252"/>
      <c r="B19" s="125" t="s">
        <v>329</v>
      </c>
      <c r="C19" s="127">
        <f t="shared" si="1"/>
        <v>9.9999999999999893</v>
      </c>
      <c r="D19" s="85">
        <v>9.9999999999999893</v>
      </c>
      <c r="E19" s="85">
        <v>9.9999999999999893</v>
      </c>
      <c r="F19" s="85">
        <v>9.9999999999999893</v>
      </c>
      <c r="G19" s="85">
        <v>9.9999999999999893</v>
      </c>
      <c r="H19" s="85">
        <v>9.9999999999999893</v>
      </c>
      <c r="I19" s="85">
        <v>9.9999999999999893</v>
      </c>
      <c r="J19" s="85">
        <v>9.9999999999999893</v>
      </c>
    </row>
    <row r="20" spans="1:10" x14ac:dyDescent="0.25">
      <c r="A20" s="252"/>
      <c r="B20" s="125" t="s">
        <v>323</v>
      </c>
      <c r="C20" s="127">
        <f t="shared" si="1"/>
        <v>0.7</v>
      </c>
      <c r="D20" s="85">
        <v>0.7</v>
      </c>
      <c r="E20" s="85">
        <v>0.7</v>
      </c>
      <c r="F20" s="85">
        <v>0.7</v>
      </c>
      <c r="G20" s="85">
        <v>0.7</v>
      </c>
      <c r="H20" s="85">
        <v>0.7</v>
      </c>
      <c r="I20" s="85">
        <v>0.7</v>
      </c>
      <c r="J20" s="85">
        <v>0.7</v>
      </c>
    </row>
    <row r="21" spans="1:10" x14ac:dyDescent="0.25">
      <c r="A21" s="252"/>
      <c r="B21" s="125" t="s">
        <v>322</v>
      </c>
      <c r="C21" s="127">
        <f t="shared" si="1"/>
        <v>1</v>
      </c>
      <c r="D21" s="85">
        <v>1</v>
      </c>
      <c r="E21" s="85">
        <v>1</v>
      </c>
      <c r="F21" s="85">
        <v>1</v>
      </c>
      <c r="G21" s="85">
        <v>1</v>
      </c>
      <c r="H21" s="85">
        <v>1</v>
      </c>
      <c r="I21" s="85">
        <v>1</v>
      </c>
      <c r="J21" s="85">
        <v>1</v>
      </c>
    </row>
    <row r="22" spans="1:10" x14ac:dyDescent="0.25">
      <c r="A22" s="252"/>
      <c r="B22" s="125" t="s">
        <v>324</v>
      </c>
      <c r="C22" s="127">
        <f t="shared" si="1"/>
        <v>3</v>
      </c>
      <c r="D22" s="85">
        <v>3</v>
      </c>
      <c r="E22" s="85">
        <v>3</v>
      </c>
      <c r="F22" s="85">
        <v>3</v>
      </c>
      <c r="G22" s="85">
        <v>3</v>
      </c>
      <c r="H22" s="85">
        <v>3</v>
      </c>
      <c r="I22" s="85">
        <v>3</v>
      </c>
      <c r="J22" s="85">
        <v>3</v>
      </c>
    </row>
    <row r="23" spans="1:10" x14ac:dyDescent="0.25">
      <c r="A23" s="253"/>
      <c r="B23" s="125" t="s">
        <v>325</v>
      </c>
      <c r="C23" s="127">
        <f t="shared" si="1"/>
        <v>41.968448097469107</v>
      </c>
      <c r="D23" s="85">
        <v>41.968448097469107</v>
      </c>
      <c r="E23" s="85">
        <v>41.968448097469107</v>
      </c>
      <c r="F23" s="85">
        <v>41.968448097469107</v>
      </c>
      <c r="G23" s="85">
        <v>41.968448097469107</v>
      </c>
      <c r="H23" s="85">
        <v>41.968448097469107</v>
      </c>
      <c r="I23" s="85">
        <v>41.968448097469107</v>
      </c>
      <c r="J23" s="85">
        <v>41.968448097469107</v>
      </c>
    </row>
    <row r="24" spans="1:10" x14ac:dyDescent="0.25">
      <c r="A24" s="84"/>
      <c r="B24" s="84"/>
      <c r="C24" s="84"/>
      <c r="D24" s="84"/>
      <c r="E24" s="84"/>
      <c r="F24" s="84"/>
      <c r="G24" s="84"/>
      <c r="H24" s="84"/>
      <c r="I24" s="84"/>
      <c r="J24" s="84"/>
    </row>
    <row r="25" spans="1:10" x14ac:dyDescent="0.25">
      <c r="A25" s="242" t="s">
        <v>114</v>
      </c>
      <c r="B25" s="125" t="s">
        <v>459</v>
      </c>
      <c r="C25" s="127">
        <f t="shared" ref="C25:C31" si="2">INDEX(D25:J25,$C$1)</f>
        <v>100</v>
      </c>
      <c r="D25" s="83">
        <v>100</v>
      </c>
      <c r="E25" s="83">
        <v>100</v>
      </c>
      <c r="F25" s="83">
        <v>100</v>
      </c>
      <c r="G25" s="83">
        <v>100</v>
      </c>
      <c r="H25" s="83">
        <v>100</v>
      </c>
      <c r="I25" s="83">
        <v>100</v>
      </c>
      <c r="J25" s="83">
        <v>100</v>
      </c>
    </row>
    <row r="26" spans="1:10" x14ac:dyDescent="0.25">
      <c r="A26" s="243"/>
      <c r="B26" s="125" t="s">
        <v>460</v>
      </c>
      <c r="C26" s="127">
        <f t="shared" si="2"/>
        <v>40</v>
      </c>
      <c r="D26" s="83">
        <v>40</v>
      </c>
      <c r="E26" s="83">
        <v>40</v>
      </c>
      <c r="F26" s="83">
        <v>40</v>
      </c>
      <c r="G26" s="83">
        <v>40</v>
      </c>
      <c r="H26" s="83">
        <v>40</v>
      </c>
      <c r="I26" s="83">
        <v>40</v>
      </c>
      <c r="J26" s="83">
        <v>40</v>
      </c>
    </row>
    <row r="27" spans="1:10" x14ac:dyDescent="0.25">
      <c r="A27" s="243"/>
      <c r="B27" s="125" t="s">
        <v>461</v>
      </c>
      <c r="C27" s="127">
        <f t="shared" si="2"/>
        <v>15</v>
      </c>
      <c r="D27" s="83">
        <v>15</v>
      </c>
      <c r="E27" s="83">
        <v>15</v>
      </c>
      <c r="F27" s="83">
        <v>15</v>
      </c>
      <c r="G27" s="83">
        <v>15</v>
      </c>
      <c r="H27" s="83">
        <v>15</v>
      </c>
      <c r="I27" s="83">
        <v>15</v>
      </c>
      <c r="J27" s="83">
        <v>15</v>
      </c>
    </row>
    <row r="28" spans="1:10" x14ac:dyDescent="0.25">
      <c r="A28" s="243"/>
      <c r="B28" s="125" t="s">
        <v>28</v>
      </c>
      <c r="C28" s="127">
        <f t="shared" si="2"/>
        <v>0</v>
      </c>
      <c r="D28" s="83">
        <v>0</v>
      </c>
      <c r="E28" s="83">
        <v>0</v>
      </c>
      <c r="F28" s="83">
        <v>0</v>
      </c>
      <c r="G28" s="83">
        <v>0</v>
      </c>
      <c r="H28" s="83">
        <v>0</v>
      </c>
      <c r="I28" s="83">
        <v>0</v>
      </c>
      <c r="J28" s="83">
        <v>0</v>
      </c>
    </row>
    <row r="29" spans="1:10" x14ac:dyDescent="0.25">
      <c r="A29" s="243"/>
      <c r="B29" s="125" t="s">
        <v>462</v>
      </c>
      <c r="C29" s="127">
        <f t="shared" si="2"/>
        <v>1500</v>
      </c>
      <c r="D29" s="83">
        <v>1500</v>
      </c>
      <c r="E29" s="83">
        <v>1500</v>
      </c>
      <c r="F29" s="83">
        <v>1500</v>
      </c>
      <c r="G29" s="83">
        <v>1500</v>
      </c>
      <c r="H29" s="83">
        <v>1500</v>
      </c>
      <c r="I29" s="83">
        <v>1500</v>
      </c>
      <c r="J29" s="83">
        <v>1500</v>
      </c>
    </row>
    <row r="30" spans="1:10" x14ac:dyDescent="0.25">
      <c r="A30" s="243"/>
      <c r="B30" s="125" t="s">
        <v>463</v>
      </c>
      <c r="C30" s="127">
        <f t="shared" si="2"/>
        <v>600</v>
      </c>
      <c r="D30" s="83">
        <v>600</v>
      </c>
      <c r="E30" s="83">
        <v>600</v>
      </c>
      <c r="F30" s="83">
        <v>600</v>
      </c>
      <c r="G30" s="83">
        <v>600</v>
      </c>
      <c r="H30" s="83">
        <v>600</v>
      </c>
      <c r="I30" s="83">
        <v>600</v>
      </c>
      <c r="J30" s="83">
        <v>600</v>
      </c>
    </row>
    <row r="31" spans="1:10" x14ac:dyDescent="0.25">
      <c r="A31" s="243"/>
      <c r="B31" s="125" t="s">
        <v>464</v>
      </c>
      <c r="C31" s="127">
        <f t="shared" si="2"/>
        <v>350</v>
      </c>
      <c r="D31" s="83">
        <v>350</v>
      </c>
      <c r="E31" s="83">
        <v>350</v>
      </c>
      <c r="F31" s="83">
        <v>350</v>
      </c>
      <c r="G31" s="83">
        <v>350</v>
      </c>
      <c r="H31" s="83">
        <v>350</v>
      </c>
      <c r="I31" s="83">
        <v>350</v>
      </c>
      <c r="J31" s="83">
        <v>350</v>
      </c>
    </row>
    <row r="32" spans="1:10" x14ac:dyDescent="0.25">
      <c r="A32" s="250"/>
      <c r="B32" s="90"/>
      <c r="C32" s="85"/>
      <c r="D32" s="85"/>
      <c r="E32" s="85"/>
      <c r="F32" s="85"/>
      <c r="G32" s="85"/>
      <c r="H32" s="85"/>
      <c r="I32" s="85"/>
      <c r="J32" s="85"/>
    </row>
    <row r="33" spans="1:10" x14ac:dyDescent="0.25">
      <c r="A33" s="84"/>
      <c r="B33" s="84"/>
      <c r="C33" s="84"/>
      <c r="D33" s="84"/>
      <c r="E33" s="84"/>
      <c r="F33" s="84"/>
      <c r="G33" s="84"/>
      <c r="H33" s="84"/>
      <c r="I33" s="84"/>
      <c r="J33" s="84"/>
    </row>
    <row r="34" spans="1:10" x14ac:dyDescent="0.25">
      <c r="A34" s="242" t="s">
        <v>84</v>
      </c>
      <c r="B34" s="85" t="s">
        <v>116</v>
      </c>
      <c r="C34" s="127">
        <f t="shared" ref="C34:C40" si="3">INDEX(D34:J34,$C$1)</f>
        <v>445.99999999999994</v>
      </c>
      <c r="D34" s="86">
        <v>445.99999999999994</v>
      </c>
      <c r="E34" s="86">
        <v>445.99999999999994</v>
      </c>
      <c r="F34" s="86">
        <v>445.99999999999994</v>
      </c>
      <c r="G34" s="86">
        <v>445.99999999999994</v>
      </c>
      <c r="H34" s="86">
        <v>445.99999999999994</v>
      </c>
      <c r="I34" s="86">
        <v>445.99999999999994</v>
      </c>
      <c r="J34" s="86">
        <v>445.99999999999994</v>
      </c>
    </row>
    <row r="35" spans="1:10" x14ac:dyDescent="0.25">
      <c r="A35" s="243"/>
      <c r="B35" s="85" t="s">
        <v>181</v>
      </c>
      <c r="C35" s="127">
        <f t="shared" si="3"/>
        <v>0.1312863877896924</v>
      </c>
      <c r="D35" s="86">
        <v>0.1312863877896924</v>
      </c>
      <c r="E35" s="86">
        <v>0.1312863877896924</v>
      </c>
      <c r="F35" s="86">
        <v>0.1312863877896924</v>
      </c>
      <c r="G35" s="86">
        <v>0.1312863877896924</v>
      </c>
      <c r="H35" s="86">
        <v>0.1312863877896924</v>
      </c>
      <c r="I35" s="86">
        <v>0.1312863877896924</v>
      </c>
      <c r="J35" s="86">
        <v>0.1312863877896924</v>
      </c>
    </row>
    <row r="36" spans="1:10" x14ac:dyDescent="0.25">
      <c r="A36" s="243"/>
      <c r="B36" s="161" t="s">
        <v>383</v>
      </c>
      <c r="C36" s="127">
        <f t="shared" si="3"/>
        <v>607</v>
      </c>
      <c r="D36" s="160">
        <v>607</v>
      </c>
      <c r="E36" s="160">
        <v>607</v>
      </c>
      <c r="F36" s="160">
        <v>607</v>
      </c>
      <c r="G36" s="160">
        <v>607</v>
      </c>
      <c r="H36" s="160">
        <v>607</v>
      </c>
      <c r="I36" s="160">
        <v>607</v>
      </c>
      <c r="J36" s="160">
        <v>607</v>
      </c>
    </row>
    <row r="37" spans="1:10" x14ac:dyDescent="0.25">
      <c r="A37" s="243"/>
      <c r="B37" s="124" t="s">
        <v>384</v>
      </c>
      <c r="C37" s="127">
        <f t="shared" si="3"/>
        <v>409.99999999999994</v>
      </c>
      <c r="D37" s="86">
        <v>409.99999999999994</v>
      </c>
      <c r="E37" s="86">
        <v>409.99999999999994</v>
      </c>
      <c r="F37" s="86">
        <v>409.99999999999994</v>
      </c>
      <c r="G37" s="86">
        <v>409.99999999999994</v>
      </c>
      <c r="H37" s="86">
        <v>409.99999999999994</v>
      </c>
      <c r="I37" s="86">
        <v>409.99999999999994</v>
      </c>
      <c r="J37" s="86">
        <v>409.99999999999994</v>
      </c>
    </row>
    <row r="38" spans="1:10" x14ac:dyDescent="0.25">
      <c r="A38" s="243"/>
      <c r="B38" s="124" t="s">
        <v>385</v>
      </c>
      <c r="C38" s="127">
        <f t="shared" si="3"/>
        <v>619</v>
      </c>
      <c r="D38" s="86">
        <v>619</v>
      </c>
      <c r="E38" s="86">
        <v>619</v>
      </c>
      <c r="F38" s="86">
        <v>619</v>
      </c>
      <c r="G38" s="86">
        <v>619</v>
      </c>
      <c r="H38" s="86">
        <v>619</v>
      </c>
      <c r="I38" s="86">
        <v>619</v>
      </c>
      <c r="J38" s="86">
        <v>619</v>
      </c>
    </row>
    <row r="39" spans="1:10" x14ac:dyDescent="0.25">
      <c r="A39" s="243"/>
      <c r="B39" s="124" t="s">
        <v>386</v>
      </c>
      <c r="C39" s="127">
        <f t="shared" si="3"/>
        <v>1088.3729206676753</v>
      </c>
      <c r="D39" s="86">
        <v>1088.3729206676753</v>
      </c>
      <c r="E39" s="86">
        <v>1088.3729206676753</v>
      </c>
      <c r="F39" s="86">
        <v>1088.3729206676753</v>
      </c>
      <c r="G39" s="86">
        <v>1088.3729206676753</v>
      </c>
      <c r="H39" s="86">
        <v>1088.3729206676753</v>
      </c>
      <c r="I39" s="86">
        <v>1088.3729206676753</v>
      </c>
      <c r="J39" s="86">
        <v>1088.3729206676753</v>
      </c>
    </row>
    <row r="40" spans="1:10" x14ac:dyDescent="0.25">
      <c r="A40" s="250"/>
      <c r="B40" s="124" t="s">
        <v>450</v>
      </c>
      <c r="C40" s="127">
        <f t="shared" si="3"/>
        <v>0</v>
      </c>
      <c r="D40" s="86">
        <v>0</v>
      </c>
      <c r="E40" s="86">
        <v>0</v>
      </c>
      <c r="F40" s="86">
        <v>0</v>
      </c>
      <c r="G40" s="86">
        <v>0</v>
      </c>
      <c r="H40" s="86">
        <v>0</v>
      </c>
      <c r="I40" s="86">
        <v>320</v>
      </c>
      <c r="J40" s="86">
        <v>320</v>
      </c>
    </row>
    <row r="41" spans="1:10" x14ac:dyDescent="0.25">
      <c r="A41" s="84"/>
      <c r="B41" s="84"/>
      <c r="C41" s="84"/>
      <c r="D41" s="84"/>
      <c r="E41" s="84"/>
      <c r="F41" s="84"/>
      <c r="G41" s="84"/>
      <c r="H41" s="84"/>
      <c r="I41" s="84"/>
      <c r="J41" s="84"/>
    </row>
    <row r="42" spans="1:10" x14ac:dyDescent="0.25">
      <c r="A42" s="242" t="s">
        <v>85</v>
      </c>
      <c r="B42" s="85" t="s">
        <v>137</v>
      </c>
      <c r="C42" s="127">
        <f>INDEX(D42:J42,$C$1)</f>
        <v>150</v>
      </c>
      <c r="D42" s="83">
        <v>150</v>
      </c>
      <c r="E42" s="83">
        <v>150</v>
      </c>
      <c r="F42" s="83">
        <v>150</v>
      </c>
      <c r="G42" s="83">
        <v>150</v>
      </c>
      <c r="H42" s="83">
        <v>150</v>
      </c>
      <c r="I42" s="83">
        <v>150</v>
      </c>
      <c r="J42" s="83">
        <v>150</v>
      </c>
    </row>
    <row r="43" spans="1:10" x14ac:dyDescent="0.25">
      <c r="A43" s="243"/>
      <c r="B43" s="85" t="s">
        <v>182</v>
      </c>
      <c r="C43" s="127">
        <f>INDEX(D43:J43,$C$1)</f>
        <v>10</v>
      </c>
      <c r="D43" s="83">
        <v>10</v>
      </c>
      <c r="E43" s="83">
        <v>10</v>
      </c>
      <c r="F43" s="83">
        <v>10</v>
      </c>
      <c r="G43" s="83">
        <v>10</v>
      </c>
      <c r="H43" s="83">
        <v>10</v>
      </c>
      <c r="I43" s="83">
        <v>10</v>
      </c>
      <c r="J43" s="83">
        <v>10</v>
      </c>
    </row>
    <row r="44" spans="1:10" x14ac:dyDescent="0.25">
      <c r="A44" s="243"/>
      <c r="B44" s="85" t="s">
        <v>183</v>
      </c>
      <c r="C44" s="127">
        <f>INDEX(D44:J44,$C$1)</f>
        <v>0.85</v>
      </c>
      <c r="D44" s="83">
        <v>0.85</v>
      </c>
      <c r="E44" s="83">
        <v>0.85</v>
      </c>
      <c r="F44" s="83">
        <v>0.85</v>
      </c>
      <c r="G44" s="83">
        <v>0.85</v>
      </c>
      <c r="H44" s="83">
        <v>0.85</v>
      </c>
      <c r="I44" s="83">
        <v>0.85</v>
      </c>
      <c r="J44" s="83">
        <v>0.85</v>
      </c>
    </row>
    <row r="45" spans="1:10" x14ac:dyDescent="0.25">
      <c r="A45" s="243"/>
      <c r="B45" s="85" t="s">
        <v>28</v>
      </c>
      <c r="C45" s="127">
        <f>INDEX(D45:J45,$C$1)</f>
        <v>0</v>
      </c>
      <c r="D45" s="83">
        <v>0</v>
      </c>
      <c r="E45" s="83">
        <v>0</v>
      </c>
      <c r="F45" s="83">
        <v>0</v>
      </c>
      <c r="G45" s="83">
        <v>0</v>
      </c>
      <c r="H45" s="83">
        <v>0</v>
      </c>
      <c r="I45" s="83">
        <v>0</v>
      </c>
      <c r="J45" s="83">
        <v>0</v>
      </c>
    </row>
    <row r="46" spans="1:10" x14ac:dyDescent="0.25">
      <c r="A46" s="84"/>
      <c r="B46" s="84"/>
      <c r="C46" s="84"/>
      <c r="D46" s="84"/>
      <c r="E46" s="84"/>
      <c r="F46" s="84"/>
      <c r="G46" s="84"/>
      <c r="H46" s="84"/>
      <c r="I46" s="84"/>
      <c r="J46" s="84"/>
    </row>
    <row r="47" spans="1:10" x14ac:dyDescent="0.25">
      <c r="A47" s="242" t="s">
        <v>86</v>
      </c>
      <c r="B47" s="85" t="s">
        <v>184</v>
      </c>
      <c r="C47" s="127">
        <f>INDEX(D47:J47,$C$1)</f>
        <v>125</v>
      </c>
      <c r="D47" s="85">
        <v>125</v>
      </c>
      <c r="E47" s="85">
        <v>125</v>
      </c>
      <c r="F47" s="85">
        <v>125</v>
      </c>
      <c r="G47" s="85">
        <v>125</v>
      </c>
      <c r="H47" s="85">
        <v>125</v>
      </c>
      <c r="I47" s="85">
        <v>125</v>
      </c>
      <c r="J47" s="85">
        <v>125</v>
      </c>
    </row>
    <row r="48" spans="1:10" x14ac:dyDescent="0.25">
      <c r="A48" s="243"/>
      <c r="B48" s="85" t="s">
        <v>28</v>
      </c>
      <c r="C48" s="127">
        <f>INDEX(D48:J48,$C$1)</f>
        <v>0</v>
      </c>
      <c r="D48" s="85">
        <v>0</v>
      </c>
      <c r="E48" s="85">
        <v>0</v>
      </c>
      <c r="F48" s="85">
        <v>0</v>
      </c>
      <c r="G48" s="85">
        <v>0</v>
      </c>
      <c r="H48" s="85">
        <v>0</v>
      </c>
      <c r="I48" s="85">
        <v>0</v>
      </c>
      <c r="J48" s="85">
        <v>0</v>
      </c>
    </row>
    <row r="49" spans="1:10" x14ac:dyDescent="0.25">
      <c r="A49" s="250"/>
      <c r="B49" s="85"/>
      <c r="C49" s="85"/>
      <c r="D49" s="85"/>
      <c r="E49" s="85"/>
      <c r="F49" s="85"/>
      <c r="G49" s="85"/>
      <c r="H49" s="85"/>
      <c r="I49" s="85"/>
      <c r="J49" s="85"/>
    </row>
    <row r="50" spans="1:10" x14ac:dyDescent="0.25">
      <c r="A50" s="84"/>
      <c r="B50" s="84"/>
      <c r="C50" s="84"/>
      <c r="D50" s="84"/>
      <c r="E50" s="84"/>
      <c r="F50" s="84"/>
      <c r="G50" s="84"/>
      <c r="H50" s="84"/>
      <c r="I50" s="84"/>
      <c r="J50" s="84"/>
    </row>
    <row r="51" spans="1:10" x14ac:dyDescent="0.25">
      <c r="A51" s="242"/>
      <c r="B51" s="85"/>
      <c r="C51" s="127"/>
      <c r="D51" s="86"/>
      <c r="E51" s="86"/>
      <c r="F51" s="86"/>
      <c r="G51" s="86"/>
      <c r="H51" s="86"/>
      <c r="I51" s="86"/>
      <c r="J51" s="86"/>
    </row>
    <row r="52" spans="1:10" x14ac:dyDescent="0.25">
      <c r="A52" s="243"/>
      <c r="B52" s="85"/>
      <c r="C52" s="127"/>
      <c r="D52" s="86"/>
      <c r="E52" s="86"/>
      <c r="F52" s="86"/>
      <c r="G52" s="86"/>
      <c r="H52" s="86"/>
      <c r="I52" s="86"/>
      <c r="J52" s="86"/>
    </row>
    <row r="53" spans="1:10" x14ac:dyDescent="0.25">
      <c r="A53" s="243"/>
      <c r="B53" s="85"/>
      <c r="C53" s="85"/>
      <c r="D53" s="85"/>
      <c r="E53" s="85"/>
      <c r="F53" s="85"/>
      <c r="G53" s="85"/>
      <c r="H53" s="85"/>
      <c r="I53" s="85"/>
      <c r="J53" s="85"/>
    </row>
    <row r="54" spans="1:10" x14ac:dyDescent="0.25">
      <c r="A54" s="82"/>
      <c r="B54" s="84"/>
      <c r="C54" s="84"/>
      <c r="D54" s="84"/>
      <c r="E54" s="84"/>
      <c r="F54" s="84"/>
      <c r="G54" s="84"/>
      <c r="H54" s="84"/>
      <c r="I54" s="84"/>
      <c r="J54" s="84"/>
    </row>
    <row r="55" spans="1:10" x14ac:dyDescent="0.25">
      <c r="A55" s="256" t="s">
        <v>64</v>
      </c>
      <c r="B55" s="124" t="s">
        <v>331</v>
      </c>
      <c r="C55" s="127">
        <f>INDEX(D55:J55,$C$1)</f>
        <v>30.999999999999915</v>
      </c>
      <c r="D55" s="85">
        <v>30.999999999999915</v>
      </c>
      <c r="E55" s="85">
        <v>30.999999999999915</v>
      </c>
      <c r="F55" s="85">
        <v>30.999999999999915</v>
      </c>
      <c r="G55" s="85">
        <v>30.999999999999915</v>
      </c>
      <c r="H55" s="85">
        <v>30.999999999999915</v>
      </c>
      <c r="I55" s="85">
        <v>30.999999999999915</v>
      </c>
      <c r="J55" s="85">
        <v>30.999999999999915</v>
      </c>
    </row>
    <row r="56" spans="1:10" x14ac:dyDescent="0.25">
      <c r="A56" s="256"/>
      <c r="B56" s="85" t="s">
        <v>332</v>
      </c>
      <c r="C56" s="127">
        <f>INDEX(D56:J56,$C$1)</f>
        <v>2.8000000000000171</v>
      </c>
      <c r="D56" s="85">
        <v>2.8000000000000171</v>
      </c>
      <c r="E56" s="85">
        <v>2.8000000000000171</v>
      </c>
      <c r="F56" s="85">
        <v>2.8000000000000171</v>
      </c>
      <c r="G56" s="85">
        <v>2.8000000000000171</v>
      </c>
      <c r="H56" s="85">
        <v>2.8000000000000171</v>
      </c>
      <c r="I56" s="85">
        <v>2.8000000000000171</v>
      </c>
      <c r="J56" s="85">
        <v>2.8000000000000171</v>
      </c>
    </row>
    <row r="57" spans="1:10" x14ac:dyDescent="0.25">
      <c r="A57" s="256"/>
      <c r="B57" s="85" t="s">
        <v>336</v>
      </c>
      <c r="C57" s="127">
        <f>INDEX(D57:J57,$C$1)</f>
        <v>1.1600000000000055</v>
      </c>
      <c r="D57" s="85">
        <v>1.1600000000000055</v>
      </c>
      <c r="E57" s="85">
        <v>1.1600000000000055</v>
      </c>
      <c r="F57" s="85">
        <v>1.1600000000000055</v>
      </c>
      <c r="G57" s="85">
        <v>1.1600000000000055</v>
      </c>
      <c r="H57" s="85">
        <v>1.1600000000000055</v>
      </c>
      <c r="I57" s="85">
        <v>1.1600000000000055</v>
      </c>
      <c r="J57" s="85">
        <v>1.1600000000000055</v>
      </c>
    </row>
    <row r="62" spans="1:10" x14ac:dyDescent="0.25">
      <c r="A62" s="82"/>
      <c r="B62" s="84"/>
      <c r="C62" s="84"/>
      <c r="D62" s="84"/>
      <c r="E62" s="84"/>
      <c r="F62" s="84"/>
      <c r="G62" s="84"/>
      <c r="H62" s="84"/>
      <c r="I62" s="84"/>
      <c r="J62" s="84"/>
    </row>
    <row r="63" spans="1:10" x14ac:dyDescent="0.25">
      <c r="A63" s="242" t="s">
        <v>87</v>
      </c>
      <c r="B63" s="124" t="s">
        <v>203</v>
      </c>
      <c r="C63" s="127">
        <f>INDEX(D63:J63,$C$1)</f>
        <v>8</v>
      </c>
      <c r="D63" s="86">
        <v>8</v>
      </c>
      <c r="E63" s="86">
        <v>8</v>
      </c>
      <c r="F63" s="86">
        <v>8</v>
      </c>
      <c r="G63" s="86">
        <v>8</v>
      </c>
      <c r="H63" s="86">
        <v>8</v>
      </c>
      <c r="I63" s="86">
        <v>8</v>
      </c>
      <c r="J63" s="86">
        <v>8</v>
      </c>
    </row>
    <row r="64" spans="1:10" x14ac:dyDescent="0.25">
      <c r="A64" s="243"/>
      <c r="B64" s="85" t="s">
        <v>185</v>
      </c>
      <c r="C64" s="127">
        <f>INDEX(D64:J64,$C$1)</f>
        <v>0.5</v>
      </c>
      <c r="D64" s="86">
        <v>0.5</v>
      </c>
      <c r="E64" s="86">
        <v>0.5</v>
      </c>
      <c r="F64" s="86">
        <v>0.5</v>
      </c>
      <c r="G64" s="86">
        <v>0.5</v>
      </c>
      <c r="H64" s="86">
        <v>0.5</v>
      </c>
      <c r="I64" s="86">
        <v>0.5</v>
      </c>
      <c r="J64" s="86">
        <v>0.5</v>
      </c>
    </row>
    <row r="65" spans="1:10" x14ac:dyDescent="0.25">
      <c r="A65" s="243"/>
      <c r="B65" s="85" t="s">
        <v>380</v>
      </c>
      <c r="C65" s="127">
        <f>INDEX(D65:J65,$C$1)</f>
        <v>0.3</v>
      </c>
      <c r="D65" s="86">
        <v>0.3</v>
      </c>
      <c r="E65" s="86">
        <v>0.3</v>
      </c>
      <c r="F65" s="86">
        <v>0.3</v>
      </c>
      <c r="G65" s="86">
        <v>0.3</v>
      </c>
      <c r="H65" s="86">
        <v>0.3</v>
      </c>
      <c r="I65" s="86">
        <v>0.3</v>
      </c>
      <c r="J65" s="86">
        <v>0.3</v>
      </c>
    </row>
    <row r="66" spans="1:10" x14ac:dyDescent="0.25">
      <c r="A66" s="243"/>
      <c r="B66" s="85" t="s">
        <v>28</v>
      </c>
      <c r="C66" s="127">
        <f>INDEX(D66:J66,$C$1)</f>
        <v>0</v>
      </c>
      <c r="D66" s="86">
        <v>0</v>
      </c>
      <c r="E66" s="86">
        <v>0</v>
      </c>
      <c r="F66" s="86">
        <v>0</v>
      </c>
      <c r="G66" s="86">
        <v>0</v>
      </c>
      <c r="H66" s="86">
        <v>0</v>
      </c>
      <c r="I66" s="86">
        <v>0</v>
      </c>
      <c r="J66" s="86">
        <v>0</v>
      </c>
    </row>
    <row r="67" spans="1:10" x14ac:dyDescent="0.25">
      <c r="A67" s="243"/>
      <c r="B67" s="85"/>
      <c r="C67" s="85"/>
      <c r="D67" s="85"/>
      <c r="E67" s="85"/>
      <c r="F67" s="85"/>
      <c r="G67" s="85"/>
      <c r="H67" s="85"/>
      <c r="I67" s="85"/>
      <c r="J67" s="85"/>
    </row>
    <row r="68" spans="1:10" x14ac:dyDescent="0.25">
      <c r="A68" s="82"/>
      <c r="B68" s="84"/>
      <c r="C68" s="84"/>
      <c r="D68" s="84"/>
      <c r="E68" s="84"/>
      <c r="F68" s="84"/>
      <c r="G68" s="84"/>
      <c r="H68" s="84"/>
      <c r="I68" s="84"/>
      <c r="J68" s="84"/>
    </row>
    <row r="69" spans="1:10" x14ac:dyDescent="0.25">
      <c r="A69" s="242" t="s">
        <v>392</v>
      </c>
      <c r="B69" s="85" t="s">
        <v>151</v>
      </c>
      <c r="C69" s="127">
        <f>INDEX(D69:J69,$C$1)</f>
        <v>0.99999999999988987</v>
      </c>
      <c r="D69" s="86">
        <v>0.99999999999988987</v>
      </c>
      <c r="E69" s="86">
        <v>0.99999999999988987</v>
      </c>
      <c r="F69" s="86">
        <v>0.99999999999988987</v>
      </c>
      <c r="G69" s="86">
        <v>0.99999999999988987</v>
      </c>
      <c r="H69" s="86">
        <v>0.99999999999988987</v>
      </c>
      <c r="I69" s="86">
        <v>0.99999999999988987</v>
      </c>
      <c r="J69" s="86">
        <v>0.99999999999988987</v>
      </c>
    </row>
    <row r="70" spans="1:10" x14ac:dyDescent="0.25">
      <c r="A70" s="243"/>
      <c r="B70" s="85" t="s">
        <v>150</v>
      </c>
      <c r="C70" s="127">
        <f>INDEX(D70:J70,$C$1)</f>
        <v>64.999999999999943</v>
      </c>
      <c r="D70" s="86">
        <v>64.999999999999943</v>
      </c>
      <c r="E70" s="86">
        <v>64.999999999999943</v>
      </c>
      <c r="F70" s="86">
        <v>64.999999999999943</v>
      </c>
      <c r="G70" s="86">
        <v>64.999999999999943</v>
      </c>
      <c r="H70" s="86">
        <v>64.999999999999943</v>
      </c>
      <c r="I70" s="86">
        <v>64.999999999999943</v>
      </c>
      <c r="J70" s="86">
        <v>64.999999999999943</v>
      </c>
    </row>
    <row r="71" spans="1:10" x14ac:dyDescent="0.25">
      <c r="A71" s="243"/>
      <c r="B71" s="85" t="s">
        <v>371</v>
      </c>
      <c r="C71" s="127">
        <f>INDEX(D71:J71,$C$1)</f>
        <v>1085.0000000000005</v>
      </c>
      <c r="D71" s="85">
        <v>1085.0000000000005</v>
      </c>
      <c r="E71" s="85">
        <v>1085.0000000000005</v>
      </c>
      <c r="F71" s="85">
        <v>1085.0000000000005</v>
      </c>
      <c r="G71" s="85">
        <v>1085.0000000000005</v>
      </c>
      <c r="H71" s="85">
        <v>1085.0000000000005</v>
      </c>
      <c r="I71" s="85">
        <v>1085.0000000000005</v>
      </c>
      <c r="J71" s="85">
        <v>1085.0000000000005</v>
      </c>
    </row>
    <row r="72" spans="1:10" x14ac:dyDescent="0.25">
      <c r="A72" s="243"/>
      <c r="B72" s="125" t="s">
        <v>394</v>
      </c>
      <c r="C72" s="127">
        <f>INDEX(D72:J72,$C$1)</f>
        <v>426.99999999999983</v>
      </c>
      <c r="D72" s="85">
        <v>426.99999999999983</v>
      </c>
      <c r="E72" s="85">
        <v>426.99999999999983</v>
      </c>
      <c r="F72" s="85">
        <v>426.99999999999983</v>
      </c>
      <c r="G72" s="85">
        <v>426.99999999999983</v>
      </c>
      <c r="H72" s="85">
        <v>426.99999999999983</v>
      </c>
      <c r="I72" s="85">
        <v>426.99999999999983</v>
      </c>
      <c r="J72" s="85">
        <v>426.99999999999983</v>
      </c>
    </row>
    <row r="73" spans="1:10" x14ac:dyDescent="0.25">
      <c r="A73" s="243"/>
      <c r="B73" s="125" t="s">
        <v>395</v>
      </c>
      <c r="C73" s="127">
        <f>INDEX(D73:J73,$C$1)</f>
        <v>96.999999999999972</v>
      </c>
      <c r="D73" s="85">
        <v>96.999999999999972</v>
      </c>
      <c r="E73" s="85">
        <v>96.999999999999972</v>
      </c>
      <c r="F73" s="85">
        <v>96.999999999999972</v>
      </c>
      <c r="G73" s="85">
        <v>96.999999999999972</v>
      </c>
      <c r="H73" s="85">
        <v>96.999999999999972</v>
      </c>
      <c r="I73" s="85">
        <v>96.999999999999972</v>
      </c>
      <c r="J73" s="85">
        <v>96.999999999999972</v>
      </c>
    </row>
    <row r="74" spans="1:10" x14ac:dyDescent="0.25">
      <c r="A74" s="243"/>
      <c r="B74" s="85"/>
      <c r="C74" s="85"/>
      <c r="D74" s="85"/>
      <c r="E74" s="85"/>
      <c r="F74" s="85"/>
      <c r="G74" s="85"/>
      <c r="H74" s="85"/>
      <c r="I74" s="85"/>
      <c r="J74" s="85"/>
    </row>
    <row r="75" spans="1:10" x14ac:dyDescent="0.25">
      <c r="A75" s="82"/>
      <c r="B75" s="84"/>
      <c r="C75" s="84"/>
      <c r="D75" s="84"/>
      <c r="E75" s="84"/>
      <c r="F75" s="84"/>
      <c r="G75" s="84"/>
      <c r="H75" s="84"/>
      <c r="I75" s="84"/>
      <c r="J75" s="84"/>
    </row>
    <row r="76" spans="1:10" x14ac:dyDescent="0.25">
      <c r="A76" s="242"/>
      <c r="B76" s="124"/>
      <c r="C76" s="127"/>
      <c r="D76" s="86"/>
      <c r="E76" s="86"/>
      <c r="F76" s="86"/>
      <c r="G76" s="86"/>
      <c r="H76" s="86"/>
      <c r="I76" s="86"/>
      <c r="J76" s="86"/>
    </row>
    <row r="77" spans="1:10" x14ac:dyDescent="0.25">
      <c r="A77" s="243"/>
      <c r="B77" s="124"/>
      <c r="C77" s="127"/>
      <c r="D77" s="86"/>
      <c r="E77" s="86"/>
      <c r="F77" s="86"/>
      <c r="G77" s="86"/>
      <c r="H77" s="86"/>
      <c r="I77" s="86"/>
      <c r="J77" s="86"/>
    </row>
    <row r="78" spans="1:10" x14ac:dyDescent="0.25">
      <c r="A78" s="243"/>
      <c r="B78" s="85"/>
      <c r="C78" s="85"/>
      <c r="D78" s="85"/>
      <c r="E78" s="85"/>
      <c r="F78" s="85"/>
      <c r="G78" s="85"/>
      <c r="H78" s="85"/>
      <c r="I78" s="85"/>
      <c r="J78" s="85"/>
    </row>
    <row r="79" spans="1:10" x14ac:dyDescent="0.25">
      <c r="A79" s="82"/>
      <c r="B79" s="84"/>
      <c r="C79" s="84"/>
      <c r="D79" s="84"/>
      <c r="E79" s="84"/>
      <c r="F79" s="84"/>
      <c r="G79" s="84"/>
      <c r="H79" s="84"/>
      <c r="I79" s="84"/>
      <c r="J79" s="84"/>
    </row>
    <row r="80" spans="1:10" x14ac:dyDescent="0.25">
      <c r="A80" s="249"/>
      <c r="B80" s="137"/>
      <c r="C80" s="127"/>
      <c r="D80" s="85"/>
      <c r="E80" s="85"/>
      <c r="F80" s="85"/>
      <c r="G80" s="85"/>
      <c r="H80" s="85"/>
      <c r="I80" s="85"/>
      <c r="J80" s="85"/>
    </row>
    <row r="81" spans="1:10" x14ac:dyDescent="0.25">
      <c r="A81" s="243"/>
      <c r="B81" s="137"/>
      <c r="C81" s="127"/>
      <c r="D81" s="85"/>
      <c r="E81" s="85"/>
      <c r="F81" s="85"/>
      <c r="G81" s="85"/>
      <c r="H81" s="85"/>
      <c r="I81" s="85"/>
      <c r="J81" s="85"/>
    </row>
    <row r="82" spans="1:10" x14ac:dyDescent="0.25">
      <c r="A82" s="243"/>
      <c r="B82" s="85"/>
      <c r="C82" s="85"/>
      <c r="D82" s="85"/>
      <c r="E82" s="85"/>
      <c r="F82" s="85"/>
      <c r="G82" s="85"/>
      <c r="H82" s="85"/>
      <c r="I82" s="85"/>
      <c r="J82" s="85"/>
    </row>
    <row r="83" spans="1:10" x14ac:dyDescent="0.25">
      <c r="A83" s="82"/>
      <c r="B83" s="84"/>
      <c r="C83" s="84"/>
      <c r="D83" s="84"/>
      <c r="E83" s="84"/>
      <c r="F83" s="84"/>
      <c r="G83" s="84"/>
      <c r="H83" s="84"/>
      <c r="I83" s="84"/>
      <c r="J83" s="84"/>
    </row>
    <row r="84" spans="1:10" x14ac:dyDescent="0.25">
      <c r="A84" s="242"/>
      <c r="B84" s="93"/>
      <c r="C84" s="93"/>
      <c r="D84" s="119"/>
      <c r="E84" s="119"/>
      <c r="F84" s="119"/>
      <c r="G84" s="119"/>
      <c r="H84" s="119"/>
      <c r="I84" s="119"/>
      <c r="J84" s="119"/>
    </row>
    <row r="85" spans="1:10" x14ac:dyDescent="0.25">
      <c r="A85" s="243"/>
      <c r="B85" s="94"/>
      <c r="C85" s="127"/>
      <c r="D85" s="86"/>
      <c r="E85" s="86"/>
      <c r="F85" s="86"/>
      <c r="G85" s="86"/>
      <c r="H85" s="86"/>
      <c r="I85" s="86"/>
      <c r="J85" s="86"/>
    </row>
    <row r="86" spans="1:10" x14ac:dyDescent="0.25">
      <c r="A86" s="243"/>
      <c r="B86" s="94"/>
      <c r="C86" s="127"/>
      <c r="D86" s="86"/>
      <c r="E86" s="86"/>
      <c r="F86" s="86"/>
      <c r="G86" s="86"/>
      <c r="H86" s="86"/>
      <c r="I86" s="86"/>
      <c r="J86" s="86"/>
    </row>
    <row r="87" spans="1:10" x14ac:dyDescent="0.25">
      <c r="A87" s="243"/>
      <c r="B87" s="91"/>
      <c r="C87" s="127"/>
      <c r="D87" s="86"/>
      <c r="E87" s="86"/>
      <c r="F87" s="86"/>
      <c r="G87" s="86"/>
      <c r="H87" s="86"/>
      <c r="I87" s="86"/>
      <c r="J87" s="86"/>
    </row>
    <row r="88" spans="1:10" x14ac:dyDescent="0.25">
      <c r="A88" s="243"/>
      <c r="B88" s="85"/>
      <c r="C88" s="85"/>
      <c r="D88" s="85"/>
      <c r="E88" s="85"/>
      <c r="F88" s="85"/>
      <c r="G88" s="85"/>
      <c r="H88" s="85"/>
      <c r="I88" s="85"/>
      <c r="J88" s="85"/>
    </row>
    <row r="89" spans="1:10" x14ac:dyDescent="0.25">
      <c r="A89" s="82"/>
      <c r="B89" s="84"/>
      <c r="C89" s="84"/>
      <c r="D89" s="84"/>
      <c r="E89" s="84"/>
      <c r="F89" s="84"/>
      <c r="G89" s="84"/>
      <c r="H89" s="84"/>
      <c r="I89" s="84"/>
      <c r="J89" s="84"/>
    </row>
    <row r="90" spans="1:10" x14ac:dyDescent="0.25">
      <c r="A90" s="242"/>
      <c r="B90" s="86"/>
      <c r="C90" s="127"/>
      <c r="D90" s="85"/>
      <c r="E90" s="85"/>
      <c r="F90" s="85"/>
      <c r="G90" s="85"/>
      <c r="H90" s="85"/>
      <c r="I90" s="85"/>
      <c r="J90" s="85"/>
    </row>
    <row r="91" spans="1:10" x14ac:dyDescent="0.25">
      <c r="A91" s="243"/>
      <c r="B91" s="86"/>
      <c r="C91" s="127"/>
      <c r="D91" s="85"/>
      <c r="E91" s="85"/>
      <c r="F91" s="85"/>
      <c r="G91" s="85"/>
      <c r="H91" s="85"/>
      <c r="I91" s="85"/>
      <c r="J91" s="85"/>
    </row>
    <row r="92" spans="1:10" x14ac:dyDescent="0.25">
      <c r="A92" s="243"/>
      <c r="B92" s="85"/>
      <c r="C92" s="85"/>
      <c r="D92" s="85"/>
      <c r="E92" s="85"/>
      <c r="F92" s="85"/>
      <c r="G92" s="85"/>
      <c r="H92" s="85"/>
      <c r="I92" s="85"/>
      <c r="J92" s="85"/>
    </row>
    <row r="93" spans="1:10" x14ac:dyDescent="0.25">
      <c r="A93" s="82"/>
      <c r="B93" s="84"/>
      <c r="C93" s="84"/>
      <c r="D93" s="84"/>
      <c r="E93" s="84"/>
      <c r="F93" s="84"/>
      <c r="G93" s="84"/>
      <c r="H93" s="84"/>
      <c r="I93" s="84"/>
      <c r="J93" s="84"/>
    </row>
    <row r="94" spans="1:10" ht="12.6" customHeight="1" x14ac:dyDescent="0.25">
      <c r="A94" s="247" t="s">
        <v>1</v>
      </c>
      <c r="B94" s="85" t="s">
        <v>141</v>
      </c>
      <c r="C94" s="127">
        <f>INDEX(D94:J94,$C$1)</f>
        <v>650</v>
      </c>
      <c r="D94" s="85">
        <v>650</v>
      </c>
      <c r="E94" s="85">
        <v>650</v>
      </c>
      <c r="F94" s="85">
        <v>650</v>
      </c>
      <c r="G94" s="85">
        <v>650</v>
      </c>
      <c r="H94" s="85">
        <v>650</v>
      </c>
      <c r="I94" s="85">
        <v>650</v>
      </c>
      <c r="J94" s="85">
        <v>650</v>
      </c>
    </row>
    <row r="95" spans="1:10" ht="12.6" customHeight="1" x14ac:dyDescent="0.25">
      <c r="A95" s="248"/>
      <c r="B95" s="85" t="s">
        <v>117</v>
      </c>
      <c r="C95" s="127">
        <f>INDEX(D95:J95,$C$1)</f>
        <v>41</v>
      </c>
      <c r="D95" s="85">
        <v>41</v>
      </c>
      <c r="E95" s="85">
        <v>41</v>
      </c>
      <c r="F95" s="85">
        <v>41</v>
      </c>
      <c r="G95" s="85">
        <v>41</v>
      </c>
      <c r="H95" s="85">
        <v>41</v>
      </c>
      <c r="I95" s="85">
        <v>41</v>
      </c>
      <c r="J95" s="85">
        <v>41</v>
      </c>
    </row>
    <row r="96" spans="1:10" ht="12.6" customHeight="1" x14ac:dyDescent="0.25">
      <c r="A96" s="248"/>
      <c r="B96" s="85"/>
      <c r="C96" s="85"/>
      <c r="D96" s="85"/>
      <c r="E96" s="85"/>
      <c r="F96" s="85"/>
      <c r="G96" s="85"/>
      <c r="H96" s="85"/>
      <c r="I96" s="85"/>
      <c r="J96" s="85"/>
    </row>
    <row r="97" spans="1:10" x14ac:dyDescent="0.25">
      <c r="A97" s="82"/>
      <c r="B97" s="84"/>
      <c r="C97" s="84"/>
      <c r="D97" s="84"/>
      <c r="E97" s="84"/>
      <c r="F97" s="84"/>
      <c r="G97" s="84"/>
      <c r="H97" s="84"/>
      <c r="I97" s="84"/>
      <c r="J97" s="84"/>
    </row>
    <row r="98" spans="1:10" x14ac:dyDescent="0.25">
      <c r="A98" s="242" t="s">
        <v>113</v>
      </c>
      <c r="B98" s="92" t="s">
        <v>186</v>
      </c>
      <c r="C98" s="127">
        <f t="shared" ref="C98:C108" si="4">INDEX(D98:J98,$C$1)</f>
        <v>1.7422222222222276E-2</v>
      </c>
      <c r="D98" s="86">
        <v>1.7422222222222276E-2</v>
      </c>
      <c r="E98" s="86">
        <v>1.7422222222222276E-2</v>
      </c>
      <c r="F98" s="86">
        <v>1.7422222222222276E-2</v>
      </c>
      <c r="G98" s="86">
        <v>1.7422222222222276E-2</v>
      </c>
      <c r="H98" s="86">
        <v>1.7422222222222276E-2</v>
      </c>
      <c r="I98" s="86">
        <v>1.7422222222222276E-2</v>
      </c>
      <c r="J98" s="86">
        <v>1.7422222222222276E-2</v>
      </c>
    </row>
    <row r="99" spans="1:10" x14ac:dyDescent="0.25">
      <c r="A99" s="243"/>
      <c r="B99" s="92" t="s">
        <v>188</v>
      </c>
      <c r="C99" s="127">
        <f t="shared" si="4"/>
        <v>1.7422222222222276E-2</v>
      </c>
      <c r="D99" s="86">
        <v>1.7422222222222276E-2</v>
      </c>
      <c r="E99" s="86">
        <v>1.7422222222222276E-2</v>
      </c>
      <c r="F99" s="86">
        <v>1.7422222222222276E-2</v>
      </c>
      <c r="G99" s="86">
        <v>1.7422222222222276E-2</v>
      </c>
      <c r="H99" s="86">
        <v>1.7422222222222276E-2</v>
      </c>
      <c r="I99" s="86">
        <v>1.7422222222222276E-2</v>
      </c>
      <c r="J99" s="86">
        <v>1.7422222222222276E-2</v>
      </c>
    </row>
    <row r="100" spans="1:10" x14ac:dyDescent="0.25">
      <c r="A100" s="243"/>
      <c r="B100" s="92" t="s">
        <v>187</v>
      </c>
      <c r="C100" s="127">
        <f t="shared" si="4"/>
        <v>3.3066666666666578E-2</v>
      </c>
      <c r="D100" s="86">
        <v>3.3066666666666578E-2</v>
      </c>
      <c r="E100" s="86">
        <v>3.3066666666666578E-2</v>
      </c>
      <c r="F100" s="86">
        <v>3.3066666666666578E-2</v>
      </c>
      <c r="G100" s="86">
        <v>3.3066666666666578E-2</v>
      </c>
      <c r="H100" s="86">
        <v>3.3066666666666578E-2</v>
      </c>
      <c r="I100" s="86">
        <v>3.3066666666666578E-2</v>
      </c>
      <c r="J100" s="86">
        <v>3.3066666666666578E-2</v>
      </c>
    </row>
    <row r="101" spans="1:10" x14ac:dyDescent="0.25">
      <c r="A101" s="243"/>
      <c r="B101" s="157" t="s">
        <v>376</v>
      </c>
      <c r="C101" s="127">
        <f t="shared" si="4"/>
        <v>0</v>
      </c>
      <c r="D101" s="86">
        <v>0</v>
      </c>
      <c r="E101" s="86">
        <v>0</v>
      </c>
      <c r="F101" s="86">
        <v>0</v>
      </c>
      <c r="G101" s="86">
        <v>0</v>
      </c>
      <c r="H101" s="86">
        <v>0</v>
      </c>
      <c r="I101" s="86">
        <v>0</v>
      </c>
      <c r="J101" s="86">
        <v>0</v>
      </c>
    </row>
    <row r="102" spans="1:10" x14ac:dyDescent="0.25">
      <c r="A102" s="243"/>
      <c r="B102" s="157" t="s">
        <v>377</v>
      </c>
      <c r="C102" s="127">
        <f t="shared" si="4"/>
        <v>1.1733333333333344E-2</v>
      </c>
      <c r="D102" s="86">
        <v>1.1733333333333344E-2</v>
      </c>
      <c r="E102" s="86">
        <v>1.1733333333333344E-2</v>
      </c>
      <c r="F102" s="86">
        <v>1.1733333333333344E-2</v>
      </c>
      <c r="G102" s="86">
        <v>1.1733333333333344E-2</v>
      </c>
      <c r="H102" s="86">
        <v>1.1733333333333344E-2</v>
      </c>
      <c r="I102" s="86">
        <v>1.1733333333333344E-2</v>
      </c>
      <c r="J102" s="86">
        <v>1.1733333333333344E-2</v>
      </c>
    </row>
    <row r="103" spans="1:10" x14ac:dyDescent="0.25">
      <c r="A103" s="243"/>
      <c r="B103" s="157" t="s">
        <v>378</v>
      </c>
      <c r="C103" s="127">
        <f t="shared" si="4"/>
        <v>1.5999999999999976E-2</v>
      </c>
      <c r="D103" s="86">
        <v>1.5999999999999976E-2</v>
      </c>
      <c r="E103" s="86">
        <v>1.5999999999999976E-2</v>
      </c>
      <c r="F103" s="86">
        <v>1.5999999999999976E-2</v>
      </c>
      <c r="G103" s="86">
        <v>1.5999999999999976E-2</v>
      </c>
      <c r="H103" s="86">
        <v>1.5999999999999976E-2</v>
      </c>
      <c r="I103" s="86">
        <v>1.5999999999999976E-2</v>
      </c>
      <c r="J103" s="86">
        <v>1.5999999999999976E-2</v>
      </c>
    </row>
    <row r="104" spans="1:10" x14ac:dyDescent="0.25">
      <c r="A104" s="243"/>
      <c r="B104" s="157" t="s">
        <v>379</v>
      </c>
      <c r="C104" s="127">
        <f t="shared" si="4"/>
        <v>1.5999999999999976E-2</v>
      </c>
      <c r="D104" s="86">
        <v>1.5999999999999976E-2</v>
      </c>
      <c r="E104" s="86">
        <v>1.5999999999999976E-2</v>
      </c>
      <c r="F104" s="86">
        <v>1.5999999999999976E-2</v>
      </c>
      <c r="G104" s="86">
        <v>1.5999999999999976E-2</v>
      </c>
      <c r="H104" s="86">
        <v>1.5999999999999976E-2</v>
      </c>
      <c r="I104" s="86">
        <v>1.5999999999999976E-2</v>
      </c>
      <c r="J104" s="86">
        <v>1.5999999999999976E-2</v>
      </c>
    </row>
    <row r="105" spans="1:10" x14ac:dyDescent="0.25">
      <c r="A105" s="243"/>
      <c r="B105" s="130" t="s">
        <v>216</v>
      </c>
      <c r="C105" s="127">
        <f t="shared" si="4"/>
        <v>1.7</v>
      </c>
      <c r="D105" s="91">
        <v>1.7</v>
      </c>
      <c r="E105" s="91">
        <v>1.7</v>
      </c>
      <c r="F105" s="91">
        <v>1.7</v>
      </c>
      <c r="G105" s="91">
        <v>1.7</v>
      </c>
      <c r="H105" s="91">
        <v>1.7</v>
      </c>
      <c r="I105" s="91">
        <v>1.7</v>
      </c>
      <c r="J105" s="91">
        <v>1.7</v>
      </c>
    </row>
    <row r="106" spans="1:10" x14ac:dyDescent="0.25">
      <c r="A106" s="243"/>
      <c r="B106" s="157" t="s">
        <v>403</v>
      </c>
      <c r="C106" s="127">
        <f t="shared" si="4"/>
        <v>5.9999999999999067</v>
      </c>
      <c r="D106" s="91">
        <v>5.9999999999999067</v>
      </c>
      <c r="E106" s="91">
        <v>5.9999999999999067</v>
      </c>
      <c r="F106" s="91">
        <v>5.9999999999999067</v>
      </c>
      <c r="G106" s="91">
        <v>5.9999999999999067</v>
      </c>
      <c r="H106" s="91">
        <v>5.9999999999999067</v>
      </c>
      <c r="I106" s="91">
        <v>5.9999999999999067</v>
      </c>
      <c r="J106" s="91">
        <v>5.9999999999999067</v>
      </c>
    </row>
    <row r="107" spans="1:10" x14ac:dyDescent="0.25">
      <c r="A107" s="243"/>
      <c r="B107" s="157" t="s">
        <v>405</v>
      </c>
      <c r="C107" s="127">
        <f t="shared" si="4"/>
        <v>-3.4444444444444602</v>
      </c>
      <c r="D107" s="91">
        <v>-3.4444444444444602</v>
      </c>
      <c r="E107" s="91">
        <v>-3.4444444444444602</v>
      </c>
      <c r="F107" s="91">
        <v>-3.4444444444444602</v>
      </c>
      <c r="G107" s="91">
        <v>-3.4444444444444602</v>
      </c>
      <c r="H107" s="91">
        <v>-3.4444444444444602</v>
      </c>
      <c r="I107" s="91">
        <v>-3.4444444444444602</v>
      </c>
      <c r="J107" s="91">
        <v>-3.4444444444444602</v>
      </c>
    </row>
    <row r="108" spans="1:10" x14ac:dyDescent="0.25">
      <c r="A108" s="243"/>
      <c r="B108" s="157" t="s">
        <v>404</v>
      </c>
      <c r="C108" s="127">
        <f t="shared" si="4"/>
        <v>2.3333333333332238</v>
      </c>
      <c r="D108" s="91">
        <v>2.3333333333332238</v>
      </c>
      <c r="E108" s="91">
        <v>2.3333333333332238</v>
      </c>
      <c r="F108" s="91">
        <v>2.3333333333332238</v>
      </c>
      <c r="G108" s="91">
        <v>2.3333333333332238</v>
      </c>
      <c r="H108" s="91">
        <v>2.3333333333332238</v>
      </c>
      <c r="I108" s="91">
        <v>2.3333333333332238</v>
      </c>
      <c r="J108" s="91">
        <v>2.3333333333332238</v>
      </c>
    </row>
    <row r="109" spans="1:10" x14ac:dyDescent="0.25">
      <c r="A109" s="243"/>
      <c r="B109" s="108"/>
      <c r="C109" s="127"/>
      <c r="D109" s="91"/>
      <c r="E109" s="85"/>
      <c r="F109" s="85"/>
      <c r="G109" s="85"/>
      <c r="H109" s="85"/>
      <c r="I109" s="85"/>
      <c r="J109" s="85"/>
    </row>
    <row r="110" spans="1:10" x14ac:dyDescent="0.25">
      <c r="A110" s="250"/>
      <c r="C110" s="85"/>
      <c r="D110" s="40"/>
      <c r="E110" s="40"/>
      <c r="F110" s="40"/>
      <c r="G110" s="40"/>
      <c r="H110" s="40"/>
      <c r="I110" s="40"/>
      <c r="J110" s="40"/>
    </row>
    <row r="111" spans="1:10" x14ac:dyDescent="0.25">
      <c r="A111" s="89"/>
      <c r="B111" s="89"/>
      <c r="C111" s="93"/>
      <c r="D111" s="93"/>
      <c r="E111" s="93"/>
      <c r="F111" s="93"/>
      <c r="G111" s="93"/>
      <c r="H111" s="93"/>
      <c r="I111" s="93"/>
      <c r="J111" s="93"/>
    </row>
    <row r="112" spans="1:10" x14ac:dyDescent="0.25">
      <c r="A112" s="244"/>
      <c r="B112" s="86"/>
      <c r="C112" s="127"/>
      <c r="D112" s="91"/>
      <c r="E112" s="91"/>
      <c r="F112" s="91"/>
      <c r="G112" s="91"/>
      <c r="H112" s="91"/>
      <c r="I112" s="91"/>
      <c r="J112" s="91"/>
    </row>
    <row r="113" spans="1:10" x14ac:dyDescent="0.25">
      <c r="A113" s="245"/>
      <c r="B113" s="86"/>
      <c r="C113" s="127"/>
      <c r="D113" s="91"/>
      <c r="E113" s="91"/>
      <c r="F113" s="91"/>
      <c r="G113" s="91"/>
      <c r="H113" s="91"/>
      <c r="I113" s="91"/>
      <c r="J113" s="91"/>
    </row>
    <row r="114" spans="1:10" x14ac:dyDescent="0.25">
      <c r="A114" s="246"/>
      <c r="B114" s="54"/>
      <c r="C114" s="85"/>
      <c r="D114" s="91"/>
      <c r="E114" s="91"/>
      <c r="F114" s="91"/>
      <c r="G114" s="91"/>
      <c r="H114" s="91"/>
      <c r="I114" s="91"/>
      <c r="J114" s="91"/>
    </row>
    <row r="115" spans="1:10" x14ac:dyDescent="0.25">
      <c r="A115" s="82"/>
      <c r="B115" s="84"/>
      <c r="C115" s="84"/>
      <c r="D115" s="84"/>
      <c r="E115" s="84"/>
      <c r="F115" s="84"/>
      <c r="G115" s="84"/>
      <c r="H115" s="84"/>
      <c r="I115" s="84"/>
      <c r="J115" s="84"/>
    </row>
  </sheetData>
  <mergeCells count="18">
    <mergeCell ref="A76:A78"/>
    <mergeCell ref="E1:H1"/>
    <mergeCell ref="A4:A10"/>
    <mergeCell ref="A12:A23"/>
    <mergeCell ref="A25:A32"/>
    <mergeCell ref="A42:A45"/>
    <mergeCell ref="A47:A49"/>
    <mergeCell ref="A51:A53"/>
    <mergeCell ref="A55:A57"/>
    <mergeCell ref="A63:A67"/>
    <mergeCell ref="A69:A74"/>
    <mergeCell ref="A34:A40"/>
    <mergeCell ref="A112:A114"/>
    <mergeCell ref="A80:A82"/>
    <mergeCell ref="A84:A88"/>
    <mergeCell ref="A90:A92"/>
    <mergeCell ref="A94:A96"/>
    <mergeCell ref="A98:A11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pageSetUpPr fitToPage="1"/>
  </sheetPr>
  <dimension ref="A1:F50"/>
  <sheetViews>
    <sheetView topLeftCell="A3" workbookViewId="0">
      <selection activeCell="M21" sqref="M21"/>
    </sheetView>
  </sheetViews>
  <sheetFormatPr defaultRowHeight="13.2" x14ac:dyDescent="0.25"/>
  <cols>
    <col min="1" max="1" width="25" bestFit="1" customWidth="1"/>
    <col min="2" max="2" width="12.109375" customWidth="1"/>
    <col min="3" max="4" width="12.88671875" customWidth="1"/>
    <col min="5" max="5" width="13.88671875" customWidth="1"/>
    <col min="6" max="6" width="10" customWidth="1"/>
  </cols>
  <sheetData>
    <row r="1" spans="1:6" x14ac:dyDescent="0.25">
      <c r="B1" s="38"/>
    </row>
    <row r="2" spans="1:6" ht="15.6" x14ac:dyDescent="0.3">
      <c r="A2" s="257" t="s">
        <v>91</v>
      </c>
      <c r="B2" s="258"/>
      <c r="C2" s="258"/>
      <c r="D2" s="258"/>
      <c r="E2" s="259"/>
      <c r="F2" s="52"/>
    </row>
    <row r="3" spans="1:6" x14ac:dyDescent="0.25">
      <c r="A3" s="46" t="s">
        <v>92</v>
      </c>
      <c r="B3" s="45" t="s">
        <v>93</v>
      </c>
      <c r="C3" s="46" t="s">
        <v>94</v>
      </c>
      <c r="D3" s="46" t="s">
        <v>95</v>
      </c>
      <c r="E3" s="47" t="s">
        <v>96</v>
      </c>
      <c r="F3" s="63" t="s">
        <v>117</v>
      </c>
    </row>
    <row r="4" spans="1:6" x14ac:dyDescent="0.25">
      <c r="A4" s="62" t="s">
        <v>157</v>
      </c>
      <c r="B4" s="39">
        <v>0</v>
      </c>
      <c r="C4" s="46">
        <v>0</v>
      </c>
      <c r="D4" s="46">
        <v>0</v>
      </c>
      <c r="E4" s="47">
        <v>0</v>
      </c>
      <c r="F4">
        <v>0</v>
      </c>
    </row>
    <row r="5" spans="1:6" x14ac:dyDescent="0.25">
      <c r="A5" s="23" t="s">
        <v>97</v>
      </c>
      <c r="B5" s="39">
        <v>1</v>
      </c>
      <c r="C5" s="39">
        <v>18</v>
      </c>
      <c r="D5" s="39">
        <v>3</v>
      </c>
      <c r="E5" s="42">
        <v>2</v>
      </c>
      <c r="F5">
        <v>36</v>
      </c>
    </row>
    <row r="6" spans="1:6" x14ac:dyDescent="0.25">
      <c r="A6" s="23" t="s">
        <v>98</v>
      </c>
      <c r="B6" s="39">
        <v>2</v>
      </c>
      <c r="C6" s="39">
        <v>18</v>
      </c>
      <c r="D6" s="39">
        <v>3</v>
      </c>
      <c r="E6" s="42">
        <v>2</v>
      </c>
      <c r="F6">
        <v>40</v>
      </c>
    </row>
    <row r="7" spans="1:6" x14ac:dyDescent="0.25">
      <c r="A7" s="23" t="s">
        <v>99</v>
      </c>
      <c r="B7" s="39">
        <v>1</v>
      </c>
      <c r="C7" s="39">
        <v>12</v>
      </c>
      <c r="D7" s="39">
        <v>3</v>
      </c>
      <c r="E7" s="42">
        <v>2</v>
      </c>
      <c r="F7">
        <v>32</v>
      </c>
    </row>
    <row r="8" spans="1:6" x14ac:dyDescent="0.25">
      <c r="A8" s="23" t="s">
        <v>100</v>
      </c>
      <c r="B8" s="39">
        <v>2</v>
      </c>
      <c r="C8" s="39">
        <v>12</v>
      </c>
      <c r="D8" s="39">
        <v>3</v>
      </c>
      <c r="E8" s="42">
        <v>2</v>
      </c>
      <c r="F8">
        <v>40</v>
      </c>
    </row>
    <row r="9" spans="1:6" x14ac:dyDescent="0.25">
      <c r="A9" s="23" t="s">
        <v>101</v>
      </c>
      <c r="B9" s="39">
        <v>3</v>
      </c>
      <c r="C9" s="40">
        <v>24</v>
      </c>
      <c r="D9" s="40">
        <v>2</v>
      </c>
      <c r="E9" s="44">
        <v>1</v>
      </c>
      <c r="F9">
        <v>45</v>
      </c>
    </row>
    <row r="10" spans="1:6" x14ac:dyDescent="0.25">
      <c r="A10" s="23" t="s">
        <v>102</v>
      </c>
      <c r="B10" s="39">
        <v>1</v>
      </c>
      <c r="C10" s="40">
        <v>18</v>
      </c>
      <c r="D10" s="40">
        <v>1</v>
      </c>
      <c r="E10" s="44">
        <v>1</v>
      </c>
      <c r="F10">
        <v>28</v>
      </c>
    </row>
    <row r="11" spans="1:6" x14ac:dyDescent="0.25">
      <c r="A11" s="62" t="s">
        <v>103</v>
      </c>
      <c r="B11" s="39">
        <v>1</v>
      </c>
      <c r="C11" s="40">
        <v>15</v>
      </c>
      <c r="D11" s="40">
        <v>1</v>
      </c>
      <c r="E11" s="44">
        <v>1</v>
      </c>
      <c r="F11">
        <v>12.5</v>
      </c>
    </row>
    <row r="12" spans="1:6" x14ac:dyDescent="0.25">
      <c r="A12" s="23" t="s">
        <v>104</v>
      </c>
      <c r="B12" s="39">
        <v>2</v>
      </c>
      <c r="C12" s="40">
        <v>9</v>
      </c>
      <c r="D12" s="40">
        <v>1</v>
      </c>
      <c r="E12" s="44">
        <v>1</v>
      </c>
      <c r="F12">
        <v>25</v>
      </c>
    </row>
    <row r="13" spans="1:6" x14ac:dyDescent="0.25">
      <c r="A13" s="23" t="s">
        <v>105</v>
      </c>
      <c r="B13" s="39">
        <v>1</v>
      </c>
      <c r="C13" s="40">
        <v>6</v>
      </c>
      <c r="D13" s="40">
        <v>1</v>
      </c>
      <c r="E13" s="44">
        <v>1</v>
      </c>
      <c r="F13">
        <v>10</v>
      </c>
    </row>
    <row r="14" spans="1:6" x14ac:dyDescent="0.25">
      <c r="A14" s="23" t="s">
        <v>106</v>
      </c>
      <c r="B14" s="39">
        <v>2</v>
      </c>
      <c r="C14" s="40">
        <v>7</v>
      </c>
      <c r="D14" s="40">
        <v>1</v>
      </c>
      <c r="E14" s="44">
        <v>1</v>
      </c>
      <c r="F14">
        <v>16</v>
      </c>
    </row>
    <row r="15" spans="1:6" x14ac:dyDescent="0.25">
      <c r="A15" s="23" t="s">
        <v>107</v>
      </c>
      <c r="B15" s="39">
        <v>3</v>
      </c>
      <c r="C15" s="40">
        <v>6</v>
      </c>
      <c r="D15" s="40">
        <v>1</v>
      </c>
      <c r="E15" s="44">
        <v>1</v>
      </c>
      <c r="F15">
        <v>31</v>
      </c>
    </row>
    <row r="16" spans="1:6" x14ac:dyDescent="0.25">
      <c r="A16" s="23" t="s">
        <v>108</v>
      </c>
      <c r="B16" s="39">
        <v>4</v>
      </c>
      <c r="C16" s="40">
        <v>7</v>
      </c>
      <c r="D16" s="40">
        <v>1</v>
      </c>
      <c r="E16" s="44">
        <v>1</v>
      </c>
      <c r="F16">
        <v>32</v>
      </c>
    </row>
    <row r="17" spans="1:6" x14ac:dyDescent="0.25">
      <c r="A17" s="62" t="s">
        <v>118</v>
      </c>
      <c r="B17" s="39">
        <v>1</v>
      </c>
      <c r="C17" s="40">
        <v>6</v>
      </c>
      <c r="D17" s="40">
        <v>0</v>
      </c>
      <c r="E17" s="44">
        <v>1</v>
      </c>
      <c r="F17">
        <v>10</v>
      </c>
    </row>
    <row r="18" spans="1:6" x14ac:dyDescent="0.25">
      <c r="A18" s="62" t="s">
        <v>119</v>
      </c>
      <c r="B18" s="39">
        <v>2</v>
      </c>
      <c r="C18" s="40">
        <v>6</v>
      </c>
      <c r="D18" s="40">
        <v>0</v>
      </c>
      <c r="E18" s="44">
        <v>1</v>
      </c>
      <c r="F18">
        <v>16</v>
      </c>
    </row>
    <row r="19" spans="1:6" x14ac:dyDescent="0.25">
      <c r="A19" s="62" t="s">
        <v>120</v>
      </c>
      <c r="B19" s="39">
        <v>3</v>
      </c>
      <c r="C19" s="40">
        <v>6</v>
      </c>
      <c r="D19" s="40">
        <v>0</v>
      </c>
      <c r="E19" s="44">
        <v>1</v>
      </c>
      <c r="F19">
        <v>26</v>
      </c>
    </row>
    <row r="20" spans="1:6" x14ac:dyDescent="0.25">
      <c r="A20" s="62" t="s">
        <v>121</v>
      </c>
      <c r="B20" s="39">
        <v>4</v>
      </c>
      <c r="C20" s="40">
        <v>6</v>
      </c>
      <c r="D20" s="40">
        <v>0</v>
      </c>
      <c r="E20" s="44">
        <v>1</v>
      </c>
      <c r="F20">
        <v>33</v>
      </c>
    </row>
    <row r="21" spans="1:6" x14ac:dyDescent="0.25">
      <c r="A21" s="23" t="s">
        <v>109</v>
      </c>
      <c r="B21" s="39">
        <v>1</v>
      </c>
      <c r="C21" s="40">
        <v>4</v>
      </c>
      <c r="D21" s="40">
        <v>0</v>
      </c>
      <c r="E21" s="44">
        <v>1</v>
      </c>
      <c r="F21">
        <v>15</v>
      </c>
    </row>
    <row r="22" spans="1:6" x14ac:dyDescent="0.25">
      <c r="A22" s="23" t="s">
        <v>110</v>
      </c>
      <c r="B22" s="39">
        <v>2</v>
      </c>
      <c r="C22" s="40">
        <v>4</v>
      </c>
      <c r="D22" s="40">
        <v>0</v>
      </c>
      <c r="E22" s="44">
        <v>1</v>
      </c>
      <c r="F22">
        <v>22</v>
      </c>
    </row>
    <row r="23" spans="1:6" x14ac:dyDescent="0.25">
      <c r="A23" s="23" t="s">
        <v>111</v>
      </c>
      <c r="B23" s="39">
        <v>3</v>
      </c>
      <c r="C23" s="40">
        <v>4</v>
      </c>
      <c r="D23" s="40">
        <v>0</v>
      </c>
      <c r="E23" s="44">
        <v>1</v>
      </c>
      <c r="F23">
        <v>28</v>
      </c>
    </row>
    <row r="24" spans="1:6" x14ac:dyDescent="0.25">
      <c r="A24" s="23" t="s">
        <v>112</v>
      </c>
      <c r="B24" s="39">
        <v>4</v>
      </c>
      <c r="C24" s="40">
        <v>4</v>
      </c>
      <c r="D24" s="40">
        <v>0</v>
      </c>
      <c r="E24" s="44">
        <v>1</v>
      </c>
      <c r="F24">
        <v>35</v>
      </c>
    </row>
    <row r="25" spans="1:6" x14ac:dyDescent="0.25">
      <c r="A25" s="62" t="s">
        <v>122</v>
      </c>
      <c r="B25" s="39">
        <v>1</v>
      </c>
      <c r="C25" s="40">
        <v>2</v>
      </c>
      <c r="D25" s="40">
        <v>0</v>
      </c>
      <c r="E25" s="44">
        <v>1</v>
      </c>
      <c r="F25">
        <v>11</v>
      </c>
    </row>
    <row r="26" spans="1:6" x14ac:dyDescent="0.25">
      <c r="A26" s="62" t="s">
        <v>123</v>
      </c>
      <c r="B26" s="39">
        <v>2</v>
      </c>
      <c r="C26" s="40">
        <v>2</v>
      </c>
      <c r="D26" s="40">
        <v>0</v>
      </c>
      <c r="E26" s="44">
        <v>1</v>
      </c>
      <c r="F26">
        <v>17</v>
      </c>
    </row>
    <row r="27" spans="1:6" x14ac:dyDescent="0.25">
      <c r="A27" s="62" t="s">
        <v>124</v>
      </c>
      <c r="B27" s="39">
        <v>3</v>
      </c>
      <c r="C27" s="40">
        <v>2</v>
      </c>
      <c r="D27" s="40">
        <v>0</v>
      </c>
      <c r="E27" s="44">
        <v>1</v>
      </c>
      <c r="F27">
        <v>23</v>
      </c>
    </row>
    <row r="28" spans="1:6" x14ac:dyDescent="0.25">
      <c r="A28" s="62" t="s">
        <v>125</v>
      </c>
      <c r="B28" s="39">
        <v>4</v>
      </c>
      <c r="C28" s="40">
        <v>2</v>
      </c>
      <c r="D28" s="40">
        <v>0</v>
      </c>
      <c r="E28" s="44">
        <v>1</v>
      </c>
      <c r="F28">
        <v>31</v>
      </c>
    </row>
    <row r="29" spans="1:6" x14ac:dyDescent="0.25">
      <c r="A29" s="62" t="s">
        <v>143</v>
      </c>
      <c r="B29" s="39">
        <v>1</v>
      </c>
      <c r="C29" s="40">
        <v>8</v>
      </c>
      <c r="D29" s="40">
        <v>2</v>
      </c>
      <c r="E29" s="44">
        <v>1</v>
      </c>
      <c r="F29">
        <v>8</v>
      </c>
    </row>
    <row r="30" spans="1:6" x14ac:dyDescent="0.25">
      <c r="A30" s="62" t="s">
        <v>144</v>
      </c>
      <c r="B30" s="39">
        <v>2</v>
      </c>
      <c r="C30" s="40">
        <v>8</v>
      </c>
      <c r="D30" s="40">
        <v>2</v>
      </c>
      <c r="E30" s="44">
        <v>1</v>
      </c>
      <c r="F30">
        <v>11</v>
      </c>
    </row>
    <row r="31" spans="1:6" x14ac:dyDescent="0.25">
      <c r="A31" s="62" t="s">
        <v>126</v>
      </c>
      <c r="B31" s="39">
        <v>1</v>
      </c>
      <c r="C31" s="40">
        <v>22</v>
      </c>
      <c r="D31" s="40">
        <v>2</v>
      </c>
      <c r="E31" s="44">
        <v>1</v>
      </c>
      <c r="F31">
        <v>15</v>
      </c>
    </row>
    <row r="32" spans="1:6" x14ac:dyDescent="0.25">
      <c r="A32" s="62" t="s">
        <v>127</v>
      </c>
      <c r="B32" s="39">
        <v>2</v>
      </c>
      <c r="C32" s="40">
        <v>31</v>
      </c>
      <c r="D32" s="40">
        <v>2</v>
      </c>
      <c r="E32" s="44">
        <v>1</v>
      </c>
      <c r="F32">
        <v>20</v>
      </c>
    </row>
    <row r="33" spans="1:6" x14ac:dyDescent="0.25">
      <c r="A33" s="62" t="s">
        <v>128</v>
      </c>
      <c r="B33" s="39">
        <v>2</v>
      </c>
      <c r="C33" s="40">
        <v>32</v>
      </c>
      <c r="D33" s="40">
        <v>2</v>
      </c>
      <c r="E33" s="44">
        <v>1</v>
      </c>
      <c r="F33">
        <v>26</v>
      </c>
    </row>
    <row r="34" spans="1:6" x14ac:dyDescent="0.25">
      <c r="A34" s="62" t="s">
        <v>129</v>
      </c>
      <c r="B34" s="39">
        <v>1</v>
      </c>
      <c r="C34" s="40">
        <v>2</v>
      </c>
      <c r="D34" s="40">
        <v>1</v>
      </c>
      <c r="E34" s="44">
        <v>1</v>
      </c>
      <c r="F34">
        <v>13</v>
      </c>
    </row>
    <row r="35" spans="1:6" x14ac:dyDescent="0.25">
      <c r="A35" s="62" t="s">
        <v>130</v>
      </c>
      <c r="B35" s="39">
        <v>2</v>
      </c>
      <c r="C35" s="40">
        <v>2</v>
      </c>
      <c r="D35" s="40">
        <v>1</v>
      </c>
      <c r="E35" s="44">
        <v>1</v>
      </c>
      <c r="F35">
        <v>20</v>
      </c>
    </row>
    <row r="36" spans="1:6" x14ac:dyDescent="0.25">
      <c r="A36" s="62" t="s">
        <v>131</v>
      </c>
      <c r="B36" s="39">
        <v>3</v>
      </c>
      <c r="C36" s="40">
        <v>2</v>
      </c>
      <c r="D36" s="40">
        <v>1</v>
      </c>
      <c r="E36" s="44">
        <v>1</v>
      </c>
      <c r="F36">
        <v>27</v>
      </c>
    </row>
    <row r="37" spans="1:6" x14ac:dyDescent="0.25">
      <c r="A37" s="62" t="s">
        <v>132</v>
      </c>
      <c r="B37" s="39">
        <v>4</v>
      </c>
      <c r="C37" s="40">
        <v>2</v>
      </c>
      <c r="D37" s="40">
        <v>1</v>
      </c>
      <c r="E37" s="44">
        <v>1</v>
      </c>
      <c r="F37">
        <v>34</v>
      </c>
    </row>
    <row r="38" spans="1:6" x14ac:dyDescent="0.25">
      <c r="A38" s="62" t="s">
        <v>133</v>
      </c>
      <c r="B38" s="39">
        <v>1</v>
      </c>
      <c r="C38" s="40">
        <v>6</v>
      </c>
      <c r="D38" s="40">
        <v>1</v>
      </c>
      <c r="E38" s="44">
        <v>1</v>
      </c>
      <c r="F38">
        <v>6</v>
      </c>
    </row>
    <row r="39" spans="1:6" x14ac:dyDescent="0.25">
      <c r="A39" s="62" t="s">
        <v>134</v>
      </c>
      <c r="B39" s="39">
        <v>2</v>
      </c>
      <c r="C39" s="40">
        <v>6</v>
      </c>
      <c r="D39" s="40">
        <v>1</v>
      </c>
      <c r="E39" s="44">
        <v>1</v>
      </c>
      <c r="F39">
        <v>8</v>
      </c>
    </row>
    <row r="40" spans="1:6" x14ac:dyDescent="0.25">
      <c r="A40" s="62" t="s">
        <v>135</v>
      </c>
      <c r="B40" s="39">
        <v>3</v>
      </c>
      <c r="C40" s="40">
        <v>6</v>
      </c>
      <c r="D40" s="40">
        <v>1</v>
      </c>
      <c r="E40" s="44">
        <v>1</v>
      </c>
      <c r="F40">
        <v>10</v>
      </c>
    </row>
    <row r="41" spans="1:6" x14ac:dyDescent="0.25">
      <c r="A41" s="62" t="s">
        <v>136</v>
      </c>
      <c r="B41" s="39">
        <v>4</v>
      </c>
      <c r="C41" s="40">
        <v>6</v>
      </c>
      <c r="D41" s="40">
        <v>1</v>
      </c>
      <c r="E41" s="44">
        <v>1</v>
      </c>
      <c r="F41">
        <v>13</v>
      </c>
    </row>
    <row r="42" spans="1:6" x14ac:dyDescent="0.25">
      <c r="A42" s="23" t="s">
        <v>168</v>
      </c>
      <c r="B42" s="79">
        <v>1</v>
      </c>
      <c r="C42" s="40">
        <v>25</v>
      </c>
      <c r="D42" s="40">
        <v>1</v>
      </c>
      <c r="E42" s="44">
        <v>1</v>
      </c>
      <c r="F42">
        <v>200</v>
      </c>
    </row>
    <row r="43" spans="1:6" x14ac:dyDescent="0.25">
      <c r="A43" s="23" t="s">
        <v>167</v>
      </c>
      <c r="B43" s="79">
        <v>2</v>
      </c>
      <c r="C43" s="40">
        <v>16</v>
      </c>
      <c r="D43" s="40">
        <v>1</v>
      </c>
      <c r="E43" s="44">
        <v>1</v>
      </c>
      <c r="F43">
        <v>210</v>
      </c>
    </row>
    <row r="44" spans="1:6" x14ac:dyDescent="0.25">
      <c r="A44" s="23" t="s">
        <v>169</v>
      </c>
      <c r="B44" s="79">
        <v>2</v>
      </c>
      <c r="C44" s="40">
        <v>22</v>
      </c>
      <c r="D44" s="40">
        <v>1</v>
      </c>
      <c r="E44" s="44">
        <v>1</v>
      </c>
      <c r="F44">
        <v>215</v>
      </c>
    </row>
    <row r="45" spans="1:6" x14ac:dyDescent="0.25">
      <c r="A45" s="23" t="s">
        <v>170</v>
      </c>
      <c r="B45" s="79">
        <v>1</v>
      </c>
      <c r="C45" s="40">
        <v>25</v>
      </c>
      <c r="D45" s="40">
        <v>1</v>
      </c>
      <c r="E45" s="44">
        <v>1</v>
      </c>
      <c r="F45">
        <v>290</v>
      </c>
    </row>
    <row r="46" spans="1:6" x14ac:dyDescent="0.25">
      <c r="A46" s="23" t="s">
        <v>166</v>
      </c>
      <c r="B46" s="79">
        <v>2</v>
      </c>
      <c r="C46" s="40">
        <v>16</v>
      </c>
      <c r="D46" s="40">
        <v>1</v>
      </c>
      <c r="E46" s="44">
        <v>1</v>
      </c>
      <c r="F46">
        <v>305</v>
      </c>
    </row>
    <row r="47" spans="1:6" x14ac:dyDescent="0.25">
      <c r="A47" s="23" t="s">
        <v>171</v>
      </c>
      <c r="B47" s="79">
        <v>2</v>
      </c>
      <c r="C47" s="40">
        <v>22</v>
      </c>
      <c r="D47" s="40">
        <v>1</v>
      </c>
      <c r="E47" s="44">
        <v>1</v>
      </c>
      <c r="F47">
        <v>320</v>
      </c>
    </row>
    <row r="48" spans="1:6" x14ac:dyDescent="0.25">
      <c r="A48" s="23" t="s">
        <v>172</v>
      </c>
      <c r="B48" s="79">
        <v>1</v>
      </c>
      <c r="C48" s="40">
        <v>25</v>
      </c>
      <c r="D48" s="40">
        <v>1</v>
      </c>
      <c r="E48" s="44">
        <v>1</v>
      </c>
      <c r="F48">
        <v>335</v>
      </c>
    </row>
    <row r="49" spans="1:6" x14ac:dyDescent="0.25">
      <c r="A49" s="23" t="s">
        <v>173</v>
      </c>
      <c r="B49" s="79">
        <v>2</v>
      </c>
      <c r="C49" s="40">
        <v>16</v>
      </c>
      <c r="D49" s="40">
        <v>1</v>
      </c>
      <c r="E49" s="44">
        <v>1</v>
      </c>
      <c r="F49">
        <v>465</v>
      </c>
    </row>
    <row r="50" spans="1:6" x14ac:dyDescent="0.25">
      <c r="A50" s="23" t="s">
        <v>174</v>
      </c>
      <c r="B50" s="79">
        <v>2</v>
      </c>
      <c r="C50" s="40">
        <v>22</v>
      </c>
      <c r="D50" s="40">
        <v>1</v>
      </c>
      <c r="E50" s="44">
        <v>1</v>
      </c>
      <c r="F50">
        <v>515</v>
      </c>
    </row>
  </sheetData>
  <mergeCells count="1">
    <mergeCell ref="A2:E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8"/>
  <sheetViews>
    <sheetView zoomScale="145" zoomScaleNormal="145" workbookViewId="0">
      <selection activeCell="F2" sqref="F2"/>
    </sheetView>
  </sheetViews>
  <sheetFormatPr defaultRowHeight="13.2" x14ac:dyDescent="0.25"/>
  <cols>
    <col min="1" max="1" width="10.33203125" customWidth="1"/>
    <col min="3" max="3" width="11.33203125" customWidth="1"/>
    <col min="4" max="4" width="11.109375" bestFit="1" customWidth="1"/>
    <col min="5" max="5" width="16.33203125" customWidth="1"/>
    <col min="6" max="6" width="15.5546875" customWidth="1"/>
    <col min="8" max="8" width="9.5546875" bestFit="1" customWidth="1"/>
    <col min="9" max="9" width="11.5546875" customWidth="1"/>
    <col min="10" max="10" width="16.109375" customWidth="1"/>
  </cols>
  <sheetData>
    <row r="2" spans="2:19" ht="15.6" x14ac:dyDescent="0.3">
      <c r="B2" s="217" t="s">
        <v>196</v>
      </c>
      <c r="C2" s="217"/>
      <c r="D2" s="217"/>
      <c r="E2" s="217"/>
      <c r="F2" s="96" t="s">
        <v>474</v>
      </c>
    </row>
    <row r="4" spans="2:19" ht="16.2" thickBot="1" x14ac:dyDescent="0.35">
      <c r="B4" s="217" t="s">
        <v>31</v>
      </c>
      <c r="C4" s="217"/>
      <c r="D4" s="217"/>
      <c r="E4" s="217"/>
      <c r="F4" s="217"/>
      <c r="G4" s="217"/>
      <c r="H4" s="217"/>
      <c r="I4" s="217"/>
    </row>
    <row r="5" spans="2:19" x14ac:dyDescent="0.25">
      <c r="B5" s="9" t="s">
        <v>27</v>
      </c>
      <c r="C5" s="95" t="s">
        <v>39</v>
      </c>
      <c r="D5" s="218" t="s">
        <v>26</v>
      </c>
      <c r="E5" s="218"/>
      <c r="F5" s="218" t="s">
        <v>62</v>
      </c>
      <c r="G5" s="218"/>
      <c r="H5" s="218" t="s">
        <v>58</v>
      </c>
      <c r="I5" s="218"/>
      <c r="J5" s="32" t="s">
        <v>80</v>
      </c>
    </row>
    <row r="6" spans="2:19" x14ac:dyDescent="0.25">
      <c r="B6" s="30">
        <v>1</v>
      </c>
      <c r="C6" t="str">
        <f>'Config(1)'!$E$1</f>
        <v>MyConfig1</v>
      </c>
      <c r="D6" s="96">
        <v>5</v>
      </c>
      <c r="E6" t="s">
        <v>19</v>
      </c>
      <c r="F6" s="97">
        <f ca="1">IF(D6&gt;0,'Config(1)'!$F$233,"N/A")</f>
        <v>1.002</v>
      </c>
      <c r="G6" s="159" t="s">
        <v>316</v>
      </c>
      <c r="H6" s="98">
        <f ca="1">F6*D6/$D$12</f>
        <v>0.20039999999999999</v>
      </c>
      <c r="I6" s="159" t="s">
        <v>316</v>
      </c>
      <c r="J6" s="99">
        <f ca="1">H6/$H$14</f>
        <v>0.19999999999999998</v>
      </c>
      <c r="S6" s="61"/>
    </row>
    <row r="7" spans="2:19" x14ac:dyDescent="0.25">
      <c r="B7" s="30">
        <v>2</v>
      </c>
      <c r="C7" t="str">
        <f>'Config(2)'!$E$1</f>
        <v>MyConfig2</v>
      </c>
      <c r="D7" s="96">
        <v>5</v>
      </c>
      <c r="E7" t="s">
        <v>19</v>
      </c>
      <c r="F7" s="97">
        <f ca="1">IF(D7&gt;0,'Config(2)'!$F$233,"N/A")</f>
        <v>1.002</v>
      </c>
      <c r="G7" s="159" t="s">
        <v>316</v>
      </c>
      <c r="H7" s="98">
        <f ca="1">IF(D7&gt;0,F7*D7/$D$12,0)</f>
        <v>0.20039999999999999</v>
      </c>
      <c r="I7" s="159" t="s">
        <v>316</v>
      </c>
      <c r="J7" s="99">
        <f ca="1">H7/$H$14</f>
        <v>0.19999999999999998</v>
      </c>
    </row>
    <row r="8" spans="2:19" x14ac:dyDescent="0.25">
      <c r="B8" s="30">
        <v>3</v>
      </c>
      <c r="C8" t="str">
        <f>'Config(3)'!$E$1</f>
        <v>MyConfig3</v>
      </c>
      <c r="D8" s="96">
        <v>5</v>
      </c>
      <c r="E8" t="s">
        <v>19</v>
      </c>
      <c r="F8" s="97">
        <f ca="1">IF(D8&gt;0,'Config(3)'!$F$233,"N/A")</f>
        <v>1.002</v>
      </c>
      <c r="G8" s="159" t="s">
        <v>316</v>
      </c>
      <c r="H8" s="98">
        <f ca="1">IF(D8&gt;0,F8*D8/$D$12,0)</f>
        <v>0.20039999999999999</v>
      </c>
      <c r="I8" s="159" t="s">
        <v>316</v>
      </c>
      <c r="J8" s="99">
        <f ca="1">H8/$H$14</f>
        <v>0.19999999999999998</v>
      </c>
    </row>
    <row r="9" spans="2:19" x14ac:dyDescent="0.25">
      <c r="B9" s="30">
        <v>4</v>
      </c>
      <c r="C9" t="str">
        <f>'Config(4)'!$E$1</f>
        <v>MyConfig4</v>
      </c>
      <c r="D9" s="96">
        <v>5</v>
      </c>
      <c r="E9" t="s">
        <v>19</v>
      </c>
      <c r="F9" s="97">
        <f ca="1">IF(D9&gt;0,'Config(4)'!$F$233,"N/A")</f>
        <v>1.002</v>
      </c>
      <c r="G9" s="159" t="s">
        <v>316</v>
      </c>
      <c r="H9" s="98">
        <f ca="1">IF(D9&gt;0,F9*D9/$D$12,0)</f>
        <v>0.20039999999999999</v>
      </c>
      <c r="I9" s="159" t="s">
        <v>316</v>
      </c>
      <c r="J9" s="99">
        <f ca="1">H9/$H$14</f>
        <v>0.19999999999999998</v>
      </c>
    </row>
    <row r="10" spans="2:19" x14ac:dyDescent="0.25">
      <c r="B10" s="30">
        <v>5</v>
      </c>
      <c r="C10" t="str">
        <f>'Config(5)'!$E$1</f>
        <v>MyConfig5</v>
      </c>
      <c r="D10" s="96">
        <v>5</v>
      </c>
      <c r="E10" t="s">
        <v>19</v>
      </c>
      <c r="F10" s="97">
        <f ca="1">IF(D10&gt;0,'Config(5)'!$F$233,"N/A")</f>
        <v>1.002</v>
      </c>
      <c r="G10" s="159" t="s">
        <v>316</v>
      </c>
      <c r="H10" s="98">
        <f ca="1">IF(D10&gt;0,F10*D10/$D$12,0)</f>
        <v>0.20039999999999999</v>
      </c>
      <c r="I10" s="159" t="s">
        <v>316</v>
      </c>
      <c r="J10" s="99">
        <f ca="1">H10/$H$14</f>
        <v>0.19999999999999998</v>
      </c>
    </row>
    <row r="11" spans="2:19" x14ac:dyDescent="0.25">
      <c r="B11" s="2"/>
      <c r="D11" s="12"/>
      <c r="F11" s="6"/>
      <c r="H11" s="12"/>
      <c r="J11" s="7"/>
    </row>
    <row r="12" spans="2:19" x14ac:dyDescent="0.25">
      <c r="B12" s="2"/>
      <c r="C12" s="35" t="s">
        <v>61</v>
      </c>
      <c r="D12" s="100">
        <f>SUM(D6:D10)</f>
        <v>25</v>
      </c>
      <c r="E12" t="s">
        <v>19</v>
      </c>
      <c r="F12" s="6"/>
      <c r="J12" s="7"/>
    </row>
    <row r="13" spans="2:19" x14ac:dyDescent="0.25">
      <c r="B13" s="2"/>
      <c r="H13" s="12"/>
      <c r="J13" s="7"/>
    </row>
    <row r="14" spans="2:19" ht="13.8" thickBot="1" x14ac:dyDescent="0.3">
      <c r="B14" s="3"/>
      <c r="C14" s="8" t="s">
        <v>59</v>
      </c>
      <c r="D14" s="109">
        <f ca="1">MAX(F6:F10)</f>
        <v>1.002</v>
      </c>
      <c r="E14" s="11" t="s">
        <v>316</v>
      </c>
      <c r="F14" s="34" t="s">
        <v>60</v>
      </c>
      <c r="G14" s="5"/>
      <c r="H14" s="101">
        <f ca="1">SUM(H6:H10)</f>
        <v>1.002</v>
      </c>
      <c r="I14" s="11" t="s">
        <v>316</v>
      </c>
      <c r="J14" s="10"/>
    </row>
    <row r="16" spans="2:19" ht="16.2" thickBot="1" x14ac:dyDescent="0.35">
      <c r="C16" s="217" t="s">
        <v>32</v>
      </c>
      <c r="D16" s="217"/>
      <c r="E16" s="217"/>
      <c r="F16" s="217"/>
      <c r="G16" s="217"/>
      <c r="H16" s="217"/>
    </row>
    <row r="17" spans="3:17" ht="15.6" x14ac:dyDescent="0.3">
      <c r="C17" s="18"/>
      <c r="D17" s="19"/>
      <c r="E17" s="19"/>
      <c r="F17" s="19"/>
      <c r="G17" s="19"/>
      <c r="H17" s="20"/>
    </row>
    <row r="18" spans="3:17" x14ac:dyDescent="0.25">
      <c r="C18" s="21" t="s">
        <v>4</v>
      </c>
      <c r="D18" s="4" t="s">
        <v>37</v>
      </c>
      <c r="E18" s="4" t="s">
        <v>8</v>
      </c>
      <c r="F18" s="4" t="s">
        <v>9</v>
      </c>
      <c r="G18" s="4" t="s">
        <v>21</v>
      </c>
      <c r="H18" s="22" t="s">
        <v>22</v>
      </c>
    </row>
    <row r="19" spans="3:17" x14ac:dyDescent="0.25">
      <c r="C19" s="102" t="s">
        <v>5</v>
      </c>
      <c r="D19" s="103">
        <v>1500</v>
      </c>
      <c r="E19" s="104">
        <f ca="1">D19/($H$14)</f>
        <v>1497.0059880239521</v>
      </c>
      <c r="F19" s="104">
        <f ca="1">E19/24</f>
        <v>62.375249500998002</v>
      </c>
      <c r="G19" s="105">
        <f ca="1">F19/30</f>
        <v>2.0791749833666002</v>
      </c>
      <c r="H19" s="106">
        <f ca="1">G19/12</f>
        <v>0.17326458194721669</v>
      </c>
    </row>
    <row r="20" spans="3:17" x14ac:dyDescent="0.25">
      <c r="C20" s="102" t="s">
        <v>6</v>
      </c>
      <c r="D20" s="103">
        <v>1000</v>
      </c>
      <c r="E20" s="104">
        <f t="shared" ref="E20:E27" ca="1" si="0">D20/($H$14)</f>
        <v>998.00399201596804</v>
      </c>
      <c r="F20" s="104">
        <f t="shared" ref="F20:F27" ca="1" si="1">E20/24</f>
        <v>41.583499667331999</v>
      </c>
      <c r="G20" s="105">
        <f t="shared" ref="G20:G27" ca="1" si="2">F20/30</f>
        <v>1.3861166555777333</v>
      </c>
      <c r="H20" s="106">
        <f t="shared" ref="H20:H27" ca="1" si="3">G20/12</f>
        <v>0.11550972129814445</v>
      </c>
    </row>
    <row r="21" spans="3:17" x14ac:dyDescent="0.25">
      <c r="C21" s="102" t="s">
        <v>7</v>
      </c>
      <c r="D21" s="103">
        <v>1000</v>
      </c>
      <c r="E21" s="104">
        <f t="shared" ca="1" si="0"/>
        <v>998.00399201596804</v>
      </c>
      <c r="F21" s="104">
        <f t="shared" ca="1" si="1"/>
        <v>41.583499667331999</v>
      </c>
      <c r="G21" s="105">
        <f t="shared" ca="1" si="2"/>
        <v>1.3861166555777333</v>
      </c>
      <c r="H21" s="106">
        <f t="shared" ca="1" si="3"/>
        <v>0.11550972129814445</v>
      </c>
    </row>
    <row r="22" spans="3:17" x14ac:dyDescent="0.25">
      <c r="C22" s="102" t="s">
        <v>23</v>
      </c>
      <c r="D22" s="103">
        <v>18</v>
      </c>
      <c r="E22" s="104">
        <f t="shared" ca="1" si="0"/>
        <v>17.964071856287426</v>
      </c>
      <c r="F22" s="104">
        <f t="shared" ca="1" si="1"/>
        <v>0.74850299401197606</v>
      </c>
      <c r="G22" s="105">
        <f t="shared" ca="1" si="2"/>
        <v>2.4950099800399202E-2</v>
      </c>
      <c r="H22" s="106">
        <f t="shared" ca="1" si="3"/>
        <v>2.0791749833666E-3</v>
      </c>
    </row>
    <row r="23" spans="3:17" x14ac:dyDescent="0.25">
      <c r="C23" s="102" t="s">
        <v>24</v>
      </c>
      <c r="D23" s="103">
        <v>75</v>
      </c>
      <c r="E23" s="104">
        <f t="shared" ca="1" si="0"/>
        <v>74.850299401197603</v>
      </c>
      <c r="F23" s="104">
        <f t="shared" ca="1" si="1"/>
        <v>3.1187624750499001</v>
      </c>
      <c r="G23" s="105">
        <f t="shared" ca="1" si="2"/>
        <v>0.10395874916833001</v>
      </c>
      <c r="H23" s="106">
        <f t="shared" ca="1" si="3"/>
        <v>8.6632290973608344E-3</v>
      </c>
    </row>
    <row r="24" spans="3:17" x14ac:dyDescent="0.25">
      <c r="C24" s="102" t="s">
        <v>25</v>
      </c>
      <c r="D24" s="103">
        <v>220</v>
      </c>
      <c r="E24" s="104">
        <f t="shared" ca="1" si="0"/>
        <v>219.56087824351297</v>
      </c>
      <c r="F24" s="104">
        <f t="shared" ca="1" si="1"/>
        <v>9.1483699268130412</v>
      </c>
      <c r="G24" s="105">
        <f t="shared" ca="1" si="2"/>
        <v>0.3049456642271014</v>
      </c>
      <c r="H24" s="106">
        <f t="shared" ca="1" si="3"/>
        <v>2.5412138685591782E-2</v>
      </c>
      <c r="Q24" s="12"/>
    </row>
    <row r="25" spans="3:17" x14ac:dyDescent="0.25">
      <c r="C25" s="107" t="s">
        <v>45</v>
      </c>
      <c r="D25" s="103">
        <v>3000</v>
      </c>
      <c r="E25" s="104">
        <f t="shared" ca="1" si="0"/>
        <v>2994.0119760479042</v>
      </c>
      <c r="F25" s="104">
        <f t="shared" ca="1" si="1"/>
        <v>124.750499001996</v>
      </c>
      <c r="G25" s="105">
        <f t="shared" ca="1" si="2"/>
        <v>4.1583499667332005</v>
      </c>
      <c r="H25" s="106">
        <f t="shared" ca="1" si="3"/>
        <v>0.34652916389443339</v>
      </c>
    </row>
    <row r="26" spans="3:17" x14ac:dyDescent="0.25">
      <c r="C26" s="107" t="s">
        <v>46</v>
      </c>
      <c r="D26" s="103">
        <v>4000</v>
      </c>
      <c r="E26" s="104">
        <f t="shared" ca="1" si="0"/>
        <v>3992.0159680638722</v>
      </c>
      <c r="F26" s="104">
        <f t="shared" ca="1" si="1"/>
        <v>166.333998669328</v>
      </c>
      <c r="G26" s="105">
        <f t="shared" ca="1" si="2"/>
        <v>5.5444666223109333</v>
      </c>
      <c r="H26" s="106">
        <f t="shared" ca="1" si="3"/>
        <v>0.4620388851925778</v>
      </c>
    </row>
    <row r="27" spans="3:17" x14ac:dyDescent="0.25">
      <c r="C27" s="107" t="s">
        <v>47</v>
      </c>
      <c r="D27" s="103">
        <v>5000</v>
      </c>
      <c r="E27" s="104">
        <f t="shared" ca="1" si="0"/>
        <v>4990.0199600798405</v>
      </c>
      <c r="F27" s="104">
        <f t="shared" ca="1" si="1"/>
        <v>207.91749833666003</v>
      </c>
      <c r="G27" s="105">
        <f t="shared" ca="1" si="2"/>
        <v>6.930583277888668</v>
      </c>
      <c r="H27" s="106">
        <f t="shared" ca="1" si="3"/>
        <v>0.57754860649072237</v>
      </c>
    </row>
    <row r="28" spans="3:17" ht="13.8" thickBot="1" x14ac:dyDescent="0.3">
      <c r="C28" s="214" t="s">
        <v>40</v>
      </c>
      <c r="D28" s="215"/>
      <c r="E28" s="215"/>
      <c r="F28" s="215"/>
      <c r="G28" s="215"/>
      <c r="H28" s="216"/>
    </row>
  </sheetData>
  <mergeCells count="7">
    <mergeCell ref="C28:H28"/>
    <mergeCell ref="B2:E2"/>
    <mergeCell ref="B4:I4"/>
    <mergeCell ref="D5:E5"/>
    <mergeCell ref="F5:G5"/>
    <mergeCell ref="H5:I5"/>
    <mergeCell ref="C16:H16"/>
  </mergeCells>
  <dataValidations count="3">
    <dataValidation type="decimal" operator="greaterThan" allowBlank="1" showInputMessage="1" showErrorMessage="1" sqref="D19:D27" xr:uid="{00000000-0002-0000-0100-000000000000}">
      <formula1>0</formula1>
    </dataValidation>
    <dataValidation type="decimal" operator="greaterThanOrEqual" showInputMessage="1" showErrorMessage="1" sqref="D6:D10" xr:uid="{00000000-0002-0000-0100-000001000000}">
      <formula1>0</formula1>
    </dataValidation>
    <dataValidation type="list" allowBlank="1" showInputMessage="1" showErrorMessage="1" sqref="F2" xr:uid="{00000000-0002-0000-0100-000002000000}">
      <formula1>"PSoC 60, PSoC 61, PSoC 62 (1MB),  PSoC 62 (2MB),  PSoC 62 (512KB), PSoC 62 (256KB), PSoC 63"</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dimension ref="B1:AB242"/>
  <sheetViews>
    <sheetView topLeftCell="A52" zoomScaleNormal="100" workbookViewId="0">
      <selection activeCell="H66" sqref="H66"/>
    </sheetView>
  </sheetViews>
  <sheetFormatPr defaultRowHeight="13.2" outlineLevelRow="1" x14ac:dyDescent="0.25"/>
  <cols>
    <col min="1" max="1" width="4.6640625" customWidth="1"/>
    <col min="2" max="2" width="3.33203125" customWidth="1"/>
    <col min="3" max="3" width="28.6640625" customWidth="1"/>
    <col min="4" max="4" width="17.6640625" style="23" customWidth="1"/>
    <col min="5" max="5" width="16.6640625" customWidth="1"/>
    <col min="6" max="6" width="11.6640625" style="29" customWidth="1"/>
    <col min="7" max="7" width="10.6640625" customWidth="1"/>
    <col min="8" max="8" width="105.6640625" customWidth="1"/>
    <col min="9" max="9" width="1.44140625" customWidth="1"/>
  </cols>
  <sheetData>
    <row r="1" spans="2:28" x14ac:dyDescent="0.25">
      <c r="B1" s="1"/>
      <c r="C1" s="223" t="s">
        <v>76</v>
      </c>
      <c r="D1" s="223"/>
      <c r="E1" s="224" t="s">
        <v>44</v>
      </c>
      <c r="F1" s="224"/>
      <c r="G1" s="224"/>
    </row>
    <row r="2" spans="2:28" ht="15.6" x14ac:dyDescent="0.3">
      <c r="B2" s="241" t="s">
        <v>36</v>
      </c>
      <c r="C2" s="219"/>
      <c r="D2" s="219"/>
      <c r="E2" s="219"/>
      <c r="F2" s="219" t="s">
        <v>20</v>
      </c>
      <c r="G2" s="219"/>
      <c r="H2" s="51" t="s">
        <v>35</v>
      </c>
      <c r="K2" s="88" t="s">
        <v>192</v>
      </c>
      <c r="AB2" s="43"/>
    </row>
    <row r="3" spans="2:28" ht="15.6" x14ac:dyDescent="0.3">
      <c r="B3" s="225" t="s">
        <v>155</v>
      </c>
      <c r="C3" s="225"/>
      <c r="D3" s="225"/>
      <c r="E3" s="225"/>
      <c r="F3" s="225"/>
      <c r="G3" s="225"/>
      <c r="H3" s="225"/>
      <c r="AB3" s="43"/>
    </row>
    <row r="4" spans="2:28" x14ac:dyDescent="0.25">
      <c r="B4" s="53" t="s">
        <v>140</v>
      </c>
      <c r="C4" s="53"/>
      <c r="D4" s="53"/>
      <c r="E4" s="53"/>
      <c r="F4" s="53"/>
      <c r="G4" s="53"/>
      <c r="H4" s="53"/>
      <c r="AB4" s="43"/>
    </row>
    <row r="5" spans="2:28" x14ac:dyDescent="0.25">
      <c r="B5" s="54"/>
      <c r="C5" s="122" t="s">
        <v>476</v>
      </c>
      <c r="D5" s="111">
        <v>3.3</v>
      </c>
      <c r="E5" s="122" t="s">
        <v>267</v>
      </c>
      <c r="F5" s="110"/>
      <c r="G5" s="55"/>
      <c r="H5" s="112" t="s">
        <v>268</v>
      </c>
      <c r="AB5" s="43"/>
    </row>
    <row r="6" spans="2:28" x14ac:dyDescent="0.25">
      <c r="B6" s="54"/>
      <c r="C6" s="122" t="s">
        <v>264</v>
      </c>
      <c r="D6" s="111" t="s">
        <v>266</v>
      </c>
      <c r="E6" s="54"/>
      <c r="F6" s="110"/>
      <c r="G6" s="55"/>
      <c r="H6" s="112" t="s">
        <v>269</v>
      </c>
      <c r="AB6" s="43"/>
    </row>
    <row r="7" spans="2:28" x14ac:dyDescent="0.25">
      <c r="B7" s="54"/>
      <c r="C7" s="122" t="s">
        <v>317</v>
      </c>
      <c r="D7" s="111">
        <v>0.9</v>
      </c>
      <c r="E7" s="122" t="s">
        <v>267</v>
      </c>
      <c r="F7" s="110"/>
      <c r="G7" s="55"/>
      <c r="H7" s="112" t="s">
        <v>318</v>
      </c>
      <c r="AB7" s="43"/>
    </row>
    <row r="8" spans="2:28" x14ac:dyDescent="0.25">
      <c r="B8" s="54"/>
      <c r="C8" s="54" t="s">
        <v>219</v>
      </c>
      <c r="D8" s="111" t="s">
        <v>223</v>
      </c>
      <c r="E8" s="54"/>
      <c r="F8" s="110"/>
      <c r="G8" s="55"/>
      <c r="H8" s="112" t="s">
        <v>477</v>
      </c>
      <c r="AB8" s="43"/>
    </row>
    <row r="9" spans="2:28" x14ac:dyDescent="0.25">
      <c r="B9" s="54"/>
      <c r="C9" s="122" t="s">
        <v>231</v>
      </c>
      <c r="D9" s="111" t="s">
        <v>228</v>
      </c>
      <c r="E9" s="54"/>
      <c r="F9" s="110"/>
      <c r="G9" s="55"/>
      <c r="H9" s="112" t="s">
        <v>230</v>
      </c>
      <c r="AB9" s="43"/>
    </row>
    <row r="10" spans="2:28" x14ac:dyDescent="0.25">
      <c r="B10" s="54"/>
      <c r="C10" s="122" t="s">
        <v>232</v>
      </c>
      <c r="D10" s="111" t="s">
        <v>257</v>
      </c>
      <c r="E10" s="54"/>
      <c r="F10" s="110"/>
      <c r="G10" s="55"/>
      <c r="H10" s="112" t="s">
        <v>229</v>
      </c>
      <c r="AB10" s="43"/>
    </row>
    <row r="11" spans="2:28" x14ac:dyDescent="0.25">
      <c r="B11" s="53" t="s">
        <v>115</v>
      </c>
      <c r="C11" s="53"/>
      <c r="D11" s="53"/>
      <c r="E11" s="53"/>
      <c r="F11" s="53"/>
      <c r="G11" s="53"/>
      <c r="H11" s="53"/>
      <c r="AB11" s="41"/>
    </row>
    <row r="12" spans="2:28" x14ac:dyDescent="0.25">
      <c r="B12" s="226" t="s">
        <v>233</v>
      </c>
      <c r="C12" s="227"/>
      <c r="D12" s="53"/>
      <c r="E12" s="53"/>
      <c r="F12" s="53"/>
      <c r="G12" s="53"/>
      <c r="H12" s="53"/>
      <c r="AB12" s="41"/>
    </row>
    <row r="13" spans="2:28" x14ac:dyDescent="0.25">
      <c r="B13" s="140" t="b">
        <v>1</v>
      </c>
      <c r="C13" s="122" t="s">
        <v>234</v>
      </c>
      <c r="D13" s="60">
        <v>50</v>
      </c>
      <c r="E13" s="122" t="s">
        <v>3</v>
      </c>
      <c r="F13" s="57">
        <f ca="1">IF(AND(Config1_AllClocksOn,B13),Config1_FLL_Coef*D13,0)</f>
        <v>182.00000000000006</v>
      </c>
      <c r="G13" s="58" t="s">
        <v>57</v>
      </c>
      <c r="H13" s="112" t="s">
        <v>236</v>
      </c>
      <c r="AB13" s="43"/>
    </row>
    <row r="14" spans="2:28" x14ac:dyDescent="0.25">
      <c r="B14" s="140" t="b">
        <v>0</v>
      </c>
      <c r="C14" s="122" t="s">
        <v>164</v>
      </c>
      <c r="D14" s="123">
        <v>54</v>
      </c>
      <c r="E14" s="122" t="s">
        <v>3</v>
      </c>
      <c r="F14" s="57">
        <f>IF(AND(Config1_AllClocksOn,B14),Config1_PLL_Coef*D14+IF(D15/D16&gt;40,Config1_PLL_Coef_h40*D15/D16+Config1_PLL_Ped_h40,Config1_PLL_Coef_l40*D15/D16+Config1_PLL_Ped_l40),0)</f>
        <v>0</v>
      </c>
      <c r="G14" s="58" t="s">
        <v>57</v>
      </c>
      <c r="H14" s="112" t="s">
        <v>238</v>
      </c>
      <c r="AB14" s="41"/>
    </row>
    <row r="15" spans="2:28" x14ac:dyDescent="0.25">
      <c r="B15" s="54"/>
      <c r="C15" s="122" t="s">
        <v>237</v>
      </c>
      <c r="D15" s="146">
        <v>36</v>
      </c>
      <c r="E15" s="54"/>
      <c r="F15" s="80"/>
      <c r="G15" s="81"/>
      <c r="H15" s="112" t="s">
        <v>240</v>
      </c>
      <c r="AB15" s="41"/>
    </row>
    <row r="16" spans="2:28" x14ac:dyDescent="0.25">
      <c r="B16" s="54"/>
      <c r="C16" s="122" t="s">
        <v>239</v>
      </c>
      <c r="D16" s="60">
        <v>1</v>
      </c>
      <c r="E16" s="54"/>
      <c r="F16" s="80"/>
      <c r="G16" s="81"/>
      <c r="H16" s="112" t="s">
        <v>241</v>
      </c>
      <c r="AB16" s="41"/>
    </row>
    <row r="17" spans="2:28" x14ac:dyDescent="0.25">
      <c r="B17" s="148" t="b">
        <v>0</v>
      </c>
      <c r="C17" s="122" t="s">
        <v>165</v>
      </c>
      <c r="D17" s="56">
        <v>150</v>
      </c>
      <c r="E17" s="122" t="s">
        <v>3</v>
      </c>
      <c r="F17" s="57">
        <f>IF(AND(NUM_PLL&gt;1,AND(Config1_AllClocksOn,B17)),Config1_PLL_Coef*D17+IF(D18/D19&gt;40,Config1_PLL_Coef_h40*D18/D19+Config1_PLL_Ped_h40,Config1_PLL_Coef_l40*D18/D19+Config1_PLL_Ped_l40),0)</f>
        <v>0</v>
      </c>
      <c r="G17" s="58" t="s">
        <v>57</v>
      </c>
      <c r="H17" s="112" t="s">
        <v>242</v>
      </c>
      <c r="AB17" s="41"/>
    </row>
    <row r="18" spans="2:28" x14ac:dyDescent="0.25">
      <c r="B18" s="139"/>
      <c r="C18" s="138" t="s">
        <v>237</v>
      </c>
      <c r="D18" s="60">
        <v>25</v>
      </c>
      <c r="E18" s="55"/>
      <c r="F18" s="80"/>
      <c r="G18" s="81"/>
      <c r="H18" s="112" t="s">
        <v>244</v>
      </c>
      <c r="AB18" s="41"/>
    </row>
    <row r="19" spans="2:28" x14ac:dyDescent="0.25">
      <c r="B19" s="139"/>
      <c r="C19" s="122" t="s">
        <v>239</v>
      </c>
      <c r="D19" s="60">
        <v>1</v>
      </c>
      <c r="E19" s="55"/>
      <c r="F19" s="80"/>
      <c r="G19" s="81"/>
      <c r="H19" s="112" t="s">
        <v>243</v>
      </c>
      <c r="AB19" s="41"/>
    </row>
    <row r="20" spans="2:28" x14ac:dyDescent="0.25">
      <c r="B20" s="226" t="s">
        <v>235</v>
      </c>
      <c r="C20" s="227"/>
      <c r="D20" s="136"/>
      <c r="E20" s="136"/>
      <c r="F20" s="53"/>
      <c r="G20" s="53"/>
      <c r="H20" s="53"/>
      <c r="AB20" s="41"/>
    </row>
    <row r="21" spans="2:28" x14ac:dyDescent="0.25">
      <c r="B21" s="140" t="b">
        <v>1</v>
      </c>
      <c r="C21" s="122" t="s">
        <v>246</v>
      </c>
      <c r="D21" s="60" t="s">
        <v>304</v>
      </c>
      <c r="E21" s="149" t="s">
        <v>234</v>
      </c>
      <c r="F21" s="80"/>
      <c r="G21" s="81"/>
      <c r="H21" s="112" t="s">
        <v>310</v>
      </c>
      <c r="AB21" s="43"/>
    </row>
    <row r="22" spans="2:28" x14ac:dyDescent="0.25">
      <c r="B22" s="140" t="b">
        <v>0</v>
      </c>
      <c r="C22" s="122" t="s">
        <v>247</v>
      </c>
      <c r="D22" s="60" t="s">
        <v>308</v>
      </c>
      <c r="E22" s="149" t="s">
        <v>234</v>
      </c>
      <c r="F22" s="80"/>
      <c r="G22" s="81"/>
      <c r="H22" s="112" t="s">
        <v>311</v>
      </c>
      <c r="AB22" s="43"/>
    </row>
    <row r="23" spans="2:28" x14ac:dyDescent="0.25">
      <c r="B23" s="140" t="b">
        <v>0</v>
      </c>
      <c r="C23" s="122" t="s">
        <v>248</v>
      </c>
      <c r="D23" s="60" t="s">
        <v>304</v>
      </c>
      <c r="E23" s="149" t="s">
        <v>234</v>
      </c>
      <c r="F23" s="57">
        <f>IF(AND(Config1_AllClocksOn,B23),Config1_SMIF_Clk,0)</f>
        <v>0</v>
      </c>
      <c r="G23" s="58" t="s">
        <v>57</v>
      </c>
      <c r="H23" s="112" t="s">
        <v>312</v>
      </c>
      <c r="AB23" s="43"/>
    </row>
    <row r="24" spans="2:28" x14ac:dyDescent="0.25">
      <c r="B24" s="140" t="b">
        <v>0</v>
      </c>
      <c r="C24" s="122" t="s">
        <v>249</v>
      </c>
      <c r="D24" s="60" t="s">
        <v>304</v>
      </c>
      <c r="E24" s="149" t="s">
        <v>234</v>
      </c>
      <c r="F24" s="80"/>
      <c r="G24" s="81"/>
      <c r="H24" s="112" t="s">
        <v>313</v>
      </c>
      <c r="AB24" s="43"/>
    </row>
    <row r="25" spans="2:28" x14ac:dyDescent="0.25">
      <c r="B25" s="140" t="b">
        <v>0</v>
      </c>
      <c r="C25" s="122" t="s">
        <v>250</v>
      </c>
      <c r="D25" s="60" t="s">
        <v>304</v>
      </c>
      <c r="E25" s="149" t="s">
        <v>234</v>
      </c>
      <c r="F25" s="80"/>
      <c r="G25" s="81"/>
      <c r="H25" s="112" t="s">
        <v>314</v>
      </c>
      <c r="AB25" s="43"/>
    </row>
    <row r="26" spans="2:28" x14ac:dyDescent="0.25">
      <c r="B26" s="140" t="b">
        <v>0</v>
      </c>
      <c r="C26" s="122" t="s">
        <v>251</v>
      </c>
      <c r="D26" s="60" t="s">
        <v>304</v>
      </c>
      <c r="E26" s="149" t="s">
        <v>234</v>
      </c>
      <c r="F26" s="80"/>
      <c r="G26" s="81"/>
      <c r="H26" s="112" t="s">
        <v>315</v>
      </c>
      <c r="AB26" s="43"/>
    </row>
    <row r="27" spans="2:28" x14ac:dyDescent="0.25">
      <c r="B27" s="140"/>
      <c r="C27" s="138" t="s">
        <v>252</v>
      </c>
      <c r="D27" s="60">
        <v>50</v>
      </c>
      <c r="E27" s="122" t="s">
        <v>3</v>
      </c>
      <c r="F27" s="57">
        <f ca="1">IF(Config1_AllClocksOn,D27*Config1_Fast_Coef,0)</f>
        <v>26.999999999999968</v>
      </c>
      <c r="G27" s="58" t="s">
        <v>57</v>
      </c>
      <c r="H27" s="112" t="s">
        <v>321</v>
      </c>
      <c r="AB27" s="43"/>
    </row>
    <row r="28" spans="2:28" x14ac:dyDescent="0.25">
      <c r="B28" s="140"/>
      <c r="C28" s="138" t="s">
        <v>253</v>
      </c>
      <c r="D28" s="60">
        <v>50</v>
      </c>
      <c r="E28" s="122" t="s">
        <v>3</v>
      </c>
      <c r="F28" s="57">
        <f ca="1">IF(Config1_AllClocksOn,D28*Config1_Peri_Coef,0)</f>
        <v>312.00000000000006</v>
      </c>
      <c r="G28" s="58" t="s">
        <v>57</v>
      </c>
      <c r="H28" s="112" t="s">
        <v>319</v>
      </c>
      <c r="AB28" s="43"/>
    </row>
    <row r="29" spans="2:28" x14ac:dyDescent="0.25">
      <c r="B29" s="140"/>
      <c r="C29" s="138" t="s">
        <v>254</v>
      </c>
      <c r="D29" s="60">
        <v>25</v>
      </c>
      <c r="E29" s="122" t="s">
        <v>3</v>
      </c>
      <c r="F29" s="57">
        <f ca="1">IF(Config1_AllClocksOn,D29*Config1_Slow_Coef,0)</f>
        <v>286.99999999999994</v>
      </c>
      <c r="G29" s="58" t="s">
        <v>57</v>
      </c>
      <c r="H29" s="112" t="s">
        <v>320</v>
      </c>
      <c r="AB29" s="43"/>
    </row>
    <row r="30" spans="2:28" x14ac:dyDescent="0.25">
      <c r="B30" s="226" t="s">
        <v>245</v>
      </c>
      <c r="C30" s="227"/>
      <c r="D30" s="53"/>
      <c r="E30" s="53"/>
      <c r="F30" s="53"/>
      <c r="G30" s="53"/>
      <c r="H30" s="53"/>
      <c r="AB30" s="41"/>
    </row>
    <row r="31" spans="2:28" x14ac:dyDescent="0.25">
      <c r="B31" s="54"/>
      <c r="C31" s="122" t="s">
        <v>255</v>
      </c>
      <c r="D31" s="141" t="s">
        <v>150</v>
      </c>
      <c r="E31" s="55"/>
      <c r="F31" s="57">
        <f ca="1">IF(Config1_AllClocksOn,Config1_IMO_Ped,0)</f>
        <v>194</v>
      </c>
      <c r="G31" s="58" t="s">
        <v>57</v>
      </c>
      <c r="H31" s="112" t="s">
        <v>256</v>
      </c>
      <c r="AB31" s="41"/>
    </row>
    <row r="32" spans="2:28" x14ac:dyDescent="0.25">
      <c r="B32" s="54"/>
      <c r="C32" s="122" t="s">
        <v>260</v>
      </c>
      <c r="D32" s="60" t="s">
        <v>151</v>
      </c>
      <c r="E32" s="55"/>
      <c r="F32" s="57">
        <f>IF(D32="Enabled",Config1_WCO_Ped,0)</f>
        <v>0</v>
      </c>
      <c r="G32" s="58" t="s">
        <v>57</v>
      </c>
      <c r="H32" s="112" t="s">
        <v>261</v>
      </c>
      <c r="AB32" s="41"/>
    </row>
    <row r="33" spans="2:28" x14ac:dyDescent="0.25">
      <c r="B33" s="54"/>
      <c r="C33" s="55" t="s">
        <v>81</v>
      </c>
      <c r="D33" s="60" t="s">
        <v>151</v>
      </c>
      <c r="E33" s="55"/>
      <c r="F33" s="64">
        <f>IF(D33="Enabled",Config1_ILO_Ped,0)</f>
        <v>0</v>
      </c>
      <c r="G33" s="58" t="s">
        <v>57</v>
      </c>
      <c r="H33" s="112" t="s">
        <v>262</v>
      </c>
      <c r="AB33" s="41"/>
    </row>
    <row r="34" spans="2:28" x14ac:dyDescent="0.25">
      <c r="B34" s="54"/>
      <c r="C34" s="122" t="s">
        <v>259</v>
      </c>
      <c r="D34" s="60" t="s">
        <v>151</v>
      </c>
      <c r="E34" s="55"/>
      <c r="F34" s="64">
        <f>IF(D34="Enabled",Config1_PILO_Ped,0)</f>
        <v>0</v>
      </c>
      <c r="G34" s="58" t="s">
        <v>57</v>
      </c>
      <c r="H34" s="112" t="s">
        <v>263</v>
      </c>
      <c r="AB34" s="41"/>
    </row>
    <row r="35" spans="2:28" x14ac:dyDescent="0.25">
      <c r="B35" s="140" t="b">
        <v>0</v>
      </c>
      <c r="C35" s="122" t="s">
        <v>326</v>
      </c>
      <c r="D35" s="60">
        <v>17.203399999999998</v>
      </c>
      <c r="E35" s="122" t="s">
        <v>3</v>
      </c>
      <c r="F35" s="64">
        <f>IF(AND(Config1_AllClocksOn,B35),Config1_ECO_Coef*D35,0)</f>
        <v>0</v>
      </c>
      <c r="G35" s="58" t="s">
        <v>57</v>
      </c>
      <c r="H35" s="112" t="s">
        <v>327</v>
      </c>
      <c r="AB35" s="41"/>
    </row>
    <row r="36" spans="2:28" s="1" customFormat="1" x14ac:dyDescent="0.25">
      <c r="B36" s="53" t="s">
        <v>152</v>
      </c>
      <c r="C36" s="53"/>
      <c r="D36" s="53"/>
      <c r="E36" s="53"/>
      <c r="F36" s="65">
        <f ca="1">(IF(Config1_SystemMode=SystemDeepSleep,Config1_DeepSleep_Cur,0)+IF(Config1_SystemMode=SystemHibernate,Config1_Hibernate_Cur,0)+SUM(F8:F8,F13:F35))/1000</f>
        <v>1.002</v>
      </c>
      <c r="G36" s="53" t="s">
        <v>316</v>
      </c>
      <c r="H36" s="53"/>
      <c r="AB36" s="41"/>
    </row>
    <row r="37" spans="2:28" x14ac:dyDescent="0.25">
      <c r="D37"/>
      <c r="F37"/>
      <c r="H37" s="49"/>
      <c r="AB37" s="43"/>
    </row>
    <row r="38" spans="2:28" ht="15.6" x14ac:dyDescent="0.3">
      <c r="B38" s="225" t="s">
        <v>138</v>
      </c>
      <c r="C38" s="225"/>
      <c r="D38" s="225"/>
      <c r="E38" s="225"/>
      <c r="F38" s="225"/>
      <c r="G38" s="225"/>
      <c r="H38" s="225"/>
      <c r="AB38" s="43"/>
    </row>
    <row r="39" spans="2:28" ht="15.6" x14ac:dyDescent="0.3">
      <c r="B39" s="228" t="s">
        <v>406</v>
      </c>
      <c r="C39" s="229"/>
      <c r="D39" s="167"/>
      <c r="E39" s="167"/>
      <c r="F39" s="167"/>
      <c r="G39" s="167"/>
      <c r="H39" s="167"/>
      <c r="AB39" s="43"/>
    </row>
    <row r="40" spans="2:28" ht="15.6" customHeight="1" x14ac:dyDescent="0.25">
      <c r="B40" s="239"/>
      <c r="C40" s="54" t="s">
        <v>408</v>
      </c>
      <c r="D40" s="60" t="s">
        <v>151</v>
      </c>
      <c r="E40" s="54"/>
      <c r="F40" s="54"/>
      <c r="G40" s="54"/>
      <c r="H40" s="54" t="s">
        <v>412</v>
      </c>
      <c r="AB40" s="43"/>
    </row>
    <row r="41" spans="2:28" ht="15.6" customHeight="1" x14ac:dyDescent="0.25">
      <c r="B41" s="239"/>
      <c r="C41" s="54" t="s">
        <v>409</v>
      </c>
      <c r="D41" s="169">
        <v>0</v>
      </c>
      <c r="E41" s="54" t="s">
        <v>413</v>
      </c>
      <c r="F41" s="54"/>
      <c r="G41" s="54"/>
      <c r="H41" s="54" t="s">
        <v>414</v>
      </c>
      <c r="AB41" s="43"/>
    </row>
    <row r="42" spans="2:28" ht="15.6" x14ac:dyDescent="0.3">
      <c r="B42" s="240"/>
      <c r="C42" s="54" t="s">
        <v>410</v>
      </c>
      <c r="D42" s="169">
        <v>1</v>
      </c>
      <c r="E42" s="122" t="s">
        <v>415</v>
      </c>
      <c r="F42" s="170"/>
      <c r="G42" s="171"/>
      <c r="H42" s="122" t="s">
        <v>416</v>
      </c>
      <c r="AB42" s="43"/>
    </row>
    <row r="43" spans="2:28" x14ac:dyDescent="0.25">
      <c r="B43" s="53" t="s">
        <v>468</v>
      </c>
      <c r="C43" s="53"/>
      <c r="D43" s="53"/>
      <c r="E43" s="53"/>
      <c r="F43" s="53"/>
      <c r="G43" s="53"/>
      <c r="H43" s="53"/>
      <c r="AB43" s="43"/>
    </row>
    <row r="44" spans="2:28" ht="12.6" customHeight="1" x14ac:dyDescent="0.25">
      <c r="B44" s="233" t="b">
        <v>0</v>
      </c>
      <c r="C44" s="174" t="s">
        <v>33</v>
      </c>
      <c r="D44" t="s">
        <v>419</v>
      </c>
      <c r="E44" s="54"/>
      <c r="F44" s="152"/>
      <c r="G44" s="55"/>
      <c r="H44" s="176" t="s">
        <v>465</v>
      </c>
      <c r="I44">
        <f>IF(Config1_SystemMode &lt;&gt; "System Hibernate",IF(Config1_SystemMode &lt;&gt; "System Deep Sleep",1,0),0)</f>
        <v>1</v>
      </c>
      <c r="AB44" s="43"/>
    </row>
    <row r="45" spans="2:28" ht="12.6" customHeight="1" x14ac:dyDescent="0.25">
      <c r="B45" s="234"/>
      <c r="C45" s="122" t="s">
        <v>381</v>
      </c>
      <c r="D45" s="60" t="s">
        <v>451</v>
      </c>
      <c r="E45" s="54"/>
      <c r="F45" s="152"/>
      <c r="G45" s="55"/>
      <c r="H45" s="112" t="s">
        <v>382</v>
      </c>
      <c r="I45">
        <f>IF(AND(Config1_SystemMode = "System Deep Sleep", SelectedDevice = "PSOC 62 (256KB)"),1,0)</f>
        <v>0</v>
      </c>
      <c r="AB45" s="43"/>
    </row>
    <row r="46" spans="2:28" ht="12.6" customHeight="1" x14ac:dyDescent="0.25">
      <c r="B46" s="234"/>
      <c r="C46" s="122" t="s">
        <v>420</v>
      </c>
      <c r="D46" s="169">
        <v>18000</v>
      </c>
      <c r="E46" s="122" t="s">
        <v>424</v>
      </c>
      <c r="F46" s="152"/>
      <c r="G46" s="55"/>
      <c r="H46" s="112" t="s">
        <v>475</v>
      </c>
      <c r="I46" s="159" t="b">
        <f>IF(SUM(I44:I45)&gt;0,IF(B44=TRUE,TRUE,FALSE),FALSE)</f>
        <v>0</v>
      </c>
      <c r="AB46" s="41"/>
    </row>
    <row r="47" spans="2:28" ht="12.9" customHeight="1" x14ac:dyDescent="0.25">
      <c r="B47" s="234"/>
      <c r="C47" s="122" t="s">
        <v>421</v>
      </c>
      <c r="D47" s="175">
        <v>1</v>
      </c>
      <c r="E47" s="122" t="s">
        <v>425</v>
      </c>
      <c r="F47" s="152"/>
      <c r="G47" s="55"/>
      <c r="H47" s="112" t="s">
        <v>387</v>
      </c>
      <c r="AB47" s="41"/>
    </row>
    <row r="48" spans="2:28" ht="12.9" customHeight="1" x14ac:dyDescent="0.25">
      <c r="B48" s="234"/>
      <c r="C48" s="176" t="s">
        <v>422</v>
      </c>
      <c r="D48" s="169">
        <v>1</v>
      </c>
      <c r="E48" s="54"/>
      <c r="F48" s="152"/>
      <c r="G48" s="55"/>
      <c r="H48" s="112" t="s">
        <v>466</v>
      </c>
      <c r="AB48" s="41"/>
    </row>
    <row r="49" spans="2:28" ht="12.9" customHeight="1" x14ac:dyDescent="0.25">
      <c r="B49" s="234"/>
      <c r="C49" s="122" t="s">
        <v>423</v>
      </c>
      <c r="D49" s="169">
        <v>4</v>
      </c>
      <c r="E49" s="54"/>
      <c r="F49" s="152"/>
      <c r="G49" s="55"/>
      <c r="H49" s="112" t="s">
        <v>467</v>
      </c>
      <c r="AB49" s="41"/>
    </row>
    <row r="50" spans="2:28" ht="38.1" customHeight="1" x14ac:dyDescent="0.25">
      <c r="B50" s="234"/>
      <c r="C50" s="113" t="s">
        <v>426</v>
      </c>
      <c r="D50" s="193" t="str">
        <f>"Acquisition Time (min "&amp;ROUNDUP(ROUNDUP(IF(Summary!F2 = "PSOC 62 (256KB)", 83, 166)*IF(Config1_SystemMode = "System Deep Sleep", 2000, D46)/1000000, 0)/IF(Config1_SystemMode = "System Deep Sleep", 2000, D46)*1000000, 0)&amp;"ns)"</f>
        <v>Acquisition Time (min 167ns)</v>
      </c>
      <c r="E50" s="113" t="s">
        <v>427</v>
      </c>
      <c r="F50" s="194" t="s">
        <v>428</v>
      </c>
      <c r="G50" s="193" t="s">
        <v>429</v>
      </c>
      <c r="H50" s="112"/>
      <c r="AB50" s="41"/>
    </row>
    <row r="51" spans="2:28" ht="12.9" customHeight="1" x14ac:dyDescent="0.25">
      <c r="B51" s="234"/>
      <c r="C51" s="122">
        <v>0</v>
      </c>
      <c r="D51" s="60">
        <v>1000</v>
      </c>
      <c r="E51" s="60" t="s">
        <v>151</v>
      </c>
      <c r="F51" s="177">
        <f>ROUNDDOWN((G51/1000+ (1/IF(Config1_SystemMode = "System Deep Sleep", 2000, D46)*1000)*15)*IF(E51="Enabled", D49, 1),2)</f>
        <v>1.83</v>
      </c>
      <c r="G51" s="112">
        <f>ROUNDUP(ROUND(D51*D46/1000000,0)/D46*1000000,0)</f>
        <v>1000</v>
      </c>
      <c r="H51" s="112" t="s">
        <v>430</v>
      </c>
      <c r="AB51" s="41"/>
    </row>
    <row r="52" spans="2:28" ht="12.9" customHeight="1" x14ac:dyDescent="0.25">
      <c r="B52" s="234"/>
      <c r="C52" s="173">
        <v>1</v>
      </c>
      <c r="D52" s="60">
        <v>1000</v>
      </c>
      <c r="E52" s="60" t="s">
        <v>151</v>
      </c>
      <c r="F52" s="177">
        <f>ROUNDDOWN(IF(D$48 &gt; 1,(G52/1000+ (1/IF(Config1_SystemMode = "System Deep Sleep", 2000, D$46)*1000)*15)*IF(E52="Enabled", D$49, 1),0), 2)</f>
        <v>0</v>
      </c>
      <c r="G52" s="112">
        <f>ROUNDUP(ROUND(D52*D46/1000000,0)/D46*1000000,0)</f>
        <v>1000</v>
      </c>
      <c r="H52" s="112" t="s">
        <v>431</v>
      </c>
      <c r="AB52" s="41"/>
    </row>
    <row r="53" spans="2:28" ht="12.9" customHeight="1" x14ac:dyDescent="0.25">
      <c r="B53" s="234"/>
      <c r="C53" s="173">
        <v>2</v>
      </c>
      <c r="D53" s="60">
        <v>1000</v>
      </c>
      <c r="E53" s="60" t="s">
        <v>151</v>
      </c>
      <c r="F53" s="177">
        <f>ROUNDDOWN(IF(D$48 &gt; 2,(G53/1000+ (1/IF(Config1_SystemMode = "System Deep Sleep", 2000, D$46)*1000)*15)*IF(E53="Enabled", D$49, 1),0), 2)</f>
        <v>0</v>
      </c>
      <c r="G53" s="112">
        <f>ROUNDUP(ROUND(D53*D46/1000000,0)/D46*1000000,0)</f>
        <v>1000</v>
      </c>
      <c r="H53" s="112" t="s">
        <v>432</v>
      </c>
      <c r="AB53" s="41"/>
    </row>
    <row r="54" spans="2:28" ht="12.9" customHeight="1" x14ac:dyDescent="0.25">
      <c r="B54" s="234"/>
      <c r="C54" s="173">
        <v>3</v>
      </c>
      <c r="D54" s="60">
        <v>1000</v>
      </c>
      <c r="E54" s="60" t="s">
        <v>151</v>
      </c>
      <c r="F54" s="177">
        <f>ROUNDDOWN(IF(D$48 &gt;3,(G54/1000+ (1/IF(Config1_SystemMode = "System Deep Sleep", 2000, D$46)*1000)*15)*IF(E54="Enabled", D$49, 1),0), 2)</f>
        <v>0</v>
      </c>
      <c r="G54" s="112">
        <f>ROUNDUP(ROUND(D54*D46/1000000,0)/D46*1000000,0)</f>
        <v>1000</v>
      </c>
      <c r="H54" s="112" t="s">
        <v>433</v>
      </c>
      <c r="AB54" s="41"/>
    </row>
    <row r="55" spans="2:28" ht="12.9" customHeight="1" x14ac:dyDescent="0.25">
      <c r="B55" s="234"/>
      <c r="C55" s="192">
        <v>4</v>
      </c>
      <c r="D55" s="60">
        <v>1000</v>
      </c>
      <c r="E55" s="60" t="s">
        <v>151</v>
      </c>
      <c r="F55" s="177">
        <f>ROUNDDOWN(IF(D$48 &gt;4,(G55/1000+ (1/IF(Config1_SystemMode = "System Deep Sleep", 2000, D$46)*1000)*15)*IF(E55="Enabled", D$49, 1),0), 2)</f>
        <v>0</v>
      </c>
      <c r="G55" s="112">
        <f>ROUNDUP(ROUND(D55*D46/1000000,0)/D46*1000000,0)</f>
        <v>1000</v>
      </c>
      <c r="H55" s="112" t="s">
        <v>434</v>
      </c>
      <c r="AB55" s="41"/>
    </row>
    <row r="56" spans="2:28" ht="12.9" customHeight="1" x14ac:dyDescent="0.25">
      <c r="B56" s="234"/>
      <c r="C56" s="173">
        <v>5</v>
      </c>
      <c r="D56" s="60">
        <v>1000</v>
      </c>
      <c r="E56" s="60" t="s">
        <v>151</v>
      </c>
      <c r="F56" s="177">
        <f>ROUNDDOWN(IF(D$48 &gt; 5,(G56/1000+ (1/IF(Config1_SystemMode = "System Deep Sleep", 2000, D$46)*1000)*15)*IF(E56="Enabled", D$49, 1),0), 2)</f>
        <v>0</v>
      </c>
      <c r="G56" s="112">
        <f>ROUNDUP(ROUND(D56*D46/1000000,0)/D46*1000000,0)</f>
        <v>1000</v>
      </c>
      <c r="H56" s="112" t="s">
        <v>435</v>
      </c>
      <c r="AB56" s="41"/>
    </row>
    <row r="57" spans="2:28" ht="12.9" customHeight="1" x14ac:dyDescent="0.25">
      <c r="B57" s="234"/>
      <c r="C57" s="173">
        <v>6</v>
      </c>
      <c r="D57" s="60">
        <v>1000</v>
      </c>
      <c r="E57" s="60" t="s">
        <v>151</v>
      </c>
      <c r="F57" s="177">
        <f>ROUNDDOWN(IF(D$48 &gt; 6,(G57/1000+ (1/IF(Config1_SystemMode = "System Deep Sleep", 2000, D$46)*1000)*15)*IF(E57="Enabled", D$49, 1),0), 2)</f>
        <v>0</v>
      </c>
      <c r="G57" s="112">
        <f>ROUNDUP(ROUND(D57*D46/1000000,0)/D46*1000000,0)</f>
        <v>1000</v>
      </c>
      <c r="H57" s="112" t="s">
        <v>436</v>
      </c>
      <c r="AB57" s="41"/>
    </row>
    <row r="58" spans="2:28" ht="12.9" customHeight="1" x14ac:dyDescent="0.25">
      <c r="B58" s="234"/>
      <c r="C58" s="173">
        <v>7</v>
      </c>
      <c r="D58" s="60">
        <v>1000</v>
      </c>
      <c r="E58" s="60" t="s">
        <v>151</v>
      </c>
      <c r="F58" s="177">
        <f>ROUNDDOWN(IF(D$48 &gt; 7,(G58/1000+ (1/IF(Config1_SystemMode = "System Deep Sleep", 2000, D$46)*1000)*15)*IF(E58="Enabled", D$49, 1),0), 2)</f>
        <v>0</v>
      </c>
      <c r="G58" s="112">
        <f>ROUNDUP(ROUND(D58*D46/1000000,0)/D46*1000000,0)</f>
        <v>1000</v>
      </c>
      <c r="H58" s="112" t="s">
        <v>437</v>
      </c>
      <c r="AB58" s="41"/>
    </row>
    <row r="59" spans="2:28" ht="12.9" customHeight="1" x14ac:dyDescent="0.25">
      <c r="B59" s="234"/>
      <c r="C59" s="173">
        <v>8</v>
      </c>
      <c r="D59" s="60">
        <v>1000</v>
      </c>
      <c r="E59" s="60" t="s">
        <v>151</v>
      </c>
      <c r="F59" s="177">
        <f>ROUNDDOWN(IF(D$48 &gt; 8,(G59/1000+ (1/IF(Config1_SystemMode = "System Deep Sleep", 2000, D$46)*1000)*15)*IF(E59="Enabled", D$49, 1),0), 2)</f>
        <v>0</v>
      </c>
      <c r="G59" s="112">
        <f>ROUNDUP(ROUND(D59*D46/1000000,0)/D46*1000000,0)</f>
        <v>1000</v>
      </c>
      <c r="H59" s="112" t="s">
        <v>438</v>
      </c>
      <c r="AB59" s="41"/>
    </row>
    <row r="60" spans="2:28" ht="12.9" customHeight="1" x14ac:dyDescent="0.25">
      <c r="B60" s="234"/>
      <c r="C60" s="173">
        <v>9</v>
      </c>
      <c r="D60" s="60">
        <v>1000</v>
      </c>
      <c r="E60" s="60" t="s">
        <v>151</v>
      </c>
      <c r="F60" s="177">
        <f>ROUNDDOWN(IF(D$48 &gt; 9,(G60/1000+ (1/IF(Config1_SystemMode = "System Deep Sleep", 2000, D$46)*1000)*15)*IF(E60="Enabled", D$49, 1),0), 2)</f>
        <v>0</v>
      </c>
      <c r="G60" s="112">
        <f>ROUNDUP(ROUND(D60*D46/1000000,0)/D46*1000000,0)</f>
        <v>1000</v>
      </c>
      <c r="H60" s="112" t="s">
        <v>439</v>
      </c>
      <c r="AB60" s="41"/>
    </row>
    <row r="61" spans="2:28" ht="12.9" customHeight="1" x14ac:dyDescent="0.25">
      <c r="B61" s="234"/>
      <c r="C61" s="173">
        <v>10</v>
      </c>
      <c r="D61" s="60">
        <v>1000</v>
      </c>
      <c r="E61" s="60" t="s">
        <v>151</v>
      </c>
      <c r="F61" s="177">
        <f>ROUNDDOWN(IF(D$48 &gt;10,(G61/1000+ (1/IF(Config1_SystemMode = "System Deep Sleep", 2000, D$46)*1000)*15)*IF(E61="Enabled", D$49, 1),0), 2)</f>
        <v>0</v>
      </c>
      <c r="G61" s="112">
        <f>ROUNDUP(ROUND(D61*D46/1000000,0)/D46*1000000,0)</f>
        <v>1000</v>
      </c>
      <c r="H61" s="112" t="s">
        <v>440</v>
      </c>
      <c r="AB61" s="41"/>
    </row>
    <row r="62" spans="2:28" ht="12.9" customHeight="1" x14ac:dyDescent="0.25">
      <c r="B62" s="234"/>
      <c r="C62" s="173">
        <v>11</v>
      </c>
      <c r="D62" s="60">
        <v>1000</v>
      </c>
      <c r="E62" s="60" t="s">
        <v>151</v>
      </c>
      <c r="F62" s="177">
        <f>ROUNDDOWN(IF(D$48 &gt; 11,(G62/1000+ (1/IF(Config1_SystemMode = "System Deep Sleep", 2000, D$46)*1000)*15)*IF(E62="Enabled", D$49, 1),0), 2)</f>
        <v>0</v>
      </c>
      <c r="G62" s="112">
        <f>ROUNDUP(ROUND(D62*D46/1000000,0)/D46*1000000,0)</f>
        <v>1000</v>
      </c>
      <c r="H62" s="112" t="s">
        <v>441</v>
      </c>
      <c r="AB62" s="41"/>
    </row>
    <row r="63" spans="2:28" ht="12.9" customHeight="1" x14ac:dyDescent="0.25">
      <c r="B63" s="234"/>
      <c r="C63" s="173">
        <v>12</v>
      </c>
      <c r="D63" s="60">
        <v>1000</v>
      </c>
      <c r="E63" s="60" t="s">
        <v>151</v>
      </c>
      <c r="F63" s="177">
        <f>ROUNDDOWN(IF(D$48 &gt; 12,(G63/1000+ (1/IF(Config1_SystemMode = "System Deep Sleep", 2000, D$46)*1000)*15)*IF(E63="Enabled", D$49, 1),0), 2)</f>
        <v>0</v>
      </c>
      <c r="G63" s="112">
        <f>ROUNDUP(ROUND(D63*D46/1000000,0)/D46*1000000,0)</f>
        <v>1000</v>
      </c>
      <c r="H63" s="112" t="s">
        <v>442</v>
      </c>
      <c r="AB63" s="41"/>
    </row>
    <row r="64" spans="2:28" ht="12.9" customHeight="1" x14ac:dyDescent="0.25">
      <c r="B64" s="234"/>
      <c r="C64" s="173">
        <v>13</v>
      </c>
      <c r="D64" s="60">
        <v>1000</v>
      </c>
      <c r="E64" s="60" t="s">
        <v>151</v>
      </c>
      <c r="F64" s="177">
        <f>ROUNDDOWN(IF(D$48 &gt; 13,(G64/1000+ (1/IF(Config1_SystemMode = "System Deep Sleep", 2000, D$46)*1000)*15)*IF(E64="Enabled", D$49, 1),0), 2)</f>
        <v>0</v>
      </c>
      <c r="G64" s="112">
        <f>ROUNDUP(ROUND(D64*D46/1000000,0)/D46*1000000,0)</f>
        <v>1000</v>
      </c>
      <c r="H64" s="112" t="s">
        <v>443</v>
      </c>
      <c r="AB64" s="41"/>
    </row>
    <row r="65" spans="2:28" ht="12.9" customHeight="1" x14ac:dyDescent="0.25">
      <c r="B65" s="234"/>
      <c r="C65" s="173">
        <v>14</v>
      </c>
      <c r="D65" s="60">
        <v>1000</v>
      </c>
      <c r="E65" s="60" t="s">
        <v>151</v>
      </c>
      <c r="F65" s="177">
        <f>ROUNDDOWN(IF(D$48 &gt; 14,(G65/1000+ (1/IF(Config1_SystemMode = "System Deep Sleep", 2000, D$46)*1000)*15)*IF(E65="Enabled", D$49, 1),0), 2)</f>
        <v>0</v>
      </c>
      <c r="G65" s="112">
        <f>ROUNDUP(ROUND(D65*D46/1000000,0)/D46*1000000,0)</f>
        <v>1000</v>
      </c>
      <c r="H65" s="112" t="s">
        <v>444</v>
      </c>
      <c r="AB65" s="41"/>
    </row>
    <row r="66" spans="2:28" ht="12.9" customHeight="1" x14ac:dyDescent="0.25">
      <c r="B66" s="234"/>
      <c r="C66" s="173">
        <v>15</v>
      </c>
      <c r="D66" s="60">
        <v>1000</v>
      </c>
      <c r="E66" s="60" t="s">
        <v>151</v>
      </c>
      <c r="F66" s="177">
        <f>ROUNDDOWN(IF(D$48 &gt; 15,(G66/1000+ (1/IF(Config1_SystemMode = "System Deep Sleep", 2000, D$46)*1000)*15)*IF(E66="Enabled", D$49, 1),0), 2)</f>
        <v>0</v>
      </c>
      <c r="G66" s="112">
        <f>ROUNDUP(ROUND(D66*D46/1000000,0)/D46*1000000,0)</f>
        <v>1000</v>
      </c>
      <c r="H66" s="112" t="s">
        <v>445</v>
      </c>
      <c r="AB66" s="41"/>
    </row>
    <row r="67" spans="2:28" ht="12.9" customHeight="1" x14ac:dyDescent="0.25">
      <c r="B67" s="234"/>
      <c r="C67" s="230" t="s">
        <v>448</v>
      </c>
      <c r="D67" s="231"/>
      <c r="E67" s="232"/>
      <c r="F67" s="178">
        <f>IF(I46=TRUE,SUM(F51:F66),0)</f>
        <v>0</v>
      </c>
      <c r="G67" s="122" t="s">
        <v>413</v>
      </c>
      <c r="H67" s="112"/>
      <c r="AB67" s="41"/>
    </row>
    <row r="68" spans="2:28" ht="12.9" customHeight="1" x14ac:dyDescent="0.25">
      <c r="B68" s="234"/>
      <c r="C68" s="230" t="s">
        <v>446</v>
      </c>
      <c r="D68" s="231"/>
      <c r="E68" s="232"/>
      <c r="F68" s="152">
        <f>(F67*D42+IF(Config1_SystemMode = "System Deep Sleep", D41,0))*IF(NOT(B44), 0, 1)</f>
        <v>0</v>
      </c>
      <c r="G68" s="122" t="s">
        <v>413</v>
      </c>
      <c r="H68" s="112"/>
      <c r="AB68" s="41"/>
    </row>
    <row r="69" spans="2:28" s="195" customFormat="1" ht="12.9" customHeight="1" x14ac:dyDescent="0.25">
      <c r="B69" s="235"/>
      <c r="C69" s="182" t="s">
        <v>447</v>
      </c>
      <c r="D69" s="183"/>
      <c r="E69" s="184"/>
      <c r="F69" s="66">
        <f>IF(I46=FALSE,0,IF(B44, IF(AND(Config1_SystemMode = "System Deep Sleep", SelectedDevice = "PSOC 62 (256KB)"), Config1_SAR_DPSLP * F68*D47/1000, IF(Config1_SystemMode = "System Deep Sleep", 0, (IF(D45="System bandgap",Config1_SAR_Ped_SysGap,0)+IF(D45="Vdda",Config1_SAR_Ped_Vdda,0)+IF(D45="Vdda/2",Config1_SAR_Ped_Vdda2,0)+D46/18*Config1_SAR_Coef))), 0))</f>
        <v>0</v>
      </c>
      <c r="G69" s="198" t="s">
        <v>10</v>
      </c>
      <c r="H69" s="112"/>
      <c r="AB69" s="196"/>
    </row>
    <row r="70" spans="2:28" x14ac:dyDescent="0.25">
      <c r="B70" s="186" t="s">
        <v>469</v>
      </c>
      <c r="C70" s="187"/>
      <c r="D70" s="188"/>
      <c r="E70" s="89"/>
      <c r="F70" s="189"/>
      <c r="G70" s="187"/>
      <c r="H70" s="190"/>
      <c r="AB70" s="41"/>
    </row>
    <row r="71" spans="2:28" ht="12.9" customHeight="1" x14ac:dyDescent="0.25">
      <c r="B71" s="236" t="b">
        <v>0</v>
      </c>
      <c r="C71" s="174" t="s">
        <v>33</v>
      </c>
      <c r="D71" t="s">
        <v>418</v>
      </c>
      <c r="E71" s="54"/>
      <c r="F71" s="152"/>
      <c r="G71" s="55"/>
      <c r="H71" s="176" t="s">
        <v>465</v>
      </c>
      <c r="I71">
        <f>IF(AND(Config1_SystemMode &lt;&gt; "System Hibernate", SelectedDevice = "PSOC 62 (256KB)"),1,0)</f>
        <v>0</v>
      </c>
      <c r="AB71" s="41"/>
    </row>
    <row r="72" spans="2:28" ht="12.9" customHeight="1" x14ac:dyDescent="0.25">
      <c r="B72" s="237"/>
      <c r="C72" s="122" t="s">
        <v>381</v>
      </c>
      <c r="D72" s="60" t="s">
        <v>451</v>
      </c>
      <c r="E72" s="54"/>
      <c r="F72" s="152"/>
      <c r="G72" s="55"/>
      <c r="H72" s="112" t="s">
        <v>382</v>
      </c>
      <c r="I72" s="159" t="b">
        <f>IF(SUM(I71)&gt;0,IF(B71=TRUE,TRUE,FALSE),FALSE)</f>
        <v>0</v>
      </c>
      <c r="AB72" s="41"/>
    </row>
    <row r="73" spans="2:28" ht="12.9" customHeight="1" x14ac:dyDescent="0.25">
      <c r="B73" s="237"/>
      <c r="C73" s="122" t="s">
        <v>420</v>
      </c>
      <c r="D73" s="169">
        <v>18000</v>
      </c>
      <c r="E73" s="122" t="s">
        <v>424</v>
      </c>
      <c r="F73" s="152"/>
      <c r="G73" s="55"/>
      <c r="H73" s="112" t="s">
        <v>475</v>
      </c>
      <c r="AB73" s="41"/>
    </row>
    <row r="74" spans="2:28" ht="12.9" customHeight="1" x14ac:dyDescent="0.25">
      <c r="B74" s="237"/>
      <c r="C74" s="122" t="s">
        <v>421</v>
      </c>
      <c r="D74" s="175">
        <v>1</v>
      </c>
      <c r="E74" s="122" t="s">
        <v>425</v>
      </c>
      <c r="F74" s="152"/>
      <c r="G74" s="55"/>
      <c r="H74" s="112" t="s">
        <v>387</v>
      </c>
      <c r="AB74" s="41"/>
    </row>
    <row r="75" spans="2:28" ht="12.9" customHeight="1" x14ac:dyDescent="0.25">
      <c r="B75" s="237"/>
      <c r="C75" s="176" t="s">
        <v>422</v>
      </c>
      <c r="D75" s="169">
        <v>1</v>
      </c>
      <c r="E75" s="54"/>
      <c r="F75" s="152"/>
      <c r="G75" s="55"/>
      <c r="H75" s="112" t="s">
        <v>466</v>
      </c>
      <c r="AB75" s="41"/>
    </row>
    <row r="76" spans="2:28" ht="12.9" customHeight="1" x14ac:dyDescent="0.25">
      <c r="B76" s="237"/>
      <c r="C76" s="122" t="s">
        <v>423</v>
      </c>
      <c r="D76" s="169">
        <v>4</v>
      </c>
      <c r="E76" s="54"/>
      <c r="F76" s="152"/>
      <c r="G76" s="55"/>
      <c r="H76" s="112" t="s">
        <v>467</v>
      </c>
      <c r="AB76" s="41"/>
    </row>
    <row r="77" spans="2:28" ht="38.1" customHeight="1" x14ac:dyDescent="0.25">
      <c r="B77" s="237"/>
      <c r="C77" s="113" t="s">
        <v>426</v>
      </c>
      <c r="D77" s="193" t="str">
        <f>"Acquisition Time (min "&amp;ROUNDUP(ROUNDUP(IF(Summary!F33 = "PSOC 62 (256KB)", 83, 166)*IF(Config1_SystemMode = "System Deep Sleep", 2000, D73)/1000000, 0)/IF(Config1_SystemMode = "System Deep Sleep", 2000, D73)*1000000, 0)&amp;"ns)"</f>
        <v>Acquisition Time (min 167ns)</v>
      </c>
      <c r="E77" s="113" t="s">
        <v>427</v>
      </c>
      <c r="F77" s="194" t="s">
        <v>428</v>
      </c>
      <c r="G77" s="193" t="s">
        <v>429</v>
      </c>
      <c r="H77" s="112"/>
      <c r="AB77" s="41"/>
    </row>
    <row r="78" spans="2:28" ht="12.9" customHeight="1" x14ac:dyDescent="0.25">
      <c r="B78" s="237"/>
      <c r="C78" s="122">
        <v>0</v>
      </c>
      <c r="D78" s="60">
        <v>1000</v>
      </c>
      <c r="E78" s="60" t="s">
        <v>151</v>
      </c>
      <c r="F78" s="177">
        <f>ROUNDDOWN((G78/1000+ (1/IF(Config1_SystemMode = "System Deep Sleep", 2000, D73)*1000)*15)*IF(E78="Enabled", D76, 1),2)</f>
        <v>1.83</v>
      </c>
      <c r="G78" s="112">
        <f>ROUNDUP(ROUND(D78*D73/1000000,0)/D73*1000000,0)</f>
        <v>1000</v>
      </c>
      <c r="H78" s="112" t="s">
        <v>430</v>
      </c>
      <c r="AB78" s="41"/>
    </row>
    <row r="79" spans="2:28" ht="12.9" customHeight="1" x14ac:dyDescent="0.25">
      <c r="B79" s="237"/>
      <c r="C79" s="173">
        <v>1</v>
      </c>
      <c r="D79" s="60">
        <v>1000</v>
      </c>
      <c r="E79" s="60" t="s">
        <v>151</v>
      </c>
      <c r="F79" s="177">
        <f>ROUNDDOWN(IF(D$75 &gt; 1,(G79/1000+ (1/IF(Config1_SystemMode = "System Deep Sleep", 2000, D$73)*1000)*15)*IF(E79="Enabled", D$76, 1),0), 2)</f>
        <v>0</v>
      </c>
      <c r="G79" s="112">
        <f>ROUNDUP(ROUND(D79*D73/1000000,0)/D73*1000000,0)</f>
        <v>1000</v>
      </c>
      <c r="H79" s="112" t="s">
        <v>431</v>
      </c>
      <c r="AB79" s="41"/>
    </row>
    <row r="80" spans="2:28" ht="12.9" customHeight="1" x14ac:dyDescent="0.25">
      <c r="B80" s="237"/>
      <c r="C80" s="173">
        <v>2</v>
      </c>
      <c r="D80" s="60">
        <v>1000</v>
      </c>
      <c r="E80" s="60" t="s">
        <v>151</v>
      </c>
      <c r="F80" s="177">
        <f>ROUNDDOWN(IF(D$75 &gt; 2,(G79/1000+ (1/IF(Config1_SystemMode = "System Deep Sleep", 2000, D$73)*1000)*15)*IF(E79="Enabled", D$76, 1),0), 2)</f>
        <v>0</v>
      </c>
      <c r="G80" s="112">
        <f>ROUNDUP(ROUND(D80*D73/1000000,0)/D73*1000000,0)</f>
        <v>1000</v>
      </c>
      <c r="H80" s="112" t="s">
        <v>432</v>
      </c>
      <c r="AB80" s="41"/>
    </row>
    <row r="81" spans="2:28" ht="12.9" customHeight="1" x14ac:dyDescent="0.25">
      <c r="B81" s="237"/>
      <c r="C81" s="173">
        <v>3</v>
      </c>
      <c r="D81" s="60">
        <v>1000</v>
      </c>
      <c r="E81" s="60" t="s">
        <v>151</v>
      </c>
      <c r="F81" s="177">
        <f>ROUNDDOWN(IF(D$75 &gt; 2,(G80/1000+ (1/IF(Config1_SystemMode = "System Deep Sleep", 2000, D$73)*1000)*15)*IF(E80="Enabled", D$76, 1),0), 2)</f>
        <v>0</v>
      </c>
      <c r="G81" s="112">
        <f>ROUNDUP(ROUND(D81*D73/1000000,0)/D73*1000000,0)</f>
        <v>1000</v>
      </c>
      <c r="H81" s="112" t="s">
        <v>433</v>
      </c>
      <c r="AB81" s="41"/>
    </row>
    <row r="82" spans="2:28" ht="12.9" customHeight="1" x14ac:dyDescent="0.25">
      <c r="B82" s="237"/>
      <c r="C82" s="173">
        <v>4</v>
      </c>
      <c r="D82" s="60">
        <v>1000</v>
      </c>
      <c r="E82" s="60" t="s">
        <v>151</v>
      </c>
      <c r="F82" s="177">
        <f>ROUNDDOWN(IF(D$75 &gt; 4,(G81/1000+ (1/IF(Config1_SystemMode = "System Deep Sleep", 2000, D$73)*1000)*15)*IF(E81="Enabled", D$76, 1),0), 2)</f>
        <v>0</v>
      </c>
      <c r="G82" s="112">
        <f>ROUNDUP(ROUND(D82*D73/1000000,0)/D73*1000000,0)</f>
        <v>1000</v>
      </c>
      <c r="H82" s="112" t="s">
        <v>434</v>
      </c>
      <c r="AB82" s="41"/>
    </row>
    <row r="83" spans="2:28" ht="12.9" customHeight="1" x14ac:dyDescent="0.25">
      <c r="B83" s="237"/>
      <c r="C83" s="173">
        <v>5</v>
      </c>
      <c r="D83" s="60">
        <v>1000</v>
      </c>
      <c r="E83" s="60" t="s">
        <v>151</v>
      </c>
      <c r="F83" s="177">
        <f>ROUNDDOWN(IF(D$75 &gt; 5,(G82/1000+ (1/IF(Config1_SystemMode = "System Deep Sleep", 2000, D$73)*1000)*15)*IF(E82="Enabled", D$76, 1),0), 2)</f>
        <v>0</v>
      </c>
      <c r="G83" s="112">
        <f>ROUNDUP(ROUND(D83*D73/1000000,0)/D73*1000000,0)</f>
        <v>1000</v>
      </c>
      <c r="H83" s="112" t="s">
        <v>435</v>
      </c>
      <c r="AB83" s="41"/>
    </row>
    <row r="84" spans="2:28" ht="12.9" customHeight="1" x14ac:dyDescent="0.25">
      <c r="B84" s="237"/>
      <c r="C84" s="173">
        <v>6</v>
      </c>
      <c r="D84" s="60">
        <v>1000</v>
      </c>
      <c r="E84" s="60" t="s">
        <v>151</v>
      </c>
      <c r="F84" s="177">
        <f>ROUNDDOWN(IF(D$75 &gt; 6,(G83/1000+ (1/IF(Config1_SystemMode = "System Deep Sleep", 2000, D$73)*1000)*15)*IF(E83="Enabled", D$76, 1),0), 2)</f>
        <v>0</v>
      </c>
      <c r="G84" s="112">
        <f>ROUNDUP(ROUND(D84*D73/1000000,0)/D73*1000000,0)</f>
        <v>1000</v>
      </c>
      <c r="H84" s="112" t="s">
        <v>436</v>
      </c>
      <c r="AB84" s="41"/>
    </row>
    <row r="85" spans="2:28" ht="12.9" customHeight="1" x14ac:dyDescent="0.25">
      <c r="B85" s="237"/>
      <c r="C85" s="173">
        <v>7</v>
      </c>
      <c r="D85" s="60">
        <v>1000</v>
      </c>
      <c r="E85" s="60" t="s">
        <v>151</v>
      </c>
      <c r="F85" s="177">
        <f>ROUNDDOWN(IF(D$75 &gt;7,(G84/1000+ (1/IF(Config1_SystemMode = "System Deep Sleep", 2000, D$73)*1000)*15)*IF(E84="Enabled", D$76, 1),0), 2)</f>
        <v>0</v>
      </c>
      <c r="G85" s="112">
        <f>ROUNDUP(ROUND(D85*D73/1000000,0)/D73*1000000,0)</f>
        <v>1000</v>
      </c>
      <c r="H85" s="112" t="s">
        <v>437</v>
      </c>
      <c r="AB85" s="41"/>
    </row>
    <row r="86" spans="2:28" ht="12.9" customHeight="1" x14ac:dyDescent="0.25">
      <c r="B86" s="237"/>
      <c r="C86" s="173">
        <v>8</v>
      </c>
      <c r="D86" s="60">
        <v>1000</v>
      </c>
      <c r="E86" s="60" t="s">
        <v>151</v>
      </c>
      <c r="F86" s="177">
        <f>ROUNDDOWN(IF(D$75 &gt; 8,(G85/1000+ (1/IF(Config1_SystemMode = "System Deep Sleep", 2000, D$73)*1000)*15)*IF(E85="Enabled", D$76, 1),0), 2)</f>
        <v>0</v>
      </c>
      <c r="G86" s="112">
        <f>ROUNDUP(ROUND(D86*D73/1000000,0)/D73*1000000,0)</f>
        <v>1000</v>
      </c>
      <c r="H86" s="112" t="s">
        <v>438</v>
      </c>
      <c r="AB86" s="41"/>
    </row>
    <row r="87" spans="2:28" ht="12.9" customHeight="1" x14ac:dyDescent="0.25">
      <c r="B87" s="237"/>
      <c r="C87" s="173">
        <v>9</v>
      </c>
      <c r="D87" s="60">
        <v>1000</v>
      </c>
      <c r="E87" s="60" t="s">
        <v>151</v>
      </c>
      <c r="F87" s="177">
        <f>ROUNDDOWN(IF(D$75 &gt; 9,(G86/1000+ (1/IF(Config1_SystemMode = "System Deep Sleep", 2000, D$73)*1000)*15)*IF(E86="Enabled", D$76, 1),0), 2)</f>
        <v>0</v>
      </c>
      <c r="G87" s="112">
        <f>ROUNDUP(ROUND(D87*D73/1000000,0)/D73*1000000,0)</f>
        <v>1000</v>
      </c>
      <c r="H87" s="112" t="s">
        <v>439</v>
      </c>
      <c r="AB87" s="41"/>
    </row>
    <row r="88" spans="2:28" ht="12.9" customHeight="1" x14ac:dyDescent="0.25">
      <c r="B88" s="237"/>
      <c r="C88" s="173">
        <v>10</v>
      </c>
      <c r="D88" s="60">
        <v>1000</v>
      </c>
      <c r="E88" s="60" t="s">
        <v>151</v>
      </c>
      <c r="F88" s="177">
        <f>ROUNDDOWN(IF(D$75 &gt; 10,(G87/1000+ (1/IF(Config1_SystemMode = "System Deep Sleep", 2000, D$73)*1000)*15)*IF(E87="Enabled", D$76, 1),0), 2)</f>
        <v>0</v>
      </c>
      <c r="G88" s="112">
        <f>ROUNDUP(ROUND(D88*D73/1000000,0)/D73*1000000,0)</f>
        <v>1000</v>
      </c>
      <c r="H88" s="112" t="s">
        <v>440</v>
      </c>
      <c r="AB88" s="41"/>
    </row>
    <row r="89" spans="2:28" ht="12.9" customHeight="1" x14ac:dyDescent="0.25">
      <c r="B89" s="237"/>
      <c r="C89" s="173">
        <v>11</v>
      </c>
      <c r="D89" s="60">
        <v>1000</v>
      </c>
      <c r="E89" s="60" t="s">
        <v>151</v>
      </c>
      <c r="F89" s="177">
        <f>ROUNDDOWN(IF(D$75 &gt; 11,(G88/1000+ (1/IF(Config1_SystemMode = "System Deep Sleep", 2000, D$73)*1000)*15)*IF(E88="Enabled", D$76, 1),0), 2)</f>
        <v>0</v>
      </c>
      <c r="G89" s="112">
        <f>ROUNDUP(ROUND(D89*D73/1000000,0)/D73*1000000,0)</f>
        <v>1000</v>
      </c>
      <c r="H89" s="112" t="s">
        <v>441</v>
      </c>
      <c r="AB89" s="41"/>
    </row>
    <row r="90" spans="2:28" ht="12.9" customHeight="1" x14ac:dyDescent="0.25">
      <c r="B90" s="237"/>
      <c r="C90" s="173">
        <v>12</v>
      </c>
      <c r="D90" s="60">
        <v>1000</v>
      </c>
      <c r="E90" s="60" t="s">
        <v>151</v>
      </c>
      <c r="F90" s="177">
        <f>ROUNDDOWN(IF(D$75 &gt; 12,(G89/1000+ (1/IF(Config1_SystemMode = "System Deep Sleep", 2000, D$73)*1000)*15)*IF(E89="Enabled", D$76, 1),0), 2)</f>
        <v>0</v>
      </c>
      <c r="G90" s="112">
        <f>ROUNDUP(ROUND(D90*D73/1000000,0)/D73*1000000,0)</f>
        <v>1000</v>
      </c>
      <c r="H90" s="112" t="s">
        <v>442</v>
      </c>
      <c r="AB90" s="41"/>
    </row>
    <row r="91" spans="2:28" ht="12.9" customHeight="1" x14ac:dyDescent="0.25">
      <c r="B91" s="237"/>
      <c r="C91" s="173">
        <v>13</v>
      </c>
      <c r="D91" s="60">
        <v>1000</v>
      </c>
      <c r="E91" s="60" t="s">
        <v>151</v>
      </c>
      <c r="F91" s="177">
        <f>ROUNDDOWN(IF(D$75 &gt; 13,(G90/1000+ (1/IF(Config1_SystemMode = "System Deep Sleep", 2000, D$73)*1000)*15)*IF(E90="Enabled", D$76, 1),0), 2)</f>
        <v>0</v>
      </c>
      <c r="G91" s="112">
        <f>ROUNDUP(ROUND(D91*D73/1000000,0)/D73*1000000,0)</f>
        <v>1000</v>
      </c>
      <c r="H91" s="112" t="s">
        <v>443</v>
      </c>
      <c r="AB91" s="41"/>
    </row>
    <row r="92" spans="2:28" ht="12.9" customHeight="1" x14ac:dyDescent="0.25">
      <c r="B92" s="237"/>
      <c r="C92" s="173">
        <v>14</v>
      </c>
      <c r="D92" s="60">
        <v>1000</v>
      </c>
      <c r="E92" s="60" t="s">
        <v>151</v>
      </c>
      <c r="F92" s="177">
        <f>ROUNDDOWN(IF(D$75 &gt; 14,(G91/1000+ (1/IF(Config1_SystemMode = "System Deep Sleep", 2000, D$73)*1000)*15)*IF(E91="Enabled", D$76, 1),0), 2)</f>
        <v>0</v>
      </c>
      <c r="G92" s="112">
        <f>ROUNDUP(ROUND(D92*D73/1000000,0)/D73*1000000,0)</f>
        <v>1000</v>
      </c>
      <c r="H92" s="112" t="s">
        <v>444</v>
      </c>
      <c r="AB92" s="41"/>
    </row>
    <row r="93" spans="2:28" ht="12.9" customHeight="1" x14ac:dyDescent="0.25">
      <c r="B93" s="237"/>
      <c r="C93" s="173">
        <v>15</v>
      </c>
      <c r="D93" s="60">
        <v>1000</v>
      </c>
      <c r="E93" s="60" t="s">
        <v>151</v>
      </c>
      <c r="F93" s="177">
        <f>ROUNDDOWN(IF(D$75 &gt; 15,(G92/1000+ (1/IF(Config1_SystemMode = "System Deep Sleep", 2000, D$73)*1000)*15)*IF(E92="Enabled", D$76, 1),0), 2)</f>
        <v>0</v>
      </c>
      <c r="G93" s="112">
        <f>ROUNDUP(ROUND(D93*D73/1000000,0)/D73*1000000,0)</f>
        <v>1000</v>
      </c>
      <c r="H93" s="112" t="s">
        <v>445</v>
      </c>
      <c r="AB93" s="41"/>
    </row>
    <row r="94" spans="2:28" ht="12.9" customHeight="1" x14ac:dyDescent="0.25">
      <c r="B94" s="237"/>
      <c r="C94" s="230" t="s">
        <v>448</v>
      </c>
      <c r="D94" s="231"/>
      <c r="E94" s="232"/>
      <c r="F94" s="178">
        <f>IF(I72=TRUE,SUM(F78:F93),0)</f>
        <v>0</v>
      </c>
      <c r="G94" s="122" t="s">
        <v>413</v>
      </c>
      <c r="H94" s="112"/>
      <c r="AB94" s="41"/>
    </row>
    <row r="95" spans="2:28" ht="12.9" customHeight="1" x14ac:dyDescent="0.25">
      <c r="B95" s="237"/>
      <c r="C95" s="230" t="s">
        <v>446</v>
      </c>
      <c r="D95" s="231"/>
      <c r="E95" s="232"/>
      <c r="F95" s="152">
        <f>(F94*D42+IF(Config1_SystemMode = "System Deep Sleep", D41,0))*IF(NOT(B71), 0, 1)</f>
        <v>0</v>
      </c>
      <c r="G95" s="122" t="s">
        <v>413</v>
      </c>
      <c r="H95" s="112"/>
      <c r="AB95" s="41"/>
    </row>
    <row r="96" spans="2:28" ht="12.9" customHeight="1" x14ac:dyDescent="0.25">
      <c r="B96" s="238"/>
      <c r="C96" s="182" t="s">
        <v>471</v>
      </c>
      <c r="D96" s="179"/>
      <c r="E96" s="180"/>
      <c r="F96" s="66">
        <f>IF(I72=FALSE,0,IF(B71, IF(AND(Config1_SystemMode = "System Deep Sleep", SelectedDevice = "PSOC 62 (256KB)"), Config1_SAR_DPSLP * F95*D74/1000, IF(Config1_SystemMode = "System Deep Sleep", 0, (IF(D72="System bandgap",Config1_SAR_Ped_SysGap,0)+IF(D72="Vdda",Config1_SAR_Ped_Vdda,0)+IF(D72="Vdda/2",Config1_SAR_Ped_Vdda2,0)+D73/18*Config1_SAR_Coef))), 0))</f>
        <v>0</v>
      </c>
      <c r="G96" s="197" t="s">
        <v>10</v>
      </c>
      <c r="H96" s="112"/>
      <c r="AB96" s="41"/>
    </row>
    <row r="97" spans="2:28" x14ac:dyDescent="0.25">
      <c r="B97" s="186" t="s">
        <v>452</v>
      </c>
      <c r="C97" s="188"/>
      <c r="D97" s="188"/>
      <c r="E97" s="188"/>
      <c r="F97" s="191"/>
      <c r="G97" s="190"/>
      <c r="H97" s="190"/>
      <c r="AB97" s="41"/>
    </row>
    <row r="98" spans="2:28" x14ac:dyDescent="0.25">
      <c r="B98" s="168"/>
      <c r="C98" s="122" t="s">
        <v>453</v>
      </c>
      <c r="D98" s="60" t="s">
        <v>472</v>
      </c>
      <c r="E98" s="54"/>
      <c r="F98" s="152"/>
      <c r="G98" s="122"/>
      <c r="H98" s="112"/>
      <c r="AB98" s="41"/>
    </row>
    <row r="99" spans="2:28" x14ac:dyDescent="0.25">
      <c r="B99" s="168"/>
      <c r="C99" s="122" t="s">
        <v>454</v>
      </c>
      <c r="D99" s="146" t="s">
        <v>458</v>
      </c>
      <c r="E99" s="54"/>
      <c r="F99" s="152"/>
      <c r="G99" s="122"/>
      <c r="H99" s="112" t="s">
        <v>456</v>
      </c>
      <c r="AB99" s="41"/>
    </row>
    <row r="100" spans="2:28" x14ac:dyDescent="0.25">
      <c r="B100" s="53" t="s">
        <v>54</v>
      </c>
      <c r="C100" s="53"/>
      <c r="D100" s="53"/>
      <c r="E100" s="53"/>
      <c r="F100" s="53"/>
      <c r="G100" s="53"/>
      <c r="H100" s="53"/>
      <c r="AB100" s="41"/>
    </row>
    <row r="101" spans="2:28" x14ac:dyDescent="0.25">
      <c r="B101" s="54"/>
      <c r="C101" s="54" t="s">
        <v>33</v>
      </c>
      <c r="D101" s="60" t="s">
        <v>28</v>
      </c>
      <c r="E101" s="54"/>
      <c r="F101" s="57">
        <f>IF(D101="Off",0,IF(D101="High",IF(D98="100nA",Config1_OpAmp_High_100nA,Config1_OpAmp_High_1uA),0)+IF(D101="Low",IF(D98="100nA",Config1_OpAmp_Low_100nA,Config1_OpAmp_Low_1uA),0)+IF(D101="Medium",IF(D98="100nA",Config1_OpAmp_Med_100nA,Config1_OpAmp_Med_1uA),0))* IF(AND(D99 = "Deep Sleep Clock", Config1_SystemMode = "System Deep Sleep", OR(IF(F69= 0, FALSE, TRUE), IF(F96 = 0, FALSE, TRUE))), MAX(F68, F95)* IF(B44, D47, (IF(B71, D74, 1)))/1000,1)</f>
        <v>0</v>
      </c>
      <c r="G101" s="185" t="s">
        <v>57</v>
      </c>
      <c r="H101" s="112" t="s">
        <v>73</v>
      </c>
      <c r="AB101" s="41"/>
    </row>
    <row r="102" spans="2:28" x14ac:dyDescent="0.25">
      <c r="B102" s="53" t="s">
        <v>55</v>
      </c>
      <c r="C102" s="53"/>
      <c r="D102" s="53"/>
      <c r="E102" s="53"/>
      <c r="F102" s="53"/>
      <c r="G102" s="53"/>
      <c r="H102" s="53"/>
      <c r="AB102" s="41"/>
    </row>
    <row r="103" spans="2:28" x14ac:dyDescent="0.25">
      <c r="B103" s="54"/>
      <c r="C103" s="54" t="s">
        <v>33</v>
      </c>
      <c r="D103" s="60" t="s">
        <v>28</v>
      </c>
      <c r="E103" s="54"/>
      <c r="F103" s="57">
        <f>IF(D103="Off",0,IF(D103="High",IF(D98="100nA",Config1_OpAmp_High_100nA,Config1_OpAmp_High_1uA),0)+IF(D103="Low",IF(D98="100nA",Config1_OpAmp_Low_100nA,Config1_OpAmp_Low_1uA),0)+IF(D103="Medium",IF(D98="100nA",Config1_OpAmp_Med_100nA,Config1_OpAmp_Med_1uA),0))* IF(AND(D99 = "Deep Sleep Clock", Config1_SystemMode = "System Deep Sleep", OR(IF(F69= 0, FALSE, TRUE), IF(F96 = 0, FALSE, TRUE))), MAX(F68, F95)* IF(B44, D47, (IF(B71, D74, 1)))/1000,1)</f>
        <v>0</v>
      </c>
      <c r="G103" s="185" t="s">
        <v>57</v>
      </c>
      <c r="H103" s="112" t="s">
        <v>72</v>
      </c>
      <c r="AB103" s="43"/>
    </row>
    <row r="104" spans="2:28" x14ac:dyDescent="0.25">
      <c r="B104" s="53" t="s">
        <v>52</v>
      </c>
      <c r="C104" s="53"/>
      <c r="D104" s="53"/>
      <c r="E104" s="53"/>
      <c r="F104" s="53"/>
      <c r="G104" s="53"/>
      <c r="H104" s="53"/>
      <c r="AB104" s="41"/>
    </row>
    <row r="105" spans="2:28" x14ac:dyDescent="0.25">
      <c r="B105" s="54"/>
      <c r="C105" s="54" t="s">
        <v>2</v>
      </c>
      <c r="D105" s="60" t="s">
        <v>28</v>
      </c>
      <c r="E105" s="54"/>
      <c r="F105" s="57">
        <f>IF(D105="Off",0,IF(D105="Fast/Normal",Config1_LP_Fast,IF(D105="Medium/Low Power",Config1_LP_Med,Config1_LP_Slow)))</f>
        <v>0</v>
      </c>
      <c r="G105" s="58" t="s">
        <v>57</v>
      </c>
      <c r="H105" s="59" t="s">
        <v>74</v>
      </c>
      <c r="AB105" s="41"/>
    </row>
    <row r="106" spans="2:28" x14ac:dyDescent="0.25">
      <c r="B106" s="53" t="s">
        <v>53</v>
      </c>
      <c r="C106" s="53"/>
      <c r="D106" s="53"/>
      <c r="E106" s="53"/>
      <c r="F106" s="53"/>
      <c r="G106" s="53"/>
      <c r="H106" s="53"/>
      <c r="AB106" s="41"/>
    </row>
    <row r="107" spans="2:28" x14ac:dyDescent="0.25">
      <c r="B107" s="54"/>
      <c r="C107" s="54" t="s">
        <v>2</v>
      </c>
      <c r="D107" s="60" t="s">
        <v>28</v>
      </c>
      <c r="E107" s="54"/>
      <c r="F107" s="57">
        <f>IF(D107="Off",0,IF(D107="Fast/Normal",Config1_LP_Fast,IF(D107="Medium/Low Power",Config1_LP_Med,Config1_LP_Slow)))</f>
        <v>0</v>
      </c>
      <c r="G107" s="58" t="s">
        <v>57</v>
      </c>
      <c r="H107" s="59" t="s">
        <v>75</v>
      </c>
      <c r="AB107" s="41"/>
    </row>
    <row r="108" spans="2:28" x14ac:dyDescent="0.25">
      <c r="B108" s="53" t="s">
        <v>86</v>
      </c>
      <c r="C108" s="53"/>
      <c r="D108" s="53"/>
      <c r="E108" s="53"/>
      <c r="F108" s="53"/>
      <c r="G108" s="53"/>
      <c r="H108" s="53"/>
      <c r="AB108" s="41"/>
    </row>
    <row r="109" spans="2:28" x14ac:dyDescent="0.25">
      <c r="B109" s="54"/>
      <c r="C109" s="55" t="s">
        <v>156</v>
      </c>
      <c r="D109" s="60">
        <v>0</v>
      </c>
      <c r="E109" s="54"/>
      <c r="F109" s="57">
        <f ca="1">IF(OR(Config1_SystemMode = "System LP", Config1_SystemMode = "System ULP"), D109*Config1_DAC_Ped, 0)</f>
        <v>0</v>
      </c>
      <c r="G109" s="58" t="s">
        <v>57</v>
      </c>
      <c r="H109" s="112" t="s">
        <v>211</v>
      </c>
      <c r="AB109" s="41"/>
    </row>
    <row r="110" spans="2:28" x14ac:dyDescent="0.25">
      <c r="B110" s="53" t="s">
        <v>179</v>
      </c>
      <c r="C110" s="53"/>
      <c r="D110" s="53"/>
      <c r="E110" s="53"/>
      <c r="F110" s="53"/>
      <c r="G110" s="53"/>
      <c r="H110" s="53"/>
      <c r="AB110" s="41"/>
    </row>
    <row r="111" spans="2:28" x14ac:dyDescent="0.25">
      <c r="B111" s="55"/>
      <c r="C111" s="55" t="s">
        <v>56</v>
      </c>
      <c r="D111" s="56">
        <v>0</v>
      </c>
      <c r="E111" s="55" t="s">
        <v>3</v>
      </c>
      <c r="F111" s="57">
        <f ca="1">IF(OR(Config1_SystemMode = "System LP", Config1_SystemMode = "System ULP"), D111*Config1_CapSense_Coef+Config1_CapSense_Ped*D111, 0)</f>
        <v>0</v>
      </c>
      <c r="G111" s="58" t="s">
        <v>57</v>
      </c>
      <c r="H111" s="112" t="s">
        <v>215</v>
      </c>
      <c r="AB111" s="41"/>
    </row>
    <row r="112" spans="2:28" s="1" customFormat="1" x14ac:dyDescent="0.25">
      <c r="B112" s="53" t="s">
        <v>180</v>
      </c>
      <c r="C112" s="53"/>
      <c r="D112" s="53"/>
      <c r="E112" s="53"/>
      <c r="F112" s="53"/>
      <c r="G112" s="53"/>
      <c r="H112" s="53"/>
      <c r="AB112" s="41"/>
    </row>
    <row r="113" spans="2:28" x14ac:dyDescent="0.25">
      <c r="B113" s="55"/>
      <c r="C113" s="55" t="s">
        <v>56</v>
      </c>
      <c r="D113" s="56">
        <v>0</v>
      </c>
      <c r="E113" s="55" t="s">
        <v>3</v>
      </c>
      <c r="F113" s="57">
        <f ca="1">IF(OR(Config1_SystemMode = "System LP", Config1_SystemMode = "System ULP"), D113*Config1_CapSense_Coef+Config1_CapSense_Ped*D113, 0)</f>
        <v>0</v>
      </c>
      <c r="G113" s="58" t="s">
        <v>57</v>
      </c>
      <c r="H113" s="112" t="s">
        <v>215</v>
      </c>
      <c r="AB113" s="41"/>
    </row>
    <row r="114" spans="2:28" s="1" customFormat="1" x14ac:dyDescent="0.25">
      <c r="B114" s="53" t="s">
        <v>152</v>
      </c>
      <c r="C114" s="53"/>
      <c r="D114" s="53"/>
      <c r="E114" s="53"/>
      <c r="F114" s="65">
        <f ca="1">(F69+F96+SUM(F101:F113))/1000</f>
        <v>0</v>
      </c>
      <c r="G114" s="53" t="s">
        <v>316</v>
      </c>
      <c r="H114" s="53"/>
      <c r="AB114" s="41"/>
    </row>
    <row r="115" spans="2:28" s="1" customFormat="1" x14ac:dyDescent="0.25">
      <c r="B115" s="48"/>
      <c r="C115" s="48"/>
      <c r="D115" s="48"/>
      <c r="E115" s="48"/>
      <c r="F115" s="48"/>
      <c r="G115" s="48"/>
      <c r="H115" s="50"/>
      <c r="AB115" s="41"/>
    </row>
    <row r="116" spans="2:28" s="1" customFormat="1" ht="15.6" x14ac:dyDescent="0.3">
      <c r="B116" s="225" t="s">
        <v>139</v>
      </c>
      <c r="C116" s="225"/>
      <c r="D116" s="225"/>
      <c r="E116" s="225"/>
      <c r="F116" s="225"/>
      <c r="G116" s="225"/>
      <c r="H116" s="225"/>
      <c r="AB116" s="41"/>
    </row>
    <row r="117" spans="2:28" s="1" customFormat="1" x14ac:dyDescent="0.25">
      <c r="B117" s="53" t="s">
        <v>68</v>
      </c>
      <c r="C117" s="53"/>
      <c r="D117" s="53"/>
      <c r="E117" s="53"/>
      <c r="F117" s="53"/>
      <c r="G117" s="53"/>
      <c r="H117" s="53"/>
      <c r="AB117" s="41"/>
    </row>
    <row r="118" spans="2:28" s="1" customFormat="1" x14ac:dyDescent="0.25">
      <c r="B118" s="151" t="b">
        <v>0</v>
      </c>
      <c r="C118" s="122" t="s">
        <v>333</v>
      </c>
      <c r="D118" s="149" t="s">
        <v>335</v>
      </c>
      <c r="E118" s="122"/>
      <c r="F118" s="122"/>
      <c r="G118" s="122"/>
      <c r="H118" s="112" t="s">
        <v>337</v>
      </c>
      <c r="AB118" s="41"/>
    </row>
    <row r="119" spans="2:28" x14ac:dyDescent="0.25">
      <c r="B119" s="140"/>
      <c r="C119" s="55" t="s">
        <v>63</v>
      </c>
      <c r="D119" s="56">
        <v>100</v>
      </c>
      <c r="E119" s="54" t="s">
        <v>3</v>
      </c>
      <c r="F119" s="66">
        <f>IF(AND(Config1_AllClocksOn,B118),IF(D118="Disabled",0,Config1_Tcpwm_EnPed*$D$28/100/(2-1/Config1_Tcpwm_Count))+IF(D118="Triggered",D119*IF($D$28=D119,Config1_Tcpwm_TrigPeriCoef,Config1_Tcpwm_TrigCoef),0),0)</f>
        <v>0</v>
      </c>
      <c r="G119" s="58" t="s">
        <v>57</v>
      </c>
      <c r="H119" s="112" t="s">
        <v>212</v>
      </c>
      <c r="AB119" s="41"/>
    </row>
    <row r="120" spans="2:28" x14ac:dyDescent="0.25">
      <c r="B120" s="140" t="b">
        <v>0</v>
      </c>
      <c r="C120" s="122" t="s">
        <v>338</v>
      </c>
      <c r="D120" s="149" t="s">
        <v>335</v>
      </c>
      <c r="E120" s="54"/>
      <c r="F120" s="152"/>
      <c r="G120" s="55"/>
      <c r="H120" s="112" t="s">
        <v>337</v>
      </c>
      <c r="AB120" s="41"/>
    </row>
    <row r="121" spans="2:28" x14ac:dyDescent="0.25">
      <c r="B121" s="140"/>
      <c r="C121" s="122" t="s">
        <v>65</v>
      </c>
      <c r="D121" s="56">
        <v>100</v>
      </c>
      <c r="E121" s="122" t="s">
        <v>3</v>
      </c>
      <c r="F121" s="66">
        <f>IF(AND(Config1_AllClocksOn,B120),IF(D120="Disabled",0,Config1_Tcpwm_EnPed*$D$28/100/(2-1/Config1_Tcpwm_Count))+IF(D120="Triggered",D121*IF($D$28=D121,Config1_Tcpwm_TrigPeriCoef,Config1_Tcpwm_TrigCoef),0),0)</f>
        <v>0</v>
      </c>
      <c r="G121" s="58" t="s">
        <v>57</v>
      </c>
      <c r="H121" s="112" t="s">
        <v>212</v>
      </c>
      <c r="AB121" s="41"/>
    </row>
    <row r="122" spans="2:28" s="1" customFormat="1" x14ac:dyDescent="0.25">
      <c r="B122" s="151" t="b">
        <v>0</v>
      </c>
      <c r="C122" s="122" t="s">
        <v>339</v>
      </c>
      <c r="D122" s="149" t="s">
        <v>335</v>
      </c>
      <c r="E122" s="122"/>
      <c r="F122" s="122"/>
      <c r="G122" s="122"/>
      <c r="H122" s="112" t="s">
        <v>337</v>
      </c>
      <c r="AB122" s="41"/>
    </row>
    <row r="123" spans="2:28" x14ac:dyDescent="0.25">
      <c r="B123" s="140"/>
      <c r="C123" s="122" t="s">
        <v>66</v>
      </c>
      <c r="D123" s="56">
        <v>100</v>
      </c>
      <c r="E123" s="54" t="s">
        <v>3</v>
      </c>
      <c r="F123" s="66">
        <f>IF(AND(Config1_AllClocksOn,B122),IF(D122="Disabled",0,Config1_Tcpwm_EnPed*$D$28/100/(2-1/Config1_Tcpwm_Count))+IF(D122="Triggered",D123*IF($D$28=D123,Config1_Tcpwm_TrigPeriCoef,Config1_Tcpwm_TrigCoef),0),0)</f>
        <v>0</v>
      </c>
      <c r="G123" s="58" t="s">
        <v>57</v>
      </c>
      <c r="H123" s="112" t="s">
        <v>212</v>
      </c>
      <c r="AB123" s="41"/>
    </row>
    <row r="124" spans="2:28" x14ac:dyDescent="0.25">
      <c r="B124" s="140" t="b">
        <v>0</v>
      </c>
      <c r="C124" s="122" t="s">
        <v>340</v>
      </c>
      <c r="D124" s="149" t="s">
        <v>335</v>
      </c>
      <c r="E124" s="54"/>
      <c r="F124" s="152"/>
      <c r="G124" s="55"/>
      <c r="H124" s="112" t="s">
        <v>337</v>
      </c>
      <c r="AB124" s="41"/>
    </row>
    <row r="125" spans="2:28" x14ac:dyDescent="0.25">
      <c r="B125" s="140"/>
      <c r="C125" s="122" t="s">
        <v>67</v>
      </c>
      <c r="D125" s="56">
        <v>100</v>
      </c>
      <c r="E125" s="122" t="s">
        <v>3</v>
      </c>
      <c r="F125" s="66">
        <f>IF(AND(Config1_AllClocksOn,B124),IF(D124="Disabled",0,Config1_Tcpwm_EnPed*$D$28/100/(2-1/Config1_Tcpwm_Count))+IF(D124="Triggered",D125*IF($D$28=D125,Config1_Tcpwm_TrigPeriCoef,Config1_Tcpwm_TrigCoef),0),0)</f>
        <v>0</v>
      </c>
      <c r="G125" s="58" t="s">
        <v>57</v>
      </c>
      <c r="H125" s="112" t="s">
        <v>212</v>
      </c>
      <c r="AB125" s="41"/>
    </row>
    <row r="126" spans="2:28" s="1" customFormat="1" x14ac:dyDescent="0.25">
      <c r="B126" s="151" t="b">
        <v>0</v>
      </c>
      <c r="C126" s="122" t="s">
        <v>341</v>
      </c>
      <c r="D126" s="149" t="s">
        <v>335</v>
      </c>
      <c r="E126" s="122"/>
      <c r="F126" s="122"/>
      <c r="G126" s="122"/>
      <c r="H126" s="112" t="s">
        <v>337</v>
      </c>
      <c r="AB126" s="41"/>
    </row>
    <row r="127" spans="2:28" x14ac:dyDescent="0.25">
      <c r="B127" s="140"/>
      <c r="C127" s="122" t="s">
        <v>145</v>
      </c>
      <c r="D127" s="56">
        <v>100</v>
      </c>
      <c r="E127" s="54" t="s">
        <v>3</v>
      </c>
      <c r="F127" s="66">
        <f>IF(AND(Config1_AllClocksOn,B126),IF(D126="Disabled",0,Config1_Tcpwm_EnPed*$D$28/100/(2-1/Config1_Tcpwm_Count))+IF(D126="Triggered",D127*IF($D$28=D127,Config1_Tcpwm_TrigPeriCoef,Config1_Tcpwm_TrigCoef),0),0)</f>
        <v>0</v>
      </c>
      <c r="G127" s="58" t="s">
        <v>57</v>
      </c>
      <c r="H127" s="112" t="s">
        <v>212</v>
      </c>
      <c r="AB127" s="41"/>
    </row>
    <row r="128" spans="2:28" x14ac:dyDescent="0.25">
      <c r="B128" s="140" t="b">
        <v>0</v>
      </c>
      <c r="C128" s="122" t="s">
        <v>342</v>
      </c>
      <c r="D128" s="149" t="s">
        <v>335</v>
      </c>
      <c r="E128" s="54"/>
      <c r="F128" s="152"/>
      <c r="G128" s="55"/>
      <c r="H128" s="112" t="s">
        <v>337</v>
      </c>
      <c r="AB128" s="41"/>
    </row>
    <row r="129" spans="2:28" x14ac:dyDescent="0.25">
      <c r="B129" s="140"/>
      <c r="C129" s="122" t="s">
        <v>146</v>
      </c>
      <c r="D129" s="56">
        <v>100</v>
      </c>
      <c r="E129" s="122" t="s">
        <v>3</v>
      </c>
      <c r="F129" s="66">
        <f>IF(AND(Config1_AllClocksOn,B128),IF(D128="Disabled",0,Config1_Tcpwm_EnPed*$D$28/100/(2-1/Config1_Tcpwm_Count))+IF(D128="Triggered",D129*IF($D$28=D129,Config1_Tcpwm_TrigPeriCoef,Config1_Tcpwm_TrigCoef),0),0)</f>
        <v>0</v>
      </c>
      <c r="G129" s="58" t="s">
        <v>57</v>
      </c>
      <c r="H129" s="112" t="s">
        <v>212</v>
      </c>
      <c r="AB129" s="41"/>
    </row>
    <row r="130" spans="2:28" s="1" customFormat="1" x14ac:dyDescent="0.25">
      <c r="B130" s="151" t="b">
        <v>0</v>
      </c>
      <c r="C130" s="122" t="s">
        <v>343</v>
      </c>
      <c r="D130" s="149" t="s">
        <v>335</v>
      </c>
      <c r="E130" s="122"/>
      <c r="F130" s="122"/>
      <c r="G130" s="122"/>
      <c r="H130" s="112" t="s">
        <v>337</v>
      </c>
      <c r="AB130" s="41"/>
    </row>
    <row r="131" spans="2:28" x14ac:dyDescent="0.25">
      <c r="B131" s="140"/>
      <c r="C131" s="122" t="s">
        <v>147</v>
      </c>
      <c r="D131" s="56">
        <v>100</v>
      </c>
      <c r="E131" s="54" t="s">
        <v>3</v>
      </c>
      <c r="F131" s="66">
        <f>IF(AND(Config1_AllClocksOn,B130),IF(D130="Disabled",0,Config1_Tcpwm_EnPed*$D$28/100/(2-1/Config1_Tcpwm_Count))+IF(D130="Triggered",D131*IF($D$28=D131,Config1_Tcpwm_TrigPeriCoef,Config1_Tcpwm_TrigCoef),0),0)</f>
        <v>0</v>
      </c>
      <c r="G131" s="58" t="s">
        <v>57</v>
      </c>
      <c r="H131" s="112" t="s">
        <v>212</v>
      </c>
      <c r="AB131" s="41"/>
    </row>
    <row r="132" spans="2:28" x14ac:dyDescent="0.25">
      <c r="B132" s="140" t="b">
        <v>0</v>
      </c>
      <c r="C132" s="122" t="s">
        <v>344</v>
      </c>
      <c r="D132" s="149" t="s">
        <v>335</v>
      </c>
      <c r="E132" s="54"/>
      <c r="F132" s="152"/>
      <c r="G132" s="55"/>
      <c r="H132" s="112" t="s">
        <v>337</v>
      </c>
      <c r="AB132" s="41"/>
    </row>
    <row r="133" spans="2:28" x14ac:dyDescent="0.25">
      <c r="B133" s="140"/>
      <c r="C133" s="122" t="s">
        <v>148</v>
      </c>
      <c r="D133" s="56">
        <v>100</v>
      </c>
      <c r="E133" s="122" t="s">
        <v>3</v>
      </c>
      <c r="F133" s="66">
        <f>IF(AND(Config1_AllClocksOn,B132),IF(D132="Disabled",0,Config1_Tcpwm_EnPed*$D$28/100/(2-1/Config1_Tcpwm_Count))+IF(D132="Triggered",D133*IF($D$28=D133,Config1_Tcpwm_TrigPeriCoef,Config1_Tcpwm_TrigCoef),0),0)</f>
        <v>0</v>
      </c>
      <c r="G133" s="58" t="s">
        <v>57</v>
      </c>
      <c r="H133" s="112" t="s">
        <v>212</v>
      </c>
      <c r="AB133" s="41"/>
    </row>
    <row r="134" spans="2:28" s="1" customFormat="1" hidden="1" outlineLevel="1" x14ac:dyDescent="0.25">
      <c r="B134" s="151" t="b">
        <v>0</v>
      </c>
      <c r="C134" s="122" t="s">
        <v>345</v>
      </c>
      <c r="D134" s="149" t="s">
        <v>335</v>
      </c>
      <c r="E134" s="122"/>
      <c r="F134" s="122"/>
      <c r="G134" s="122"/>
      <c r="H134" s="112" t="s">
        <v>337</v>
      </c>
      <c r="AB134" s="41"/>
    </row>
    <row r="135" spans="2:28" hidden="1" outlineLevel="1" x14ac:dyDescent="0.25">
      <c r="B135" s="140"/>
      <c r="C135" s="122" t="s">
        <v>270</v>
      </c>
      <c r="D135" s="56">
        <v>100</v>
      </c>
      <c r="E135" s="54" t="s">
        <v>3</v>
      </c>
      <c r="F135" s="66">
        <f>IF(AND(Config1_AllClocksOn,B134),IF(D134="Disabled",0,Config1_Tcpwm_EnPed*$D$28/100/(2-1/Config1_Tcpwm_Count))+IF(D134="Triggered",D135*IF($D$28=D135,Config1_Tcpwm_TrigPeriCoef,Config1_Tcpwm_TrigCoef),0),0)</f>
        <v>0</v>
      </c>
      <c r="G135" s="58" t="s">
        <v>57</v>
      </c>
      <c r="H135" s="112" t="s">
        <v>212</v>
      </c>
      <c r="AB135" s="41"/>
    </row>
    <row r="136" spans="2:28" hidden="1" outlineLevel="1" x14ac:dyDescent="0.25">
      <c r="B136" s="140" t="b">
        <v>0</v>
      </c>
      <c r="C136" s="122" t="s">
        <v>346</v>
      </c>
      <c r="D136" s="149" t="s">
        <v>335</v>
      </c>
      <c r="E136" s="54"/>
      <c r="F136" s="152"/>
      <c r="G136" s="55"/>
      <c r="H136" s="112" t="s">
        <v>337</v>
      </c>
      <c r="AB136" s="41"/>
    </row>
    <row r="137" spans="2:28" hidden="1" outlineLevel="1" x14ac:dyDescent="0.25">
      <c r="B137" s="140"/>
      <c r="C137" s="122" t="s">
        <v>271</v>
      </c>
      <c r="D137" s="56">
        <v>100</v>
      </c>
      <c r="E137" s="122" t="s">
        <v>3</v>
      </c>
      <c r="F137" s="66">
        <f>IF(AND(Config1_AllClocksOn,B136),IF(D136="Disabled",0,Config1_Tcpwm_EnPed*$D$28/100/(2-1/Config1_Tcpwm_Count))+IF(D136="Triggered",D137*IF($D$28=D137,Config1_Tcpwm_TrigPeriCoef,Config1_Tcpwm_TrigCoef),0),0)</f>
        <v>0</v>
      </c>
      <c r="G137" s="58" t="s">
        <v>57</v>
      </c>
      <c r="H137" s="112" t="s">
        <v>212</v>
      </c>
      <c r="AB137" s="41"/>
    </row>
    <row r="138" spans="2:28" s="1" customFormat="1" hidden="1" outlineLevel="1" x14ac:dyDescent="0.25">
      <c r="B138" s="151" t="b">
        <v>0</v>
      </c>
      <c r="C138" s="122" t="s">
        <v>347</v>
      </c>
      <c r="D138" s="149" t="s">
        <v>335</v>
      </c>
      <c r="E138" s="122"/>
      <c r="F138" s="122"/>
      <c r="G138" s="122"/>
      <c r="H138" s="112" t="s">
        <v>337</v>
      </c>
      <c r="AB138" s="41"/>
    </row>
    <row r="139" spans="2:28" hidden="1" outlineLevel="1" x14ac:dyDescent="0.25">
      <c r="B139" s="140"/>
      <c r="C139" s="122" t="s">
        <v>272</v>
      </c>
      <c r="D139" s="56">
        <v>100</v>
      </c>
      <c r="E139" s="54" t="s">
        <v>3</v>
      </c>
      <c r="F139" s="66">
        <f>IF(AND(Config1_AllClocksOn,B138),IF(D138="Disabled",0,Config1_Tcpwm_EnPed*$D$28/100/(2-1/Config1_Tcpwm_Count))+IF(D138="Triggered",D139*IF($D$28=D139,Config1_Tcpwm_TrigPeriCoef,Config1_Tcpwm_TrigCoef),0),0)</f>
        <v>0</v>
      </c>
      <c r="G139" s="58" t="s">
        <v>57</v>
      </c>
      <c r="H139" s="112" t="s">
        <v>212</v>
      </c>
      <c r="AB139" s="41"/>
    </row>
    <row r="140" spans="2:28" hidden="1" outlineLevel="1" x14ac:dyDescent="0.25">
      <c r="B140" s="140" t="b">
        <v>0</v>
      </c>
      <c r="C140" s="122" t="s">
        <v>348</v>
      </c>
      <c r="D140" s="149" t="s">
        <v>335</v>
      </c>
      <c r="E140" s="54"/>
      <c r="F140" s="152"/>
      <c r="G140" s="55"/>
      <c r="H140" s="112" t="s">
        <v>337</v>
      </c>
      <c r="AB140" s="41"/>
    </row>
    <row r="141" spans="2:28" hidden="1" outlineLevel="1" x14ac:dyDescent="0.25">
      <c r="B141" s="140"/>
      <c r="C141" s="122" t="s">
        <v>273</v>
      </c>
      <c r="D141" s="56">
        <v>100</v>
      </c>
      <c r="E141" s="122" t="s">
        <v>3</v>
      </c>
      <c r="F141" s="66">
        <f>IF(AND(Config1_AllClocksOn,B140),IF(D140="Disabled",0,Config1_Tcpwm_EnPed*$D$28/100/(2-1/Config1_Tcpwm_Count))+IF(D140="Triggered",D141*IF($D$28=D141,Config1_Tcpwm_TrigPeriCoef,Config1_Tcpwm_TrigCoef),0),0)</f>
        <v>0</v>
      </c>
      <c r="G141" s="58" t="s">
        <v>57</v>
      </c>
      <c r="H141" s="112" t="s">
        <v>212</v>
      </c>
      <c r="AB141" s="41"/>
    </row>
    <row r="142" spans="2:28" s="1" customFormat="1" hidden="1" outlineLevel="1" x14ac:dyDescent="0.25">
      <c r="B142" s="151" t="b">
        <v>0</v>
      </c>
      <c r="C142" s="122" t="s">
        <v>349</v>
      </c>
      <c r="D142" s="149" t="s">
        <v>335</v>
      </c>
      <c r="E142" s="122"/>
      <c r="F142" s="122"/>
      <c r="G142" s="122"/>
      <c r="H142" s="112" t="s">
        <v>337</v>
      </c>
      <c r="AB142" s="41"/>
    </row>
    <row r="143" spans="2:28" hidden="1" outlineLevel="1" x14ac:dyDescent="0.25">
      <c r="B143" s="140"/>
      <c r="C143" s="122" t="s">
        <v>274</v>
      </c>
      <c r="D143" s="56">
        <v>100</v>
      </c>
      <c r="E143" s="54" t="s">
        <v>3</v>
      </c>
      <c r="F143" s="66">
        <f>IF(AND(Config1_AllClocksOn,B142),IF(D142="Disabled",0,Config1_Tcpwm_EnPed*$D$28/100/(2-1/Config1_Tcpwm_Count))+IF(D142="Triggered",D143*IF($D$28=D143,Config1_Tcpwm_TrigPeriCoef,Config1_Tcpwm_TrigCoef),0),0)</f>
        <v>0</v>
      </c>
      <c r="G143" s="58" t="s">
        <v>57</v>
      </c>
      <c r="H143" s="112" t="s">
        <v>212</v>
      </c>
      <c r="AB143" s="41"/>
    </row>
    <row r="144" spans="2:28" hidden="1" outlineLevel="1" x14ac:dyDescent="0.25">
      <c r="B144" s="140" t="b">
        <v>0</v>
      </c>
      <c r="C144" s="122" t="s">
        <v>350</v>
      </c>
      <c r="D144" s="149" t="s">
        <v>335</v>
      </c>
      <c r="E144" s="54"/>
      <c r="F144" s="152"/>
      <c r="G144" s="55"/>
      <c r="H144" s="112" t="s">
        <v>337</v>
      </c>
      <c r="AB144" s="41"/>
    </row>
    <row r="145" spans="2:28" hidden="1" outlineLevel="1" x14ac:dyDescent="0.25">
      <c r="B145" s="140"/>
      <c r="C145" s="122" t="s">
        <v>275</v>
      </c>
      <c r="D145" s="56">
        <v>100</v>
      </c>
      <c r="E145" s="122" t="s">
        <v>3</v>
      </c>
      <c r="F145" s="66">
        <f>IF(AND(Config1_AllClocksOn,B144),IF(D144="Disabled",0,Config1_Tcpwm_EnPed*$D$28/100/(2-1/Config1_Tcpwm_Count))+IF(D144="Triggered",D145*IF($D$28=D145,Config1_Tcpwm_TrigPeriCoef,Config1_Tcpwm_TrigCoef),0),0)</f>
        <v>0</v>
      </c>
      <c r="G145" s="58" t="s">
        <v>57</v>
      </c>
      <c r="H145" s="112" t="s">
        <v>212</v>
      </c>
      <c r="AB145" s="41"/>
    </row>
    <row r="146" spans="2:28" s="1" customFormat="1" hidden="1" outlineLevel="1" x14ac:dyDescent="0.25">
      <c r="B146" s="151" t="b">
        <v>0</v>
      </c>
      <c r="C146" s="122" t="s">
        <v>351</v>
      </c>
      <c r="D146" s="149" t="s">
        <v>335</v>
      </c>
      <c r="E146" s="122"/>
      <c r="F146" s="122"/>
      <c r="G146" s="122"/>
      <c r="H146" s="112" t="s">
        <v>337</v>
      </c>
      <c r="AB146" s="41"/>
    </row>
    <row r="147" spans="2:28" hidden="1" outlineLevel="1" x14ac:dyDescent="0.25">
      <c r="B147" s="140"/>
      <c r="C147" s="122" t="s">
        <v>276</v>
      </c>
      <c r="D147" s="56">
        <v>100</v>
      </c>
      <c r="E147" s="54" t="s">
        <v>3</v>
      </c>
      <c r="F147" s="66">
        <f>IF(AND(Config1_AllClocksOn,B146),IF(D146="Disabled",0,Config1_Tcpwm_EnPed*$D$28/100/(2-1/Config1_Tcpwm_Count))+IF(D146="Triggered",D147*IF($D$28=D147,Config1_Tcpwm_TrigPeriCoef,Config1_Tcpwm_TrigCoef),0),0)</f>
        <v>0</v>
      </c>
      <c r="G147" s="58" t="s">
        <v>57</v>
      </c>
      <c r="H147" s="112" t="s">
        <v>212</v>
      </c>
      <c r="AB147" s="41"/>
    </row>
    <row r="148" spans="2:28" hidden="1" outlineLevel="1" x14ac:dyDescent="0.25">
      <c r="B148" s="140" t="b">
        <v>0</v>
      </c>
      <c r="C148" s="122" t="s">
        <v>352</v>
      </c>
      <c r="D148" s="149" t="s">
        <v>335</v>
      </c>
      <c r="E148" s="54"/>
      <c r="F148" s="152"/>
      <c r="G148" s="55"/>
      <c r="H148" s="112" t="s">
        <v>337</v>
      </c>
      <c r="AB148" s="41"/>
    </row>
    <row r="149" spans="2:28" hidden="1" outlineLevel="1" x14ac:dyDescent="0.25">
      <c r="B149" s="140"/>
      <c r="C149" s="122" t="s">
        <v>277</v>
      </c>
      <c r="D149" s="56">
        <v>100</v>
      </c>
      <c r="E149" s="122" t="s">
        <v>3</v>
      </c>
      <c r="F149" s="66">
        <f>IF(AND(Config1_AllClocksOn,B148),IF(D148="Disabled",0,Config1_Tcpwm_EnPed*$D$28/100/(2-1/Config1_Tcpwm_Count))+IF(D148="Triggered",D149*IF($D$28=D149,Config1_Tcpwm_TrigPeriCoef,Config1_Tcpwm_TrigCoef),0),0)</f>
        <v>0</v>
      </c>
      <c r="G149" s="58" t="s">
        <v>57</v>
      </c>
      <c r="H149" s="112" t="s">
        <v>212</v>
      </c>
      <c r="AB149" s="41"/>
    </row>
    <row r="150" spans="2:28" s="1" customFormat="1" hidden="1" outlineLevel="1" x14ac:dyDescent="0.25">
      <c r="B150" s="151" t="b">
        <v>0</v>
      </c>
      <c r="C150" s="122" t="s">
        <v>353</v>
      </c>
      <c r="D150" s="149" t="s">
        <v>335</v>
      </c>
      <c r="E150" s="122"/>
      <c r="F150" s="122"/>
      <c r="G150" s="122"/>
      <c r="H150" s="112" t="s">
        <v>337</v>
      </c>
      <c r="AB150" s="41"/>
    </row>
    <row r="151" spans="2:28" hidden="1" outlineLevel="1" x14ac:dyDescent="0.25">
      <c r="B151" s="140"/>
      <c r="C151" s="122" t="s">
        <v>278</v>
      </c>
      <c r="D151" s="56">
        <v>100</v>
      </c>
      <c r="E151" s="54" t="s">
        <v>3</v>
      </c>
      <c r="F151" s="66">
        <f>IF(AND(Config1_AllClocksOn,B150),IF(D150="Disabled",0,Config1_Tcpwm_EnPed*$D$28/100/(2-1/Config1_Tcpwm_Count))+IF(D150="Triggered",D151*IF($D$28=D151,Config1_Tcpwm_TrigPeriCoef,Config1_Tcpwm_TrigCoef),0),0)</f>
        <v>0</v>
      </c>
      <c r="G151" s="58" t="s">
        <v>57</v>
      </c>
      <c r="H151" s="112" t="s">
        <v>212</v>
      </c>
      <c r="AB151" s="41"/>
    </row>
    <row r="152" spans="2:28" hidden="1" outlineLevel="1" x14ac:dyDescent="0.25">
      <c r="B152" s="140" t="b">
        <v>0</v>
      </c>
      <c r="C152" s="122" t="s">
        <v>354</v>
      </c>
      <c r="D152" s="149" t="s">
        <v>335</v>
      </c>
      <c r="E152" s="54"/>
      <c r="F152" s="152"/>
      <c r="G152" s="55"/>
      <c r="H152" s="112" t="s">
        <v>337</v>
      </c>
      <c r="AB152" s="41"/>
    </row>
    <row r="153" spans="2:28" hidden="1" outlineLevel="1" x14ac:dyDescent="0.25">
      <c r="B153" s="140"/>
      <c r="C153" s="122" t="s">
        <v>279</v>
      </c>
      <c r="D153" s="56">
        <v>100</v>
      </c>
      <c r="E153" s="122" t="s">
        <v>3</v>
      </c>
      <c r="F153" s="66">
        <f>IF(AND(Config1_AllClocksOn,B152),IF(D152="Disabled",0,Config1_Tcpwm_EnPed*$D$28/100/(2-1/Config1_Tcpwm_Count))+IF(D152="Triggered",D153*IF($D$28=D153,Config1_Tcpwm_TrigPeriCoef,Config1_Tcpwm_TrigCoef),0),0)</f>
        <v>0</v>
      </c>
      <c r="G153" s="58" t="s">
        <v>57</v>
      </c>
      <c r="H153" s="112" t="s">
        <v>212</v>
      </c>
      <c r="AB153" s="41"/>
    </row>
    <row r="154" spans="2:28" s="1" customFormat="1" hidden="1" outlineLevel="1" x14ac:dyDescent="0.25">
      <c r="B154" s="151" t="b">
        <v>0</v>
      </c>
      <c r="C154" s="122" t="s">
        <v>355</v>
      </c>
      <c r="D154" s="149" t="s">
        <v>335</v>
      </c>
      <c r="E154" s="122"/>
      <c r="F154" s="122"/>
      <c r="G154" s="122"/>
      <c r="H154" s="112" t="s">
        <v>337</v>
      </c>
      <c r="AB154" s="41"/>
    </row>
    <row r="155" spans="2:28" hidden="1" outlineLevel="1" x14ac:dyDescent="0.25">
      <c r="B155" s="140"/>
      <c r="C155" s="122" t="s">
        <v>280</v>
      </c>
      <c r="D155" s="56">
        <v>100</v>
      </c>
      <c r="E155" s="54" t="s">
        <v>3</v>
      </c>
      <c r="F155" s="66">
        <f>IF(AND(Config1_AllClocksOn,B154),IF(D154="Disabled",0,Config1_Tcpwm_EnPed*$D$28/100/(2-1/Config1_Tcpwm_Count))+IF(D154="Triggered",D155*IF($D$28=D155,Config1_Tcpwm_TrigPeriCoef,Config1_Tcpwm_TrigCoef),0),0)</f>
        <v>0</v>
      </c>
      <c r="G155" s="58" t="s">
        <v>57</v>
      </c>
      <c r="H155" s="112" t="s">
        <v>212</v>
      </c>
      <c r="AB155" s="41"/>
    </row>
    <row r="156" spans="2:28" hidden="1" outlineLevel="1" x14ac:dyDescent="0.25">
      <c r="B156" s="140" t="b">
        <v>0</v>
      </c>
      <c r="C156" s="122" t="s">
        <v>356</v>
      </c>
      <c r="D156" s="149" t="s">
        <v>335</v>
      </c>
      <c r="E156" s="54"/>
      <c r="F156" s="152"/>
      <c r="G156" s="55"/>
      <c r="H156" s="112" t="s">
        <v>337</v>
      </c>
      <c r="AB156" s="41"/>
    </row>
    <row r="157" spans="2:28" hidden="1" outlineLevel="1" x14ac:dyDescent="0.25">
      <c r="B157" s="140"/>
      <c r="C157" s="122" t="s">
        <v>281</v>
      </c>
      <c r="D157" s="56">
        <v>100</v>
      </c>
      <c r="E157" s="122" t="s">
        <v>3</v>
      </c>
      <c r="F157" s="66">
        <f>IF(AND(Config1_AllClocksOn,B156),IF(D156="Disabled",0,Config1_Tcpwm_EnPed*$D$28/100/(2-1/Config1_Tcpwm_Count))+IF(D156="Triggered",D157*IF($D$28=D157,Config1_Tcpwm_TrigPeriCoef,Config1_Tcpwm_TrigCoef),0),0)</f>
        <v>0</v>
      </c>
      <c r="G157" s="58" t="s">
        <v>57</v>
      </c>
      <c r="H157" s="112" t="s">
        <v>212</v>
      </c>
      <c r="AB157" s="41"/>
    </row>
    <row r="158" spans="2:28" s="1" customFormat="1" hidden="1" outlineLevel="1" x14ac:dyDescent="0.25">
      <c r="B158" s="151" t="b">
        <v>0</v>
      </c>
      <c r="C158" s="122" t="s">
        <v>357</v>
      </c>
      <c r="D158" s="149" t="s">
        <v>335</v>
      </c>
      <c r="E158" s="122"/>
      <c r="F158" s="122"/>
      <c r="G158" s="122"/>
      <c r="H158" s="112" t="s">
        <v>337</v>
      </c>
      <c r="AB158" s="41"/>
    </row>
    <row r="159" spans="2:28" hidden="1" outlineLevel="1" x14ac:dyDescent="0.25">
      <c r="B159" s="140"/>
      <c r="C159" s="122" t="s">
        <v>282</v>
      </c>
      <c r="D159" s="56">
        <v>100</v>
      </c>
      <c r="E159" s="54" t="s">
        <v>3</v>
      </c>
      <c r="F159" s="66">
        <f>IF(AND(Config1_AllClocksOn,B158),IF(D158="Disabled",0,Config1_Tcpwm_EnPed*$D$28/100/(2-1/Config1_Tcpwm_Count))+IF(D158="Triggered",D159*IF($D$28=D159,Config1_Tcpwm_TrigPeriCoef,Config1_Tcpwm_TrigCoef),0),0)</f>
        <v>0</v>
      </c>
      <c r="G159" s="58" t="s">
        <v>57</v>
      </c>
      <c r="H159" s="112" t="s">
        <v>212</v>
      </c>
      <c r="AB159" s="41"/>
    </row>
    <row r="160" spans="2:28" hidden="1" outlineLevel="1" x14ac:dyDescent="0.25">
      <c r="B160" s="140" t="b">
        <v>0</v>
      </c>
      <c r="C160" s="122" t="s">
        <v>358</v>
      </c>
      <c r="D160" s="149" t="s">
        <v>335</v>
      </c>
      <c r="E160" s="54"/>
      <c r="F160" s="152"/>
      <c r="G160" s="55"/>
      <c r="H160" s="112" t="s">
        <v>337</v>
      </c>
      <c r="AB160" s="41"/>
    </row>
    <row r="161" spans="2:28" hidden="1" outlineLevel="1" x14ac:dyDescent="0.25">
      <c r="B161" s="140"/>
      <c r="C161" s="122" t="s">
        <v>283</v>
      </c>
      <c r="D161" s="56">
        <v>100</v>
      </c>
      <c r="E161" s="122" t="s">
        <v>3</v>
      </c>
      <c r="F161" s="66">
        <f>IF(AND(Config1_AllClocksOn,B160),IF(D160="Disabled",0,Config1_Tcpwm_EnPed*$D$28/100/(2-1/Config1_Tcpwm_Count))+IF(D160="Triggered",D161*IF($D$28=D161,Config1_Tcpwm_TrigPeriCoef,Config1_Tcpwm_TrigCoef),0),0)</f>
        <v>0</v>
      </c>
      <c r="G161" s="58" t="s">
        <v>57</v>
      </c>
      <c r="H161" s="112" t="s">
        <v>212</v>
      </c>
      <c r="AB161" s="41"/>
    </row>
    <row r="162" spans="2:28" s="1" customFormat="1" hidden="1" outlineLevel="1" x14ac:dyDescent="0.25">
      <c r="B162" s="151" t="b">
        <v>0</v>
      </c>
      <c r="C162" s="122" t="s">
        <v>359</v>
      </c>
      <c r="D162" s="149" t="s">
        <v>335</v>
      </c>
      <c r="E162" s="122"/>
      <c r="F162" s="122"/>
      <c r="G162" s="122"/>
      <c r="H162" s="112" t="s">
        <v>337</v>
      </c>
      <c r="AB162" s="41"/>
    </row>
    <row r="163" spans="2:28" hidden="1" outlineLevel="1" x14ac:dyDescent="0.25">
      <c r="B163" s="140"/>
      <c r="C163" s="122" t="s">
        <v>284</v>
      </c>
      <c r="D163" s="56">
        <v>100</v>
      </c>
      <c r="E163" s="54" t="s">
        <v>3</v>
      </c>
      <c r="F163" s="66">
        <f>IF(AND(Config1_AllClocksOn,B162),IF(D162="Disabled",0,Config1_Tcpwm_EnPed*$D$28/100/(2-1/Config1_Tcpwm_Count))+IF(D162="Triggered",D163*IF($D$28=D163,Config1_Tcpwm_TrigPeriCoef,Config1_Tcpwm_TrigCoef),0),0)</f>
        <v>0</v>
      </c>
      <c r="G163" s="58" t="s">
        <v>57</v>
      </c>
      <c r="H163" s="112" t="s">
        <v>212</v>
      </c>
      <c r="AB163" s="41"/>
    </row>
    <row r="164" spans="2:28" hidden="1" outlineLevel="1" x14ac:dyDescent="0.25">
      <c r="B164" s="140" t="b">
        <v>0</v>
      </c>
      <c r="C164" s="122" t="s">
        <v>360</v>
      </c>
      <c r="D164" s="149" t="s">
        <v>335</v>
      </c>
      <c r="E164" s="54"/>
      <c r="F164" s="152"/>
      <c r="G164" s="55"/>
      <c r="H164" s="112" t="s">
        <v>337</v>
      </c>
      <c r="AB164" s="41"/>
    </row>
    <row r="165" spans="2:28" hidden="1" outlineLevel="1" x14ac:dyDescent="0.25">
      <c r="B165" s="140"/>
      <c r="C165" s="122" t="s">
        <v>285</v>
      </c>
      <c r="D165" s="56">
        <v>100</v>
      </c>
      <c r="E165" s="122" t="s">
        <v>3</v>
      </c>
      <c r="F165" s="66">
        <f>IF(AND(Config1_AllClocksOn,B164),IF(D164="Disabled",0,Config1_Tcpwm_EnPed*$D$28/100/(2-1/Config1_Tcpwm_Count))+IF(D164="Triggered",D165*IF($D$28=D165,Config1_Tcpwm_TrigPeriCoef,Config1_Tcpwm_TrigCoef),0),0)</f>
        <v>0</v>
      </c>
      <c r="G165" s="58" t="s">
        <v>57</v>
      </c>
      <c r="H165" s="112" t="s">
        <v>212</v>
      </c>
      <c r="AB165" s="41"/>
    </row>
    <row r="166" spans="2:28" s="1" customFormat="1" hidden="1" outlineLevel="1" x14ac:dyDescent="0.25">
      <c r="B166" s="151" t="b">
        <v>0</v>
      </c>
      <c r="C166" s="122" t="s">
        <v>361</v>
      </c>
      <c r="D166" s="149" t="s">
        <v>335</v>
      </c>
      <c r="E166" s="122"/>
      <c r="F166" s="122"/>
      <c r="G166" s="122"/>
      <c r="H166" s="112" t="s">
        <v>337</v>
      </c>
      <c r="AB166" s="41"/>
    </row>
    <row r="167" spans="2:28" hidden="1" outlineLevel="1" x14ac:dyDescent="0.25">
      <c r="B167" s="140"/>
      <c r="C167" s="122" t="s">
        <v>286</v>
      </c>
      <c r="D167" s="56">
        <v>100</v>
      </c>
      <c r="E167" s="54" t="s">
        <v>3</v>
      </c>
      <c r="F167" s="66">
        <f>IF(AND(Config1_AllClocksOn,B166),IF(D166="Disabled",0,Config1_Tcpwm_EnPed*$D$28/100/(2-1/Config1_Tcpwm_Count))+IF(D166="Triggered",D167*IF($D$28=D167,Config1_Tcpwm_TrigPeriCoef,Config1_Tcpwm_TrigCoef),0),0)</f>
        <v>0</v>
      </c>
      <c r="G167" s="58" t="s">
        <v>57</v>
      </c>
      <c r="H167" s="112" t="s">
        <v>212</v>
      </c>
      <c r="AB167" s="41"/>
    </row>
    <row r="168" spans="2:28" hidden="1" outlineLevel="1" x14ac:dyDescent="0.25">
      <c r="B168" s="140" t="b">
        <v>0</v>
      </c>
      <c r="C168" s="122" t="s">
        <v>362</v>
      </c>
      <c r="D168" s="149" t="s">
        <v>335</v>
      </c>
      <c r="E168" s="54"/>
      <c r="F168" s="152"/>
      <c r="G168" s="55"/>
      <c r="H168" s="112" t="s">
        <v>337</v>
      </c>
      <c r="AB168" s="41"/>
    </row>
    <row r="169" spans="2:28" hidden="1" outlineLevel="1" x14ac:dyDescent="0.25">
      <c r="B169" s="140"/>
      <c r="C169" s="122" t="s">
        <v>287</v>
      </c>
      <c r="D169" s="56">
        <v>100</v>
      </c>
      <c r="E169" s="122" t="s">
        <v>3</v>
      </c>
      <c r="F169" s="66">
        <f>IF(AND(Config1_AllClocksOn,B168),IF(D168="Disabled",0,Config1_Tcpwm_EnPed*$D$28/100/(2-1/Config1_Tcpwm_Count))+IF(D168="Triggered",D169*IF($D$28=D169,Config1_Tcpwm_TrigPeriCoef,Config1_Tcpwm_TrigCoef),0),0)</f>
        <v>0</v>
      </c>
      <c r="G169" s="58" t="s">
        <v>57</v>
      </c>
      <c r="H169" s="112" t="s">
        <v>212</v>
      </c>
      <c r="AB169" s="41"/>
    </row>
    <row r="170" spans="2:28" s="1" customFormat="1" hidden="1" outlineLevel="1" x14ac:dyDescent="0.25">
      <c r="B170" s="151" t="b">
        <v>0</v>
      </c>
      <c r="C170" s="122" t="s">
        <v>363</v>
      </c>
      <c r="D170" s="149" t="s">
        <v>335</v>
      </c>
      <c r="E170" s="122"/>
      <c r="F170" s="122"/>
      <c r="G170" s="122"/>
      <c r="H170" s="112" t="s">
        <v>337</v>
      </c>
      <c r="AB170" s="41"/>
    </row>
    <row r="171" spans="2:28" hidden="1" outlineLevel="1" x14ac:dyDescent="0.25">
      <c r="B171" s="140"/>
      <c r="C171" s="122" t="s">
        <v>288</v>
      </c>
      <c r="D171" s="56">
        <v>100</v>
      </c>
      <c r="E171" s="54" t="s">
        <v>3</v>
      </c>
      <c r="F171" s="66">
        <f>IF(AND(Config1_AllClocksOn,B170),IF(D170="Disabled",0,Config1_Tcpwm_EnPed*$D$28/100/(2-1/Config1_Tcpwm_Count))+IF(D170="Triggered",D171*IF($D$28=D171,Config1_Tcpwm_TrigPeriCoef,Config1_Tcpwm_TrigCoef),0),0)</f>
        <v>0</v>
      </c>
      <c r="G171" s="58" t="s">
        <v>57</v>
      </c>
      <c r="H171" s="112" t="s">
        <v>212</v>
      </c>
      <c r="AB171" s="41"/>
    </row>
    <row r="172" spans="2:28" hidden="1" outlineLevel="1" x14ac:dyDescent="0.25">
      <c r="B172" s="140" t="b">
        <v>0</v>
      </c>
      <c r="C172" s="122" t="s">
        <v>364</v>
      </c>
      <c r="D172" s="149" t="s">
        <v>335</v>
      </c>
      <c r="E172" s="54"/>
      <c r="F172" s="152"/>
      <c r="G172" s="55"/>
      <c r="H172" s="112" t="s">
        <v>337</v>
      </c>
      <c r="AB172" s="41"/>
    </row>
    <row r="173" spans="2:28" hidden="1" outlineLevel="1" x14ac:dyDescent="0.25">
      <c r="B173" s="140"/>
      <c r="C173" s="122" t="s">
        <v>289</v>
      </c>
      <c r="D173" s="56">
        <v>100</v>
      </c>
      <c r="E173" s="122" t="s">
        <v>3</v>
      </c>
      <c r="F173" s="66">
        <f>IF(AND(Config1_AllClocksOn,B172),IF(D172="Disabled",0,Config1_Tcpwm_EnPed*$D$28/100/(2-1/Config1_Tcpwm_Count))+IF(D172="Triggered",D173*IF($D$28=D173,Config1_Tcpwm_TrigPeriCoef,Config1_Tcpwm_TrigCoef),0),0)</f>
        <v>0</v>
      </c>
      <c r="G173" s="58" t="s">
        <v>57</v>
      </c>
      <c r="H173" s="112" t="s">
        <v>212</v>
      </c>
      <c r="AB173" s="41"/>
    </row>
    <row r="174" spans="2:28" s="1" customFormat="1" hidden="1" outlineLevel="1" x14ac:dyDescent="0.25">
      <c r="B174" s="151" t="b">
        <v>0</v>
      </c>
      <c r="C174" s="122" t="s">
        <v>365</v>
      </c>
      <c r="D174" s="149" t="s">
        <v>335</v>
      </c>
      <c r="E174" s="122"/>
      <c r="F174" s="122"/>
      <c r="G174" s="122"/>
      <c r="H174" s="112" t="s">
        <v>337</v>
      </c>
      <c r="AB174" s="41"/>
    </row>
    <row r="175" spans="2:28" hidden="1" outlineLevel="1" x14ac:dyDescent="0.25">
      <c r="B175" s="140"/>
      <c r="C175" s="122" t="s">
        <v>290</v>
      </c>
      <c r="D175" s="56">
        <v>100</v>
      </c>
      <c r="E175" s="54" t="s">
        <v>3</v>
      </c>
      <c r="F175" s="66">
        <f>IF(AND(Config1_AllClocksOn,B174),IF(D174="Disabled",0,Config1_Tcpwm_EnPed*$D$28/100/(2-1/Config1_Tcpwm_Count))+IF(D174="Triggered",D175*IF($D$28=D175,Config1_Tcpwm_TrigPeriCoef,Config1_Tcpwm_TrigCoef),0),0)</f>
        <v>0</v>
      </c>
      <c r="G175" s="58" t="s">
        <v>57</v>
      </c>
      <c r="H175" s="112" t="s">
        <v>212</v>
      </c>
      <c r="AB175" s="41"/>
    </row>
    <row r="176" spans="2:28" hidden="1" outlineLevel="1" x14ac:dyDescent="0.25">
      <c r="B176" s="140" t="b">
        <v>0</v>
      </c>
      <c r="C176" s="122" t="s">
        <v>366</v>
      </c>
      <c r="D176" s="149" t="s">
        <v>335</v>
      </c>
      <c r="E176" s="54"/>
      <c r="F176" s="152"/>
      <c r="G176" s="55"/>
      <c r="H176" s="112" t="s">
        <v>337</v>
      </c>
      <c r="AB176" s="41"/>
    </row>
    <row r="177" spans="2:28" hidden="1" outlineLevel="1" x14ac:dyDescent="0.25">
      <c r="B177" s="140"/>
      <c r="C177" s="122" t="s">
        <v>291</v>
      </c>
      <c r="D177" s="56">
        <v>100</v>
      </c>
      <c r="E177" s="122" t="s">
        <v>3</v>
      </c>
      <c r="F177" s="66">
        <f>IF(AND(Config1_AllClocksOn,B176),IF(D176="Disabled",0,Config1_Tcpwm_EnPed*$D$28/100/(2-1/Config1_Tcpwm_Count))+IF(D176="Triggered",D177*IF($D$28=D177,Config1_Tcpwm_TrigPeriCoef,Config1_Tcpwm_TrigCoef),0),0)</f>
        <v>0</v>
      </c>
      <c r="G177" s="58" t="s">
        <v>57</v>
      </c>
      <c r="H177" s="112" t="s">
        <v>212</v>
      </c>
      <c r="AB177" s="41"/>
    </row>
    <row r="178" spans="2:28" s="1" customFormat="1" hidden="1" outlineLevel="1" x14ac:dyDescent="0.25">
      <c r="B178" s="151" t="b">
        <v>0</v>
      </c>
      <c r="C178" s="122" t="s">
        <v>367</v>
      </c>
      <c r="D178" s="149" t="s">
        <v>335</v>
      </c>
      <c r="E178" s="122"/>
      <c r="F178" s="122"/>
      <c r="G178" s="122"/>
      <c r="H178" s="112" t="s">
        <v>337</v>
      </c>
      <c r="AB178" s="41"/>
    </row>
    <row r="179" spans="2:28" hidden="1" outlineLevel="1" x14ac:dyDescent="0.25">
      <c r="B179" s="140"/>
      <c r="C179" s="122" t="s">
        <v>292</v>
      </c>
      <c r="D179" s="56">
        <v>100</v>
      </c>
      <c r="E179" s="54" t="s">
        <v>3</v>
      </c>
      <c r="F179" s="66">
        <f>IF(AND(Config1_AllClocksOn,B178),IF(D178="Disabled",0,Config1_Tcpwm_EnPed*$D$28/100/(2-1/Config1_Tcpwm_Count))+IF(D178="Triggered",D179*IF($D$28=D179,Config1_Tcpwm_TrigPeriCoef,Config1_Tcpwm_TrigCoef),0),0)</f>
        <v>0</v>
      </c>
      <c r="G179" s="58" t="s">
        <v>57</v>
      </c>
      <c r="H179" s="112" t="s">
        <v>212</v>
      </c>
      <c r="AB179" s="41"/>
    </row>
    <row r="180" spans="2:28" hidden="1" outlineLevel="1" x14ac:dyDescent="0.25">
      <c r="B180" s="140" t="b">
        <v>0</v>
      </c>
      <c r="C180" s="122" t="s">
        <v>368</v>
      </c>
      <c r="D180" s="149" t="s">
        <v>335</v>
      </c>
      <c r="E180" s="54"/>
      <c r="F180" s="152"/>
      <c r="G180" s="55"/>
      <c r="H180" s="112" t="s">
        <v>337</v>
      </c>
      <c r="AB180" s="41"/>
    </row>
    <row r="181" spans="2:28" hidden="1" outlineLevel="1" x14ac:dyDescent="0.25">
      <c r="B181" s="140"/>
      <c r="C181" s="122" t="s">
        <v>293</v>
      </c>
      <c r="D181" s="56">
        <v>100</v>
      </c>
      <c r="E181" s="122" t="s">
        <v>3</v>
      </c>
      <c r="F181" s="66">
        <f>IF(AND(Config1_AllClocksOn,B180),IF(D180="Disabled",0,Config1_Tcpwm_EnPed*$D$28/100/(2-1/Config1_Tcpwm_Count))+IF(D180="Triggered",D181*IF($D$28=D181,Config1_Tcpwm_TrigPeriCoef,Config1_Tcpwm_TrigCoef),0),0)</f>
        <v>0</v>
      </c>
      <c r="G181" s="58" t="s">
        <v>57</v>
      </c>
      <c r="H181" s="112" t="s">
        <v>212</v>
      </c>
      <c r="AB181" s="41"/>
    </row>
    <row r="182" spans="2:28" collapsed="1" x14ac:dyDescent="0.25">
      <c r="B182" s="140"/>
      <c r="C182" s="122"/>
      <c r="D182" s="147"/>
      <c r="E182" s="54"/>
      <c r="F182" s="153"/>
      <c r="G182" s="55"/>
      <c r="H182" s="59"/>
      <c r="AB182" s="41"/>
    </row>
    <row r="183" spans="2:28" x14ac:dyDescent="0.25">
      <c r="B183" s="53" t="s">
        <v>69</v>
      </c>
      <c r="C183" s="53"/>
      <c r="D183" s="53"/>
      <c r="E183" s="53"/>
      <c r="F183" s="53"/>
      <c r="G183" s="53"/>
      <c r="H183" s="53"/>
      <c r="AB183" s="41"/>
    </row>
    <row r="184" spans="2:28" x14ac:dyDescent="0.25">
      <c r="B184" s="140" t="b">
        <v>0</v>
      </c>
      <c r="C184" s="55" t="s">
        <v>70</v>
      </c>
      <c r="D184" s="60" t="s">
        <v>195</v>
      </c>
      <c r="E184" s="54"/>
      <c r="F184" s="54"/>
      <c r="G184" s="54"/>
      <c r="H184" s="112" t="s">
        <v>372</v>
      </c>
      <c r="AB184" s="41"/>
    </row>
    <row r="185" spans="2:28" x14ac:dyDescent="0.25">
      <c r="B185" s="140"/>
      <c r="C185" s="122" t="s">
        <v>369</v>
      </c>
      <c r="D185" s="60" t="s">
        <v>371</v>
      </c>
      <c r="E185" s="55"/>
      <c r="F185" s="153"/>
      <c r="G185" s="55"/>
      <c r="H185" s="112" t="s">
        <v>374</v>
      </c>
      <c r="AB185" s="41"/>
    </row>
    <row r="186" spans="2:28" x14ac:dyDescent="0.25">
      <c r="B186" s="140"/>
      <c r="C186" s="55" t="s">
        <v>71</v>
      </c>
      <c r="D186" s="60">
        <v>12500</v>
      </c>
      <c r="E186" s="55" t="s">
        <v>142</v>
      </c>
      <c r="F186" s="57">
        <f>IF(AND(Config1_AllClocksOn,B184),IF(D184="SPI",IF(D185="Transmitting",Config1_SPI_Coef*D186,0)+IF(NOT(D185="Disabled"),Config1_SPI_EnableCoef*D186+Config1_SPI_EnablePeriCoef*$D$28+Config1_SPI_EnablePed,0),IF(D184="I2C",IF(D185="Transmitting",Config1_I2C_Coef*D186+Config1_I2C_RunPed,0)+IF(NOT(D185="Disabled"),Config1_I2C_EnableCoef*D186+Config1_I2C_EnablePed,0),IF(D185="Transmitting",Config1_UART_Coef*D186+Config1_UART_RunPed,0)+IF(NOT(D185="Disabled"),Config1_UART_EnableCoef*D186+Config1_UART_EnablePed,0))),0)</f>
        <v>0</v>
      </c>
      <c r="G186" s="58" t="s">
        <v>57</v>
      </c>
      <c r="H186" s="112" t="s">
        <v>373</v>
      </c>
      <c r="AB186" s="62"/>
    </row>
    <row r="187" spans="2:28" x14ac:dyDescent="0.25">
      <c r="B187" s="140" t="b">
        <v>0</v>
      </c>
      <c r="C187" s="55" t="s">
        <v>70</v>
      </c>
      <c r="D187" s="60" t="s">
        <v>194</v>
      </c>
      <c r="E187" s="54"/>
      <c r="F187" s="54"/>
      <c r="G187" s="54"/>
      <c r="H187" s="112" t="s">
        <v>372</v>
      </c>
      <c r="AB187" s="41"/>
    </row>
    <row r="188" spans="2:28" x14ac:dyDescent="0.25">
      <c r="B188" s="140"/>
      <c r="C188" s="122" t="s">
        <v>369</v>
      </c>
      <c r="D188" s="60" t="s">
        <v>150</v>
      </c>
      <c r="E188" s="55"/>
      <c r="F188" s="153"/>
      <c r="G188" s="55"/>
      <c r="H188" s="112" t="s">
        <v>374</v>
      </c>
      <c r="AB188" s="41"/>
    </row>
    <row r="189" spans="2:28" x14ac:dyDescent="0.25">
      <c r="B189" s="140"/>
      <c r="C189" s="55" t="s">
        <v>71</v>
      </c>
      <c r="D189" s="60">
        <v>1250</v>
      </c>
      <c r="E189" s="55" t="s">
        <v>142</v>
      </c>
      <c r="F189" s="57">
        <f>IF(AND(Config1_AllClocksOn,B187),IF(D187="SPI",IF(D188="Transmitting",Config1_SPI_Coef*D189,0)+IF(NOT(D188="Disabled"),Config1_SPI_EnableCoef*D189+Config1_SPI_EnablePeriCoef*$D$28+Config1_SPI_EnablePed,0),IF(D187="I2C",IF(D188="Transmitting",Config1_I2C_Coef*D189+Config1_I2C_RunPed,0)+IF(NOT(D188="Disabled"),Config1_I2C_EnableCoef*D189+Config1_I2C_EnablePed,0),IF(D188="Transmitting",Config1_UART_Coef*D189+Config1_UART_RunPed,0)+IF(NOT(D188="Disabled"),Config1_UART_EnableCoef*D189+Config1_UART_EnablePed,0))),0)</f>
        <v>0</v>
      </c>
      <c r="G189" s="58" t="s">
        <v>57</v>
      </c>
      <c r="H189" s="112" t="s">
        <v>373</v>
      </c>
      <c r="AB189" s="62"/>
    </row>
    <row r="190" spans="2:28" x14ac:dyDescent="0.25">
      <c r="B190" s="140" t="b">
        <v>0</v>
      </c>
      <c r="C190" s="55" t="s">
        <v>70</v>
      </c>
      <c r="D190" s="60" t="s">
        <v>195</v>
      </c>
      <c r="E190" s="54"/>
      <c r="F190" s="54"/>
      <c r="G190" s="54"/>
      <c r="H190" s="112" t="s">
        <v>372</v>
      </c>
      <c r="AB190" s="41"/>
    </row>
    <row r="191" spans="2:28" x14ac:dyDescent="0.25">
      <c r="B191" s="140"/>
      <c r="C191" s="122" t="s">
        <v>369</v>
      </c>
      <c r="D191" s="60" t="s">
        <v>150</v>
      </c>
      <c r="E191" s="55"/>
      <c r="F191" s="153"/>
      <c r="G191" s="55"/>
      <c r="H191" s="112" t="s">
        <v>374</v>
      </c>
      <c r="AB191" s="41"/>
    </row>
    <row r="192" spans="2:28" x14ac:dyDescent="0.25">
      <c r="B192" s="140"/>
      <c r="C192" s="55" t="s">
        <v>71</v>
      </c>
      <c r="D192" s="60">
        <v>100</v>
      </c>
      <c r="E192" s="55" t="s">
        <v>142</v>
      </c>
      <c r="F192" s="57">
        <f>IF(AND(Config1_AllClocksOn,B190),IF(D190="SPI",IF(D191="Transmitting",Config1_SPI_Coef*D192,0)+IF(NOT(D191="Disabled"),Config1_SPI_EnableCoef*D192+Config1_SPI_EnablePeriCoef*$D$28+Config1_SPI_EnablePed,0),IF(D190="I2C",IF(D191="Transmitting",Config1_I2C_Coef*D192+Config1_I2C_RunPed,0)+IF(NOT(D191="Disabled"),Config1_I2C_EnableCoef*D192+Config1_I2C_EnablePed,0),IF(D191="Transmitting",Config1_UART_Coef*D192+Config1_UART_RunPed,0)+IF(NOT(D191="Disabled"),Config1_UART_EnableCoef*D192+Config1_UART_EnablePed,0))),0)</f>
        <v>0</v>
      </c>
      <c r="G192" s="58" t="s">
        <v>57</v>
      </c>
      <c r="H192" s="112" t="s">
        <v>373</v>
      </c>
      <c r="AB192" s="62"/>
    </row>
    <row r="193" spans="2:28" x14ac:dyDescent="0.25">
      <c r="B193" s="140" t="b">
        <v>0</v>
      </c>
      <c r="C193" s="55" t="s">
        <v>70</v>
      </c>
      <c r="D193" s="60" t="s">
        <v>193</v>
      </c>
      <c r="E193" s="54"/>
      <c r="F193" s="54"/>
      <c r="G193" s="54"/>
      <c r="H193" s="112" t="s">
        <v>372</v>
      </c>
      <c r="AB193" s="41"/>
    </row>
    <row r="194" spans="2:28" x14ac:dyDescent="0.25">
      <c r="B194" s="140"/>
      <c r="C194" s="122" t="s">
        <v>369</v>
      </c>
      <c r="D194" s="60" t="s">
        <v>150</v>
      </c>
      <c r="E194" s="55"/>
      <c r="F194" s="153"/>
      <c r="G194" s="55"/>
      <c r="H194" s="112" t="s">
        <v>374</v>
      </c>
      <c r="AB194" s="41"/>
    </row>
    <row r="195" spans="2:28" x14ac:dyDescent="0.25">
      <c r="B195" s="140"/>
      <c r="C195" s="55" t="s">
        <v>71</v>
      </c>
      <c r="D195" s="60">
        <v>125</v>
      </c>
      <c r="E195" s="55" t="s">
        <v>142</v>
      </c>
      <c r="F195" s="57">
        <f>IF(AND(Config1_AllClocksOn,B193),IF(D193="SPI",IF(D194="Transmitting",Config1_SPI_Coef*D195,0)+IF(NOT(D194="Disabled"),Config1_SPI_EnableCoef*D195+Config1_SPI_EnablePeriCoef*$D$28+Config1_SPI_EnablePed,0),IF(D193="I2C",IF(D194="Transmitting",Config1_I2C_Coef*D195+Config1_I2C_RunPed,0)+IF(NOT(D194="Disabled"),Config1_I2C_EnableCoef*D195+Config1_I2C_EnablePed,0),IF(D194="Transmitting",Config1_UART_Coef*D195+Config1_UART_RunPed,0)+IF(NOT(D194="Disabled"),Config1_UART_EnableCoef*D195+Config1_UART_EnablePed,0))),0)</f>
        <v>0</v>
      </c>
      <c r="G195" s="58" t="s">
        <v>57</v>
      </c>
      <c r="H195" s="112" t="s">
        <v>373</v>
      </c>
      <c r="AB195" s="62"/>
    </row>
    <row r="196" spans="2:28" hidden="1" outlineLevel="1" x14ac:dyDescent="0.25">
      <c r="B196" s="140" t="b">
        <v>0</v>
      </c>
      <c r="C196" s="55" t="s">
        <v>70</v>
      </c>
      <c r="D196" s="60" t="s">
        <v>193</v>
      </c>
      <c r="E196" s="54"/>
      <c r="F196" s="54"/>
      <c r="G196" s="54"/>
      <c r="H196" s="112" t="s">
        <v>372</v>
      </c>
      <c r="AB196" s="41"/>
    </row>
    <row r="197" spans="2:28" hidden="1" outlineLevel="1" x14ac:dyDescent="0.25">
      <c r="B197" s="140"/>
      <c r="C197" s="122" t="s">
        <v>369</v>
      </c>
      <c r="D197" s="60" t="s">
        <v>151</v>
      </c>
      <c r="E197" s="55"/>
      <c r="F197" s="153"/>
      <c r="G197" s="55"/>
      <c r="H197" s="112" t="s">
        <v>374</v>
      </c>
      <c r="AB197" s="41"/>
    </row>
    <row r="198" spans="2:28" hidden="1" outlineLevel="1" x14ac:dyDescent="0.25">
      <c r="B198" s="140"/>
      <c r="C198" s="55" t="s">
        <v>71</v>
      </c>
      <c r="D198" s="60">
        <v>100</v>
      </c>
      <c r="E198" s="55" t="s">
        <v>142</v>
      </c>
      <c r="F198" s="57">
        <f>IF(AND(Config1_AllClocksOn,B196),IF(D196="SPI",IF(D197="Transmitting",Config1_SPI_Coef*D198,0)+IF(NOT(D197="Disabled"),Config1_SPI_EnableCoef*D198+Config1_SPI_EnablePeriCoef*$D$28+Config1_SPI_EnablePed,0),IF(D196="I2C",IF(D197="Transmitting",Config1_I2C_Coef*D198+Config1_I2C_RunPed,0)+IF(NOT(D197="Disabled"),Config1_I2C_EnableCoef*D198+Config1_I2C_EnablePed,0),IF(D197="Transmitting",Config1_UART_Coef*D198+Config1_UART_RunPed,0)+IF(NOT(D197="Disabled"),Config1_UART_EnableCoef*D198+Config1_UART_EnablePed,0))),0)</f>
        <v>0</v>
      </c>
      <c r="G198" s="58" t="s">
        <v>57</v>
      </c>
      <c r="H198" s="112" t="s">
        <v>373</v>
      </c>
      <c r="AB198" s="62"/>
    </row>
    <row r="199" spans="2:28" hidden="1" outlineLevel="1" x14ac:dyDescent="0.25">
      <c r="B199" s="140" t="b">
        <v>0</v>
      </c>
      <c r="C199" s="55" t="s">
        <v>70</v>
      </c>
      <c r="D199" s="60" t="s">
        <v>193</v>
      </c>
      <c r="E199" s="54"/>
      <c r="F199" s="54"/>
      <c r="G199" s="54"/>
      <c r="H199" s="112" t="s">
        <v>372</v>
      </c>
      <c r="AB199" s="41"/>
    </row>
    <row r="200" spans="2:28" hidden="1" outlineLevel="1" x14ac:dyDescent="0.25">
      <c r="B200" s="140"/>
      <c r="C200" s="122" t="s">
        <v>369</v>
      </c>
      <c r="D200" s="60" t="s">
        <v>151</v>
      </c>
      <c r="E200" s="55"/>
      <c r="F200" s="153"/>
      <c r="G200" s="55"/>
      <c r="H200" s="112" t="s">
        <v>374</v>
      </c>
      <c r="AB200" s="41"/>
    </row>
    <row r="201" spans="2:28" hidden="1" outlineLevel="1" x14ac:dyDescent="0.25">
      <c r="B201" s="140"/>
      <c r="C201" s="55" t="s">
        <v>71</v>
      </c>
      <c r="D201" s="60">
        <v>100</v>
      </c>
      <c r="E201" s="55" t="s">
        <v>142</v>
      </c>
      <c r="F201" s="57">
        <f>IF(AND(Config1_AllClocksOn,B199),IF(D199="SPI",IF(D200="Transmitting",Config1_SPI_Coef*D201,0)+IF(NOT(D200="Disabled"),Config1_SPI_EnableCoef*D201+Config1_SPI_EnablePeriCoef*$D$28+Config1_SPI_EnablePed,0),IF(D199="I2C",IF(D200="Transmitting",Config1_I2C_Coef*D201+Config1_I2C_RunPed,0)+IF(NOT(D200="Disabled"),Config1_I2C_EnableCoef*D201+Config1_I2C_EnablePed,0),IF(D200="Transmitting",Config1_UART_Coef*D201+Config1_UART_RunPed,0)+IF(NOT(D200="Disabled"),Config1_UART_EnableCoef*D201+Config1_UART_EnablePed,0))),0)</f>
        <v>0</v>
      </c>
      <c r="G201" s="58" t="s">
        <v>57</v>
      </c>
      <c r="H201" s="112" t="s">
        <v>373</v>
      </c>
      <c r="AB201" s="62"/>
    </row>
    <row r="202" spans="2:28" hidden="1" outlineLevel="1" x14ac:dyDescent="0.25">
      <c r="B202" s="140" t="b">
        <v>0</v>
      </c>
      <c r="C202" s="55" t="s">
        <v>70</v>
      </c>
      <c r="D202" s="60" t="s">
        <v>193</v>
      </c>
      <c r="E202" s="54"/>
      <c r="F202" s="54"/>
      <c r="G202" s="54"/>
      <c r="H202" s="112" t="s">
        <v>372</v>
      </c>
      <c r="AB202" s="41"/>
    </row>
    <row r="203" spans="2:28" hidden="1" outlineLevel="1" x14ac:dyDescent="0.25">
      <c r="B203" s="140"/>
      <c r="C203" s="122" t="s">
        <v>369</v>
      </c>
      <c r="D203" s="60" t="s">
        <v>151</v>
      </c>
      <c r="E203" s="55"/>
      <c r="F203" s="153"/>
      <c r="G203" s="55"/>
      <c r="H203" s="112" t="s">
        <v>374</v>
      </c>
      <c r="AB203" s="41"/>
    </row>
    <row r="204" spans="2:28" hidden="1" outlineLevel="1" x14ac:dyDescent="0.25">
      <c r="B204" s="140"/>
      <c r="C204" s="55" t="s">
        <v>71</v>
      </c>
      <c r="D204" s="60">
        <v>100</v>
      </c>
      <c r="E204" s="55" t="s">
        <v>142</v>
      </c>
      <c r="F204" s="57">
        <f>IF(AND(Config1_AllClocksOn,B202),IF(D202="SPI",IF(D203="Transmitting",Config1_SPI_Coef*D204,0)+IF(NOT(D203="Disabled"),Config1_SPI_EnableCoef*D204+Config1_SPI_EnablePeriCoef*$D$28+Config1_SPI_EnablePed,0),IF(D202="I2C",IF(D203="Transmitting",Config1_I2C_Coef*D204+Config1_I2C_RunPed,0)+IF(NOT(D203="Disabled"),Config1_I2C_EnableCoef*D204+Config1_I2C_EnablePed,0),IF(D203="Transmitting",Config1_UART_Coef*D204+Config1_UART_RunPed,0)+IF(NOT(D203="Disabled"),Config1_UART_EnableCoef*D204+Config1_UART_EnablePed,0))),0)</f>
        <v>0</v>
      </c>
      <c r="G204" s="58" t="s">
        <v>57</v>
      </c>
      <c r="H204" s="112" t="s">
        <v>373</v>
      </c>
      <c r="AB204" s="62"/>
    </row>
    <row r="205" spans="2:28" hidden="1" outlineLevel="1" x14ac:dyDescent="0.25">
      <c r="B205" s="140" t="b">
        <v>0</v>
      </c>
      <c r="C205" s="55" t="s">
        <v>70</v>
      </c>
      <c r="D205" s="60" t="s">
        <v>193</v>
      </c>
      <c r="E205" s="54"/>
      <c r="F205" s="54"/>
      <c r="G205" s="54"/>
      <c r="H205" s="112" t="s">
        <v>372</v>
      </c>
      <c r="AB205" s="41"/>
    </row>
    <row r="206" spans="2:28" hidden="1" outlineLevel="1" x14ac:dyDescent="0.25">
      <c r="B206" s="140"/>
      <c r="C206" s="122" t="s">
        <v>369</v>
      </c>
      <c r="D206" s="60" t="s">
        <v>150</v>
      </c>
      <c r="E206" s="55"/>
      <c r="F206" s="153"/>
      <c r="G206" s="55"/>
      <c r="H206" s="112" t="s">
        <v>374</v>
      </c>
      <c r="AB206" s="41"/>
    </row>
    <row r="207" spans="2:28" hidden="1" outlineLevel="1" x14ac:dyDescent="0.25">
      <c r="B207" s="140"/>
      <c r="C207" s="55" t="s">
        <v>71</v>
      </c>
      <c r="D207" s="60">
        <v>125</v>
      </c>
      <c r="E207" s="55" t="s">
        <v>142</v>
      </c>
      <c r="F207" s="57">
        <f>IF(AND(Config1_AllClocksOn,B205),IF(D205="SPI",IF(D206="Transmitting",Config1_SPI_Coef*D207,0)+IF(NOT(D206="Disabled"),Config1_SPI_EnableCoef*D207+Config1_SPI_EnablePeriCoef*$D$28+Config1_SPI_EnablePed,0),IF(D205="I2C",IF(D206="Transmitting",Config1_I2C_Coef*D207+Config1_I2C_RunPed,0)+IF(NOT(D206="Disabled"),Config1_I2C_EnableCoef*D207+Config1_I2C_EnablePed,0),IF(D206="Transmitting",Config1_UART_Coef*D207+Config1_UART_RunPed,0)+IF(NOT(D206="Disabled"),Config1_UART_EnableCoef*D207+Config1_UART_EnablePed,0))),0)</f>
        <v>0</v>
      </c>
      <c r="G207" s="58" t="s">
        <v>57</v>
      </c>
      <c r="H207" s="112" t="s">
        <v>373</v>
      </c>
      <c r="AB207" s="62"/>
    </row>
    <row r="208" spans="2:28" hidden="1" outlineLevel="1" x14ac:dyDescent="0.25">
      <c r="B208" s="140" t="b">
        <v>0</v>
      </c>
      <c r="C208" s="55" t="s">
        <v>149</v>
      </c>
      <c r="D208" s="60" t="s">
        <v>194</v>
      </c>
      <c r="E208" s="54"/>
      <c r="F208" s="54"/>
      <c r="G208" s="54"/>
      <c r="H208" s="59" t="s">
        <v>177</v>
      </c>
    </row>
    <row r="209" spans="2:28" hidden="1" outlineLevel="1" x14ac:dyDescent="0.25">
      <c r="B209" s="140"/>
      <c r="C209" s="122" t="s">
        <v>375</v>
      </c>
      <c r="D209" s="60" t="s">
        <v>371</v>
      </c>
      <c r="E209" s="55"/>
      <c r="F209" s="153"/>
      <c r="G209" s="55"/>
      <c r="H209" s="59" t="s">
        <v>178</v>
      </c>
      <c r="AB209" s="41"/>
    </row>
    <row r="210" spans="2:28" hidden="1" outlineLevel="1" x14ac:dyDescent="0.25">
      <c r="B210" s="140"/>
      <c r="C210" s="55" t="s">
        <v>71</v>
      </c>
      <c r="D210" s="60">
        <v>1250</v>
      </c>
      <c r="E210" s="55" t="s">
        <v>142</v>
      </c>
      <c r="F210" s="57">
        <f>IF(AND(Config1_AllClocksOn,B208),IF(D208="SPI",IF(D209="Transmitting",Config1_SPI_Coef*D210,0)+IF(NOT(D209="Disabled"),Config1_SPI_EnableCoef*D210+Config1_SPI_EnablePeriCoef*$D$28+Config1_SPI_EnablePed,0),IF(D208="I2C",IF(D209="Transmitting",Config1_I2C_Coef*D210+Config1_I2C_RunPed,0)+IF(NOT(D209="Disabled"),Config1_I2C_EnableCoef*D210+Config1_I2C_EnablePed,0),IF(D209="Transmitting",Config1_UART_Coef*D210+Config1_UART_RunPed,0)+IF(NOT(D209="Disabled"),Config1_UART_EnableCoef*D210+Config1_UART_EnablePed,0))),0)</f>
        <v>0</v>
      </c>
      <c r="G210" s="58" t="s">
        <v>57</v>
      </c>
      <c r="H210" s="112" t="s">
        <v>373</v>
      </c>
      <c r="AB210" s="62"/>
    </row>
    <row r="211" spans="2:28" collapsed="1" x14ac:dyDescent="0.25">
      <c r="B211" s="140"/>
      <c r="C211" s="55"/>
      <c r="D211" s="156"/>
      <c r="E211" s="54"/>
      <c r="F211" s="54"/>
      <c r="G211" s="54"/>
      <c r="H211" s="59"/>
    </row>
    <row r="212" spans="2:28" x14ac:dyDescent="0.25">
      <c r="B212" s="140"/>
      <c r="C212" s="55"/>
      <c r="D212" s="156"/>
      <c r="E212" s="54"/>
      <c r="F212" s="54"/>
      <c r="G212" s="54"/>
      <c r="H212" s="59"/>
    </row>
    <row r="213" spans="2:28" x14ac:dyDescent="0.25">
      <c r="B213" s="53" t="s">
        <v>392</v>
      </c>
      <c r="C213" s="53"/>
      <c r="D213" s="53"/>
      <c r="E213" s="53"/>
      <c r="F213" s="53"/>
      <c r="G213" s="53"/>
      <c r="H213" s="53"/>
    </row>
    <row r="214" spans="2:28" x14ac:dyDescent="0.25">
      <c r="B214" s="140"/>
      <c r="C214" s="122" t="s">
        <v>396</v>
      </c>
      <c r="D214" s="56" t="s">
        <v>398</v>
      </c>
      <c r="E214" s="54"/>
      <c r="F214" s="80"/>
      <c r="G214" s="81"/>
      <c r="H214" s="112" t="s">
        <v>397</v>
      </c>
    </row>
    <row r="215" spans="2:28" x14ac:dyDescent="0.25">
      <c r="B215" s="140"/>
      <c r="C215" s="122" t="s">
        <v>175</v>
      </c>
      <c r="D215" s="56" t="s">
        <v>151</v>
      </c>
      <c r="E215" s="54"/>
      <c r="F215" s="57">
        <f>IF(OR(Config1_AllClocksOff,NOT(B23)),0,IF(D214="Yes",Config1_SMIF_DMA,0)+IF(D215="Disabled",Config1_SMIF_Dis,Config1_SMIF_En)+IF(D215="Transmitting",Config1_SMIF_Trans))</f>
        <v>0</v>
      </c>
      <c r="G215" s="58" t="s">
        <v>57</v>
      </c>
      <c r="H215" s="112" t="s">
        <v>393</v>
      </c>
    </row>
    <row r="216" spans="2:28" x14ac:dyDescent="0.25">
      <c r="B216" s="53" t="s">
        <v>89</v>
      </c>
      <c r="C216" s="53"/>
      <c r="D216" s="53"/>
      <c r="E216" s="53"/>
      <c r="F216" s="53"/>
      <c r="G216" s="53"/>
      <c r="H216" s="53"/>
    </row>
    <row r="217" spans="2:28" s="1" customFormat="1" collapsed="1" x14ac:dyDescent="0.25">
      <c r="B217" s="55"/>
      <c r="C217" s="55" t="s">
        <v>175</v>
      </c>
      <c r="D217" s="56" t="s">
        <v>28</v>
      </c>
      <c r="E217" s="55"/>
      <c r="F217" s="57">
        <f>IF(OR(Config1_AllClocksOff,D217="Off"),0,IF(D217="Configured Connected",Config1_Usb_ConfigCon,IF(D217="Suspended Connected",Config1_Usb_SuspendCon,Config1_Usb_SuspendDis)))*1000</f>
        <v>0</v>
      </c>
      <c r="G217" s="58" t="s">
        <v>57</v>
      </c>
      <c r="H217" s="59" t="s">
        <v>176</v>
      </c>
      <c r="AB217" s="41"/>
    </row>
    <row r="218" spans="2:28" s="1" customFormat="1" x14ac:dyDescent="0.25">
      <c r="B218" s="53" t="s">
        <v>152</v>
      </c>
      <c r="C218" s="53"/>
      <c r="D218" s="53"/>
      <c r="E218" s="53"/>
      <c r="F218" s="65">
        <f>SUM(F118:F217)/1000</f>
        <v>0</v>
      </c>
      <c r="G218" s="53" t="s">
        <v>316</v>
      </c>
      <c r="H218" s="53"/>
      <c r="AB218" s="41"/>
    </row>
    <row r="219" spans="2:28" s="1" customFormat="1" x14ac:dyDescent="0.25">
      <c r="B219"/>
      <c r="H219" s="49"/>
      <c r="AB219" s="41"/>
    </row>
    <row r="220" spans="2:28" hidden="1" x14ac:dyDescent="0.25">
      <c r="C220" s="1"/>
      <c r="D220" s="1"/>
      <c r="E220" s="1"/>
      <c r="F220" s="1"/>
      <c r="G220" s="1"/>
      <c r="H220" s="49"/>
    </row>
    <row r="221" spans="2:28" ht="15.6" hidden="1" x14ac:dyDescent="0.3">
      <c r="B221" s="225" t="s">
        <v>154</v>
      </c>
      <c r="C221" s="225"/>
      <c r="D221" s="225"/>
      <c r="E221" s="225"/>
      <c r="F221" s="225"/>
      <c r="G221" s="225"/>
      <c r="H221" s="225"/>
    </row>
    <row r="222" spans="2:28" s="1" customFormat="1" collapsed="1" x14ac:dyDescent="0.25">
      <c r="B222" s="67" t="s">
        <v>153</v>
      </c>
      <c r="C222" s="67"/>
      <c r="D222" s="67"/>
      <c r="E222" s="67"/>
      <c r="F222" s="67"/>
      <c r="G222" s="67"/>
      <c r="H222" s="67"/>
      <c r="AB222" s="41"/>
    </row>
    <row r="223" spans="2:28" x14ac:dyDescent="0.25">
      <c r="B223" s="68"/>
      <c r="C223" s="54" t="s">
        <v>11</v>
      </c>
      <c r="D223" s="60">
        <v>0</v>
      </c>
      <c r="E223" s="54" t="s">
        <v>10</v>
      </c>
      <c r="F223" s="69">
        <f t="shared" ref="F223:F230" si="0">D223</f>
        <v>0</v>
      </c>
      <c r="G223" s="58" t="s">
        <v>57</v>
      </c>
      <c r="H223" s="220" t="s">
        <v>49</v>
      </c>
    </row>
    <row r="224" spans="2:28" ht="12.75" customHeight="1" x14ac:dyDescent="0.25">
      <c r="B224" s="54"/>
      <c r="C224" s="54" t="s">
        <v>12</v>
      </c>
      <c r="D224" s="60">
        <v>0</v>
      </c>
      <c r="E224" s="54" t="s">
        <v>10</v>
      </c>
      <c r="F224" s="69">
        <f t="shared" si="0"/>
        <v>0</v>
      </c>
      <c r="G224" s="58" t="s">
        <v>57</v>
      </c>
      <c r="H224" s="221"/>
    </row>
    <row r="225" spans="2:8" ht="12.75" customHeight="1" x14ac:dyDescent="0.25">
      <c r="B225" s="54"/>
      <c r="C225" s="54" t="s">
        <v>13</v>
      </c>
      <c r="D225" s="60">
        <v>0</v>
      </c>
      <c r="E225" s="54" t="s">
        <v>10</v>
      </c>
      <c r="F225" s="69">
        <f t="shared" si="0"/>
        <v>0</v>
      </c>
      <c r="G225" s="58" t="s">
        <v>57</v>
      </c>
      <c r="H225" s="221"/>
    </row>
    <row r="226" spans="2:8" x14ac:dyDescent="0.25">
      <c r="B226" s="54"/>
      <c r="C226" s="54" t="s">
        <v>14</v>
      </c>
      <c r="D226" s="60">
        <v>0</v>
      </c>
      <c r="E226" s="54" t="s">
        <v>10</v>
      </c>
      <c r="F226" s="69">
        <f t="shared" si="0"/>
        <v>0</v>
      </c>
      <c r="G226" s="58" t="s">
        <v>57</v>
      </c>
      <c r="H226" s="221"/>
    </row>
    <row r="227" spans="2:8" x14ac:dyDescent="0.25">
      <c r="B227" s="54"/>
      <c r="C227" s="54" t="s">
        <v>15</v>
      </c>
      <c r="D227" s="60">
        <v>0</v>
      </c>
      <c r="E227" s="54" t="s">
        <v>10</v>
      </c>
      <c r="F227" s="69">
        <f t="shared" si="0"/>
        <v>0</v>
      </c>
      <c r="G227" s="58" t="s">
        <v>57</v>
      </c>
      <c r="H227" s="221"/>
    </row>
    <row r="228" spans="2:8" x14ac:dyDescent="0.25">
      <c r="B228" s="54"/>
      <c r="C228" s="54" t="s">
        <v>16</v>
      </c>
      <c r="D228" s="60">
        <v>0</v>
      </c>
      <c r="E228" s="54" t="s">
        <v>10</v>
      </c>
      <c r="F228" s="69">
        <f t="shared" si="0"/>
        <v>0</v>
      </c>
      <c r="G228" s="58" t="s">
        <v>57</v>
      </c>
      <c r="H228" s="221"/>
    </row>
    <row r="229" spans="2:8" x14ac:dyDescent="0.25">
      <c r="B229" s="54"/>
      <c r="C229" s="54" t="s">
        <v>17</v>
      </c>
      <c r="D229" s="60">
        <v>0</v>
      </c>
      <c r="E229" s="54" t="s">
        <v>10</v>
      </c>
      <c r="F229" s="69">
        <f t="shared" si="0"/>
        <v>0</v>
      </c>
      <c r="G229" s="58" t="s">
        <v>57</v>
      </c>
      <c r="H229" s="221"/>
    </row>
    <row r="230" spans="2:8" x14ac:dyDescent="0.25">
      <c r="B230" s="54"/>
      <c r="C230" s="54" t="s">
        <v>18</v>
      </c>
      <c r="D230" s="60">
        <v>0</v>
      </c>
      <c r="E230" s="54" t="s">
        <v>10</v>
      </c>
      <c r="F230" s="69">
        <f t="shared" si="0"/>
        <v>0</v>
      </c>
      <c r="G230" s="58" t="s">
        <v>57</v>
      </c>
      <c r="H230" s="222"/>
    </row>
    <row r="231" spans="2:8" ht="13.8" thickBot="1" x14ac:dyDescent="0.3">
      <c r="B231" s="70" t="s">
        <v>152</v>
      </c>
      <c r="C231" s="71"/>
      <c r="D231" s="72"/>
      <c r="E231" s="71"/>
      <c r="F231" s="158">
        <f>SUM(F223:F230)/1000</f>
        <v>0</v>
      </c>
      <c r="G231" s="70" t="s">
        <v>316</v>
      </c>
      <c r="H231" s="71"/>
    </row>
    <row r="232" spans="2:8" collapsed="1" x14ac:dyDescent="0.25">
      <c r="B232" s="73"/>
      <c r="C232" s="74"/>
      <c r="D232" s="75"/>
      <c r="E232" s="74"/>
      <c r="F232" s="76"/>
      <c r="G232" s="74"/>
      <c r="H232" s="77"/>
    </row>
    <row r="233" spans="2:8" ht="16.2" thickBot="1" x14ac:dyDescent="0.35">
      <c r="B233" s="3"/>
      <c r="C233" s="5"/>
      <c r="D233" s="24"/>
      <c r="E233" s="27" t="s">
        <v>34</v>
      </c>
      <c r="F233" s="33">
        <f ca="1">F36+F114+F218</f>
        <v>1.002</v>
      </c>
      <c r="G233" s="28" t="s">
        <v>316</v>
      </c>
      <c r="H233" s="10"/>
    </row>
    <row r="242" spans="4:4" x14ac:dyDescent="0.25">
      <c r="D242" s="29"/>
    </row>
  </sheetData>
  <dataConsolidate/>
  <mergeCells count="20">
    <mergeCell ref="B44:B69"/>
    <mergeCell ref="B71:B96"/>
    <mergeCell ref="B40:B42"/>
    <mergeCell ref="B2:E2"/>
    <mergeCell ref="F2:G2"/>
    <mergeCell ref="H223:H230"/>
    <mergeCell ref="C1:D1"/>
    <mergeCell ref="E1:G1"/>
    <mergeCell ref="B38:H38"/>
    <mergeCell ref="B116:H116"/>
    <mergeCell ref="B221:H221"/>
    <mergeCell ref="B3:H3"/>
    <mergeCell ref="B12:C12"/>
    <mergeCell ref="B30:C30"/>
    <mergeCell ref="B20:C20"/>
    <mergeCell ref="B39:C39"/>
    <mergeCell ref="C67:E67"/>
    <mergeCell ref="C68:E68"/>
    <mergeCell ref="C94:E94"/>
    <mergeCell ref="C95:E95"/>
  </mergeCells>
  <phoneticPr fontId="3" type="noConversion"/>
  <conditionalFormatting sqref="C9">
    <cfRule type="expression" dxfId="734" priority="283">
      <formula>NUM_CORE=1</formula>
    </cfRule>
  </conditionalFormatting>
  <conditionalFormatting sqref="C17:C19">
    <cfRule type="expression" dxfId="733" priority="273">
      <formula>NUM_PLL=1</formula>
    </cfRule>
  </conditionalFormatting>
  <conditionalFormatting sqref="C26">
    <cfRule type="expression" dxfId="732" priority="262">
      <formula>SelectedDevice&lt;&gt;PSoC62_2M</formula>
    </cfRule>
  </conditionalFormatting>
  <conditionalFormatting sqref="C118:C181">
    <cfRule type="expression" dxfId="731" priority="199">
      <formula>NOT($B$4)</formula>
    </cfRule>
  </conditionalFormatting>
  <conditionalFormatting sqref="D8">
    <cfRule type="expression" dxfId="730" priority="250">
      <formula>AND(Config1_SystemMode=SystemUlp,Config1_VoltageCore=1.1)</formula>
    </cfRule>
  </conditionalFormatting>
  <conditionalFormatting sqref="D9">
    <cfRule type="expression" dxfId="729" priority="282">
      <formula>AND(Config1_SystemMode=SystemDeepSleep,Config1_CM0p_CpuMode&lt;&gt;CpuDeepSleep)</formula>
    </cfRule>
    <cfRule type="expression" dxfId="728" priority="280" stopIfTrue="1">
      <formula>OR(NUM_CORE=1,Config1_SystemMode=SystemHibernate)</formula>
    </cfRule>
  </conditionalFormatting>
  <conditionalFormatting sqref="D10">
    <cfRule type="expression" dxfId="727" priority="281">
      <formula>AND(Config1_SystemMode=SystemDeepSleep,AND(Config1_CM4_CpuMode&lt;&gt;CpuOff,Config1_CM4_CpuMode&lt;&gt;CpuDeepSleep))</formula>
    </cfRule>
    <cfRule type="expression" dxfId="726" priority="279" stopIfTrue="1">
      <formula>Config1_SystemMode=SystemHibernate</formula>
    </cfRule>
  </conditionalFormatting>
  <conditionalFormatting sqref="D22:D26">
    <cfRule type="expression" dxfId="725" priority="255">
      <formula>NOT($B22)</formula>
    </cfRule>
  </conditionalFormatting>
  <conditionalFormatting sqref="D27">
    <cfRule type="expression" dxfId="724" priority="253">
      <formula>FLOOR(MOD(Config1_HFCLK0,$D$27),1)</formula>
    </cfRule>
  </conditionalFormatting>
  <conditionalFormatting sqref="D28">
    <cfRule type="expression" dxfId="723" priority="252">
      <formula>FLOOR(MOD(Config1_HFCLK0,$D$28),1)</formula>
    </cfRule>
  </conditionalFormatting>
  <conditionalFormatting sqref="D29">
    <cfRule type="expression" dxfId="722" priority="251">
      <formula>FLOOR(MOD($D$28,$D$29),1)</formula>
    </cfRule>
  </conditionalFormatting>
  <conditionalFormatting sqref="D40:D42">
    <cfRule type="expression" dxfId="721" priority="141">
      <formula>IF(SelectedDevice = "PSoC 62 (256KB)", FALSE, TRUE)</formula>
    </cfRule>
  </conditionalFormatting>
  <conditionalFormatting sqref="D47 D74">
    <cfRule type="expression" dxfId="720" priority="299">
      <formula>IF(AND($B$43, $D$45="2MHz Deep Sleep Clock", #REF!, $D$105 = "2MHz Deep Sleep Clock", $D$43 = "Triggered Sampling", #REF! = "Triggered Sampling"), IF($D$46 = $D$107, FALSE, TRUE), FALSE)</formula>
    </cfRule>
  </conditionalFormatting>
  <conditionalFormatting sqref="D47">
    <cfRule type="expression" dxfId="719" priority="182">
      <formula>IF($D$44="Triggered Sampling", FALSE, TRUE)</formula>
    </cfRule>
  </conditionalFormatting>
  <conditionalFormatting sqref="D74">
    <cfRule type="expression" dxfId="718" priority="74">
      <formula>IF($D$44="Triggered Sampling", FALSE, TRUE)</formula>
    </cfRule>
  </conditionalFormatting>
  <conditionalFormatting sqref="D13:E13">
    <cfRule type="expression" dxfId="717" priority="277">
      <formula>NOT($B$13)</formula>
    </cfRule>
  </conditionalFormatting>
  <conditionalFormatting sqref="D14:E16">
    <cfRule type="expression" dxfId="716" priority="276">
      <formula>NOT($B$14)</formula>
    </cfRule>
  </conditionalFormatting>
  <conditionalFormatting sqref="D17:E19">
    <cfRule type="expression" dxfId="715" priority="274">
      <formula>NOT($B$17)</formula>
    </cfRule>
    <cfRule type="expression" dxfId="714" priority="272">
      <formula>NUM_PLL=1</formula>
    </cfRule>
  </conditionalFormatting>
  <conditionalFormatting sqref="D21:E21">
    <cfRule type="expression" dxfId="713" priority="271">
      <formula>NOT($B21)</formula>
    </cfRule>
  </conditionalFormatting>
  <conditionalFormatting sqref="D26:E26">
    <cfRule type="expression" dxfId="712" priority="254">
      <formula>SelectedDevice&lt;&gt;PSoC62_2M</formula>
    </cfRule>
  </conditionalFormatting>
  <conditionalFormatting sqref="D35:E35">
    <cfRule type="expression" dxfId="711" priority="249">
      <formula>NOT($B$35)</formula>
    </cfRule>
  </conditionalFormatting>
  <conditionalFormatting sqref="D40:E41">
    <cfRule type="expression" dxfId="710" priority="186">
      <formula>IF(AND($D$8 = "System Deep Sleep", #REF! = "LPOSC"), FALSE, TRUE)</formula>
    </cfRule>
  </conditionalFormatting>
  <conditionalFormatting sqref="D44:E49">
    <cfRule type="expression" dxfId="709" priority="2">
      <formula>IF($I$46=TRUE,FALSE,TRUE)</formula>
    </cfRule>
  </conditionalFormatting>
  <conditionalFormatting sqref="D71:E76">
    <cfRule type="expression" dxfId="708" priority="34">
      <formula>IF($I$72=TRUE,FALSE,TRUE)</formula>
    </cfRule>
  </conditionalFormatting>
  <conditionalFormatting sqref="D118:E119">
    <cfRule type="expression" dxfId="707" priority="260">
      <formula>NOT($B$118)</formula>
    </cfRule>
  </conditionalFormatting>
  <conditionalFormatting sqref="D120:E121">
    <cfRule type="expression" dxfId="706" priority="247">
      <formula>NOT($B$120)</formula>
    </cfRule>
  </conditionalFormatting>
  <conditionalFormatting sqref="D122:E123">
    <cfRule type="expression" dxfId="705" priority="242">
      <formula>NOT($B$122)</formula>
    </cfRule>
  </conditionalFormatting>
  <conditionalFormatting sqref="D124:E125">
    <cfRule type="expression" dxfId="704" priority="240">
      <formula>NOT($B$124)</formula>
    </cfRule>
  </conditionalFormatting>
  <conditionalFormatting sqref="D126:E127">
    <cfRule type="expression" dxfId="703" priority="239">
      <formula>NOT($B$126)</formula>
    </cfRule>
  </conditionalFormatting>
  <conditionalFormatting sqref="D128:E129">
    <cfRule type="expression" dxfId="702" priority="237">
      <formula>NOT($B$128)</formula>
    </cfRule>
  </conditionalFormatting>
  <conditionalFormatting sqref="D130:E131">
    <cfRule type="expression" dxfId="701" priority="236">
      <formula>NOT($B$130)</formula>
    </cfRule>
  </conditionalFormatting>
  <conditionalFormatting sqref="D132:E133">
    <cfRule type="expression" dxfId="700" priority="234">
      <formula>NOT($B$132)</formula>
    </cfRule>
  </conditionalFormatting>
  <conditionalFormatting sqref="D134:E135">
    <cfRule type="expression" dxfId="699" priority="233">
      <formula>NOT($B$134)</formula>
    </cfRule>
  </conditionalFormatting>
  <conditionalFormatting sqref="D136:E137">
    <cfRule type="expression" dxfId="698" priority="231">
      <formula>NOT($B$136)</formula>
    </cfRule>
  </conditionalFormatting>
  <conditionalFormatting sqref="D138:E139">
    <cfRule type="expression" dxfId="697" priority="230">
      <formula>NOT($B$138)</formula>
    </cfRule>
  </conditionalFormatting>
  <conditionalFormatting sqref="D140:E141">
    <cfRule type="expression" dxfId="696" priority="228">
      <formula>NOT($B$140)</formula>
    </cfRule>
  </conditionalFormatting>
  <conditionalFormatting sqref="D142:E143">
    <cfRule type="expression" dxfId="695" priority="227">
      <formula>NOT($B$142)</formula>
    </cfRule>
  </conditionalFormatting>
  <conditionalFormatting sqref="D144:E145">
    <cfRule type="expression" dxfId="694" priority="225">
      <formula>NOT($B$144)</formula>
    </cfRule>
  </conditionalFormatting>
  <conditionalFormatting sqref="D146:E147">
    <cfRule type="expression" dxfId="693" priority="224">
      <formula>NOT($B$146)</formula>
    </cfRule>
  </conditionalFormatting>
  <conditionalFormatting sqref="D148:E149">
    <cfRule type="expression" dxfId="692" priority="222">
      <formula>NOT($B$148)</formula>
    </cfRule>
  </conditionalFormatting>
  <conditionalFormatting sqref="D150:E151">
    <cfRule type="expression" dxfId="691" priority="221">
      <formula>NOT($B$150)</formula>
    </cfRule>
  </conditionalFormatting>
  <conditionalFormatting sqref="D152:E153">
    <cfRule type="expression" dxfId="690" priority="219">
      <formula>NOT($B$152)</formula>
    </cfRule>
  </conditionalFormatting>
  <conditionalFormatting sqref="D154:E155">
    <cfRule type="expression" dxfId="689" priority="218">
      <formula>NOT($B$154)</formula>
    </cfRule>
  </conditionalFormatting>
  <conditionalFormatting sqref="D156:E157">
    <cfRule type="expression" dxfId="688" priority="216">
      <formula>NOT($B$156)</formula>
    </cfRule>
  </conditionalFormatting>
  <conditionalFormatting sqref="D158:E159">
    <cfRule type="expression" dxfId="687" priority="215">
      <formula>NOT($B$158)</formula>
    </cfRule>
  </conditionalFormatting>
  <conditionalFormatting sqref="D160:E161">
    <cfRule type="expression" dxfId="686" priority="213">
      <formula>NOT($B$160)</formula>
    </cfRule>
  </conditionalFormatting>
  <conditionalFormatting sqref="D162:E163">
    <cfRule type="expression" dxfId="685" priority="212">
      <formula>NOT($B$162)</formula>
    </cfRule>
  </conditionalFormatting>
  <conditionalFormatting sqref="D164:E165">
    <cfRule type="expression" dxfId="684" priority="210">
      <formula>NOT($B$164)</formula>
    </cfRule>
  </conditionalFormatting>
  <conditionalFormatting sqref="D166:E167">
    <cfRule type="expression" dxfId="683" priority="209">
      <formula>NOT($B$166)</formula>
    </cfRule>
  </conditionalFormatting>
  <conditionalFormatting sqref="D168:E169">
    <cfRule type="expression" dxfId="682" priority="207">
      <formula>NOT($B$168)</formula>
    </cfRule>
  </conditionalFormatting>
  <conditionalFormatting sqref="D170:E171">
    <cfRule type="expression" dxfId="681" priority="206">
      <formula>NOT($B$170)</formula>
    </cfRule>
  </conditionalFormatting>
  <conditionalFormatting sqref="D172:E173">
    <cfRule type="expression" dxfId="680" priority="204">
      <formula>NOT($B$172)</formula>
    </cfRule>
  </conditionalFormatting>
  <conditionalFormatting sqref="D174:E175">
    <cfRule type="expression" dxfId="679" priority="203">
      <formula>NOT($B$174)</formula>
    </cfRule>
  </conditionalFormatting>
  <conditionalFormatting sqref="D176:E177">
    <cfRule type="expression" dxfId="678" priority="201">
      <formula>NOT($B$176)</formula>
    </cfRule>
  </conditionalFormatting>
  <conditionalFormatting sqref="D178:E179">
    <cfRule type="expression" dxfId="677" priority="200">
      <formula>NOT($B$178)</formula>
    </cfRule>
  </conditionalFormatting>
  <conditionalFormatting sqref="D180:E181">
    <cfRule type="expression" dxfId="676" priority="198">
      <formula>NOT($B$180)</formula>
    </cfRule>
  </conditionalFormatting>
  <conditionalFormatting sqref="D184:E186">
    <cfRule type="expression" dxfId="675" priority="193">
      <formula>NOT($B$184)</formula>
    </cfRule>
  </conditionalFormatting>
  <conditionalFormatting sqref="D187:E189">
    <cfRule type="expression" dxfId="674" priority="191">
      <formula>NOT($B$187)</formula>
    </cfRule>
  </conditionalFormatting>
  <conditionalFormatting sqref="D190:E192">
    <cfRule type="expression" dxfId="673" priority="190">
      <formula>NOT($B$190)</formula>
    </cfRule>
  </conditionalFormatting>
  <conditionalFormatting sqref="D193:E195">
    <cfRule type="expression" dxfId="672" priority="192">
      <formula>NOT($B$193)</formula>
    </cfRule>
  </conditionalFormatting>
  <conditionalFormatting sqref="D196:E198">
    <cfRule type="expression" dxfId="671" priority="197">
      <formula>NOT($B$196)</formula>
    </cfRule>
  </conditionalFormatting>
  <conditionalFormatting sqref="D199:E201">
    <cfRule type="expression" dxfId="670" priority="195">
      <formula>NOT($B$199)</formula>
    </cfRule>
  </conditionalFormatting>
  <conditionalFormatting sqref="D202:E204">
    <cfRule type="expression" dxfId="669" priority="194">
      <formula>NOT($B$202)</formula>
    </cfRule>
  </conditionalFormatting>
  <conditionalFormatting sqref="D205:E207">
    <cfRule type="expression" dxfId="668" priority="196">
      <formula>NOT($B$205)</formula>
    </cfRule>
  </conditionalFormatting>
  <conditionalFormatting sqref="D208:E210">
    <cfRule type="expression" dxfId="667" priority="189">
      <formula>NOT($B$208)</formula>
    </cfRule>
  </conditionalFormatting>
  <conditionalFormatting sqref="D51:G66">
    <cfRule type="expression" dxfId="666" priority="157">
      <formula>IF($D$8 = "System Deep Sleep", IF(SelectedDevice = "PSoC 62 (256KB)", FALSE, TRUE), FALSE)</formula>
    </cfRule>
  </conditionalFormatting>
  <conditionalFormatting sqref="D51:H66 F67:G68">
    <cfRule type="expression" dxfId="665" priority="1">
      <formula>IF($I$46=TRUE,FALSE,TRUE)</formula>
    </cfRule>
  </conditionalFormatting>
  <conditionalFormatting sqref="D52:H52">
    <cfRule type="expression" dxfId="664" priority="139">
      <formula>IF($D$48 &gt;1, FALSE, TRUE)</formula>
    </cfRule>
  </conditionalFormatting>
  <conditionalFormatting sqref="D53:H53">
    <cfRule type="expression" dxfId="663" priority="138">
      <formula>IF($D$48 &gt;2, FALSE, TRUE)</formula>
    </cfRule>
  </conditionalFormatting>
  <conditionalFormatting sqref="D54:H54">
    <cfRule type="expression" dxfId="662" priority="137">
      <formula>IF($D$48 &gt;3, FALSE, TRUE)</formula>
    </cfRule>
  </conditionalFormatting>
  <conditionalFormatting sqref="D55:H55">
    <cfRule type="expression" dxfId="661" priority="163">
      <formula>IF($D$48 &gt;4, FALSE, TRUE)</formula>
    </cfRule>
  </conditionalFormatting>
  <conditionalFormatting sqref="D56:H56">
    <cfRule type="expression" dxfId="660" priority="158">
      <formula>IF($D$48 &gt;5, FALSE, TRUE)</formula>
    </cfRule>
  </conditionalFormatting>
  <conditionalFormatting sqref="D57:H57">
    <cfRule type="expression" dxfId="659" priority="136">
      <formula>IF($D$48 &gt;6, FALSE, TRUE)</formula>
    </cfRule>
  </conditionalFormatting>
  <conditionalFormatting sqref="D58:H58">
    <cfRule type="expression" dxfId="658" priority="135">
      <formula>IF($D$48 &gt;7, FALSE, TRUE)</formula>
    </cfRule>
  </conditionalFormatting>
  <conditionalFormatting sqref="D59:H59">
    <cfRule type="expression" dxfId="657" priority="134">
      <formula>IF($D$48 &gt;8, FALSE, TRUE)</formula>
    </cfRule>
  </conditionalFormatting>
  <conditionalFormatting sqref="D60:H60">
    <cfRule type="expression" dxfId="656" priority="133">
      <formula>IF($D$48 &gt;9, FALSE, TRUE)</formula>
    </cfRule>
  </conditionalFormatting>
  <conditionalFormatting sqref="D61:H61">
    <cfRule type="expression" dxfId="655" priority="132">
      <formula>IF($D$48 &gt;10, FALSE, TRUE)</formula>
    </cfRule>
  </conditionalFormatting>
  <conditionalFormatting sqref="D62:H62">
    <cfRule type="expression" dxfId="654" priority="131">
      <formula>IF($D$48 &gt;11, FALSE, TRUE)</formula>
    </cfRule>
  </conditionalFormatting>
  <conditionalFormatting sqref="D63:H63">
    <cfRule type="expression" dxfId="653" priority="130">
      <formula>IF($D$48 &gt;12, FALSE, TRUE)</formula>
    </cfRule>
  </conditionalFormatting>
  <conditionalFormatting sqref="D64:H64">
    <cfRule type="expression" dxfId="652" priority="129">
      <formula>IF($D$48 &gt;13, FALSE, TRUE)</formula>
    </cfRule>
  </conditionalFormatting>
  <conditionalFormatting sqref="D65:H65">
    <cfRule type="expression" dxfId="651" priority="128">
      <formula>IF($D$48 &gt;14, FALSE, TRUE)</formula>
    </cfRule>
  </conditionalFormatting>
  <conditionalFormatting sqref="D66:H66">
    <cfRule type="expression" dxfId="650" priority="126">
      <formula>IF($D$48 &gt;15, FALSE, TRUE)</formula>
    </cfRule>
  </conditionalFormatting>
  <conditionalFormatting sqref="D78:H93 F94:G95">
    <cfRule type="expression" dxfId="649" priority="53">
      <formula>IF($I$72=TRUE,FALSE,TRUE)</formula>
    </cfRule>
  </conditionalFormatting>
  <conditionalFormatting sqref="D79:H79">
    <cfRule type="expression" dxfId="648" priority="6">
      <formula>IF($D$75 &gt;1, FALSE, TRUE)</formula>
    </cfRule>
  </conditionalFormatting>
  <conditionalFormatting sqref="D80:H80">
    <cfRule type="expression" dxfId="647" priority="50">
      <formula>IF($D$75 &gt;2, FALSE, TRUE)</formula>
    </cfRule>
  </conditionalFormatting>
  <conditionalFormatting sqref="D81:H81">
    <cfRule type="expression" dxfId="646" priority="49">
      <formula>IF($D$75 &gt;3, FALSE, TRUE)</formula>
    </cfRule>
  </conditionalFormatting>
  <conditionalFormatting sqref="D82:H82">
    <cfRule type="expression" dxfId="645" priority="58">
      <formula>IF($D$75 &gt;4, FALSE, TRUE)</formula>
    </cfRule>
  </conditionalFormatting>
  <conditionalFormatting sqref="D83:H83">
    <cfRule type="expression" dxfId="644" priority="54">
      <formula>IF($D$75 &gt;5, FALSE, TRUE)</formula>
    </cfRule>
  </conditionalFormatting>
  <conditionalFormatting sqref="D84:H84">
    <cfRule type="expression" dxfId="643" priority="48">
      <formula>IF($D$75 &gt;6, FALSE, TRUE)</formula>
    </cfRule>
  </conditionalFormatting>
  <conditionalFormatting sqref="D85:H85">
    <cfRule type="expression" dxfId="642" priority="47">
      <formula>IF($D$75 &gt;7, FALSE, TRUE)</formula>
    </cfRule>
  </conditionalFormatting>
  <conditionalFormatting sqref="D86:H86">
    <cfRule type="expression" dxfId="641" priority="46">
      <formula>IF($D$75 &gt;8, FALSE, TRUE)</formula>
    </cfRule>
  </conditionalFormatting>
  <conditionalFormatting sqref="D87:H87">
    <cfRule type="expression" dxfId="640" priority="45">
      <formula>IF($D$75 &gt;9, FALSE, TRUE)</formula>
    </cfRule>
  </conditionalFormatting>
  <conditionalFormatting sqref="D88:H88">
    <cfRule type="expression" dxfId="639" priority="44">
      <formula>IF($D$75 &gt;10, FALSE, TRUE)</formula>
    </cfRule>
  </conditionalFormatting>
  <conditionalFormatting sqref="D89:H89">
    <cfRule type="expression" dxfId="638" priority="43">
      <formula>IF($D$75 &gt;11, FALSE, TRUE)</formula>
    </cfRule>
  </conditionalFormatting>
  <conditionalFormatting sqref="D90:H90">
    <cfRule type="expression" dxfId="637" priority="42">
      <formula>IF($D$75 &gt;12, FALSE, TRUE)</formula>
    </cfRule>
  </conditionalFormatting>
  <conditionalFormatting sqref="D91:H91">
    <cfRule type="expression" dxfId="636" priority="41">
      <formula>IF($D$75 &gt;13, FALSE, TRUE)</formula>
    </cfRule>
  </conditionalFormatting>
  <conditionalFormatting sqref="D92:H92">
    <cfRule type="expression" dxfId="635" priority="40">
      <formula>IF($D$75 &gt;14, FALSE, TRUE)</formula>
    </cfRule>
  </conditionalFormatting>
  <conditionalFormatting sqref="D93:H93">
    <cfRule type="expression" dxfId="634" priority="38">
      <formula>IF($D$75 &gt;15, FALSE, TRUE)</formula>
    </cfRule>
  </conditionalFormatting>
  <conditionalFormatting sqref="E22">
    <cfRule type="expression" dxfId="633" priority="270">
      <formula>NOT($B$22)</formula>
    </cfRule>
  </conditionalFormatting>
  <conditionalFormatting sqref="E23">
    <cfRule type="expression" dxfId="632" priority="269">
      <formula>NOT($B$23)</formula>
    </cfRule>
  </conditionalFormatting>
  <conditionalFormatting sqref="E24">
    <cfRule type="expression" dxfId="631" priority="268">
      <formula>NOT($B$24)</formula>
    </cfRule>
  </conditionalFormatting>
  <conditionalFormatting sqref="E25">
    <cfRule type="expression" dxfId="630" priority="267">
      <formula>NOT($B$25)</formula>
    </cfRule>
  </conditionalFormatting>
  <conditionalFormatting sqref="E26">
    <cfRule type="expression" dxfId="629" priority="263">
      <formula>NOT($B$26)</formula>
    </cfRule>
  </conditionalFormatting>
  <conditionalFormatting sqref="F53:F66">
    <cfRule type="expression" dxfId="628" priority="11">
      <formula>IF($D$48 &gt;1, FALSE, TRUE)</formula>
    </cfRule>
  </conditionalFormatting>
  <conditionalFormatting sqref="F68">
    <cfRule type="expression" dxfId="627" priority="161">
      <formula>IF($F$68 &gt; (1000/$D$47), TRUE, FALSE)</formula>
    </cfRule>
  </conditionalFormatting>
  <conditionalFormatting sqref="F69">
    <cfRule type="expression" dxfId="626" priority="162">
      <formula>IF($F$69&gt;=0, FALSE, TRUE)</formula>
    </cfRule>
  </conditionalFormatting>
  <conditionalFormatting sqref="F79">
    <cfRule type="expression" dxfId="625" priority="7">
      <formula>IF($D$8 = "System Deep Sleep", IF(SelectedDevice = "PSoC 62 (256KB)", FALSE, TRUE), FALSE)</formula>
    </cfRule>
    <cfRule type="expression" dxfId="624" priority="5">
      <formula>OR(NOT($B$71), NOT(SelectedDevice = "PSoC 62 (256KB)"))</formula>
    </cfRule>
  </conditionalFormatting>
  <conditionalFormatting sqref="F81:F93">
    <cfRule type="expression" dxfId="623" priority="4">
      <formula>IF($D$75 &gt;2, FALSE, TRUE)</formula>
    </cfRule>
  </conditionalFormatting>
  <conditionalFormatting sqref="F85">
    <cfRule type="expression" dxfId="622" priority="3">
      <formula>IF($D$75 &gt;6, FALSE, TRUE)</formula>
    </cfRule>
  </conditionalFormatting>
  <conditionalFormatting sqref="F95">
    <cfRule type="expression" dxfId="621" priority="56">
      <formula>IF($F$68 &gt; (1000/$D$47), TRUE, FALSE)</formula>
    </cfRule>
  </conditionalFormatting>
  <conditionalFormatting sqref="F96">
    <cfRule type="expression" dxfId="620" priority="12">
      <formula>IF($F$96&gt;=0, FALSE, TRUE)</formula>
    </cfRule>
  </conditionalFormatting>
  <conditionalFormatting sqref="G51">
    <cfRule type="expression" dxfId="619" priority="156">
      <formula>IF($G$51 = 0, TRUE, FALSE)</formula>
    </cfRule>
  </conditionalFormatting>
  <conditionalFormatting sqref="G52">
    <cfRule type="expression" dxfId="618" priority="178">
      <formula>IF($G$52 = 0, TRUE, FALSE)</formula>
    </cfRule>
  </conditionalFormatting>
  <conditionalFormatting sqref="G53">
    <cfRule type="expression" dxfId="617" priority="177">
      <formula>IF($G$53 = 0, TRUE, FALSE)</formula>
    </cfRule>
  </conditionalFormatting>
  <conditionalFormatting sqref="G54">
    <cfRule type="expression" dxfId="616" priority="176">
      <formula>IF($G$54 = 0, TRUE, FALSE)</formula>
    </cfRule>
  </conditionalFormatting>
  <conditionalFormatting sqref="G55">
    <cfRule type="expression" dxfId="615" priority="175">
      <formula>IF($G$55 = 0, TRUE, FALSE)</formula>
    </cfRule>
  </conditionalFormatting>
  <conditionalFormatting sqref="G56">
    <cfRule type="expression" dxfId="614" priority="174">
      <formula>IF($G$56 = 0, TRUE, FALSE)</formula>
    </cfRule>
  </conditionalFormatting>
  <conditionalFormatting sqref="G57">
    <cfRule type="expression" dxfId="613" priority="173">
      <formula>IF($G$57 = 0, TRUE, FALSE)</formula>
    </cfRule>
  </conditionalFormatting>
  <conditionalFormatting sqref="G58">
    <cfRule type="expression" dxfId="612" priority="172">
      <formula>IF($G$58 = 0, TRUE, FALSE)</formula>
    </cfRule>
  </conditionalFormatting>
  <conditionalFormatting sqref="G59">
    <cfRule type="expression" dxfId="611" priority="171">
      <formula>IF($G$59 = 0, TRUE, FALSE)</formula>
    </cfRule>
  </conditionalFormatting>
  <conditionalFormatting sqref="G60">
    <cfRule type="expression" dxfId="610" priority="170">
      <formula>IF($G$60 = 0, TRUE, FALSE)</formula>
    </cfRule>
  </conditionalFormatting>
  <conditionalFormatting sqref="G61">
    <cfRule type="expression" dxfId="609" priority="169">
      <formula>IF($G$61 = 0, TRUE, FALSE)</formula>
    </cfRule>
  </conditionalFormatting>
  <conditionalFormatting sqref="G62">
    <cfRule type="expression" dxfId="608" priority="168">
      <formula>IF($G$62 = 0, TRUE, FALSE)</formula>
    </cfRule>
  </conditionalFormatting>
  <conditionalFormatting sqref="G63">
    <cfRule type="expression" dxfId="607" priority="167">
      <formula>IF($G$63 = 0, TRUE, FALSE)</formula>
    </cfRule>
  </conditionalFormatting>
  <conditionalFormatting sqref="G64">
    <cfRule type="expression" dxfId="606" priority="166">
      <formula>IF($G$64 = 0, TRUE, FALSE)</formula>
    </cfRule>
  </conditionalFormatting>
  <conditionalFormatting sqref="G65">
    <cfRule type="expression" dxfId="605" priority="165">
      <formula>IF($G$65 = 0, TRUE, FALSE)</formula>
    </cfRule>
  </conditionalFormatting>
  <conditionalFormatting sqref="G66">
    <cfRule type="expression" dxfId="604" priority="127">
      <formula>IF($G$66 = 0, TRUE, FALSE)</formula>
    </cfRule>
  </conditionalFormatting>
  <conditionalFormatting sqref="G78">
    <cfRule type="expression" dxfId="603" priority="52">
      <formula>IF($G$51 = 0, TRUE, FALSE)</formula>
    </cfRule>
  </conditionalFormatting>
  <conditionalFormatting sqref="G79">
    <cfRule type="expression" dxfId="602" priority="72">
      <formula>IF($G$52 = 0, TRUE, FALSE)</formula>
    </cfRule>
  </conditionalFormatting>
  <conditionalFormatting sqref="G80">
    <cfRule type="expression" dxfId="601" priority="71">
      <formula>IF($G$53 = 0, TRUE, FALSE)</formula>
    </cfRule>
  </conditionalFormatting>
  <conditionalFormatting sqref="G81">
    <cfRule type="expression" dxfId="600" priority="70">
      <formula>IF($G$54 = 0, TRUE, FALSE)</formula>
    </cfRule>
  </conditionalFormatting>
  <conditionalFormatting sqref="G82">
    <cfRule type="expression" dxfId="599" priority="69">
      <formula>IF($G$55 = 0, TRUE, FALSE)</formula>
    </cfRule>
  </conditionalFormatting>
  <conditionalFormatting sqref="G83">
    <cfRule type="expression" dxfId="598" priority="68">
      <formula>IF($G$56 = 0, TRUE, FALSE)</formula>
    </cfRule>
  </conditionalFormatting>
  <conditionalFormatting sqref="G84">
    <cfRule type="expression" dxfId="597" priority="67">
      <formula>IF($G$57 = 0, TRUE, FALSE)</formula>
    </cfRule>
  </conditionalFormatting>
  <conditionalFormatting sqref="G85">
    <cfRule type="expression" dxfId="596" priority="66">
      <formula>IF($G$58 = 0, TRUE, FALSE)</formula>
    </cfRule>
  </conditionalFormatting>
  <conditionalFormatting sqref="G86">
    <cfRule type="expression" dxfId="595" priority="65">
      <formula>IF($G$59 = 0, TRUE, FALSE)</formula>
    </cfRule>
  </conditionalFormatting>
  <conditionalFormatting sqref="G87">
    <cfRule type="expression" dxfId="594" priority="64">
      <formula>IF($G$60 = 0, TRUE, FALSE)</formula>
    </cfRule>
  </conditionalFormatting>
  <conditionalFormatting sqref="G88">
    <cfRule type="expression" dxfId="593" priority="63">
      <formula>IF($G$61 = 0, TRUE, FALSE)</formula>
    </cfRule>
  </conditionalFormatting>
  <conditionalFormatting sqref="G89">
    <cfRule type="expression" dxfId="592" priority="62">
      <formula>IF($G$62 = 0, TRUE, FALSE)</formula>
    </cfRule>
  </conditionalFormatting>
  <conditionalFormatting sqref="G90">
    <cfRule type="expression" dxfId="591" priority="61">
      <formula>IF($G$63 = 0, TRUE, FALSE)</formula>
    </cfRule>
  </conditionalFormatting>
  <conditionalFormatting sqref="G91">
    <cfRule type="expression" dxfId="590" priority="60">
      <formula>IF($G$64 = 0, TRUE, FALSE)</formula>
    </cfRule>
  </conditionalFormatting>
  <conditionalFormatting sqref="G92">
    <cfRule type="expression" dxfId="589" priority="59">
      <formula>IF($G$65 = 0, TRUE, FALSE)</formula>
    </cfRule>
  </conditionalFormatting>
  <conditionalFormatting sqref="G93">
    <cfRule type="expression" dxfId="588" priority="39">
      <formula>IF($G$66 = 0, TRUE, FALSE)</formula>
    </cfRule>
  </conditionalFormatting>
  <dataValidations count="24">
    <dataValidation type="decimal" allowBlank="1" showInputMessage="1" showErrorMessage="1" sqref="D219:D220" xr:uid="{A67B930C-2EA3-4D34-B4F0-28D749E6AEDE}">
      <formula1>0</formula1>
      <formula2>8</formula2>
    </dataValidation>
    <dataValidation type="decimal" allowBlank="1" showInputMessage="1" showErrorMessage="1" sqref="D218 D36 D216 D111 D113 D213" xr:uid="{673C96CA-6E69-4877-9D93-3662073CA612}">
      <formula1>0</formula1>
      <formula2>24</formula2>
    </dataValidation>
    <dataValidation type="decimal" allowBlank="1" showInputMessage="1" showErrorMessage="1" sqref="D182 D37" xr:uid="{B445BF2F-2066-48F1-B281-A8FF1E6D2C6D}">
      <formula1>0</formula1>
      <formula2>48</formula2>
    </dataValidation>
    <dataValidation type="list" allowBlank="1" showInputMessage="1" showErrorMessage="1" sqref="D32:D34" xr:uid="{4C6AE002-F6F1-4D58-B07C-82F582D9779E}">
      <formula1>"Enabled,Disabled"</formula1>
    </dataValidation>
    <dataValidation type="decimal" allowBlank="1" showInputMessage="1" showErrorMessage="1" sqref="D109" xr:uid="{3E6040E9-1877-4B55-9A88-14AE40169998}">
      <formula1>0</formula1>
      <formula2>4</formula2>
    </dataValidation>
    <dataValidation type="decimal" allowBlank="1" showInputMessage="1" showErrorMessage="1" sqref="D13 D28:D29 D119 D121 D123 D125 D127 D129 D131 D133 D135 D137 D139 D141 D143 D145 D147 D149 D151 D153 D155 D157 D159 D161 D163 D165 D167 D169 D171 D173 D175 D177 D179 D181" xr:uid="{45399228-174B-4662-BD3D-681F7FA19C45}">
      <formula1>0</formula1>
      <formula2>100</formula2>
    </dataValidation>
    <dataValidation type="decimal" allowBlank="1" showInputMessage="1" showErrorMessage="1" sqref="D15 D18" xr:uid="{C6EA97E9-A502-42A9-9809-0F67870BE21A}">
      <formula1>22</formula1>
      <formula2>112</formula2>
    </dataValidation>
    <dataValidation type="decimal" allowBlank="1" showInputMessage="1" showErrorMessage="1" sqref="D14 D17 D27" xr:uid="{38448E42-159C-4D4B-A074-7E0A4B024B27}">
      <formula1>0</formula1>
      <formula2>150</formula2>
    </dataValidation>
    <dataValidation type="decimal" allowBlank="1" showInputMessage="1" showErrorMessage="1" sqref="D16 D19" xr:uid="{1AF8957D-7D9F-4E21-853E-653F825B1B8B}">
      <formula1>1</formula1>
      <formula2>18</formula2>
    </dataValidation>
    <dataValidation type="decimal" allowBlank="1" showInputMessage="1" showErrorMessage="1" promptTitle="Select the PSoC family." sqref="D5" xr:uid="{E912A079-B666-48FF-93B5-C02AB8CEB93D}">
      <formula1>1.7</formula1>
      <formula2>3.6</formula2>
    </dataValidation>
    <dataValidation type="list" allowBlank="1" showInputMessage="1" showErrorMessage="1" sqref="E21:E26" xr:uid="{085D9D98-B479-447C-AA7B-83FF753E0528}">
      <formula1>"FLL, PLL, IMO, ECO"</formula1>
    </dataValidation>
    <dataValidation type="list" allowBlank="1" showInputMessage="1" showErrorMessage="1" sqref="D21:D26" xr:uid="{29BB15CE-A87E-4E71-9D57-2D7B95F9313A}">
      <formula1>Dividers</formula1>
    </dataValidation>
    <dataValidation type="list" allowBlank="1" showInputMessage="1" showErrorMessage="1" promptTitle="Select the PSoC family." sqref="D7" xr:uid="{EC509EC1-5B13-4923-BF46-05724C27B983}">
      <formula1>"0.9,1.1"</formula1>
    </dataValidation>
    <dataValidation type="decimal" allowBlank="1" showInputMessage="1" showErrorMessage="1" sqref="D35" xr:uid="{93162364-8454-4435-B86E-EC54350CD5EA}">
      <formula1>4</formula1>
      <formula2>35</formula2>
    </dataValidation>
    <dataValidation type="decimal" allowBlank="1" showInputMessage="1" showErrorMessage="1" sqref="D207 D198 D201 D204 D195 D186 D189 D192 D210" xr:uid="{1F3B1B9B-A8DB-4665-B62B-AAA64C8AC64A}">
      <formula1>0</formula1>
      <formula2>100000</formula2>
    </dataValidation>
    <dataValidation type="list" allowBlank="1" showInputMessage="1" showErrorMessage="1" sqref="D214" xr:uid="{F3DC3A5F-7AE3-4B4B-AED5-AD2565B0997E}">
      <formula1>"Yes,No"</formula1>
    </dataValidation>
    <dataValidation type="decimal" allowBlank="1" showInputMessage="1" showErrorMessage="1" sqref="D42" xr:uid="{73F5D2FE-6E8E-45D3-BFFB-4CDE10A12D4D}">
      <formula1>1</formula1>
      <formula2>256</formula2>
    </dataValidation>
    <dataValidation type="decimal" allowBlank="1" showInputMessage="1" showErrorMessage="1" sqref="D41" xr:uid="{E90614B9-869F-46B1-9D46-67AED5B43214}">
      <formula1>0</formula1>
      <formula2>127.5</formula2>
    </dataValidation>
    <dataValidation type="list" allowBlank="1" showInputMessage="1" showErrorMessage="1" sqref="D40 E51:E66 E78:E93 E97" xr:uid="{5FDF1C59-384B-4D51-BEF5-873FA1A59D71}">
      <formula1>"Enabled, Disabled"</formula1>
    </dataValidation>
    <dataValidation type="list" allowBlank="1" showInputMessage="1" showErrorMessage="1" sqref="D45 D72" xr:uid="{6A453037-CE0F-4A34-95FA-C0B251EBA0F5}">
      <formula1>"System bandgap, Vdda, Vdda/2"</formula1>
    </dataValidation>
    <dataValidation type="decimal" allowBlank="1" showInputMessage="1" showErrorMessage="1" sqref="D48 D75" xr:uid="{A39E5B2A-FD14-4876-AACD-624D26654F8B}">
      <formula1>1</formula1>
      <formula2>16</formula2>
    </dataValidation>
    <dataValidation type="decimal" allowBlank="1" showInputMessage="1" showErrorMessage="1" sqref="C52:C66 C79:C93 C97" xr:uid="{11C4C354-7C34-4747-AA80-B1B9BF113AF7}">
      <formula1>0</formula1>
      <formula2>1000</formula2>
    </dataValidation>
    <dataValidation type="list" allowBlank="1" showInputMessage="1" showErrorMessage="1" sqref="D101 D103" xr:uid="{4166D2C5-2357-4BA9-921C-556EC7CA6A1C}">
      <formula1>"High, Medium, Low, Off"</formula1>
    </dataValidation>
    <dataValidation type="list" allowBlank="1" showInputMessage="1" showErrorMessage="1" sqref="D98" xr:uid="{A7EEF514-4D08-4D8E-A86E-CFEDC78577EB}">
      <formula1>"100nA, 1uA"</formula1>
    </dataValidation>
  </dataValidations>
  <hyperlinks>
    <hyperlink ref="K2" location="Summary!A1" display="Go Back to Summary Page" xr:uid="{00000000-0004-0000-0200-000000000000}"/>
  </hyperlinks>
  <pageMargins left="0.75" right="0.75" top="1" bottom="1" header="0.5" footer="0.5"/>
  <pageSetup scale="5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59" r:id="rId4" name="Check Box 47">
              <controlPr locked="0" defaultSize="0" autoFill="0" autoLine="0" autoPict="0">
                <anchor moveWithCells="1">
                  <from>
                    <xdr:col>1</xdr:col>
                    <xdr:colOff>22860</xdr:colOff>
                    <xdr:row>11</xdr:row>
                    <xdr:rowOff>144780</xdr:rowOff>
                  </from>
                  <to>
                    <xdr:col>2</xdr:col>
                    <xdr:colOff>525780</xdr:colOff>
                    <xdr:row>13</xdr:row>
                    <xdr:rowOff>22860</xdr:rowOff>
                  </to>
                </anchor>
              </controlPr>
            </control>
          </mc:Choice>
        </mc:AlternateContent>
        <mc:AlternateContent xmlns:mc="http://schemas.openxmlformats.org/markup-compatibility/2006">
          <mc:Choice Requires="x14">
            <control shapeId="13361" r:id="rId5" name="Check Box 49">
              <controlPr locked="0" defaultSize="0" autoFill="0" autoLine="0" autoPict="0">
                <anchor moveWithCells="1">
                  <from>
                    <xdr:col>1</xdr:col>
                    <xdr:colOff>22860</xdr:colOff>
                    <xdr:row>12</xdr:row>
                    <xdr:rowOff>152400</xdr:rowOff>
                  </from>
                  <to>
                    <xdr:col>2</xdr:col>
                    <xdr:colOff>525780</xdr:colOff>
                    <xdr:row>14</xdr:row>
                    <xdr:rowOff>22860</xdr:rowOff>
                  </to>
                </anchor>
              </controlPr>
            </control>
          </mc:Choice>
        </mc:AlternateContent>
        <mc:AlternateContent xmlns:mc="http://schemas.openxmlformats.org/markup-compatibility/2006">
          <mc:Choice Requires="x14">
            <control shapeId="13362" r:id="rId6" name="Check Box 50">
              <controlPr locked="0" defaultSize="0" autoFill="0" autoLine="0" autoPict="0">
                <anchor moveWithCells="1">
                  <from>
                    <xdr:col>1</xdr:col>
                    <xdr:colOff>22860</xdr:colOff>
                    <xdr:row>15</xdr:row>
                    <xdr:rowOff>144780</xdr:rowOff>
                  </from>
                  <to>
                    <xdr:col>2</xdr:col>
                    <xdr:colOff>525780</xdr:colOff>
                    <xdr:row>17</xdr:row>
                    <xdr:rowOff>22860</xdr:rowOff>
                  </to>
                </anchor>
              </controlPr>
            </control>
          </mc:Choice>
        </mc:AlternateContent>
        <mc:AlternateContent xmlns:mc="http://schemas.openxmlformats.org/markup-compatibility/2006">
          <mc:Choice Requires="x14">
            <control shapeId="13365" r:id="rId7" name="Check Box 53">
              <controlPr locked="0" defaultSize="0" autoFill="0" autoLine="0" autoPict="0">
                <anchor moveWithCells="1">
                  <from>
                    <xdr:col>1</xdr:col>
                    <xdr:colOff>22860</xdr:colOff>
                    <xdr:row>20</xdr:row>
                    <xdr:rowOff>144780</xdr:rowOff>
                  </from>
                  <to>
                    <xdr:col>2</xdr:col>
                    <xdr:colOff>525780</xdr:colOff>
                    <xdr:row>22</xdr:row>
                    <xdr:rowOff>22860</xdr:rowOff>
                  </to>
                </anchor>
              </controlPr>
            </control>
          </mc:Choice>
        </mc:AlternateContent>
        <mc:AlternateContent xmlns:mc="http://schemas.openxmlformats.org/markup-compatibility/2006">
          <mc:Choice Requires="x14">
            <control shapeId="13366" r:id="rId8" name="Check Box 54">
              <controlPr locked="0" defaultSize="0" autoFill="0" autoLine="0" autoPict="0">
                <anchor moveWithCells="1">
                  <from>
                    <xdr:col>1</xdr:col>
                    <xdr:colOff>22860</xdr:colOff>
                    <xdr:row>21</xdr:row>
                    <xdr:rowOff>144780</xdr:rowOff>
                  </from>
                  <to>
                    <xdr:col>2</xdr:col>
                    <xdr:colOff>525780</xdr:colOff>
                    <xdr:row>23</xdr:row>
                    <xdr:rowOff>22860</xdr:rowOff>
                  </to>
                </anchor>
              </controlPr>
            </control>
          </mc:Choice>
        </mc:AlternateContent>
        <mc:AlternateContent xmlns:mc="http://schemas.openxmlformats.org/markup-compatibility/2006">
          <mc:Choice Requires="x14">
            <control shapeId="13367" r:id="rId9" name="Check Box 55">
              <controlPr locked="0" defaultSize="0" autoFill="0" autoLine="0" autoPict="0">
                <anchor moveWithCells="1">
                  <from>
                    <xdr:col>1</xdr:col>
                    <xdr:colOff>22860</xdr:colOff>
                    <xdr:row>22</xdr:row>
                    <xdr:rowOff>144780</xdr:rowOff>
                  </from>
                  <to>
                    <xdr:col>2</xdr:col>
                    <xdr:colOff>525780</xdr:colOff>
                    <xdr:row>24</xdr:row>
                    <xdr:rowOff>22860</xdr:rowOff>
                  </to>
                </anchor>
              </controlPr>
            </control>
          </mc:Choice>
        </mc:AlternateContent>
        <mc:AlternateContent xmlns:mc="http://schemas.openxmlformats.org/markup-compatibility/2006">
          <mc:Choice Requires="x14">
            <control shapeId="13368" r:id="rId10" name="Check Box 56">
              <controlPr locked="0" defaultSize="0" autoFill="0" autoLine="0" autoPict="0">
                <anchor moveWithCells="1">
                  <from>
                    <xdr:col>1</xdr:col>
                    <xdr:colOff>22860</xdr:colOff>
                    <xdr:row>23</xdr:row>
                    <xdr:rowOff>144780</xdr:rowOff>
                  </from>
                  <to>
                    <xdr:col>2</xdr:col>
                    <xdr:colOff>525780</xdr:colOff>
                    <xdr:row>25</xdr:row>
                    <xdr:rowOff>22860</xdr:rowOff>
                  </to>
                </anchor>
              </controlPr>
            </control>
          </mc:Choice>
        </mc:AlternateContent>
        <mc:AlternateContent xmlns:mc="http://schemas.openxmlformats.org/markup-compatibility/2006">
          <mc:Choice Requires="x14">
            <control shapeId="13369" r:id="rId11" name="Check Box 57">
              <controlPr locked="0" defaultSize="0" autoFill="0" autoLine="0" autoPict="0">
                <anchor moveWithCells="1">
                  <from>
                    <xdr:col>1</xdr:col>
                    <xdr:colOff>22860</xdr:colOff>
                    <xdr:row>24</xdr:row>
                    <xdr:rowOff>137160</xdr:rowOff>
                  </from>
                  <to>
                    <xdr:col>1</xdr:col>
                    <xdr:colOff>213360</xdr:colOff>
                    <xdr:row>26</xdr:row>
                    <xdr:rowOff>22860</xdr:rowOff>
                  </to>
                </anchor>
              </controlPr>
            </control>
          </mc:Choice>
        </mc:AlternateContent>
        <mc:AlternateContent xmlns:mc="http://schemas.openxmlformats.org/markup-compatibility/2006">
          <mc:Choice Requires="x14">
            <control shapeId="13381" r:id="rId12" name="Check Box 69">
              <controlPr locked="0" defaultSize="0" autoFill="0" autoLine="0" autoPict="0">
                <anchor moveWithCells="1">
                  <from>
                    <xdr:col>1</xdr:col>
                    <xdr:colOff>22860</xdr:colOff>
                    <xdr:row>116</xdr:row>
                    <xdr:rowOff>152400</xdr:rowOff>
                  </from>
                  <to>
                    <xdr:col>2</xdr:col>
                    <xdr:colOff>525780</xdr:colOff>
                    <xdr:row>118</xdr:row>
                    <xdr:rowOff>22860</xdr:rowOff>
                  </to>
                </anchor>
              </controlPr>
            </control>
          </mc:Choice>
        </mc:AlternateContent>
        <mc:AlternateContent xmlns:mc="http://schemas.openxmlformats.org/markup-compatibility/2006">
          <mc:Choice Requires="x14">
            <control shapeId="13383" r:id="rId13" name="Check Box 71">
              <controlPr locked="0" defaultSize="0" autoFill="0" autoLine="0" autoPict="0">
                <anchor moveWithCells="1">
                  <from>
                    <xdr:col>1</xdr:col>
                    <xdr:colOff>22860</xdr:colOff>
                    <xdr:row>118</xdr:row>
                    <xdr:rowOff>144780</xdr:rowOff>
                  </from>
                  <to>
                    <xdr:col>2</xdr:col>
                    <xdr:colOff>525780</xdr:colOff>
                    <xdr:row>120</xdr:row>
                    <xdr:rowOff>22860</xdr:rowOff>
                  </to>
                </anchor>
              </controlPr>
            </control>
          </mc:Choice>
        </mc:AlternateContent>
        <mc:AlternateContent xmlns:mc="http://schemas.openxmlformats.org/markup-compatibility/2006">
          <mc:Choice Requires="x14">
            <control shapeId="13456" r:id="rId14" name="Check Box 144">
              <controlPr locked="0" defaultSize="0" autoFill="0" autoLine="0" autoPict="0">
                <anchor moveWithCells="1">
                  <from>
                    <xdr:col>1</xdr:col>
                    <xdr:colOff>22860</xdr:colOff>
                    <xdr:row>33</xdr:row>
                    <xdr:rowOff>137160</xdr:rowOff>
                  </from>
                  <to>
                    <xdr:col>2</xdr:col>
                    <xdr:colOff>0</xdr:colOff>
                    <xdr:row>35</xdr:row>
                    <xdr:rowOff>22860</xdr:rowOff>
                  </to>
                </anchor>
              </controlPr>
            </control>
          </mc:Choice>
        </mc:AlternateContent>
        <mc:AlternateContent xmlns:mc="http://schemas.openxmlformats.org/markup-compatibility/2006">
          <mc:Choice Requires="x14">
            <control shapeId="13482" r:id="rId15" name="Check Box 170">
              <controlPr locked="0" defaultSize="0" autoFill="0" autoLine="0" autoPict="0">
                <anchor moveWithCells="1">
                  <from>
                    <xdr:col>1</xdr:col>
                    <xdr:colOff>22860</xdr:colOff>
                    <xdr:row>120</xdr:row>
                    <xdr:rowOff>152400</xdr:rowOff>
                  </from>
                  <to>
                    <xdr:col>2</xdr:col>
                    <xdr:colOff>525780</xdr:colOff>
                    <xdr:row>122</xdr:row>
                    <xdr:rowOff>22860</xdr:rowOff>
                  </to>
                </anchor>
              </controlPr>
            </control>
          </mc:Choice>
        </mc:AlternateContent>
        <mc:AlternateContent xmlns:mc="http://schemas.openxmlformats.org/markup-compatibility/2006">
          <mc:Choice Requires="x14">
            <control shapeId="13483" r:id="rId16" name="Check Box 171">
              <controlPr locked="0" defaultSize="0" autoFill="0" autoLine="0" autoPict="0">
                <anchor moveWithCells="1">
                  <from>
                    <xdr:col>1</xdr:col>
                    <xdr:colOff>22860</xdr:colOff>
                    <xdr:row>122</xdr:row>
                    <xdr:rowOff>144780</xdr:rowOff>
                  </from>
                  <to>
                    <xdr:col>2</xdr:col>
                    <xdr:colOff>525780</xdr:colOff>
                    <xdr:row>124</xdr:row>
                    <xdr:rowOff>22860</xdr:rowOff>
                  </to>
                </anchor>
              </controlPr>
            </control>
          </mc:Choice>
        </mc:AlternateContent>
        <mc:AlternateContent xmlns:mc="http://schemas.openxmlformats.org/markup-compatibility/2006">
          <mc:Choice Requires="x14">
            <control shapeId="13484" r:id="rId17" name="Check Box 172">
              <controlPr locked="0" defaultSize="0" autoFill="0" autoLine="0" autoPict="0">
                <anchor moveWithCells="1">
                  <from>
                    <xdr:col>1</xdr:col>
                    <xdr:colOff>22860</xdr:colOff>
                    <xdr:row>124</xdr:row>
                    <xdr:rowOff>152400</xdr:rowOff>
                  </from>
                  <to>
                    <xdr:col>2</xdr:col>
                    <xdr:colOff>525780</xdr:colOff>
                    <xdr:row>126</xdr:row>
                    <xdr:rowOff>22860</xdr:rowOff>
                  </to>
                </anchor>
              </controlPr>
            </control>
          </mc:Choice>
        </mc:AlternateContent>
        <mc:AlternateContent xmlns:mc="http://schemas.openxmlformats.org/markup-compatibility/2006">
          <mc:Choice Requires="x14">
            <control shapeId="13485" r:id="rId18" name="Check Box 173">
              <controlPr locked="0" defaultSize="0" autoFill="0" autoLine="0" autoPict="0">
                <anchor moveWithCells="1">
                  <from>
                    <xdr:col>1</xdr:col>
                    <xdr:colOff>22860</xdr:colOff>
                    <xdr:row>126</xdr:row>
                    <xdr:rowOff>144780</xdr:rowOff>
                  </from>
                  <to>
                    <xdr:col>2</xdr:col>
                    <xdr:colOff>525780</xdr:colOff>
                    <xdr:row>128</xdr:row>
                    <xdr:rowOff>22860</xdr:rowOff>
                  </to>
                </anchor>
              </controlPr>
            </control>
          </mc:Choice>
        </mc:AlternateContent>
        <mc:AlternateContent xmlns:mc="http://schemas.openxmlformats.org/markup-compatibility/2006">
          <mc:Choice Requires="x14">
            <control shapeId="13486" r:id="rId19" name="Check Box 174">
              <controlPr locked="0" defaultSize="0" autoFill="0" autoLine="0" autoPict="0">
                <anchor moveWithCells="1">
                  <from>
                    <xdr:col>1</xdr:col>
                    <xdr:colOff>22860</xdr:colOff>
                    <xdr:row>128</xdr:row>
                    <xdr:rowOff>152400</xdr:rowOff>
                  </from>
                  <to>
                    <xdr:col>2</xdr:col>
                    <xdr:colOff>525780</xdr:colOff>
                    <xdr:row>130</xdr:row>
                    <xdr:rowOff>22860</xdr:rowOff>
                  </to>
                </anchor>
              </controlPr>
            </control>
          </mc:Choice>
        </mc:AlternateContent>
        <mc:AlternateContent xmlns:mc="http://schemas.openxmlformats.org/markup-compatibility/2006">
          <mc:Choice Requires="x14">
            <control shapeId="13487" r:id="rId20" name="Check Box 175">
              <controlPr locked="0" defaultSize="0" autoFill="0" autoLine="0" autoPict="0">
                <anchor moveWithCells="1">
                  <from>
                    <xdr:col>1</xdr:col>
                    <xdr:colOff>22860</xdr:colOff>
                    <xdr:row>130</xdr:row>
                    <xdr:rowOff>144780</xdr:rowOff>
                  </from>
                  <to>
                    <xdr:col>2</xdr:col>
                    <xdr:colOff>525780</xdr:colOff>
                    <xdr:row>132</xdr:row>
                    <xdr:rowOff>22860</xdr:rowOff>
                  </to>
                </anchor>
              </controlPr>
            </control>
          </mc:Choice>
        </mc:AlternateContent>
        <mc:AlternateContent xmlns:mc="http://schemas.openxmlformats.org/markup-compatibility/2006">
          <mc:Choice Requires="x14">
            <control shapeId="13490" r:id="rId21" name="Check Box 178">
              <controlPr locked="0" defaultSize="0" autoFill="0" autoLine="0" autoPict="0">
                <anchor moveWithCells="1">
                  <from>
                    <xdr:col>1</xdr:col>
                    <xdr:colOff>22860</xdr:colOff>
                    <xdr:row>132</xdr:row>
                    <xdr:rowOff>152400</xdr:rowOff>
                  </from>
                  <to>
                    <xdr:col>2</xdr:col>
                    <xdr:colOff>525780</xdr:colOff>
                    <xdr:row>182</xdr:row>
                    <xdr:rowOff>22860</xdr:rowOff>
                  </to>
                </anchor>
              </controlPr>
            </control>
          </mc:Choice>
        </mc:AlternateContent>
        <mc:AlternateContent xmlns:mc="http://schemas.openxmlformats.org/markup-compatibility/2006">
          <mc:Choice Requires="x14">
            <control shapeId="13491" r:id="rId22" name="Check Box 179">
              <controlPr locked="0" defaultSize="0" autoFill="0" autoLine="0" autoPict="0">
                <anchor moveWithCells="1">
                  <from>
                    <xdr:col>1</xdr:col>
                    <xdr:colOff>22860</xdr:colOff>
                    <xdr:row>134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492" r:id="rId23" name="Check Box 180">
              <controlPr locked="0" defaultSize="0" autoFill="0" autoLine="0" autoPict="0">
                <anchor moveWithCells="1">
                  <from>
                    <xdr:col>1</xdr:col>
                    <xdr:colOff>22860</xdr:colOff>
                    <xdr:row>136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493" r:id="rId24" name="Check Box 181">
              <controlPr locked="0" defaultSize="0" autoFill="0" autoLine="0" autoPict="0">
                <anchor moveWithCells="1">
                  <from>
                    <xdr:col>1</xdr:col>
                    <xdr:colOff>22860</xdr:colOff>
                    <xdr:row>138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494" r:id="rId25" name="Check Box 182">
              <controlPr locked="0" defaultSize="0" autoFill="0" autoLine="0" autoPict="0">
                <anchor moveWithCells="1">
                  <from>
                    <xdr:col>1</xdr:col>
                    <xdr:colOff>22860</xdr:colOff>
                    <xdr:row>140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495" r:id="rId26" name="Check Box 183">
              <controlPr locked="0" defaultSize="0" autoFill="0" autoLine="0" autoPict="0">
                <anchor moveWithCells="1">
                  <from>
                    <xdr:col>1</xdr:col>
                    <xdr:colOff>22860</xdr:colOff>
                    <xdr:row>142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496" r:id="rId27" name="Check Box 184">
              <controlPr locked="0" defaultSize="0" autoFill="0" autoLine="0" autoPict="0">
                <anchor moveWithCells="1">
                  <from>
                    <xdr:col>1</xdr:col>
                    <xdr:colOff>22860</xdr:colOff>
                    <xdr:row>144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497" r:id="rId28" name="Check Box 185">
              <controlPr locked="0" defaultSize="0" autoFill="0" autoLine="0" autoPict="0">
                <anchor moveWithCells="1">
                  <from>
                    <xdr:col>1</xdr:col>
                    <xdr:colOff>22860</xdr:colOff>
                    <xdr:row>146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498" r:id="rId29" name="Check Box 186">
              <controlPr locked="0" defaultSize="0" autoFill="0" autoLine="0" autoPict="0">
                <anchor moveWithCells="1">
                  <from>
                    <xdr:col>1</xdr:col>
                    <xdr:colOff>22860</xdr:colOff>
                    <xdr:row>148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499" r:id="rId30" name="Check Box 187">
              <controlPr locked="0" defaultSize="0" autoFill="0" autoLine="0" autoPict="0">
                <anchor moveWithCells="1">
                  <from>
                    <xdr:col>1</xdr:col>
                    <xdr:colOff>22860</xdr:colOff>
                    <xdr:row>150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00" r:id="rId31" name="Check Box 188">
              <controlPr locked="0" defaultSize="0" autoFill="0" autoLine="0" autoPict="0">
                <anchor moveWithCells="1">
                  <from>
                    <xdr:col>1</xdr:col>
                    <xdr:colOff>22860</xdr:colOff>
                    <xdr:row>152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01" r:id="rId32" name="Check Box 189">
              <controlPr locked="0" defaultSize="0" autoFill="0" autoLine="0" autoPict="0">
                <anchor moveWithCells="1">
                  <from>
                    <xdr:col>1</xdr:col>
                    <xdr:colOff>22860</xdr:colOff>
                    <xdr:row>154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02" r:id="rId33" name="Check Box 190">
              <controlPr locked="0" defaultSize="0" autoFill="0" autoLine="0" autoPict="0">
                <anchor moveWithCells="1">
                  <from>
                    <xdr:col>1</xdr:col>
                    <xdr:colOff>22860</xdr:colOff>
                    <xdr:row>156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03" r:id="rId34" name="Check Box 191">
              <controlPr locked="0" defaultSize="0" autoFill="0" autoLine="0" autoPict="0">
                <anchor moveWithCells="1">
                  <from>
                    <xdr:col>1</xdr:col>
                    <xdr:colOff>22860</xdr:colOff>
                    <xdr:row>158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04" r:id="rId35" name="Check Box 192">
              <controlPr locked="0" defaultSize="0" autoFill="0" autoLine="0" autoPict="0">
                <anchor moveWithCells="1">
                  <from>
                    <xdr:col>1</xdr:col>
                    <xdr:colOff>22860</xdr:colOff>
                    <xdr:row>160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05" r:id="rId36" name="Check Box 193">
              <controlPr locked="0" defaultSize="0" autoFill="0" autoLine="0" autoPict="0">
                <anchor moveWithCells="1">
                  <from>
                    <xdr:col>1</xdr:col>
                    <xdr:colOff>22860</xdr:colOff>
                    <xdr:row>162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06" r:id="rId37" name="Check Box 194">
              <controlPr locked="0" defaultSize="0" autoFill="0" autoLine="0" autoPict="0">
                <anchor moveWithCells="1">
                  <from>
                    <xdr:col>1</xdr:col>
                    <xdr:colOff>22860</xdr:colOff>
                    <xdr:row>164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07" r:id="rId38" name="Check Box 195">
              <controlPr locked="0" defaultSize="0" autoFill="0" autoLine="0" autoPict="0">
                <anchor moveWithCells="1">
                  <from>
                    <xdr:col>1</xdr:col>
                    <xdr:colOff>22860</xdr:colOff>
                    <xdr:row>166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08" r:id="rId39" name="Check Box 196">
              <controlPr locked="0" defaultSize="0" autoFill="0" autoLine="0" autoPict="0">
                <anchor moveWithCells="1">
                  <from>
                    <xdr:col>1</xdr:col>
                    <xdr:colOff>22860</xdr:colOff>
                    <xdr:row>168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09" r:id="rId40" name="Check Box 197">
              <controlPr locked="0" defaultSize="0" autoFill="0" autoLine="0" autoPict="0">
                <anchor moveWithCells="1">
                  <from>
                    <xdr:col>1</xdr:col>
                    <xdr:colOff>22860</xdr:colOff>
                    <xdr:row>170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10" r:id="rId41" name="Check Box 198">
              <controlPr locked="0" defaultSize="0" autoFill="0" autoLine="0" autoPict="0">
                <anchor moveWithCells="1">
                  <from>
                    <xdr:col>1</xdr:col>
                    <xdr:colOff>22860</xdr:colOff>
                    <xdr:row>172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11" r:id="rId42" name="Check Box 199">
              <controlPr locked="0" defaultSize="0" autoFill="0" autoLine="0" autoPict="0">
                <anchor moveWithCells="1">
                  <from>
                    <xdr:col>1</xdr:col>
                    <xdr:colOff>22860</xdr:colOff>
                    <xdr:row>174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12" r:id="rId43" name="Check Box 200">
              <controlPr locked="0" defaultSize="0" autoFill="0" autoLine="0" autoPict="0">
                <anchor moveWithCells="1">
                  <from>
                    <xdr:col>1</xdr:col>
                    <xdr:colOff>22860</xdr:colOff>
                    <xdr:row>176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13513" r:id="rId44" name="Check Box 201">
              <controlPr locked="0" defaultSize="0" autoFill="0" autoLine="0" autoPict="0">
                <anchor moveWithCells="1">
                  <from>
                    <xdr:col>1</xdr:col>
                    <xdr:colOff>22860</xdr:colOff>
                    <xdr:row>178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13515" r:id="rId45" name="Check Box 203">
              <controlPr locked="0" defaultSize="0" autoFill="0" autoLine="0" autoPict="0">
                <anchor moveWithCells="1">
                  <from>
                    <xdr:col>1</xdr:col>
                    <xdr:colOff>22860</xdr:colOff>
                    <xdr:row>182</xdr:row>
                    <xdr:rowOff>152400</xdr:rowOff>
                  </from>
                  <to>
                    <xdr:col>2</xdr:col>
                    <xdr:colOff>525780</xdr:colOff>
                    <xdr:row>184</xdr:row>
                    <xdr:rowOff>22860</xdr:rowOff>
                  </to>
                </anchor>
              </controlPr>
            </control>
          </mc:Choice>
        </mc:AlternateContent>
        <mc:AlternateContent xmlns:mc="http://schemas.openxmlformats.org/markup-compatibility/2006">
          <mc:Choice Requires="x14">
            <control shapeId="13517" r:id="rId46" name="Check Box 205">
              <controlPr locked="0" defaultSize="0" autoFill="0" autoLine="0" autoPict="0">
                <anchor moveWithCells="1">
                  <from>
                    <xdr:col>1</xdr:col>
                    <xdr:colOff>22860</xdr:colOff>
                    <xdr:row>197</xdr:row>
                    <xdr:rowOff>152400</xdr:rowOff>
                  </from>
                  <to>
                    <xdr:col>2</xdr:col>
                    <xdr:colOff>525780</xdr:colOff>
                    <xdr:row>211</xdr:row>
                    <xdr:rowOff>38100</xdr:rowOff>
                  </to>
                </anchor>
              </controlPr>
            </control>
          </mc:Choice>
        </mc:AlternateContent>
        <mc:AlternateContent xmlns:mc="http://schemas.openxmlformats.org/markup-compatibility/2006">
          <mc:Choice Requires="x14">
            <control shapeId="13519" r:id="rId47" name="Check Box 207">
              <controlPr locked="0" defaultSize="0" autoFill="0" autoLine="0" autoPict="0">
                <anchor moveWithCells="1">
                  <from>
                    <xdr:col>1</xdr:col>
                    <xdr:colOff>22860</xdr:colOff>
                    <xdr:row>185</xdr:row>
                    <xdr:rowOff>152400</xdr:rowOff>
                  </from>
                  <to>
                    <xdr:col>2</xdr:col>
                    <xdr:colOff>525780</xdr:colOff>
                    <xdr:row>187</xdr:row>
                    <xdr:rowOff>22860</xdr:rowOff>
                  </to>
                </anchor>
              </controlPr>
            </control>
          </mc:Choice>
        </mc:AlternateContent>
        <mc:AlternateContent xmlns:mc="http://schemas.openxmlformats.org/markup-compatibility/2006">
          <mc:Choice Requires="x14">
            <control shapeId="13520" r:id="rId48" name="Check Box 208">
              <controlPr locked="0" defaultSize="0" autoFill="0" autoLine="0" autoPict="0">
                <anchor moveWithCells="1">
                  <from>
                    <xdr:col>1</xdr:col>
                    <xdr:colOff>22860</xdr:colOff>
                    <xdr:row>188</xdr:row>
                    <xdr:rowOff>144780</xdr:rowOff>
                  </from>
                  <to>
                    <xdr:col>2</xdr:col>
                    <xdr:colOff>525780</xdr:colOff>
                    <xdr:row>190</xdr:row>
                    <xdr:rowOff>22860</xdr:rowOff>
                  </to>
                </anchor>
              </controlPr>
            </control>
          </mc:Choice>
        </mc:AlternateContent>
        <mc:AlternateContent xmlns:mc="http://schemas.openxmlformats.org/markup-compatibility/2006">
          <mc:Choice Requires="x14">
            <control shapeId="13521" r:id="rId49" name="Check Box 209">
              <controlPr locked="0" defaultSize="0" autoFill="0" autoLine="0" autoPict="0">
                <anchor moveWithCells="1">
                  <from>
                    <xdr:col>1</xdr:col>
                    <xdr:colOff>22860</xdr:colOff>
                    <xdr:row>191</xdr:row>
                    <xdr:rowOff>144780</xdr:rowOff>
                  </from>
                  <to>
                    <xdr:col>2</xdr:col>
                    <xdr:colOff>525780</xdr:colOff>
                    <xdr:row>193</xdr:row>
                    <xdr:rowOff>22860</xdr:rowOff>
                  </to>
                </anchor>
              </controlPr>
            </control>
          </mc:Choice>
        </mc:AlternateContent>
        <mc:AlternateContent xmlns:mc="http://schemas.openxmlformats.org/markup-compatibility/2006">
          <mc:Choice Requires="x14">
            <control shapeId="13522" r:id="rId50" name="Check Box 210">
              <controlPr locked="0" defaultSize="0" autoFill="0" autoLine="0" autoPict="0">
                <anchor moveWithCells="1">
                  <from>
                    <xdr:col>1</xdr:col>
                    <xdr:colOff>22860</xdr:colOff>
                    <xdr:row>194</xdr:row>
                    <xdr:rowOff>144780</xdr:rowOff>
                  </from>
                  <to>
                    <xdr:col>2</xdr:col>
                    <xdr:colOff>533400</xdr:colOff>
                    <xdr:row>211</xdr:row>
                    <xdr:rowOff>22860</xdr:rowOff>
                  </to>
                </anchor>
              </controlPr>
            </control>
          </mc:Choice>
        </mc:AlternateContent>
        <mc:AlternateContent xmlns:mc="http://schemas.openxmlformats.org/markup-compatibility/2006">
          <mc:Choice Requires="x14">
            <control shapeId="13523" r:id="rId51" name="Check Box 211">
              <controlPr locked="0" defaultSize="0" autoFill="0" autoLine="0" autoPict="0">
                <anchor moveWithCells="1">
                  <from>
                    <xdr:col>1</xdr:col>
                    <xdr:colOff>22860</xdr:colOff>
                    <xdr:row>206</xdr:row>
                    <xdr:rowOff>152400</xdr:rowOff>
                  </from>
                  <to>
                    <xdr:col>2</xdr:col>
                    <xdr:colOff>533400</xdr:colOff>
                    <xdr:row>211</xdr:row>
                    <xdr:rowOff>38100</xdr:rowOff>
                  </to>
                </anchor>
              </controlPr>
            </control>
          </mc:Choice>
        </mc:AlternateContent>
        <mc:AlternateContent xmlns:mc="http://schemas.openxmlformats.org/markup-compatibility/2006">
          <mc:Choice Requires="x14">
            <control shapeId="13524" r:id="rId52" name="Check Box 212">
              <controlPr locked="0" defaultSize="0" autoFill="0" autoLine="0" autoPict="0">
                <anchor moveWithCells="1">
                  <from>
                    <xdr:col>1</xdr:col>
                    <xdr:colOff>22860</xdr:colOff>
                    <xdr:row>200</xdr:row>
                    <xdr:rowOff>144780</xdr:rowOff>
                  </from>
                  <to>
                    <xdr:col>2</xdr:col>
                    <xdr:colOff>533400</xdr:colOff>
                    <xdr:row>211</xdr:row>
                    <xdr:rowOff>38100</xdr:rowOff>
                  </to>
                </anchor>
              </controlPr>
            </control>
          </mc:Choice>
        </mc:AlternateContent>
        <mc:AlternateContent xmlns:mc="http://schemas.openxmlformats.org/markup-compatibility/2006">
          <mc:Choice Requires="x14">
            <control shapeId="13525" r:id="rId53" name="Check Box 213">
              <controlPr locked="0" defaultSize="0" autoFill="0" autoLine="0" autoPict="0">
                <anchor moveWithCells="1">
                  <from>
                    <xdr:col>1</xdr:col>
                    <xdr:colOff>30480</xdr:colOff>
                    <xdr:row>203</xdr:row>
                    <xdr:rowOff>144780</xdr:rowOff>
                  </from>
                  <to>
                    <xdr:col>2</xdr:col>
                    <xdr:colOff>541020</xdr:colOff>
                    <xdr:row>211</xdr:row>
                    <xdr:rowOff>38100</xdr:rowOff>
                  </to>
                </anchor>
              </controlPr>
            </control>
          </mc:Choice>
        </mc:AlternateContent>
        <mc:AlternateContent xmlns:mc="http://schemas.openxmlformats.org/markup-compatibility/2006">
          <mc:Choice Requires="x14">
            <control shapeId="13535" r:id="rId54" name="Check Box 223">
              <controlPr locked="0" defaultSize="0" autoFill="0" autoLine="0" autoPict="0">
                <anchor moveWithCells="1">
                  <from>
                    <xdr:col>1</xdr:col>
                    <xdr:colOff>22860</xdr:colOff>
                    <xdr:row>42</xdr:row>
                    <xdr:rowOff>144780</xdr:rowOff>
                  </from>
                  <to>
                    <xdr:col>1</xdr:col>
                    <xdr:colOff>213360</xdr:colOff>
                    <xdr:row>44</xdr:row>
                    <xdr:rowOff>30480</xdr:rowOff>
                  </to>
                </anchor>
              </controlPr>
            </control>
          </mc:Choice>
        </mc:AlternateContent>
        <mc:AlternateContent xmlns:mc="http://schemas.openxmlformats.org/markup-compatibility/2006">
          <mc:Choice Requires="x14">
            <control shapeId="13564" r:id="rId55" name="Check Box 252">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6">
        <x14:dataValidation type="list" allowBlank="1" showInputMessage="1" showErrorMessage="1" promptTitle="Select the PSoC family." xr:uid="{58C83AE1-0955-4E31-9842-8EF3ABC6FD99}">
          <x14:formula1>
            <xm:f>Options!$C$3:$C$6</xm:f>
          </x14:formula1>
          <xm:sqref>D8</xm:sqref>
        </x14:dataValidation>
        <x14:dataValidation type="list" allowBlank="1" showInputMessage="1" showErrorMessage="1" promptTitle="Select the PSoC family." xr:uid="{94784795-6482-4133-9515-4EEB6EFB0E42}">
          <x14:formula1>
            <xm:f>IF(Config1_SystemMode=SystemDeepSleep,Options!$D$5:$D$6,Options!$D$3:$D$6)</xm:f>
          </x14:formula1>
          <xm:sqref>D10</xm:sqref>
        </x14:dataValidation>
        <x14:dataValidation type="list" errorStyle="warning" allowBlank="1" showInputMessage="1" showErrorMessage="1" errorTitle="Invalid Power Mode" promptTitle="Select the CM0+ CPU Power Mode." xr:uid="{A615102F-CEC7-421C-BB36-5714983DBB58}">
          <x14:formula1>
            <xm:f>IF(Config1_SystemMode=Options!$C$5,Options!$D$5,Options!$D$3:$D$5)</xm:f>
          </x14:formula1>
          <xm:sqref>D9</xm:sqref>
        </x14:dataValidation>
        <x14:dataValidation type="list" allowBlank="1" showInputMessage="1" showErrorMessage="1" promptTitle="Select the PSoC family." xr:uid="{1ABC8FFD-0207-42C5-869E-6546EE8C5EFE}">
          <x14:formula1>
            <xm:f>Options!$E$3:$E$4</xm:f>
          </x14:formula1>
          <xm:sqref>D6</xm:sqref>
        </x14:dataValidation>
        <x14:dataValidation type="list" allowBlank="1" showInputMessage="1" showErrorMessage="1" xr:uid="{3ACD4B3D-A464-429B-A416-3EE81572978F}">
          <x14:formula1>
            <xm:f>'Data_3.3V_BUCK=1.1V'!$B$42:$B$45</xm:f>
          </x14:formula1>
          <xm:sqref>D105 D107</xm:sqref>
        </x14:dataValidation>
        <x14:dataValidation type="list" allowBlank="1" showInputMessage="1" showErrorMessage="1" xr:uid="{6CE02C07-4E9D-4C44-AF04-5EAA5577EB9B}">
          <x14:formula1>
            <xm:f>'Data_3.3V_BUCK=1.1V'!$B$63:$B$66</xm:f>
          </x14:formula1>
          <xm:sqref>D217</xm:sqref>
        </x14:dataValidation>
        <x14:dataValidation type="list" allowBlank="1" showInputMessage="1" showErrorMessage="1" xr:uid="{2CA90E27-4D5C-447F-B03B-163814C83973}">
          <x14:formula1>
            <xm:f>Options!$F$3:$F$5</xm:f>
          </x14:formula1>
          <xm:sqref>D118 D120 D122 D124 D126 D128 D130 D132 D134 D136 D138 D140 D142 D144 D146 D148 D150 D152 D154 D156 D158 D160 D162 D164 D166 D168 D170 D172 D174 D176 D178 D180</xm:sqref>
        </x14:dataValidation>
        <x14:dataValidation type="list" allowBlank="1" showInputMessage="1" showErrorMessage="1" xr:uid="{AE9AB2A9-0A0C-4D35-9BE1-111A1A77DC8D}">
          <x14:formula1>
            <xm:f>Options!$H$3:$H$5</xm:f>
          </x14:formula1>
          <xm:sqref>D196 D205 D199 D202 D184 D193 D187 D190 D208</xm:sqref>
        </x14:dataValidation>
        <x14:dataValidation type="list" allowBlank="1" showInputMessage="1" showErrorMessage="1" xr:uid="{D25B6FAF-D12F-4E6C-9CDE-2650CBF89ED4}">
          <x14:formula1>
            <xm:f>Options!$I$3:$I$5</xm:f>
          </x14:formula1>
          <xm:sqref>D197 D206 D200 D203 D185 D194 D188 D191 D209</xm:sqref>
        </x14:dataValidation>
        <x14:dataValidation type="list" allowBlank="1" showInputMessage="1" showErrorMessage="1" xr:uid="{BED828D8-F58C-44FC-A858-3218A2C1F407}">
          <x14:formula1>
            <xm:f>'Data_3.3V_BUCK=1.1V'!$B$69:$B$71</xm:f>
          </x14:formula1>
          <xm:sqref>D215</xm:sqref>
        </x14:dataValidation>
        <x14:dataValidation type="list" allowBlank="1" showInputMessage="1" showErrorMessage="1" xr:uid="{6837E51A-0399-461D-BAED-94FD2F5C494E}">
          <x14:formula1>
            <xm:f>IF(Config1_SystemMode = "System Deep Sleep",Options!$V$4, Options!$V$3:$V$4)</xm:f>
          </x14:formula1>
          <xm:sqref>D44 D71</xm:sqref>
        </x14:dataValidation>
        <x14:dataValidation type="list" allowBlank="1" showInputMessage="1" showErrorMessage="1" xr:uid="{98126C88-1F95-4566-8732-AF2CF65D462E}">
          <x14:formula1>
            <xm:f>Options!$W$3:$W$10</xm:f>
          </x14:formula1>
          <xm:sqref>D49 D76</xm:sqref>
        </x14:dataValidation>
        <x14:dataValidation type="list" allowBlank="1" showInputMessage="1" showErrorMessage="1" xr:uid="{F9F377BB-0B05-473A-B2F4-A8C03EF30991}">
          <x14:formula1>
            <xm:f>IF(OR((SelectedDevice=PSoC60), (SelectedDevice=PSoC61), (SelectedDevice=PSoC62_1M),(SelectedDevice=PSoC4000S), (SelectedDevice=PSoC4100S), (SelectedDevice=PSoC4100PS)),Options!H3:H3,Options!H3:H6)</xm:f>
          </x14:formula1>
          <xm:sqref>D211:D212</xm:sqref>
        </x14:dataValidation>
        <x14:dataValidation type="list" allowBlank="1" showInputMessage="1" showErrorMessage="1" xr:uid="{EEFD2D80-94FE-42EF-B72E-DD3495EB0780}">
          <x14:formula1>
            <xm:f>IF(SelectedDevice = "PSoC 62 (256KB)", Options!X3:X4, Options!X3)</xm:f>
          </x14:formula1>
          <xm:sqref>D99</xm:sqref>
        </x14:dataValidation>
        <x14:dataValidation type="decimal" operator="lessThanOrEqual" allowBlank="1" showInputMessage="1" showErrorMessage="1" xr:uid="{49433E70-EE75-4F48-9B99-87454DF36547}">
          <x14:formula1>
            <xm:f>IF(OR(Summary!F33 = "PSoC 62 (256KB)", Summary!F33 = "PSoC 62 (2MB)"), 36000, 18000)</xm:f>
          </x14:formula1>
          <xm:sqref>D73</xm:sqref>
        </x14:dataValidation>
        <x14:dataValidation type="decimal" operator="lessThanOrEqual" allowBlank="1" showInputMessage="1" showErrorMessage="1" xr:uid="{F75D5B13-2F05-4147-BA5F-B0EDA88E6477}">
          <x14:formula1>
            <xm:f>IF(OR(Summary!F2 = "PSoC 62 (256KB)", Summary!F2 = "PSoC 62 (2MB)"), 36000, 18000)</xm:f>
          </x14:formula1>
          <xm:sqref>D46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B242"/>
  <sheetViews>
    <sheetView topLeftCell="B1" zoomScale="175" zoomScaleNormal="175" workbookViewId="0">
      <selection activeCell="D9" sqref="D9"/>
    </sheetView>
  </sheetViews>
  <sheetFormatPr defaultRowHeight="13.2" outlineLevelRow="1" x14ac:dyDescent="0.25"/>
  <cols>
    <col min="1" max="1" width="4.6640625" customWidth="1"/>
    <col min="2" max="2" width="3.33203125" customWidth="1"/>
    <col min="3" max="3" width="28.6640625" customWidth="1"/>
    <col min="4" max="4" width="17.6640625" style="23" customWidth="1"/>
    <col min="5" max="5" width="16.6640625" customWidth="1"/>
    <col min="6" max="6" width="11.6640625" style="29" customWidth="1"/>
    <col min="7" max="7" width="10.6640625" customWidth="1"/>
    <col min="8" max="8" width="105.6640625" customWidth="1"/>
  </cols>
  <sheetData>
    <row r="1" spans="2:28" x14ac:dyDescent="0.25">
      <c r="B1" s="1"/>
      <c r="C1" s="223" t="s">
        <v>399</v>
      </c>
      <c r="D1" s="223"/>
      <c r="E1" s="224" t="s">
        <v>158</v>
      </c>
      <c r="F1" s="224"/>
      <c r="G1" s="224"/>
    </row>
    <row r="2" spans="2:28" ht="15.6" x14ac:dyDescent="0.3">
      <c r="B2" s="241" t="s">
        <v>36</v>
      </c>
      <c r="C2" s="219"/>
      <c r="D2" s="219"/>
      <c r="E2" s="219"/>
      <c r="F2" s="219" t="s">
        <v>20</v>
      </c>
      <c r="G2" s="219"/>
      <c r="H2" s="51" t="s">
        <v>35</v>
      </c>
      <c r="K2" s="88" t="s">
        <v>192</v>
      </c>
      <c r="AB2" s="43"/>
    </row>
    <row r="3" spans="2:28" ht="15.6" x14ac:dyDescent="0.3">
      <c r="B3" s="225" t="s">
        <v>155</v>
      </c>
      <c r="C3" s="225"/>
      <c r="D3" s="225"/>
      <c r="E3" s="225"/>
      <c r="F3" s="225"/>
      <c r="G3" s="225"/>
      <c r="H3" s="225"/>
      <c r="AB3" s="43"/>
    </row>
    <row r="4" spans="2:28" x14ac:dyDescent="0.25">
      <c r="B4" s="53" t="s">
        <v>140</v>
      </c>
      <c r="C4" s="53"/>
      <c r="D4" s="53"/>
      <c r="E4" s="53"/>
      <c r="F4" s="53"/>
      <c r="G4" s="53"/>
      <c r="H4" s="53"/>
      <c r="AB4" s="43"/>
    </row>
    <row r="5" spans="2:28" x14ac:dyDescent="0.25">
      <c r="B5" s="54"/>
      <c r="C5" s="122" t="s">
        <v>476</v>
      </c>
      <c r="D5" s="111">
        <v>3.3</v>
      </c>
      <c r="E5" s="122" t="s">
        <v>267</v>
      </c>
      <c r="F5" s="110"/>
      <c r="G5" s="55"/>
      <c r="H5" s="112" t="s">
        <v>268</v>
      </c>
      <c r="AB5" s="43"/>
    </row>
    <row r="6" spans="2:28" x14ac:dyDescent="0.25">
      <c r="B6" s="54"/>
      <c r="C6" s="122" t="s">
        <v>264</v>
      </c>
      <c r="D6" s="111" t="s">
        <v>266</v>
      </c>
      <c r="E6" s="54"/>
      <c r="F6" s="110"/>
      <c r="G6" s="55"/>
      <c r="H6" s="112" t="s">
        <v>269</v>
      </c>
      <c r="AB6" s="43"/>
    </row>
    <row r="7" spans="2:28" x14ac:dyDescent="0.25">
      <c r="B7" s="54"/>
      <c r="C7" s="122" t="s">
        <v>317</v>
      </c>
      <c r="D7" s="111">
        <v>0.9</v>
      </c>
      <c r="E7" s="122" t="s">
        <v>267</v>
      </c>
      <c r="F7" s="110"/>
      <c r="G7" s="55"/>
      <c r="H7" s="112" t="s">
        <v>318</v>
      </c>
      <c r="AB7" s="43"/>
    </row>
    <row r="8" spans="2:28" x14ac:dyDescent="0.25">
      <c r="B8" s="54"/>
      <c r="C8" s="54" t="s">
        <v>219</v>
      </c>
      <c r="D8" s="111" t="s">
        <v>223</v>
      </c>
      <c r="E8" s="54"/>
      <c r="F8" s="110"/>
      <c r="G8" s="55"/>
      <c r="H8" s="112" t="s">
        <v>477</v>
      </c>
      <c r="AB8" s="43"/>
    </row>
    <row r="9" spans="2:28" x14ac:dyDescent="0.25">
      <c r="B9" s="54"/>
      <c r="C9" s="122" t="s">
        <v>231</v>
      </c>
      <c r="D9" s="111" t="s">
        <v>228</v>
      </c>
      <c r="E9" s="54"/>
      <c r="F9" s="110"/>
      <c r="G9" s="55"/>
      <c r="H9" s="112" t="s">
        <v>230</v>
      </c>
      <c r="AB9" s="43"/>
    </row>
    <row r="10" spans="2:28" x14ac:dyDescent="0.25">
      <c r="B10" s="54"/>
      <c r="C10" s="122" t="s">
        <v>232</v>
      </c>
      <c r="D10" s="111" t="s">
        <v>257</v>
      </c>
      <c r="E10" s="54"/>
      <c r="F10" s="110"/>
      <c r="G10" s="55"/>
      <c r="H10" s="112" t="s">
        <v>229</v>
      </c>
      <c r="AB10" s="43"/>
    </row>
    <row r="11" spans="2:28" x14ac:dyDescent="0.25">
      <c r="B11" s="53" t="s">
        <v>115</v>
      </c>
      <c r="C11" s="53"/>
      <c r="D11" s="53"/>
      <c r="E11" s="53"/>
      <c r="F11" s="53"/>
      <c r="G11" s="53"/>
      <c r="H11" s="53"/>
      <c r="AB11" s="41"/>
    </row>
    <row r="12" spans="2:28" x14ac:dyDescent="0.25">
      <c r="B12" s="226" t="s">
        <v>233</v>
      </c>
      <c r="C12" s="227"/>
      <c r="D12" s="53"/>
      <c r="E12" s="53"/>
      <c r="F12" s="53"/>
      <c r="G12" s="53"/>
      <c r="H12" s="53"/>
      <c r="AB12" s="41"/>
    </row>
    <row r="13" spans="2:28" x14ac:dyDescent="0.25">
      <c r="B13" s="140" t="b">
        <v>1</v>
      </c>
      <c r="C13" s="122" t="s">
        <v>234</v>
      </c>
      <c r="D13" s="60">
        <v>50</v>
      </c>
      <c r="E13" s="122" t="s">
        <v>3</v>
      </c>
      <c r="F13" s="57">
        <f ca="1">IF(AND(Config2_AllClocksOn,B13),Config2_FLL_Coef*D13,0)</f>
        <v>182.00000000000006</v>
      </c>
      <c r="G13" s="58" t="s">
        <v>57</v>
      </c>
      <c r="H13" s="112" t="s">
        <v>236</v>
      </c>
      <c r="AB13" s="43"/>
    </row>
    <row r="14" spans="2:28" x14ac:dyDescent="0.25">
      <c r="B14" s="140" t="b">
        <v>0</v>
      </c>
      <c r="C14" s="122" t="s">
        <v>164</v>
      </c>
      <c r="D14" s="123">
        <v>40</v>
      </c>
      <c r="E14" s="122" t="s">
        <v>3</v>
      </c>
      <c r="F14" s="57">
        <f>IF(AND(Config2_AllClocksOn,B14),Config2_PLL_Coef*D14+IF(D15/D16&gt;40,Config2_PLL_Coef_h40*D15/D16+Config2_PLL_Ped_h40,Config2_PLL_Coef_l40*D15/D16+Config2_PLL_Ped_l40),0)</f>
        <v>0</v>
      </c>
      <c r="G14" s="58" t="s">
        <v>57</v>
      </c>
      <c r="H14" s="112" t="s">
        <v>238</v>
      </c>
      <c r="AB14" s="41"/>
    </row>
    <row r="15" spans="2:28" x14ac:dyDescent="0.25">
      <c r="B15" s="54"/>
      <c r="C15" s="122" t="s">
        <v>237</v>
      </c>
      <c r="D15" s="146">
        <v>40</v>
      </c>
      <c r="E15" s="54"/>
      <c r="F15" s="80"/>
      <c r="G15" s="81"/>
      <c r="H15" s="112" t="s">
        <v>240</v>
      </c>
      <c r="AB15" s="41"/>
    </row>
    <row r="16" spans="2:28" x14ac:dyDescent="0.25">
      <c r="B16" s="54"/>
      <c r="C16" s="122" t="s">
        <v>239</v>
      </c>
      <c r="D16" s="60">
        <v>1</v>
      </c>
      <c r="E16" s="54"/>
      <c r="F16" s="80"/>
      <c r="G16" s="81"/>
      <c r="H16" s="112" t="s">
        <v>241</v>
      </c>
      <c r="AB16" s="41"/>
    </row>
    <row r="17" spans="2:28" x14ac:dyDescent="0.25">
      <c r="B17" s="148" t="b">
        <v>0</v>
      </c>
      <c r="C17" s="122" t="s">
        <v>165</v>
      </c>
      <c r="D17" s="56">
        <v>150</v>
      </c>
      <c r="E17" s="122" t="s">
        <v>3</v>
      </c>
      <c r="F17" s="57">
        <f>IF(AND(NUM_PLL&gt;1,AND(Config2_AllClocksOn,B17)),Config2_PLL_Coef*D17+IF(D18/D19&gt;40,Config2_PLL_Coef_h40*D18/D19+Config2_PLL_Ped_h40,Config2_PLL_Coef_l40*D18/D19+Config2_PLL_Ped_l40),0)</f>
        <v>0</v>
      </c>
      <c r="G17" s="58" t="s">
        <v>57</v>
      </c>
      <c r="H17" s="112" t="s">
        <v>242</v>
      </c>
      <c r="AB17" s="41"/>
    </row>
    <row r="18" spans="2:28" x14ac:dyDescent="0.25">
      <c r="B18" s="139"/>
      <c r="C18" s="138" t="s">
        <v>237</v>
      </c>
      <c r="D18" s="60">
        <v>25</v>
      </c>
      <c r="E18" s="55"/>
      <c r="F18" s="80"/>
      <c r="G18" s="81"/>
      <c r="H18" s="112" t="s">
        <v>244</v>
      </c>
      <c r="AB18" s="41"/>
    </row>
    <row r="19" spans="2:28" x14ac:dyDescent="0.25">
      <c r="B19" s="139"/>
      <c r="C19" s="122" t="s">
        <v>239</v>
      </c>
      <c r="D19" s="60">
        <v>1</v>
      </c>
      <c r="E19" s="55"/>
      <c r="F19" s="80"/>
      <c r="G19" s="81"/>
      <c r="H19" s="112" t="s">
        <v>243</v>
      </c>
      <c r="AB19" s="41"/>
    </row>
    <row r="20" spans="2:28" x14ac:dyDescent="0.25">
      <c r="B20" s="226" t="s">
        <v>235</v>
      </c>
      <c r="C20" s="227"/>
      <c r="D20" s="136"/>
      <c r="E20" s="136"/>
      <c r="F20" s="53"/>
      <c r="G20" s="53"/>
      <c r="H20" s="53"/>
      <c r="AB20" s="41"/>
    </row>
    <row r="21" spans="2:28" x14ac:dyDescent="0.25">
      <c r="B21" s="140" t="b">
        <v>1</v>
      </c>
      <c r="C21" s="122" t="s">
        <v>246</v>
      </c>
      <c r="D21" s="60" t="s">
        <v>304</v>
      </c>
      <c r="E21" s="149" t="s">
        <v>234</v>
      </c>
      <c r="F21" s="80"/>
      <c r="G21" s="81"/>
      <c r="H21" s="112" t="s">
        <v>310</v>
      </c>
      <c r="AB21" s="43"/>
    </row>
    <row r="22" spans="2:28" x14ac:dyDescent="0.25">
      <c r="B22" s="140" t="b">
        <v>0</v>
      </c>
      <c r="C22" s="122" t="s">
        <v>247</v>
      </c>
      <c r="D22" s="60" t="s">
        <v>308</v>
      </c>
      <c r="E22" s="149" t="s">
        <v>234</v>
      </c>
      <c r="F22" s="80"/>
      <c r="G22" s="81"/>
      <c r="H22" s="112" t="s">
        <v>311</v>
      </c>
      <c r="AB22" s="43"/>
    </row>
    <row r="23" spans="2:28" x14ac:dyDescent="0.25">
      <c r="B23" s="140" t="b">
        <v>0</v>
      </c>
      <c r="C23" s="122" t="s">
        <v>248</v>
      </c>
      <c r="D23" s="60" t="s">
        <v>304</v>
      </c>
      <c r="E23" s="149" t="s">
        <v>234</v>
      </c>
      <c r="F23" s="57">
        <f>IF(AND(Config2_AllClocksOn,B23),Config2_SMIF_Clk,0)</f>
        <v>0</v>
      </c>
      <c r="G23" s="58" t="s">
        <v>57</v>
      </c>
      <c r="H23" s="112" t="s">
        <v>312</v>
      </c>
      <c r="AB23" s="43"/>
    </row>
    <row r="24" spans="2:28" x14ac:dyDescent="0.25">
      <c r="B24" s="140" t="b">
        <v>0</v>
      </c>
      <c r="C24" s="122" t="s">
        <v>249</v>
      </c>
      <c r="D24" s="60" t="s">
        <v>304</v>
      </c>
      <c r="E24" s="149" t="s">
        <v>234</v>
      </c>
      <c r="F24" s="80"/>
      <c r="G24" s="81"/>
      <c r="H24" s="112" t="s">
        <v>313</v>
      </c>
      <c r="AB24" s="43"/>
    </row>
    <row r="25" spans="2:28" x14ac:dyDescent="0.25">
      <c r="B25" s="140" t="b">
        <v>0</v>
      </c>
      <c r="C25" s="122" t="s">
        <v>250</v>
      </c>
      <c r="D25" s="60" t="s">
        <v>304</v>
      </c>
      <c r="E25" s="149" t="s">
        <v>234</v>
      </c>
      <c r="F25" s="80"/>
      <c r="G25" s="81"/>
      <c r="H25" s="112" t="s">
        <v>314</v>
      </c>
      <c r="AB25" s="43"/>
    </row>
    <row r="26" spans="2:28" x14ac:dyDescent="0.25">
      <c r="B26" s="140" t="b">
        <v>0</v>
      </c>
      <c r="C26" s="122" t="s">
        <v>251</v>
      </c>
      <c r="D26" s="60" t="s">
        <v>304</v>
      </c>
      <c r="E26" s="149" t="s">
        <v>234</v>
      </c>
      <c r="F26" s="80"/>
      <c r="G26" s="81"/>
      <c r="H26" s="112" t="s">
        <v>315</v>
      </c>
      <c r="AB26" s="43"/>
    </row>
    <row r="27" spans="2:28" x14ac:dyDescent="0.25">
      <c r="B27" s="140"/>
      <c r="C27" s="138" t="s">
        <v>252</v>
      </c>
      <c r="D27" s="60">
        <v>50</v>
      </c>
      <c r="E27" s="122" t="s">
        <v>3</v>
      </c>
      <c r="F27" s="57">
        <f ca="1">IF(Config2_AllClocksOn,D27*Config2_Fast_Coef,0)</f>
        <v>26.999999999999968</v>
      </c>
      <c r="G27" s="58" t="s">
        <v>57</v>
      </c>
      <c r="H27" s="112" t="s">
        <v>321</v>
      </c>
      <c r="AB27" s="43"/>
    </row>
    <row r="28" spans="2:28" x14ac:dyDescent="0.25">
      <c r="B28" s="140"/>
      <c r="C28" s="138" t="s">
        <v>253</v>
      </c>
      <c r="D28" s="60">
        <v>50</v>
      </c>
      <c r="E28" s="122" t="s">
        <v>3</v>
      </c>
      <c r="F28" s="57">
        <f ca="1">IF(Config2_AllClocksOn,D28*Config2_Peri_Coef,0)</f>
        <v>312.00000000000006</v>
      </c>
      <c r="G28" s="58" t="s">
        <v>57</v>
      </c>
      <c r="H28" s="112" t="s">
        <v>319</v>
      </c>
      <c r="AB28" s="43"/>
    </row>
    <row r="29" spans="2:28" x14ac:dyDescent="0.25">
      <c r="B29" s="140"/>
      <c r="C29" s="138" t="s">
        <v>254</v>
      </c>
      <c r="D29" s="60">
        <v>25</v>
      </c>
      <c r="E29" s="122" t="s">
        <v>3</v>
      </c>
      <c r="F29" s="57">
        <f ca="1">IF(Config2_AllClocksOn,D29*Config2_Slow_Coef,0)</f>
        <v>286.99999999999994</v>
      </c>
      <c r="G29" s="58" t="s">
        <v>57</v>
      </c>
      <c r="H29" s="112" t="s">
        <v>320</v>
      </c>
      <c r="AB29" s="43"/>
    </row>
    <row r="30" spans="2:28" x14ac:dyDescent="0.25">
      <c r="B30" s="226" t="s">
        <v>245</v>
      </c>
      <c r="C30" s="227"/>
      <c r="D30" s="53"/>
      <c r="E30" s="53"/>
      <c r="F30" s="53"/>
      <c r="G30" s="53"/>
      <c r="H30" s="53"/>
      <c r="AB30" s="41"/>
    </row>
    <row r="31" spans="2:28" x14ac:dyDescent="0.25">
      <c r="B31" s="54"/>
      <c r="C31" s="122" t="s">
        <v>255</v>
      </c>
      <c r="D31" s="141" t="s">
        <v>150</v>
      </c>
      <c r="E31" s="55"/>
      <c r="F31" s="57">
        <f ca="1">IF(Config2_AllClocksOn,Config2_IMO_Ped,0)</f>
        <v>194</v>
      </c>
      <c r="G31" s="58" t="s">
        <v>57</v>
      </c>
      <c r="H31" s="112" t="s">
        <v>256</v>
      </c>
      <c r="AB31" s="41"/>
    </row>
    <row r="32" spans="2:28" x14ac:dyDescent="0.25">
      <c r="B32" s="54"/>
      <c r="C32" s="122" t="s">
        <v>260</v>
      </c>
      <c r="D32" s="60" t="s">
        <v>151</v>
      </c>
      <c r="E32" s="55"/>
      <c r="F32" s="57">
        <f>IF(D32="Enabled",Config2_WCO_Ped,0)</f>
        <v>0</v>
      </c>
      <c r="G32" s="58" t="s">
        <v>57</v>
      </c>
      <c r="H32" s="112" t="s">
        <v>261</v>
      </c>
      <c r="AB32" s="41"/>
    </row>
    <row r="33" spans="2:28" x14ac:dyDescent="0.25">
      <c r="B33" s="54"/>
      <c r="C33" s="55" t="s">
        <v>81</v>
      </c>
      <c r="D33" s="60" t="s">
        <v>151</v>
      </c>
      <c r="E33" s="55"/>
      <c r="F33" s="64">
        <f>IF(D33="Enabled",Config2_ILO_Ped,0)</f>
        <v>0</v>
      </c>
      <c r="G33" s="58" t="s">
        <v>57</v>
      </c>
      <c r="H33" s="112" t="s">
        <v>262</v>
      </c>
      <c r="AB33" s="41"/>
    </row>
    <row r="34" spans="2:28" x14ac:dyDescent="0.25">
      <c r="B34" s="54"/>
      <c r="C34" s="122" t="s">
        <v>259</v>
      </c>
      <c r="D34" s="60" t="s">
        <v>151</v>
      </c>
      <c r="E34" s="55"/>
      <c r="F34" s="64">
        <f>IF(D34="Enabled",Config2_PILO_Ped,0)</f>
        <v>0</v>
      </c>
      <c r="G34" s="58" t="s">
        <v>57</v>
      </c>
      <c r="H34" s="112" t="s">
        <v>263</v>
      </c>
      <c r="AB34" s="41"/>
    </row>
    <row r="35" spans="2:28" x14ac:dyDescent="0.25">
      <c r="B35" s="140" t="b">
        <v>0</v>
      </c>
      <c r="C35" s="122" t="s">
        <v>326</v>
      </c>
      <c r="D35" s="60">
        <v>17.203399999999998</v>
      </c>
      <c r="E35" s="122" t="s">
        <v>3</v>
      </c>
      <c r="F35" s="64">
        <f>IF(AND(Config2_AllClocksOn,B35),Config2_ECO_Coef*D35,0)</f>
        <v>0</v>
      </c>
      <c r="G35" s="58" t="s">
        <v>57</v>
      </c>
      <c r="H35" s="112" t="s">
        <v>327</v>
      </c>
      <c r="AB35" s="41"/>
    </row>
    <row r="36" spans="2:28" s="1" customFormat="1" x14ac:dyDescent="0.25">
      <c r="B36" s="53" t="s">
        <v>152</v>
      </c>
      <c r="C36" s="53"/>
      <c r="D36" s="53"/>
      <c r="E36" s="53"/>
      <c r="F36" s="65">
        <f ca="1">(IF(Config2_SystemMode=SystemDeepSleep,Config2_DeepSleep_Cur,0)+IF(Config2_SystemMode=SystemHibernate,Config2_Hibernate_Cur,0)+SUM(F8:F8,F13:F35))/1000</f>
        <v>1.002</v>
      </c>
      <c r="G36" s="53" t="s">
        <v>316</v>
      </c>
      <c r="H36" s="53"/>
      <c r="AB36" s="41"/>
    </row>
    <row r="37" spans="2:28" x14ac:dyDescent="0.25">
      <c r="D37"/>
      <c r="F37"/>
      <c r="AB37" s="43"/>
    </row>
    <row r="38" spans="2:28" ht="15.6" x14ac:dyDescent="0.3">
      <c r="B38" s="225" t="s">
        <v>138</v>
      </c>
      <c r="C38" s="225"/>
      <c r="D38" s="225"/>
      <c r="E38" s="225"/>
      <c r="F38" s="225"/>
      <c r="G38" s="225"/>
      <c r="H38" s="225"/>
      <c r="AB38" s="43"/>
    </row>
    <row r="39" spans="2:28" ht="15.6" x14ac:dyDescent="0.3">
      <c r="B39" s="228" t="s">
        <v>406</v>
      </c>
      <c r="C39" s="229"/>
      <c r="D39" s="167"/>
      <c r="E39" s="167"/>
      <c r="F39" s="167"/>
      <c r="G39" s="167"/>
      <c r="H39" s="167"/>
      <c r="AB39" s="43"/>
    </row>
    <row r="40" spans="2:28" ht="15.6" customHeight="1" x14ac:dyDescent="0.25">
      <c r="B40" s="239"/>
      <c r="C40" s="54" t="s">
        <v>408</v>
      </c>
      <c r="D40" s="60" t="s">
        <v>151</v>
      </c>
      <c r="E40" s="54"/>
      <c r="F40" s="54"/>
      <c r="G40" s="54"/>
      <c r="H40" s="54" t="s">
        <v>412</v>
      </c>
      <c r="AB40" s="43"/>
    </row>
    <row r="41" spans="2:28" ht="15.6" customHeight="1" x14ac:dyDescent="0.25">
      <c r="B41" s="239"/>
      <c r="C41" s="54" t="s">
        <v>409</v>
      </c>
      <c r="D41" s="169">
        <v>0</v>
      </c>
      <c r="E41" s="54" t="s">
        <v>413</v>
      </c>
      <c r="F41" s="54"/>
      <c r="G41" s="54"/>
      <c r="H41" s="54" t="s">
        <v>414</v>
      </c>
      <c r="AB41" s="43"/>
    </row>
    <row r="42" spans="2:28" ht="15.6" x14ac:dyDescent="0.3">
      <c r="B42" s="240"/>
      <c r="C42" s="54" t="s">
        <v>410</v>
      </c>
      <c r="D42" s="169">
        <v>1</v>
      </c>
      <c r="E42" s="122" t="s">
        <v>415</v>
      </c>
      <c r="F42" s="170"/>
      <c r="G42" s="171"/>
      <c r="H42" s="122" t="s">
        <v>416</v>
      </c>
      <c r="AB42" s="43"/>
    </row>
    <row r="43" spans="2:28" x14ac:dyDescent="0.25">
      <c r="B43" s="53" t="s">
        <v>468</v>
      </c>
      <c r="C43" s="53"/>
      <c r="D43" s="53"/>
      <c r="E43" s="53"/>
      <c r="F43" s="53"/>
      <c r="G43" s="53"/>
      <c r="H43" s="53"/>
      <c r="AB43" s="43"/>
    </row>
    <row r="44" spans="2:28" ht="12.6" customHeight="1" x14ac:dyDescent="0.25">
      <c r="B44" s="233" t="b">
        <v>0</v>
      </c>
      <c r="C44" s="174" t="s">
        <v>33</v>
      </c>
      <c r="D44" t="s">
        <v>419</v>
      </c>
      <c r="E44" s="54"/>
      <c r="F44" s="152"/>
      <c r="G44" s="55"/>
      <c r="H44" s="176" t="s">
        <v>465</v>
      </c>
      <c r="I44">
        <f>IF(Config1_SystemMode &lt;&gt; "System Hibernate",IF(Config1_SystemMode &lt;&gt; "System Deep Sleep",1,0),0)</f>
        <v>1</v>
      </c>
      <c r="AB44" s="43"/>
    </row>
    <row r="45" spans="2:28" ht="12.6" customHeight="1" x14ac:dyDescent="0.25">
      <c r="B45" s="234"/>
      <c r="C45" s="122" t="s">
        <v>381</v>
      </c>
      <c r="D45" s="60" t="s">
        <v>451</v>
      </c>
      <c r="E45" s="54"/>
      <c r="F45" s="152"/>
      <c r="G45" s="55"/>
      <c r="H45" s="112" t="s">
        <v>382</v>
      </c>
      <c r="I45">
        <f>IF(AND(Config1_SystemMode = "System Deep Sleep", SelectedDevice = "PSOC 62 (256KB)"),1,0)</f>
        <v>0</v>
      </c>
      <c r="AB45" s="43"/>
    </row>
    <row r="46" spans="2:28" ht="12.6" customHeight="1" x14ac:dyDescent="0.25">
      <c r="B46" s="234"/>
      <c r="C46" s="122" t="s">
        <v>420</v>
      </c>
      <c r="D46" s="169">
        <v>18000</v>
      </c>
      <c r="E46" s="122" t="s">
        <v>424</v>
      </c>
      <c r="F46" s="152"/>
      <c r="G46" s="55"/>
      <c r="H46" s="112" t="s">
        <v>475</v>
      </c>
      <c r="I46" s="159" t="b">
        <f>IF(SUM(I44:I45)&gt;0,IF(B44=TRUE,TRUE,FALSE),FALSE)</f>
        <v>0</v>
      </c>
      <c r="AB46" s="41"/>
    </row>
    <row r="47" spans="2:28" ht="12.9" customHeight="1" x14ac:dyDescent="0.25">
      <c r="B47" s="234"/>
      <c r="C47" s="122" t="s">
        <v>421</v>
      </c>
      <c r="D47" s="175">
        <v>1</v>
      </c>
      <c r="E47" s="122" t="s">
        <v>425</v>
      </c>
      <c r="F47" s="152"/>
      <c r="G47" s="55"/>
      <c r="H47" s="112" t="s">
        <v>387</v>
      </c>
      <c r="AB47" s="41"/>
    </row>
    <row r="48" spans="2:28" ht="12.9" customHeight="1" x14ac:dyDescent="0.25">
      <c r="B48" s="234"/>
      <c r="C48" s="176" t="s">
        <v>422</v>
      </c>
      <c r="D48" s="169">
        <v>1</v>
      </c>
      <c r="E48" s="54"/>
      <c r="F48" s="152"/>
      <c r="G48" s="55"/>
      <c r="H48" s="112" t="s">
        <v>466</v>
      </c>
      <c r="AB48" s="41"/>
    </row>
    <row r="49" spans="2:28" ht="12.9" customHeight="1" x14ac:dyDescent="0.25">
      <c r="B49" s="234"/>
      <c r="C49" s="122" t="s">
        <v>423</v>
      </c>
      <c r="D49" s="169">
        <v>4</v>
      </c>
      <c r="E49" s="54"/>
      <c r="F49" s="152"/>
      <c r="G49" s="55"/>
      <c r="H49" s="112" t="s">
        <v>467</v>
      </c>
      <c r="AB49" s="41"/>
    </row>
    <row r="50" spans="2:28" ht="38.1" customHeight="1" x14ac:dyDescent="0.25">
      <c r="B50" s="234"/>
      <c r="C50" s="113" t="s">
        <v>426</v>
      </c>
      <c r="D50" s="193" t="str">
        <f>"Acquisition Time (min "&amp;ROUNDUP(ROUNDUP(IF(Summary!F2 = "PSOC 62 (256KB)", 83, 166)*IF(Config1_SystemMode = "System Deep Sleep", 2000, D46)/1000000, 0)/IF(Config1_SystemMode = "System Deep Sleep", 2000, D46)*1000000, 0)&amp;"ns)"</f>
        <v>Acquisition Time (min 167ns)</v>
      </c>
      <c r="E50" s="113" t="s">
        <v>427</v>
      </c>
      <c r="F50" s="194" t="s">
        <v>428</v>
      </c>
      <c r="G50" s="193" t="s">
        <v>429</v>
      </c>
      <c r="H50" s="112"/>
      <c r="AB50" s="41"/>
    </row>
    <row r="51" spans="2:28" ht="12.9" customHeight="1" x14ac:dyDescent="0.25">
      <c r="B51" s="234"/>
      <c r="C51" s="122">
        <v>0</v>
      </c>
      <c r="D51" s="60">
        <v>1000</v>
      </c>
      <c r="E51" s="60" t="s">
        <v>151</v>
      </c>
      <c r="F51" s="177">
        <f>ROUNDDOWN((G51/1000+ (1/IF(Config1_SystemMode = "System Deep Sleep", 2000, D46)*1000)*15)*IF(E51="Enabled", D49, 1),2)</f>
        <v>1.83</v>
      </c>
      <c r="G51" s="112">
        <f>ROUNDUP(ROUND(D51*D46/1000000,0)/D46*1000000,0)</f>
        <v>1000</v>
      </c>
      <c r="H51" s="112" t="s">
        <v>430</v>
      </c>
      <c r="AB51" s="41"/>
    </row>
    <row r="52" spans="2:28" ht="12.9" customHeight="1" x14ac:dyDescent="0.25">
      <c r="B52" s="234"/>
      <c r="C52" s="173">
        <v>1</v>
      </c>
      <c r="D52" s="60">
        <v>1000</v>
      </c>
      <c r="E52" s="60" t="s">
        <v>151</v>
      </c>
      <c r="F52" s="177">
        <f>ROUNDDOWN(IF(D$48 &gt; 1,(G52/1000+ (1/IF(Config1_SystemMode = "System Deep Sleep", 2000, D$46)*1000)*15)*IF(E52="Enabled", D$49, 1),0), 2)</f>
        <v>0</v>
      </c>
      <c r="G52" s="112">
        <f>ROUNDUP(ROUND(D52*D46/1000000,0)/D46*1000000,0)</f>
        <v>1000</v>
      </c>
      <c r="H52" s="112" t="s">
        <v>431</v>
      </c>
      <c r="AB52" s="41"/>
    </row>
    <row r="53" spans="2:28" ht="12.9" customHeight="1" x14ac:dyDescent="0.25">
      <c r="B53" s="234"/>
      <c r="C53" s="173">
        <v>2</v>
      </c>
      <c r="D53" s="60">
        <v>1000</v>
      </c>
      <c r="E53" s="60" t="s">
        <v>151</v>
      </c>
      <c r="F53" s="177">
        <f>ROUNDDOWN(IF(D$48 &gt; 2,(G53/1000+ (1/IF(Config1_SystemMode = "System Deep Sleep", 2000, D$46)*1000)*15)*IF(E53="Enabled", D$49, 1),0), 2)</f>
        <v>0</v>
      </c>
      <c r="G53" s="112">
        <f>ROUNDUP(ROUND(D53*D46/1000000,0)/D46*1000000,0)</f>
        <v>1000</v>
      </c>
      <c r="H53" s="112" t="s">
        <v>432</v>
      </c>
      <c r="AB53" s="41"/>
    </row>
    <row r="54" spans="2:28" ht="12.9" customHeight="1" x14ac:dyDescent="0.25">
      <c r="B54" s="234"/>
      <c r="C54" s="173">
        <v>3</v>
      </c>
      <c r="D54" s="60">
        <v>1000</v>
      </c>
      <c r="E54" s="60" t="s">
        <v>151</v>
      </c>
      <c r="F54" s="177">
        <f>ROUNDDOWN(IF(D$48 &gt;3,(G54/1000+ (1/IF(Config1_SystemMode = "System Deep Sleep", 2000, D$46)*1000)*15)*IF(E54="Enabled", D$49, 1),0), 2)</f>
        <v>0</v>
      </c>
      <c r="G54" s="112">
        <f>ROUNDUP(ROUND(D54*D46/1000000,0)/D46*1000000,0)</f>
        <v>1000</v>
      </c>
      <c r="H54" s="112" t="s">
        <v>433</v>
      </c>
      <c r="AB54" s="41"/>
    </row>
    <row r="55" spans="2:28" ht="12.9" customHeight="1" x14ac:dyDescent="0.25">
      <c r="B55" s="234"/>
      <c r="C55" s="192">
        <v>4</v>
      </c>
      <c r="D55" s="60">
        <v>1000</v>
      </c>
      <c r="E55" s="60" t="s">
        <v>151</v>
      </c>
      <c r="F55" s="177">
        <f>ROUNDDOWN(IF(D$48 &gt;4,(G55/1000+ (1/IF(Config1_SystemMode = "System Deep Sleep", 2000, D$46)*1000)*15)*IF(E55="Enabled", D$49, 1),0), 2)</f>
        <v>0</v>
      </c>
      <c r="G55" s="112">
        <f>ROUNDUP(ROUND(D55*D46/1000000,0)/D46*1000000,0)</f>
        <v>1000</v>
      </c>
      <c r="H55" s="112" t="s">
        <v>434</v>
      </c>
      <c r="AB55" s="41"/>
    </row>
    <row r="56" spans="2:28" ht="12.9" customHeight="1" x14ac:dyDescent="0.25">
      <c r="B56" s="234"/>
      <c r="C56" s="173">
        <v>5</v>
      </c>
      <c r="D56" s="60">
        <v>1000</v>
      </c>
      <c r="E56" s="60" t="s">
        <v>151</v>
      </c>
      <c r="F56" s="177">
        <f>ROUNDDOWN(IF(D$48 &gt; 5,(G56/1000+ (1/IF(Config1_SystemMode = "System Deep Sleep", 2000, D$46)*1000)*15)*IF(E56="Enabled", D$49, 1),0), 2)</f>
        <v>0</v>
      </c>
      <c r="G56" s="112">
        <f>ROUNDUP(ROUND(D56*D46/1000000,0)/D46*1000000,0)</f>
        <v>1000</v>
      </c>
      <c r="H56" s="112" t="s">
        <v>435</v>
      </c>
      <c r="AB56" s="41"/>
    </row>
    <row r="57" spans="2:28" ht="12.9" customHeight="1" x14ac:dyDescent="0.25">
      <c r="B57" s="234"/>
      <c r="C57" s="173">
        <v>6</v>
      </c>
      <c r="D57" s="60">
        <v>1000</v>
      </c>
      <c r="E57" s="60" t="s">
        <v>151</v>
      </c>
      <c r="F57" s="177">
        <f>ROUNDDOWN(IF(D$48 &gt; 6,(G57/1000+ (1/IF(Config1_SystemMode = "System Deep Sleep", 2000, D$46)*1000)*15)*IF(E57="Enabled", D$49, 1),0), 2)</f>
        <v>0</v>
      </c>
      <c r="G57" s="112">
        <f>ROUNDUP(ROUND(D57*D46/1000000,0)/D46*1000000,0)</f>
        <v>1000</v>
      </c>
      <c r="H57" s="112" t="s">
        <v>436</v>
      </c>
      <c r="AB57" s="41"/>
    </row>
    <row r="58" spans="2:28" ht="12.9" customHeight="1" x14ac:dyDescent="0.25">
      <c r="B58" s="234"/>
      <c r="C58" s="173">
        <v>7</v>
      </c>
      <c r="D58" s="60">
        <v>1000</v>
      </c>
      <c r="E58" s="60" t="s">
        <v>151</v>
      </c>
      <c r="F58" s="177">
        <f>ROUNDDOWN(IF(D$48 &gt; 7,(G58/1000+ (1/IF(Config1_SystemMode = "System Deep Sleep", 2000, D$46)*1000)*15)*IF(E58="Enabled", D$49, 1),0), 2)</f>
        <v>0</v>
      </c>
      <c r="G58" s="112">
        <f>ROUNDUP(ROUND(D58*D46/1000000,0)/D46*1000000,0)</f>
        <v>1000</v>
      </c>
      <c r="H58" s="112" t="s">
        <v>437</v>
      </c>
      <c r="AB58" s="41"/>
    </row>
    <row r="59" spans="2:28" ht="12.9" customHeight="1" x14ac:dyDescent="0.25">
      <c r="B59" s="234"/>
      <c r="C59" s="173">
        <v>8</v>
      </c>
      <c r="D59" s="60">
        <v>1000</v>
      </c>
      <c r="E59" s="60" t="s">
        <v>151</v>
      </c>
      <c r="F59" s="177">
        <f>ROUNDDOWN(IF(D$48 &gt; 8,(G59/1000+ (1/IF(Config1_SystemMode = "System Deep Sleep", 2000, D$46)*1000)*15)*IF(E59="Enabled", D$49, 1),0), 2)</f>
        <v>0</v>
      </c>
      <c r="G59" s="112">
        <f>ROUNDUP(ROUND(D59*D46/1000000,0)/D46*1000000,0)</f>
        <v>1000</v>
      </c>
      <c r="H59" s="112" t="s">
        <v>438</v>
      </c>
      <c r="AB59" s="41"/>
    </row>
    <row r="60" spans="2:28" ht="12.9" customHeight="1" x14ac:dyDescent="0.25">
      <c r="B60" s="234"/>
      <c r="C60" s="173">
        <v>9</v>
      </c>
      <c r="D60" s="60">
        <v>1000</v>
      </c>
      <c r="E60" s="60" t="s">
        <v>151</v>
      </c>
      <c r="F60" s="177">
        <f>ROUNDDOWN(IF(D$48 &gt; 9,(G60/1000+ (1/IF(Config1_SystemMode = "System Deep Sleep", 2000, D$46)*1000)*15)*IF(E60="Enabled", D$49, 1),0), 2)</f>
        <v>0</v>
      </c>
      <c r="G60" s="112">
        <f>ROUNDUP(ROUND(D60*D46/1000000,0)/D46*1000000,0)</f>
        <v>1000</v>
      </c>
      <c r="H60" s="112" t="s">
        <v>439</v>
      </c>
      <c r="AB60" s="41"/>
    </row>
    <row r="61" spans="2:28" ht="12.9" customHeight="1" x14ac:dyDescent="0.25">
      <c r="B61" s="234"/>
      <c r="C61" s="173">
        <v>10</v>
      </c>
      <c r="D61" s="60">
        <v>1000</v>
      </c>
      <c r="E61" s="60" t="s">
        <v>151</v>
      </c>
      <c r="F61" s="177">
        <f>ROUNDDOWN(IF(D$48 &gt;10,(G61/1000+ (1/IF(Config1_SystemMode = "System Deep Sleep", 2000, D$46)*1000)*15)*IF(E61="Enabled", D$49, 1),0), 2)</f>
        <v>0</v>
      </c>
      <c r="G61" s="112">
        <f>ROUNDUP(ROUND(D61*D46/1000000,0)/D46*1000000,0)</f>
        <v>1000</v>
      </c>
      <c r="H61" s="112" t="s">
        <v>440</v>
      </c>
      <c r="AB61" s="41"/>
    </row>
    <row r="62" spans="2:28" ht="12.9" customHeight="1" x14ac:dyDescent="0.25">
      <c r="B62" s="234"/>
      <c r="C62" s="173">
        <v>11</v>
      </c>
      <c r="D62" s="60">
        <v>1000</v>
      </c>
      <c r="E62" s="60" t="s">
        <v>151</v>
      </c>
      <c r="F62" s="177">
        <f>ROUNDDOWN(IF(D$48 &gt; 11,(G62/1000+ (1/IF(Config1_SystemMode = "System Deep Sleep", 2000, D$46)*1000)*15)*IF(E62="Enabled", D$49, 1),0), 2)</f>
        <v>0</v>
      </c>
      <c r="G62" s="112">
        <f>ROUNDUP(ROUND(D62*D46/1000000,0)/D46*1000000,0)</f>
        <v>1000</v>
      </c>
      <c r="H62" s="112" t="s">
        <v>441</v>
      </c>
      <c r="AB62" s="41"/>
    </row>
    <row r="63" spans="2:28" ht="12.9" customHeight="1" x14ac:dyDescent="0.25">
      <c r="B63" s="234"/>
      <c r="C63" s="173">
        <v>12</v>
      </c>
      <c r="D63" s="60">
        <v>1000</v>
      </c>
      <c r="E63" s="60" t="s">
        <v>151</v>
      </c>
      <c r="F63" s="177">
        <f>ROUNDDOWN(IF(D$48 &gt; 12,(G63/1000+ (1/IF(Config1_SystemMode = "System Deep Sleep", 2000, D$46)*1000)*15)*IF(E63="Enabled", D$49, 1),0), 2)</f>
        <v>0</v>
      </c>
      <c r="G63" s="112">
        <f>ROUNDUP(ROUND(D63*D46/1000000,0)/D46*1000000,0)</f>
        <v>1000</v>
      </c>
      <c r="H63" s="112" t="s">
        <v>442</v>
      </c>
      <c r="AB63" s="41"/>
    </row>
    <row r="64" spans="2:28" ht="12.9" customHeight="1" x14ac:dyDescent="0.25">
      <c r="B64" s="234"/>
      <c r="C64" s="173">
        <v>13</v>
      </c>
      <c r="D64" s="60">
        <v>1000</v>
      </c>
      <c r="E64" s="60" t="s">
        <v>151</v>
      </c>
      <c r="F64" s="177">
        <f>ROUNDDOWN(IF(D$48 &gt; 13,(G64/1000+ (1/IF(Config1_SystemMode = "System Deep Sleep", 2000, D$46)*1000)*15)*IF(E64="Enabled", D$49, 1),0), 2)</f>
        <v>0</v>
      </c>
      <c r="G64" s="112">
        <f>ROUNDUP(ROUND(D64*D46/1000000,0)/D46*1000000,0)</f>
        <v>1000</v>
      </c>
      <c r="H64" s="112" t="s">
        <v>443</v>
      </c>
      <c r="AB64" s="41"/>
    </row>
    <row r="65" spans="2:28" ht="12.9" customHeight="1" x14ac:dyDescent="0.25">
      <c r="B65" s="234"/>
      <c r="C65" s="173">
        <v>14</v>
      </c>
      <c r="D65" s="60">
        <v>1000</v>
      </c>
      <c r="E65" s="60" t="s">
        <v>151</v>
      </c>
      <c r="F65" s="177">
        <f>ROUNDDOWN(IF(D$48 &gt; 14,(G65/1000+ (1/IF(Config1_SystemMode = "System Deep Sleep", 2000, D$46)*1000)*15)*IF(E65="Enabled", D$49, 1),0), 2)</f>
        <v>0</v>
      </c>
      <c r="G65" s="112">
        <f>ROUNDUP(ROUND(D65*D46/1000000,0)/D46*1000000,0)</f>
        <v>1000</v>
      </c>
      <c r="H65" s="112" t="s">
        <v>444</v>
      </c>
      <c r="AB65" s="41"/>
    </row>
    <row r="66" spans="2:28" ht="12.9" customHeight="1" x14ac:dyDescent="0.25">
      <c r="B66" s="234"/>
      <c r="C66" s="173">
        <v>15</v>
      </c>
      <c r="D66" s="60">
        <v>1000</v>
      </c>
      <c r="E66" s="60" t="s">
        <v>151</v>
      </c>
      <c r="F66" s="177">
        <f>ROUNDDOWN(IF(D$48 &gt; 15,(G66/1000+ (1/IF(Config1_SystemMode = "System Deep Sleep", 2000, D$46)*1000)*15)*IF(E66="Enabled", D$49, 1),0), 2)</f>
        <v>0</v>
      </c>
      <c r="G66" s="112">
        <f>ROUNDUP(ROUND(D66*D46/1000000,0)/D46*1000000,0)</f>
        <v>1000</v>
      </c>
      <c r="H66" s="112" t="s">
        <v>445</v>
      </c>
      <c r="AB66" s="41"/>
    </row>
    <row r="67" spans="2:28" ht="12.9" customHeight="1" x14ac:dyDescent="0.25">
      <c r="B67" s="234"/>
      <c r="C67" s="230" t="s">
        <v>448</v>
      </c>
      <c r="D67" s="231"/>
      <c r="E67" s="232"/>
      <c r="F67" s="178">
        <f>IF(I46=TRUE,SUM(F51:F66),0)</f>
        <v>0</v>
      </c>
      <c r="G67" s="122" t="s">
        <v>413</v>
      </c>
      <c r="H67" s="112"/>
      <c r="AB67" s="41"/>
    </row>
    <row r="68" spans="2:28" ht="12.9" customHeight="1" x14ac:dyDescent="0.25">
      <c r="B68" s="234"/>
      <c r="C68" s="230" t="s">
        <v>446</v>
      </c>
      <c r="D68" s="231"/>
      <c r="E68" s="232"/>
      <c r="F68" s="152">
        <f>(F67*D42+IF(Config1_SystemMode = "System Deep Sleep", D41,0))*IF(NOT(B44), 0, 1)</f>
        <v>0</v>
      </c>
      <c r="G68" s="122" t="s">
        <v>413</v>
      </c>
      <c r="H68" s="112"/>
      <c r="AB68" s="41"/>
    </row>
    <row r="69" spans="2:28" s="195" customFormat="1" ht="12.9" customHeight="1" x14ac:dyDescent="0.25">
      <c r="B69" s="235"/>
      <c r="C69" s="182" t="s">
        <v>447</v>
      </c>
      <c r="D69" s="183"/>
      <c r="E69" s="184"/>
      <c r="F69" s="66">
        <f>IF(I46=FALSE,0,IF(B44, IF(AND(Config1_SystemMode = "System Deep Sleep", SelectedDevice = "PSOC 62 (256KB)"), Config1_SAR_DPSLP * F68*D47/1000, IF(Config1_SystemMode = "System Deep Sleep", 0, (IF(D45="System bandgap",Config1_SAR_Ped_SysGap,0)+IF(D45="Vdda",Config1_SAR_Ped_Vdda,0)+IF(D45="Vdda/2",Config1_SAR_Ped_Vdda2,0)+D46/18*Config1_SAR_Coef))), 0))</f>
        <v>0</v>
      </c>
      <c r="G69" s="198" t="s">
        <v>10</v>
      </c>
      <c r="H69" s="112"/>
      <c r="AB69" s="196"/>
    </row>
    <row r="70" spans="2:28" x14ac:dyDescent="0.25">
      <c r="B70" s="186" t="s">
        <v>469</v>
      </c>
      <c r="C70" s="187"/>
      <c r="D70" s="188"/>
      <c r="E70" s="89"/>
      <c r="F70" s="189"/>
      <c r="G70" s="187"/>
      <c r="H70" s="190"/>
      <c r="AB70" s="41"/>
    </row>
    <row r="71" spans="2:28" ht="12.9" customHeight="1" x14ac:dyDescent="0.25">
      <c r="B71" s="236" t="b">
        <v>0</v>
      </c>
      <c r="C71" s="174" t="s">
        <v>33</v>
      </c>
      <c r="D71" t="s">
        <v>418</v>
      </c>
      <c r="E71" s="54"/>
      <c r="F71" s="152"/>
      <c r="G71" s="55"/>
      <c r="H71" s="176" t="s">
        <v>465</v>
      </c>
      <c r="I71">
        <f>IF(AND(Config1_SystemMode &lt;&gt; "System Hibernate", SelectedDevice = "PSOC 62 (256KB)"),1,0)</f>
        <v>0</v>
      </c>
      <c r="AB71" s="41"/>
    </row>
    <row r="72" spans="2:28" ht="12.9" customHeight="1" x14ac:dyDescent="0.25">
      <c r="B72" s="237"/>
      <c r="C72" s="122" t="s">
        <v>381</v>
      </c>
      <c r="D72" s="60" t="s">
        <v>451</v>
      </c>
      <c r="E72" s="54"/>
      <c r="F72" s="152"/>
      <c r="G72" s="55"/>
      <c r="H72" s="112" t="s">
        <v>382</v>
      </c>
      <c r="I72" s="159" t="b">
        <f>IF(SUM(I71)&gt;0,IF(B71=TRUE,TRUE,FALSE),FALSE)</f>
        <v>0</v>
      </c>
      <c r="AB72" s="41"/>
    </row>
    <row r="73" spans="2:28" ht="12.9" customHeight="1" x14ac:dyDescent="0.25">
      <c r="B73" s="237"/>
      <c r="C73" s="122" t="s">
        <v>420</v>
      </c>
      <c r="D73" s="169">
        <v>18000</v>
      </c>
      <c r="E73" s="122" t="s">
        <v>424</v>
      </c>
      <c r="F73" s="152"/>
      <c r="G73" s="55"/>
      <c r="H73" s="112" t="s">
        <v>475</v>
      </c>
      <c r="AB73" s="41"/>
    </row>
    <row r="74" spans="2:28" ht="12.9" customHeight="1" x14ac:dyDescent="0.25">
      <c r="B74" s="237"/>
      <c r="C74" s="122" t="s">
        <v>421</v>
      </c>
      <c r="D74" s="175">
        <v>1</v>
      </c>
      <c r="E74" s="122" t="s">
        <v>425</v>
      </c>
      <c r="F74" s="152"/>
      <c r="G74" s="55"/>
      <c r="H74" s="112" t="s">
        <v>387</v>
      </c>
      <c r="AB74" s="41"/>
    </row>
    <row r="75" spans="2:28" ht="12.9" customHeight="1" x14ac:dyDescent="0.25">
      <c r="B75" s="237"/>
      <c r="C75" s="176" t="s">
        <v>422</v>
      </c>
      <c r="D75" s="169">
        <v>1</v>
      </c>
      <c r="E75" s="54"/>
      <c r="F75" s="152"/>
      <c r="G75" s="55"/>
      <c r="H75" s="112" t="s">
        <v>466</v>
      </c>
      <c r="AB75" s="41"/>
    </row>
    <row r="76" spans="2:28" ht="12.9" customHeight="1" x14ac:dyDescent="0.25">
      <c r="B76" s="237"/>
      <c r="C76" s="122" t="s">
        <v>423</v>
      </c>
      <c r="D76" s="169">
        <v>4</v>
      </c>
      <c r="E76" s="54"/>
      <c r="F76" s="152"/>
      <c r="G76" s="55"/>
      <c r="H76" s="112" t="s">
        <v>467</v>
      </c>
      <c r="AB76" s="41"/>
    </row>
    <row r="77" spans="2:28" ht="38.1" customHeight="1" x14ac:dyDescent="0.25">
      <c r="B77" s="237"/>
      <c r="C77" s="113" t="s">
        <v>426</v>
      </c>
      <c r="D77" s="193" t="str">
        <f>"Acquisition Time (min "&amp;ROUNDUP(ROUNDUP(IF(Summary!F33 = "PSOC 62 (256KB)", 83, 166)*IF(Config1_SystemMode = "System Deep Sleep", 2000, D73)/1000000, 0)/IF(Config1_SystemMode = "System Deep Sleep", 2000, D73)*1000000, 0)&amp;"ns)"</f>
        <v>Acquisition Time (min 167ns)</v>
      </c>
      <c r="E77" s="113" t="s">
        <v>427</v>
      </c>
      <c r="F77" s="194" t="s">
        <v>428</v>
      </c>
      <c r="G77" s="193" t="s">
        <v>429</v>
      </c>
      <c r="H77" s="112"/>
      <c r="AB77" s="41"/>
    </row>
    <row r="78" spans="2:28" ht="12.9" customHeight="1" x14ac:dyDescent="0.25">
      <c r="B78" s="237"/>
      <c r="C78" s="122">
        <v>0</v>
      </c>
      <c r="D78" s="60">
        <v>1000</v>
      </c>
      <c r="E78" s="60" t="s">
        <v>151</v>
      </c>
      <c r="F78" s="177">
        <f>ROUNDDOWN((G78/1000+ (1/IF(Config1_SystemMode = "System Deep Sleep", 2000, D73)*1000)*15)*IF(E78="Enabled", D76, 1),2)</f>
        <v>1.83</v>
      </c>
      <c r="G78" s="112">
        <f>ROUNDUP(ROUND(D78*D73/1000000,0)/D73*1000000,0)</f>
        <v>1000</v>
      </c>
      <c r="H78" s="112" t="s">
        <v>430</v>
      </c>
      <c r="AB78" s="41"/>
    </row>
    <row r="79" spans="2:28" ht="12.9" customHeight="1" x14ac:dyDescent="0.25">
      <c r="B79" s="237"/>
      <c r="C79" s="173">
        <v>1</v>
      </c>
      <c r="D79" s="60">
        <v>1000</v>
      </c>
      <c r="E79" s="60" t="s">
        <v>151</v>
      </c>
      <c r="F79" s="177">
        <f>ROUNDDOWN(IF(D$75 &gt; 1,(G79/1000+ (1/IF(Config1_SystemMode = "System Deep Sleep", 2000, D$73)*1000)*15)*IF(E79="Enabled", D$76, 1),0), 2)</f>
        <v>0</v>
      </c>
      <c r="G79" s="112">
        <f>ROUNDUP(ROUND(D79*D73/1000000,0)/D73*1000000,0)</f>
        <v>1000</v>
      </c>
      <c r="H79" s="112" t="s">
        <v>431</v>
      </c>
      <c r="AB79" s="41"/>
    </row>
    <row r="80" spans="2:28" ht="12.9" customHeight="1" x14ac:dyDescent="0.25">
      <c r="B80" s="237"/>
      <c r="C80" s="173">
        <v>2</v>
      </c>
      <c r="D80" s="60">
        <v>1000</v>
      </c>
      <c r="E80" s="60" t="s">
        <v>151</v>
      </c>
      <c r="F80" s="177">
        <f>ROUNDDOWN(IF(D$75 &gt; 2,(G79/1000+ (1/IF(Config1_SystemMode = "System Deep Sleep", 2000, D$73)*1000)*15)*IF(E79="Enabled", D$76, 1),0), 2)</f>
        <v>0</v>
      </c>
      <c r="G80" s="112">
        <f>ROUNDUP(ROUND(D80*D73/1000000,0)/D73*1000000,0)</f>
        <v>1000</v>
      </c>
      <c r="H80" s="112" t="s">
        <v>432</v>
      </c>
      <c r="AB80" s="41"/>
    </row>
    <row r="81" spans="2:28" ht="12.9" customHeight="1" x14ac:dyDescent="0.25">
      <c r="B81" s="237"/>
      <c r="C81" s="173">
        <v>3</v>
      </c>
      <c r="D81" s="60">
        <v>1000</v>
      </c>
      <c r="E81" s="60" t="s">
        <v>151</v>
      </c>
      <c r="F81" s="177">
        <f>ROUNDDOWN(IF(D$75 &gt; 2,(G80/1000+ (1/IF(Config1_SystemMode = "System Deep Sleep", 2000, D$73)*1000)*15)*IF(E80="Enabled", D$76, 1),0), 2)</f>
        <v>0</v>
      </c>
      <c r="G81" s="112">
        <f>ROUNDUP(ROUND(D81*D73/1000000,0)/D73*1000000,0)</f>
        <v>1000</v>
      </c>
      <c r="H81" s="112" t="s">
        <v>433</v>
      </c>
      <c r="AB81" s="41"/>
    </row>
    <row r="82" spans="2:28" ht="12.9" customHeight="1" x14ac:dyDescent="0.25">
      <c r="B82" s="237"/>
      <c r="C82" s="173">
        <v>4</v>
      </c>
      <c r="D82" s="60">
        <v>1000</v>
      </c>
      <c r="E82" s="60" t="s">
        <v>151</v>
      </c>
      <c r="F82" s="177">
        <f>ROUNDDOWN(IF(D$75 &gt; 4,(G81/1000+ (1/IF(Config1_SystemMode = "System Deep Sleep", 2000, D$73)*1000)*15)*IF(E81="Enabled", D$76, 1),0), 2)</f>
        <v>0</v>
      </c>
      <c r="G82" s="112">
        <f>ROUNDUP(ROUND(D82*D73/1000000,0)/D73*1000000,0)</f>
        <v>1000</v>
      </c>
      <c r="H82" s="112" t="s">
        <v>434</v>
      </c>
      <c r="AB82" s="41"/>
    </row>
    <row r="83" spans="2:28" ht="12.9" customHeight="1" x14ac:dyDescent="0.25">
      <c r="B83" s="237"/>
      <c r="C83" s="173">
        <v>5</v>
      </c>
      <c r="D83" s="60">
        <v>1000</v>
      </c>
      <c r="E83" s="60" t="s">
        <v>151</v>
      </c>
      <c r="F83" s="177">
        <f>ROUNDDOWN(IF(D$75 &gt; 5,(G82/1000+ (1/IF(Config1_SystemMode = "System Deep Sleep", 2000, D$73)*1000)*15)*IF(E82="Enabled", D$76, 1),0), 2)</f>
        <v>0</v>
      </c>
      <c r="G83" s="112">
        <f>ROUNDUP(ROUND(D83*D73/1000000,0)/D73*1000000,0)</f>
        <v>1000</v>
      </c>
      <c r="H83" s="112" t="s">
        <v>435</v>
      </c>
      <c r="AB83" s="41"/>
    </row>
    <row r="84" spans="2:28" ht="12.9" customHeight="1" x14ac:dyDescent="0.25">
      <c r="B84" s="237"/>
      <c r="C84" s="173">
        <v>6</v>
      </c>
      <c r="D84" s="60">
        <v>1000</v>
      </c>
      <c r="E84" s="60" t="s">
        <v>151</v>
      </c>
      <c r="F84" s="177">
        <f>ROUNDDOWN(IF(D$75 &gt; 6,(G83/1000+ (1/IF(Config1_SystemMode = "System Deep Sleep", 2000, D$73)*1000)*15)*IF(E83="Enabled", D$76, 1),0), 2)</f>
        <v>0</v>
      </c>
      <c r="G84" s="112">
        <f>ROUNDUP(ROUND(D84*D73/1000000,0)/D73*1000000,0)</f>
        <v>1000</v>
      </c>
      <c r="H84" s="112" t="s">
        <v>436</v>
      </c>
      <c r="AB84" s="41"/>
    </row>
    <row r="85" spans="2:28" ht="12.9" customHeight="1" x14ac:dyDescent="0.25">
      <c r="B85" s="237"/>
      <c r="C85" s="173">
        <v>7</v>
      </c>
      <c r="D85" s="60">
        <v>1000</v>
      </c>
      <c r="E85" s="60" t="s">
        <v>151</v>
      </c>
      <c r="F85" s="177">
        <f>ROUNDDOWN(IF(D$75 &gt;7,(G84/1000+ (1/IF(Config1_SystemMode = "System Deep Sleep", 2000, D$73)*1000)*15)*IF(E84="Enabled", D$76, 1),0), 2)</f>
        <v>0</v>
      </c>
      <c r="G85" s="112">
        <f>ROUNDUP(ROUND(D85*D73/1000000,0)/D73*1000000,0)</f>
        <v>1000</v>
      </c>
      <c r="H85" s="112" t="s">
        <v>437</v>
      </c>
      <c r="AB85" s="41"/>
    </row>
    <row r="86" spans="2:28" ht="12.9" customHeight="1" x14ac:dyDescent="0.25">
      <c r="B86" s="237"/>
      <c r="C86" s="173">
        <v>8</v>
      </c>
      <c r="D86" s="60">
        <v>1000</v>
      </c>
      <c r="E86" s="60" t="s">
        <v>151</v>
      </c>
      <c r="F86" s="177">
        <f>ROUNDDOWN(IF(D$75 &gt; 8,(G85/1000+ (1/IF(Config1_SystemMode = "System Deep Sleep", 2000, D$73)*1000)*15)*IF(E85="Enabled", D$76, 1),0), 2)</f>
        <v>0</v>
      </c>
      <c r="G86" s="112">
        <f>ROUNDUP(ROUND(D86*D73/1000000,0)/D73*1000000,0)</f>
        <v>1000</v>
      </c>
      <c r="H86" s="112" t="s">
        <v>438</v>
      </c>
      <c r="AB86" s="41"/>
    </row>
    <row r="87" spans="2:28" ht="12.9" customHeight="1" x14ac:dyDescent="0.25">
      <c r="B87" s="237"/>
      <c r="C87" s="173">
        <v>9</v>
      </c>
      <c r="D87" s="60">
        <v>1000</v>
      </c>
      <c r="E87" s="60" t="s">
        <v>151</v>
      </c>
      <c r="F87" s="177">
        <f>ROUNDDOWN(IF(D$75 &gt; 9,(G86/1000+ (1/IF(Config1_SystemMode = "System Deep Sleep", 2000, D$73)*1000)*15)*IF(E86="Enabled", D$76, 1),0), 2)</f>
        <v>0</v>
      </c>
      <c r="G87" s="112">
        <f>ROUNDUP(ROUND(D87*D73/1000000,0)/D73*1000000,0)</f>
        <v>1000</v>
      </c>
      <c r="H87" s="112" t="s">
        <v>439</v>
      </c>
      <c r="AB87" s="41"/>
    </row>
    <row r="88" spans="2:28" ht="12.9" customHeight="1" x14ac:dyDescent="0.25">
      <c r="B88" s="237"/>
      <c r="C88" s="173">
        <v>10</v>
      </c>
      <c r="D88" s="60">
        <v>1000</v>
      </c>
      <c r="E88" s="60" t="s">
        <v>151</v>
      </c>
      <c r="F88" s="177">
        <f>ROUNDDOWN(IF(D$75 &gt; 10,(G87/1000+ (1/IF(Config1_SystemMode = "System Deep Sleep", 2000, D$73)*1000)*15)*IF(E87="Enabled", D$76, 1),0), 2)</f>
        <v>0</v>
      </c>
      <c r="G88" s="112">
        <f>ROUNDUP(ROUND(D88*D73/1000000,0)/D73*1000000,0)</f>
        <v>1000</v>
      </c>
      <c r="H88" s="112" t="s">
        <v>440</v>
      </c>
      <c r="AB88" s="41"/>
    </row>
    <row r="89" spans="2:28" ht="12.9" customHeight="1" x14ac:dyDescent="0.25">
      <c r="B89" s="237"/>
      <c r="C89" s="173">
        <v>11</v>
      </c>
      <c r="D89" s="60">
        <v>1000</v>
      </c>
      <c r="E89" s="60" t="s">
        <v>151</v>
      </c>
      <c r="F89" s="177">
        <f>ROUNDDOWN(IF(D$75 &gt; 11,(G88/1000+ (1/IF(Config1_SystemMode = "System Deep Sleep", 2000, D$73)*1000)*15)*IF(E88="Enabled", D$76, 1),0), 2)</f>
        <v>0</v>
      </c>
      <c r="G89" s="112">
        <f>ROUNDUP(ROUND(D89*D73/1000000,0)/D73*1000000,0)</f>
        <v>1000</v>
      </c>
      <c r="H89" s="112" t="s">
        <v>441</v>
      </c>
      <c r="AB89" s="41"/>
    </row>
    <row r="90" spans="2:28" ht="12.9" customHeight="1" x14ac:dyDescent="0.25">
      <c r="B90" s="237"/>
      <c r="C90" s="173">
        <v>12</v>
      </c>
      <c r="D90" s="60">
        <v>1000</v>
      </c>
      <c r="E90" s="60" t="s">
        <v>151</v>
      </c>
      <c r="F90" s="177">
        <f>ROUNDDOWN(IF(D$75 &gt; 12,(G89/1000+ (1/IF(Config1_SystemMode = "System Deep Sleep", 2000, D$73)*1000)*15)*IF(E89="Enabled", D$76, 1),0), 2)</f>
        <v>0</v>
      </c>
      <c r="G90" s="112">
        <f>ROUNDUP(ROUND(D90*D73/1000000,0)/D73*1000000,0)</f>
        <v>1000</v>
      </c>
      <c r="H90" s="112" t="s">
        <v>442</v>
      </c>
      <c r="AB90" s="41"/>
    </row>
    <row r="91" spans="2:28" ht="12.9" customHeight="1" x14ac:dyDescent="0.25">
      <c r="B91" s="237"/>
      <c r="C91" s="173">
        <v>13</v>
      </c>
      <c r="D91" s="60">
        <v>1000</v>
      </c>
      <c r="E91" s="60" t="s">
        <v>151</v>
      </c>
      <c r="F91" s="177">
        <f>ROUNDDOWN(IF(D$75 &gt; 13,(G90/1000+ (1/IF(Config1_SystemMode = "System Deep Sleep", 2000, D$73)*1000)*15)*IF(E90="Enabled", D$76, 1),0), 2)</f>
        <v>0</v>
      </c>
      <c r="G91" s="112">
        <f>ROUNDUP(ROUND(D91*D73/1000000,0)/D73*1000000,0)</f>
        <v>1000</v>
      </c>
      <c r="H91" s="112" t="s">
        <v>443</v>
      </c>
      <c r="AB91" s="41"/>
    </row>
    <row r="92" spans="2:28" ht="12.9" customHeight="1" x14ac:dyDescent="0.25">
      <c r="B92" s="237"/>
      <c r="C92" s="173">
        <v>14</v>
      </c>
      <c r="D92" s="60">
        <v>1000</v>
      </c>
      <c r="E92" s="60" t="s">
        <v>151</v>
      </c>
      <c r="F92" s="177">
        <f>ROUNDDOWN(IF(D$75 &gt; 14,(G91/1000+ (1/IF(Config1_SystemMode = "System Deep Sleep", 2000, D$73)*1000)*15)*IF(E91="Enabled", D$76, 1),0), 2)</f>
        <v>0</v>
      </c>
      <c r="G92" s="112">
        <f>ROUNDUP(ROUND(D92*D73/1000000,0)/D73*1000000,0)</f>
        <v>1000</v>
      </c>
      <c r="H92" s="112" t="s">
        <v>444</v>
      </c>
      <c r="AB92" s="41"/>
    </row>
    <row r="93" spans="2:28" ht="12.9" customHeight="1" x14ac:dyDescent="0.25">
      <c r="B93" s="237"/>
      <c r="C93" s="173">
        <v>15</v>
      </c>
      <c r="D93" s="60">
        <v>1000</v>
      </c>
      <c r="E93" s="60" t="s">
        <v>151</v>
      </c>
      <c r="F93" s="177">
        <f>ROUNDDOWN(IF(D$75 &gt; 15,(G92/1000+ (1/IF(Config1_SystemMode = "System Deep Sleep", 2000, D$73)*1000)*15)*IF(E92="Enabled", D$76, 1),0), 2)</f>
        <v>0</v>
      </c>
      <c r="G93" s="112">
        <f>ROUNDUP(ROUND(D93*D73/1000000,0)/D73*1000000,0)</f>
        <v>1000</v>
      </c>
      <c r="H93" s="112" t="s">
        <v>445</v>
      </c>
      <c r="AB93" s="41"/>
    </row>
    <row r="94" spans="2:28" ht="12.9" customHeight="1" x14ac:dyDescent="0.25">
      <c r="B94" s="237"/>
      <c r="C94" s="230" t="s">
        <v>448</v>
      </c>
      <c r="D94" s="231"/>
      <c r="E94" s="232"/>
      <c r="F94" s="178">
        <f>IF(I72=TRUE,SUM(F78:F93),0)</f>
        <v>0</v>
      </c>
      <c r="G94" s="122" t="s">
        <v>413</v>
      </c>
      <c r="H94" s="112"/>
      <c r="AB94" s="41"/>
    </row>
    <row r="95" spans="2:28" ht="12.9" customHeight="1" x14ac:dyDescent="0.25">
      <c r="B95" s="237"/>
      <c r="C95" s="230" t="s">
        <v>446</v>
      </c>
      <c r="D95" s="231"/>
      <c r="E95" s="232"/>
      <c r="F95" s="152">
        <f>(F94*D42+IF(Config1_SystemMode = "System Deep Sleep", D41,0))*IF(NOT(B71), 0, 1)</f>
        <v>0</v>
      </c>
      <c r="G95" s="122" t="s">
        <v>413</v>
      </c>
      <c r="H95" s="112"/>
      <c r="AB95" s="41"/>
    </row>
    <row r="96" spans="2:28" ht="12.9" customHeight="1" x14ac:dyDescent="0.25">
      <c r="B96" s="238"/>
      <c r="C96" s="182" t="s">
        <v>471</v>
      </c>
      <c r="D96" s="179"/>
      <c r="E96" s="180"/>
      <c r="F96" s="66">
        <f>IF(I72=FALSE,0,IF(B71, IF(AND(Config1_SystemMode = "System Deep Sleep", SelectedDevice = "PSOC 62 (256KB)"), Config1_SAR_DPSLP * F95*D74/1000, IF(Config1_SystemMode = "System Deep Sleep", 0, (IF(D72="System bandgap",Config1_SAR_Ped_SysGap,0)+IF(D72="Vdda",Config1_SAR_Ped_Vdda,0)+IF(D72="Vdda/2",Config1_SAR_Ped_Vdda2,0)+D73/18*Config1_SAR_Coef))), 0))</f>
        <v>0</v>
      </c>
      <c r="G96" s="197" t="s">
        <v>10</v>
      </c>
      <c r="H96" s="112"/>
      <c r="AB96" s="41"/>
    </row>
    <row r="97" spans="2:28" x14ac:dyDescent="0.25">
      <c r="B97" s="186" t="s">
        <v>452</v>
      </c>
      <c r="C97" s="188"/>
      <c r="D97" s="188"/>
      <c r="E97" s="188"/>
      <c r="F97" s="191"/>
      <c r="G97" s="190"/>
      <c r="H97" s="190"/>
      <c r="AB97" s="41"/>
    </row>
    <row r="98" spans="2:28" x14ac:dyDescent="0.25">
      <c r="B98" s="168"/>
      <c r="C98" s="122" t="s">
        <v>453</v>
      </c>
      <c r="D98" s="60" t="s">
        <v>457</v>
      </c>
      <c r="E98" s="54"/>
      <c r="F98" s="152"/>
      <c r="G98" s="122"/>
      <c r="H98" s="112"/>
      <c r="AB98" s="41"/>
    </row>
    <row r="99" spans="2:28" x14ac:dyDescent="0.25">
      <c r="B99" s="168"/>
      <c r="C99" s="122" t="s">
        <v>454</v>
      </c>
      <c r="D99" s="146" t="s">
        <v>458</v>
      </c>
      <c r="E99" s="54"/>
      <c r="F99" s="152"/>
      <c r="G99" s="122"/>
      <c r="H99" s="112" t="s">
        <v>456</v>
      </c>
      <c r="AB99" s="41"/>
    </row>
    <row r="100" spans="2:28" x14ac:dyDescent="0.25">
      <c r="B100" s="53" t="s">
        <v>54</v>
      </c>
      <c r="C100" s="53"/>
      <c r="D100" s="53"/>
      <c r="E100" s="53"/>
      <c r="F100" s="53"/>
      <c r="G100" s="53"/>
      <c r="H100" s="53"/>
      <c r="AB100" s="41"/>
    </row>
    <row r="101" spans="2:28" x14ac:dyDescent="0.25">
      <c r="B101" s="54"/>
      <c r="C101" s="54" t="s">
        <v>33</v>
      </c>
      <c r="D101" s="60" t="s">
        <v>28</v>
      </c>
      <c r="E101" s="54"/>
      <c r="F101" s="57">
        <f>IF(D101="Off",0,IF(D101="High",IF(D98="100nA",Config1_OpAmp_High_100nA,Config1_OpAmp_High_1uA),0)+IF(D101="Low",IF(D98="100nA",Config1_OpAmp_Low_100nA,Config1_OpAmp_Low_1uA),0)+IF(D101="Medium",IF(D98="100nA",Config1_OpAmp_Med_100nA,Config1_OpAmp_Med_1uA),0))* IF(AND(D99 = "Deep Sleep Clock", Config1_SystemMode = "System Deep Sleep", OR(IF(F69= 0, FALSE, TRUE), IF(F96 = 0, FALSE, TRUE))), MAX(F68, F95)* IF(B44, D47, (IF(B71, D74, 1)))/1000,1)</f>
        <v>0</v>
      </c>
      <c r="G101" s="185" t="s">
        <v>57</v>
      </c>
      <c r="H101" s="112" t="s">
        <v>73</v>
      </c>
      <c r="AB101" s="41"/>
    </row>
    <row r="102" spans="2:28" x14ac:dyDescent="0.25">
      <c r="B102" s="53" t="s">
        <v>55</v>
      </c>
      <c r="C102" s="53"/>
      <c r="D102" s="53"/>
      <c r="E102" s="53"/>
      <c r="F102" s="53"/>
      <c r="G102" s="53"/>
      <c r="H102" s="53"/>
      <c r="AB102" s="41"/>
    </row>
    <row r="103" spans="2:28" x14ac:dyDescent="0.25">
      <c r="B103" s="54"/>
      <c r="C103" s="54" t="s">
        <v>33</v>
      </c>
      <c r="D103" s="60" t="s">
        <v>28</v>
      </c>
      <c r="E103" s="54"/>
      <c r="F103" s="57">
        <f>IF(D103="Off",0,IF(D103="High",IF(D98="100nA",Config1_OpAmp_High_100nA,Config1_OpAmp_High_1uA),0)+IF(D103="Low",IF(D98="100nA",Config1_OpAmp_Low_100nA,Config1_OpAmp_Low_1uA),0)+IF(D103="Medium",IF(D98="100nA",Config1_OpAmp_Med_100nA,Config1_OpAmp_Med_1uA),0))* IF(AND(D99 = "Deep Sleep Clock", Config1_SystemMode = "System Deep Sleep", OR(IF(F69= 0, FALSE, TRUE), IF(F96 = 0, FALSE, TRUE))), MAX(F68, F95)* IF(B44, D47, (IF(B71, D74, 1)))/1000,1)</f>
        <v>0</v>
      </c>
      <c r="G103" s="185" t="s">
        <v>57</v>
      </c>
      <c r="H103" s="112" t="s">
        <v>72</v>
      </c>
      <c r="AB103" s="43"/>
    </row>
    <row r="104" spans="2:28" x14ac:dyDescent="0.25">
      <c r="B104" s="53" t="s">
        <v>52</v>
      </c>
      <c r="C104" s="53"/>
      <c r="D104" s="53"/>
      <c r="E104" s="53"/>
      <c r="F104" s="53"/>
      <c r="G104" s="53"/>
      <c r="H104" s="53"/>
      <c r="AB104" s="41"/>
    </row>
    <row r="105" spans="2:28" x14ac:dyDescent="0.25">
      <c r="B105" s="54"/>
      <c r="C105" s="54" t="s">
        <v>2</v>
      </c>
      <c r="D105" s="60" t="s">
        <v>28</v>
      </c>
      <c r="E105" s="54"/>
      <c r="F105" s="57">
        <f>IF(D105="Off",0,IF(D105="Fast/Normal",Config2_LP_Fast,IF(D105="Medium/Low Power",Config2_LP_Med,Config2_LP_Slow)))</f>
        <v>0</v>
      </c>
      <c r="G105" s="58" t="s">
        <v>57</v>
      </c>
      <c r="H105" s="59" t="s">
        <v>74</v>
      </c>
      <c r="AB105" s="41"/>
    </row>
    <row r="106" spans="2:28" x14ac:dyDescent="0.25">
      <c r="B106" s="53" t="s">
        <v>53</v>
      </c>
      <c r="C106" s="53"/>
      <c r="D106" s="53"/>
      <c r="E106" s="53"/>
      <c r="F106" s="53"/>
      <c r="G106" s="53"/>
      <c r="H106" s="53"/>
      <c r="AB106" s="41"/>
    </row>
    <row r="107" spans="2:28" x14ac:dyDescent="0.25">
      <c r="B107" s="54"/>
      <c r="C107" s="54" t="s">
        <v>2</v>
      </c>
      <c r="D107" s="60" t="s">
        <v>28</v>
      </c>
      <c r="E107" s="54"/>
      <c r="F107" s="57">
        <f>IF(D107="Off",0,IF(D107="Fast/Normal",Config2_LP_Fast,IF(D107="Medium/Low Power",Config2_LP_Med,Config2_LP_Slow)))</f>
        <v>0</v>
      </c>
      <c r="G107" s="58" t="s">
        <v>57</v>
      </c>
      <c r="H107" s="59" t="s">
        <v>75</v>
      </c>
      <c r="AB107" s="41"/>
    </row>
    <row r="108" spans="2:28" x14ac:dyDescent="0.25">
      <c r="B108" s="53" t="s">
        <v>86</v>
      </c>
      <c r="C108" s="53"/>
      <c r="D108" s="53"/>
      <c r="E108" s="53"/>
      <c r="F108" s="53"/>
      <c r="G108" s="53"/>
      <c r="H108" s="53"/>
      <c r="AB108" s="41"/>
    </row>
    <row r="109" spans="2:28" x14ac:dyDescent="0.25">
      <c r="B109" s="54"/>
      <c r="C109" s="55" t="s">
        <v>156</v>
      </c>
      <c r="D109" s="60">
        <v>0</v>
      </c>
      <c r="E109" s="54"/>
      <c r="F109" s="57">
        <f ca="1">D109*Config2_DAC_Ped</f>
        <v>0</v>
      </c>
      <c r="G109" s="58" t="s">
        <v>57</v>
      </c>
      <c r="H109" s="112" t="s">
        <v>211</v>
      </c>
      <c r="AB109" s="41"/>
    </row>
    <row r="110" spans="2:28" x14ac:dyDescent="0.25">
      <c r="B110" s="53" t="s">
        <v>179</v>
      </c>
      <c r="C110" s="53"/>
      <c r="D110" s="53"/>
      <c r="E110" s="53"/>
      <c r="F110" s="53"/>
      <c r="G110" s="53"/>
      <c r="H110" s="53"/>
      <c r="AB110" s="41"/>
    </row>
    <row r="111" spans="2:28" x14ac:dyDescent="0.25">
      <c r="B111" s="55"/>
      <c r="C111" s="55" t="s">
        <v>56</v>
      </c>
      <c r="D111" s="56">
        <v>0</v>
      </c>
      <c r="E111" s="55" t="s">
        <v>3</v>
      </c>
      <c r="F111" s="57">
        <f>IF(D111=0,0,D111*Config2_CapSense_Coef+Config2_CapSense_Ped)</f>
        <v>0</v>
      </c>
      <c r="G111" s="58" t="s">
        <v>57</v>
      </c>
      <c r="H111" s="112" t="s">
        <v>215</v>
      </c>
      <c r="AB111" s="41"/>
    </row>
    <row r="112" spans="2:28" s="1" customFormat="1" x14ac:dyDescent="0.25">
      <c r="B112" s="53" t="s">
        <v>180</v>
      </c>
      <c r="C112" s="53"/>
      <c r="D112" s="53"/>
      <c r="E112" s="53"/>
      <c r="F112" s="53"/>
      <c r="G112" s="53"/>
      <c r="H112" s="53"/>
      <c r="AB112" s="41"/>
    </row>
    <row r="113" spans="2:28" x14ac:dyDescent="0.25">
      <c r="B113" s="55"/>
      <c r="C113" s="55" t="s">
        <v>56</v>
      </c>
      <c r="D113" s="56">
        <v>0</v>
      </c>
      <c r="E113" s="55" t="s">
        <v>3</v>
      </c>
      <c r="F113" s="57">
        <f>IF(D113=0,0,D113*Config2_CapSense_Coef+Config2_CapSense_Ped)</f>
        <v>0</v>
      </c>
      <c r="G113" s="58" t="s">
        <v>57</v>
      </c>
      <c r="H113" s="112" t="s">
        <v>215</v>
      </c>
      <c r="AB113" s="41"/>
    </row>
    <row r="114" spans="2:28" s="1" customFormat="1" x14ac:dyDescent="0.25">
      <c r="B114" s="53" t="s">
        <v>152</v>
      </c>
      <c r="C114" s="53"/>
      <c r="D114" s="53"/>
      <c r="E114" s="53"/>
      <c r="F114" s="65">
        <f ca="1">(F69+F96+SUM(F101:F113))/1000</f>
        <v>0</v>
      </c>
      <c r="G114" s="53" t="s">
        <v>316</v>
      </c>
      <c r="H114" s="53"/>
      <c r="AB114" s="41"/>
    </row>
    <row r="115" spans="2:28" s="1" customFormat="1" x14ac:dyDescent="0.25">
      <c r="B115" s="48"/>
      <c r="C115" s="48"/>
      <c r="D115" s="48"/>
      <c r="E115" s="48"/>
      <c r="F115" s="48"/>
      <c r="G115" s="48"/>
      <c r="H115" s="50"/>
      <c r="AB115" s="41"/>
    </row>
    <row r="116" spans="2:28" s="1" customFormat="1" ht="15.6" x14ac:dyDescent="0.3">
      <c r="B116" s="225" t="s">
        <v>139</v>
      </c>
      <c r="C116" s="225"/>
      <c r="D116" s="225"/>
      <c r="E116" s="225"/>
      <c r="F116" s="225"/>
      <c r="G116" s="225"/>
      <c r="H116" s="225"/>
      <c r="AB116" s="41"/>
    </row>
    <row r="117" spans="2:28" s="1" customFormat="1" x14ac:dyDescent="0.25">
      <c r="B117" s="53" t="s">
        <v>68</v>
      </c>
      <c r="C117" s="53"/>
      <c r="D117" s="53"/>
      <c r="E117" s="53"/>
      <c r="F117" s="53"/>
      <c r="G117" s="53"/>
      <c r="H117" s="53"/>
      <c r="AB117" s="41"/>
    </row>
    <row r="118" spans="2:28" s="1" customFormat="1" x14ac:dyDescent="0.25">
      <c r="B118" s="151" t="b">
        <v>0</v>
      </c>
      <c r="C118" s="122" t="s">
        <v>333</v>
      </c>
      <c r="D118" s="149" t="s">
        <v>335</v>
      </c>
      <c r="E118" s="122"/>
      <c r="F118" s="122"/>
      <c r="G118" s="122"/>
      <c r="H118" s="112" t="s">
        <v>337</v>
      </c>
      <c r="AB118" s="41"/>
    </row>
    <row r="119" spans="2:28" x14ac:dyDescent="0.25">
      <c r="B119" s="140"/>
      <c r="C119" s="55" t="s">
        <v>63</v>
      </c>
      <c r="D119" s="56">
        <v>100</v>
      </c>
      <c r="E119" s="54" t="s">
        <v>3</v>
      </c>
      <c r="F119" s="66">
        <f>IF(AND(Config2_AllClocksOn,B118),IF(D118="Disabled",0,Config2_Tcpwm_EnPed*$D$28/100/(2-1/Config2_Tcpwm_Count))+IF(D118="Triggered",D119*IF($D$28=D119,Config2_Tcpwm_TrigPeriCoef,Config2_Tcpwm_TrigCoef),0),0)</f>
        <v>0</v>
      </c>
      <c r="G119" s="58" t="s">
        <v>57</v>
      </c>
      <c r="H119" s="112" t="s">
        <v>212</v>
      </c>
      <c r="AB119" s="41"/>
    </row>
    <row r="120" spans="2:28" x14ac:dyDescent="0.25">
      <c r="B120" s="140" t="b">
        <v>0</v>
      </c>
      <c r="C120" s="122" t="s">
        <v>338</v>
      </c>
      <c r="D120" s="149" t="s">
        <v>335</v>
      </c>
      <c r="E120" s="54"/>
      <c r="F120" s="152"/>
      <c r="G120" s="55"/>
      <c r="H120" s="112" t="s">
        <v>337</v>
      </c>
      <c r="AB120" s="41"/>
    </row>
    <row r="121" spans="2:28" x14ac:dyDescent="0.25">
      <c r="B121" s="140"/>
      <c r="C121" s="122" t="s">
        <v>65</v>
      </c>
      <c r="D121" s="56">
        <v>100</v>
      </c>
      <c r="E121" s="122" t="s">
        <v>3</v>
      </c>
      <c r="F121" s="66">
        <f>IF(AND(Config2_AllClocksOn,B120),IF(D120="Disabled",0,Config2_Tcpwm_EnPed*$D$28/100/(2-1/Config2_Tcpwm_Count))+IF(D120="Triggered",D121*IF($D$28=D121,Config2_Tcpwm_TrigPeriCoef,Config2_Tcpwm_TrigCoef),0),0)</f>
        <v>0</v>
      </c>
      <c r="G121" s="58" t="s">
        <v>57</v>
      </c>
      <c r="H121" s="112" t="s">
        <v>212</v>
      </c>
      <c r="AB121" s="41"/>
    </row>
    <row r="122" spans="2:28" s="1" customFormat="1" x14ac:dyDescent="0.25">
      <c r="B122" s="151" t="b">
        <v>0</v>
      </c>
      <c r="C122" s="122" t="s">
        <v>339</v>
      </c>
      <c r="D122" s="149" t="s">
        <v>335</v>
      </c>
      <c r="E122" s="122"/>
      <c r="F122" s="122"/>
      <c r="G122" s="122"/>
      <c r="H122" s="112" t="s">
        <v>337</v>
      </c>
      <c r="AB122" s="41"/>
    </row>
    <row r="123" spans="2:28" x14ac:dyDescent="0.25">
      <c r="B123" s="140"/>
      <c r="C123" s="122" t="s">
        <v>66</v>
      </c>
      <c r="D123" s="56">
        <v>100</v>
      </c>
      <c r="E123" s="54" t="s">
        <v>3</v>
      </c>
      <c r="F123" s="66">
        <f>IF(AND(Config2_AllClocksOn,B122),IF(D122="Disabled",0,Config2_Tcpwm_EnPed*$D$28/100/(2-1/Config2_Tcpwm_Count))+IF(D122="Triggered",D123*IF($D$28=D123,Config2_Tcpwm_TrigPeriCoef,Config2_Tcpwm_TrigCoef),0),0)</f>
        <v>0</v>
      </c>
      <c r="G123" s="58" t="s">
        <v>57</v>
      </c>
      <c r="H123" s="112" t="s">
        <v>212</v>
      </c>
      <c r="AB123" s="41"/>
    </row>
    <row r="124" spans="2:28" x14ac:dyDescent="0.25">
      <c r="B124" s="140" t="b">
        <v>0</v>
      </c>
      <c r="C124" s="122" t="s">
        <v>340</v>
      </c>
      <c r="D124" s="149" t="s">
        <v>335</v>
      </c>
      <c r="E124" s="54"/>
      <c r="F124" s="152"/>
      <c r="G124" s="55"/>
      <c r="H124" s="112" t="s">
        <v>337</v>
      </c>
      <c r="AB124" s="41"/>
    </row>
    <row r="125" spans="2:28" x14ac:dyDescent="0.25">
      <c r="B125" s="140"/>
      <c r="C125" s="122" t="s">
        <v>67</v>
      </c>
      <c r="D125" s="56">
        <v>100</v>
      </c>
      <c r="E125" s="122" t="s">
        <v>3</v>
      </c>
      <c r="F125" s="66">
        <f>IF(AND(Config2_AllClocksOn,B124),IF(D124="Disabled",0,Config2_Tcpwm_EnPed*$D$28/100/(2-1/Config2_Tcpwm_Count))+IF(D124="Triggered",D125*IF($D$28=D125,Config2_Tcpwm_TrigPeriCoef,Config2_Tcpwm_TrigCoef),0),0)</f>
        <v>0</v>
      </c>
      <c r="G125" s="58" t="s">
        <v>57</v>
      </c>
      <c r="H125" s="112" t="s">
        <v>212</v>
      </c>
      <c r="AB125" s="41"/>
    </row>
    <row r="126" spans="2:28" s="1" customFormat="1" x14ac:dyDescent="0.25">
      <c r="B126" s="151" t="b">
        <v>0</v>
      </c>
      <c r="C126" s="122" t="s">
        <v>341</v>
      </c>
      <c r="D126" s="149" t="s">
        <v>335</v>
      </c>
      <c r="E126" s="122"/>
      <c r="F126" s="122"/>
      <c r="G126" s="122"/>
      <c r="H126" s="112" t="s">
        <v>337</v>
      </c>
      <c r="AB126" s="41"/>
    </row>
    <row r="127" spans="2:28" x14ac:dyDescent="0.25">
      <c r="B127" s="140"/>
      <c r="C127" s="122" t="s">
        <v>145</v>
      </c>
      <c r="D127" s="56">
        <v>100</v>
      </c>
      <c r="E127" s="54" t="s">
        <v>3</v>
      </c>
      <c r="F127" s="66">
        <f>IF(AND(Config2_AllClocksOn,B126),IF(D126="Disabled",0,Config2_Tcpwm_EnPed*$D$28/100/(2-1/Config2_Tcpwm_Count))+IF(D126="Triggered",D127*IF($D$28=D127,Config2_Tcpwm_TrigPeriCoef,Config2_Tcpwm_TrigCoef),0),0)</f>
        <v>0</v>
      </c>
      <c r="G127" s="58" t="s">
        <v>57</v>
      </c>
      <c r="H127" s="112" t="s">
        <v>212</v>
      </c>
      <c r="AB127" s="41"/>
    </row>
    <row r="128" spans="2:28" x14ac:dyDescent="0.25">
      <c r="B128" s="140" t="b">
        <v>0</v>
      </c>
      <c r="C128" s="122" t="s">
        <v>342</v>
      </c>
      <c r="D128" s="149" t="s">
        <v>335</v>
      </c>
      <c r="E128" s="54"/>
      <c r="F128" s="152"/>
      <c r="G128" s="55"/>
      <c r="H128" s="112" t="s">
        <v>337</v>
      </c>
      <c r="AB128" s="41"/>
    </row>
    <row r="129" spans="2:28" x14ac:dyDescent="0.25">
      <c r="B129" s="140"/>
      <c r="C129" s="122" t="s">
        <v>146</v>
      </c>
      <c r="D129" s="56">
        <v>100</v>
      </c>
      <c r="E129" s="122" t="s">
        <v>3</v>
      </c>
      <c r="F129" s="66">
        <f>IF(AND(Config2_AllClocksOn,B128),IF(D128="Disabled",0,Config2_Tcpwm_EnPed*$D$28/100/(2-1/Config2_Tcpwm_Count))+IF(D128="Triggered",D129*IF($D$28=D129,Config2_Tcpwm_TrigPeriCoef,Config2_Tcpwm_TrigCoef),0),0)</f>
        <v>0</v>
      </c>
      <c r="G129" s="58" t="s">
        <v>57</v>
      </c>
      <c r="H129" s="112" t="s">
        <v>212</v>
      </c>
      <c r="AB129" s="41"/>
    </row>
    <row r="130" spans="2:28" s="1" customFormat="1" x14ac:dyDescent="0.25">
      <c r="B130" s="151" t="b">
        <v>0</v>
      </c>
      <c r="C130" s="122" t="s">
        <v>343</v>
      </c>
      <c r="D130" s="149" t="s">
        <v>335</v>
      </c>
      <c r="E130" s="122"/>
      <c r="F130" s="122"/>
      <c r="G130" s="122"/>
      <c r="H130" s="112" t="s">
        <v>337</v>
      </c>
      <c r="AB130" s="41"/>
    </row>
    <row r="131" spans="2:28" x14ac:dyDescent="0.25">
      <c r="B131" s="140"/>
      <c r="C131" s="122" t="s">
        <v>147</v>
      </c>
      <c r="D131" s="56">
        <v>100</v>
      </c>
      <c r="E131" s="54" t="s">
        <v>3</v>
      </c>
      <c r="F131" s="66">
        <f>IF(AND(Config2_AllClocksOn,B130),IF(D130="Disabled",0,Config2_Tcpwm_EnPed*$D$28/100/(2-1/Config2_Tcpwm_Count))+IF(D130="Triggered",D131*IF($D$28=D131,Config2_Tcpwm_TrigPeriCoef,Config2_Tcpwm_TrigCoef),0),0)</f>
        <v>0</v>
      </c>
      <c r="G131" s="58" t="s">
        <v>57</v>
      </c>
      <c r="H131" s="112" t="s">
        <v>212</v>
      </c>
      <c r="AB131" s="41"/>
    </row>
    <row r="132" spans="2:28" x14ac:dyDescent="0.25">
      <c r="B132" s="140" t="b">
        <v>0</v>
      </c>
      <c r="C132" s="122" t="s">
        <v>344</v>
      </c>
      <c r="D132" s="149" t="s">
        <v>335</v>
      </c>
      <c r="E132" s="54"/>
      <c r="F132" s="152"/>
      <c r="G132" s="55"/>
      <c r="H132" s="112" t="s">
        <v>337</v>
      </c>
      <c r="AB132" s="41"/>
    </row>
    <row r="133" spans="2:28" x14ac:dyDescent="0.25">
      <c r="B133" s="140"/>
      <c r="C133" s="122" t="s">
        <v>148</v>
      </c>
      <c r="D133" s="56">
        <v>100</v>
      </c>
      <c r="E133" s="122" t="s">
        <v>3</v>
      </c>
      <c r="F133" s="66">
        <f>IF(AND(Config2_AllClocksOn,B132),IF(D132="Disabled",0,Config2_Tcpwm_EnPed*$D$28/100/(2-1/Config2_Tcpwm_Count))+IF(D132="Triggered",D133*IF($D$28=D133,Config2_Tcpwm_TrigPeriCoef,Config2_Tcpwm_TrigCoef),0),0)</f>
        <v>0</v>
      </c>
      <c r="G133" s="58" t="s">
        <v>57</v>
      </c>
      <c r="H133" s="112" t="s">
        <v>212</v>
      </c>
      <c r="AB133" s="41"/>
    </row>
    <row r="134" spans="2:28" s="1" customFormat="1" hidden="1" outlineLevel="1" x14ac:dyDescent="0.25">
      <c r="B134" s="151" t="b">
        <v>0</v>
      </c>
      <c r="C134" s="122" t="s">
        <v>345</v>
      </c>
      <c r="D134" s="149" t="s">
        <v>335</v>
      </c>
      <c r="E134" s="122"/>
      <c r="F134" s="122"/>
      <c r="G134" s="122"/>
      <c r="H134" s="112" t="s">
        <v>337</v>
      </c>
      <c r="AB134" s="41"/>
    </row>
    <row r="135" spans="2:28" hidden="1" outlineLevel="1" x14ac:dyDescent="0.25">
      <c r="B135" s="140"/>
      <c r="C135" s="122" t="s">
        <v>270</v>
      </c>
      <c r="D135" s="56">
        <v>100</v>
      </c>
      <c r="E135" s="54" t="s">
        <v>3</v>
      </c>
      <c r="F135" s="66">
        <f>IF(AND(Config2_AllClocksOn,B134),IF(D134="Disabled",0,Config2_Tcpwm_EnPed*$D$28/100/(2-1/Config2_Tcpwm_Count))+IF(D134="Triggered",D135*IF($D$28=D135,Config2_Tcpwm_TrigPeriCoef,Config2_Tcpwm_TrigCoef),0),0)</f>
        <v>0</v>
      </c>
      <c r="G135" s="58" t="s">
        <v>57</v>
      </c>
      <c r="H135" s="112" t="s">
        <v>212</v>
      </c>
      <c r="AB135" s="41"/>
    </row>
    <row r="136" spans="2:28" hidden="1" outlineLevel="1" x14ac:dyDescent="0.25">
      <c r="B136" s="140" t="b">
        <v>0</v>
      </c>
      <c r="C136" s="122" t="s">
        <v>346</v>
      </c>
      <c r="D136" s="149" t="s">
        <v>335</v>
      </c>
      <c r="E136" s="54"/>
      <c r="F136" s="152"/>
      <c r="G136" s="55"/>
      <c r="H136" s="112" t="s">
        <v>337</v>
      </c>
      <c r="AB136" s="41"/>
    </row>
    <row r="137" spans="2:28" hidden="1" outlineLevel="1" x14ac:dyDescent="0.25">
      <c r="B137" s="140"/>
      <c r="C137" s="122" t="s">
        <v>271</v>
      </c>
      <c r="D137" s="56">
        <v>100</v>
      </c>
      <c r="E137" s="122" t="s">
        <v>3</v>
      </c>
      <c r="F137" s="66">
        <f>IF(AND(Config2_AllClocksOn,B136),IF(D136="Disabled",0,Config2_Tcpwm_EnPed*$D$28/100/(2-1/Config2_Tcpwm_Count))+IF(D136="Triggered",D137*IF($D$28=D137,Config2_Tcpwm_TrigPeriCoef,Config2_Tcpwm_TrigCoef),0),0)</f>
        <v>0</v>
      </c>
      <c r="G137" s="58" t="s">
        <v>57</v>
      </c>
      <c r="H137" s="112" t="s">
        <v>212</v>
      </c>
      <c r="AB137" s="41"/>
    </row>
    <row r="138" spans="2:28" s="1" customFormat="1" hidden="1" outlineLevel="1" x14ac:dyDescent="0.25">
      <c r="B138" s="151" t="b">
        <v>0</v>
      </c>
      <c r="C138" s="122" t="s">
        <v>347</v>
      </c>
      <c r="D138" s="149" t="s">
        <v>335</v>
      </c>
      <c r="E138" s="122"/>
      <c r="F138" s="122"/>
      <c r="G138" s="122"/>
      <c r="H138" s="112" t="s">
        <v>337</v>
      </c>
      <c r="AB138" s="41"/>
    </row>
    <row r="139" spans="2:28" hidden="1" outlineLevel="1" x14ac:dyDescent="0.25">
      <c r="B139" s="140"/>
      <c r="C139" s="122" t="s">
        <v>272</v>
      </c>
      <c r="D139" s="56">
        <v>100</v>
      </c>
      <c r="E139" s="54" t="s">
        <v>3</v>
      </c>
      <c r="F139" s="66">
        <f>IF(AND(Config2_AllClocksOn,B138),IF(D138="Disabled",0,Config2_Tcpwm_EnPed*$D$28/100/(2-1/Config2_Tcpwm_Count))+IF(D138="Triggered",D139*IF($D$28=D139,Config2_Tcpwm_TrigPeriCoef,Config2_Tcpwm_TrigCoef),0),0)</f>
        <v>0</v>
      </c>
      <c r="G139" s="58" t="s">
        <v>57</v>
      </c>
      <c r="H139" s="112" t="s">
        <v>212</v>
      </c>
      <c r="AB139" s="41"/>
    </row>
    <row r="140" spans="2:28" hidden="1" outlineLevel="1" x14ac:dyDescent="0.25">
      <c r="B140" s="140" t="b">
        <v>0</v>
      </c>
      <c r="C140" s="122" t="s">
        <v>348</v>
      </c>
      <c r="D140" s="149" t="s">
        <v>335</v>
      </c>
      <c r="E140" s="54"/>
      <c r="F140" s="152"/>
      <c r="G140" s="55"/>
      <c r="H140" s="112" t="s">
        <v>337</v>
      </c>
      <c r="AB140" s="41"/>
    </row>
    <row r="141" spans="2:28" hidden="1" outlineLevel="1" x14ac:dyDescent="0.25">
      <c r="B141" s="140"/>
      <c r="C141" s="122" t="s">
        <v>273</v>
      </c>
      <c r="D141" s="56">
        <v>100</v>
      </c>
      <c r="E141" s="122" t="s">
        <v>3</v>
      </c>
      <c r="F141" s="66">
        <f>IF(AND(Config2_AllClocksOn,B140),IF(D140="Disabled",0,Config2_Tcpwm_EnPed*$D$28/100/(2-1/Config2_Tcpwm_Count))+IF(D140="Triggered",D141*IF($D$28=D141,Config2_Tcpwm_TrigPeriCoef,Config2_Tcpwm_TrigCoef),0),0)</f>
        <v>0</v>
      </c>
      <c r="G141" s="58" t="s">
        <v>57</v>
      </c>
      <c r="H141" s="112" t="s">
        <v>212</v>
      </c>
      <c r="AB141" s="41"/>
    </row>
    <row r="142" spans="2:28" s="1" customFormat="1" hidden="1" outlineLevel="1" x14ac:dyDescent="0.25">
      <c r="B142" s="151" t="b">
        <v>0</v>
      </c>
      <c r="C142" s="122" t="s">
        <v>349</v>
      </c>
      <c r="D142" s="149" t="s">
        <v>335</v>
      </c>
      <c r="E142" s="122"/>
      <c r="F142" s="122"/>
      <c r="G142" s="122"/>
      <c r="H142" s="112" t="s">
        <v>337</v>
      </c>
      <c r="AB142" s="41"/>
    </row>
    <row r="143" spans="2:28" hidden="1" outlineLevel="1" x14ac:dyDescent="0.25">
      <c r="B143" s="140"/>
      <c r="C143" s="122" t="s">
        <v>274</v>
      </c>
      <c r="D143" s="56">
        <v>100</v>
      </c>
      <c r="E143" s="54" t="s">
        <v>3</v>
      </c>
      <c r="F143" s="66">
        <f>IF(AND(Config2_AllClocksOn,B142),IF(D142="Disabled",0,Config2_Tcpwm_EnPed*$D$28/100/(2-1/Config2_Tcpwm_Count))+IF(D142="Triggered",D143*IF($D$28=D143,Config2_Tcpwm_TrigPeriCoef,Config2_Tcpwm_TrigCoef),0),0)</f>
        <v>0</v>
      </c>
      <c r="G143" s="58" t="s">
        <v>57</v>
      </c>
      <c r="H143" s="112" t="s">
        <v>212</v>
      </c>
      <c r="AB143" s="41"/>
    </row>
    <row r="144" spans="2:28" hidden="1" outlineLevel="1" x14ac:dyDescent="0.25">
      <c r="B144" s="140" t="b">
        <v>0</v>
      </c>
      <c r="C144" s="122" t="s">
        <v>350</v>
      </c>
      <c r="D144" s="149" t="s">
        <v>335</v>
      </c>
      <c r="E144" s="54"/>
      <c r="F144" s="152"/>
      <c r="G144" s="55"/>
      <c r="H144" s="112" t="s">
        <v>337</v>
      </c>
      <c r="AB144" s="41"/>
    </row>
    <row r="145" spans="2:28" hidden="1" outlineLevel="1" x14ac:dyDescent="0.25">
      <c r="B145" s="140"/>
      <c r="C145" s="122" t="s">
        <v>275</v>
      </c>
      <c r="D145" s="56">
        <v>100</v>
      </c>
      <c r="E145" s="122" t="s">
        <v>3</v>
      </c>
      <c r="F145" s="66">
        <f>IF(AND(Config2_AllClocksOn,B144),IF(D144="Disabled",0,Config2_Tcpwm_EnPed*$D$28/100/(2-1/Config2_Tcpwm_Count))+IF(D144="Triggered",D145*IF($D$28=D145,Config2_Tcpwm_TrigPeriCoef,Config2_Tcpwm_TrigCoef),0),0)</f>
        <v>0</v>
      </c>
      <c r="G145" s="58" t="s">
        <v>57</v>
      </c>
      <c r="H145" s="112" t="s">
        <v>212</v>
      </c>
      <c r="AB145" s="41"/>
    </row>
    <row r="146" spans="2:28" s="1" customFormat="1" hidden="1" outlineLevel="1" x14ac:dyDescent="0.25">
      <c r="B146" s="151" t="b">
        <v>0</v>
      </c>
      <c r="C146" s="122" t="s">
        <v>351</v>
      </c>
      <c r="D146" s="149" t="s">
        <v>335</v>
      </c>
      <c r="E146" s="122"/>
      <c r="F146" s="122"/>
      <c r="G146" s="122"/>
      <c r="H146" s="112" t="s">
        <v>337</v>
      </c>
      <c r="AB146" s="41"/>
    </row>
    <row r="147" spans="2:28" hidden="1" outlineLevel="1" x14ac:dyDescent="0.25">
      <c r="B147" s="140"/>
      <c r="C147" s="122" t="s">
        <v>276</v>
      </c>
      <c r="D147" s="56">
        <v>100</v>
      </c>
      <c r="E147" s="54" t="s">
        <v>3</v>
      </c>
      <c r="F147" s="66">
        <f>IF(AND(Config2_AllClocksOn,B146),IF(D146="Disabled",0,Config2_Tcpwm_EnPed*$D$28/100/(2-1/Config2_Tcpwm_Count))+IF(D146="Triggered",D147*IF($D$28=D147,Config2_Tcpwm_TrigPeriCoef,Config2_Tcpwm_TrigCoef),0),0)</f>
        <v>0</v>
      </c>
      <c r="G147" s="58" t="s">
        <v>57</v>
      </c>
      <c r="H147" s="112" t="s">
        <v>212</v>
      </c>
      <c r="AB147" s="41"/>
    </row>
    <row r="148" spans="2:28" hidden="1" outlineLevel="1" x14ac:dyDescent="0.25">
      <c r="B148" s="140" t="b">
        <v>0</v>
      </c>
      <c r="C148" s="122" t="s">
        <v>352</v>
      </c>
      <c r="D148" s="149" t="s">
        <v>335</v>
      </c>
      <c r="E148" s="54"/>
      <c r="F148" s="152"/>
      <c r="G148" s="55"/>
      <c r="H148" s="112" t="s">
        <v>337</v>
      </c>
      <c r="AB148" s="41"/>
    </row>
    <row r="149" spans="2:28" hidden="1" outlineLevel="1" x14ac:dyDescent="0.25">
      <c r="B149" s="140"/>
      <c r="C149" s="122" t="s">
        <v>277</v>
      </c>
      <c r="D149" s="56">
        <v>100</v>
      </c>
      <c r="E149" s="122" t="s">
        <v>3</v>
      </c>
      <c r="F149" s="66">
        <f>IF(AND(Config2_AllClocksOn,B148),IF(D148="Disabled",0,Config2_Tcpwm_EnPed*$D$28/100/(2-1/Config2_Tcpwm_Count))+IF(D148="Triggered",D149*IF($D$28=D149,Config2_Tcpwm_TrigPeriCoef,Config2_Tcpwm_TrigCoef),0),0)</f>
        <v>0</v>
      </c>
      <c r="G149" s="58" t="s">
        <v>57</v>
      </c>
      <c r="H149" s="112" t="s">
        <v>212</v>
      </c>
      <c r="AB149" s="41"/>
    </row>
    <row r="150" spans="2:28" s="1" customFormat="1" hidden="1" outlineLevel="1" x14ac:dyDescent="0.25">
      <c r="B150" s="151" t="b">
        <v>0</v>
      </c>
      <c r="C150" s="122" t="s">
        <v>353</v>
      </c>
      <c r="D150" s="149" t="s">
        <v>335</v>
      </c>
      <c r="E150" s="122"/>
      <c r="F150" s="122"/>
      <c r="G150" s="122"/>
      <c r="H150" s="112" t="s">
        <v>337</v>
      </c>
      <c r="AB150" s="41"/>
    </row>
    <row r="151" spans="2:28" hidden="1" outlineLevel="1" x14ac:dyDescent="0.25">
      <c r="B151" s="140"/>
      <c r="C151" s="122" t="s">
        <v>278</v>
      </c>
      <c r="D151" s="56">
        <v>100</v>
      </c>
      <c r="E151" s="54" t="s">
        <v>3</v>
      </c>
      <c r="F151" s="66">
        <f>IF(AND(Config2_AllClocksOn,B150),IF(D150="Disabled",0,Config2_Tcpwm_EnPed*$D$28/100/(2-1/Config2_Tcpwm_Count))+IF(D150="Triggered",D151*IF($D$28=D151,Config2_Tcpwm_TrigPeriCoef,Config2_Tcpwm_TrigCoef),0),0)</f>
        <v>0</v>
      </c>
      <c r="G151" s="58" t="s">
        <v>57</v>
      </c>
      <c r="H151" s="112" t="s">
        <v>212</v>
      </c>
      <c r="AB151" s="41"/>
    </row>
    <row r="152" spans="2:28" hidden="1" outlineLevel="1" x14ac:dyDescent="0.25">
      <c r="B152" s="140" t="b">
        <v>0</v>
      </c>
      <c r="C152" s="122" t="s">
        <v>354</v>
      </c>
      <c r="D152" s="149" t="s">
        <v>335</v>
      </c>
      <c r="E152" s="54"/>
      <c r="F152" s="152"/>
      <c r="G152" s="55"/>
      <c r="H152" s="112" t="s">
        <v>337</v>
      </c>
      <c r="AB152" s="41"/>
    </row>
    <row r="153" spans="2:28" hidden="1" outlineLevel="1" x14ac:dyDescent="0.25">
      <c r="B153" s="140"/>
      <c r="C153" s="122" t="s">
        <v>279</v>
      </c>
      <c r="D153" s="56">
        <v>100</v>
      </c>
      <c r="E153" s="122" t="s">
        <v>3</v>
      </c>
      <c r="F153" s="66">
        <f>IF(AND(Config2_AllClocksOn,B152),IF(D152="Disabled",0,Config2_Tcpwm_EnPed*$D$28/100/(2-1/Config2_Tcpwm_Count))+IF(D152="Triggered",D153*IF($D$28=D153,Config2_Tcpwm_TrigPeriCoef,Config2_Tcpwm_TrigCoef),0),0)</f>
        <v>0</v>
      </c>
      <c r="G153" s="58" t="s">
        <v>57</v>
      </c>
      <c r="H153" s="112" t="s">
        <v>212</v>
      </c>
      <c r="AB153" s="41"/>
    </row>
    <row r="154" spans="2:28" s="1" customFormat="1" hidden="1" outlineLevel="1" x14ac:dyDescent="0.25">
      <c r="B154" s="151" t="b">
        <v>0</v>
      </c>
      <c r="C154" s="122" t="s">
        <v>355</v>
      </c>
      <c r="D154" s="149" t="s">
        <v>335</v>
      </c>
      <c r="E154" s="122"/>
      <c r="F154" s="122"/>
      <c r="G154" s="122"/>
      <c r="H154" s="112" t="s">
        <v>337</v>
      </c>
      <c r="AB154" s="41"/>
    </row>
    <row r="155" spans="2:28" hidden="1" outlineLevel="1" x14ac:dyDescent="0.25">
      <c r="B155" s="140"/>
      <c r="C155" s="122" t="s">
        <v>280</v>
      </c>
      <c r="D155" s="56">
        <v>100</v>
      </c>
      <c r="E155" s="54" t="s">
        <v>3</v>
      </c>
      <c r="F155" s="66">
        <f>IF(AND(Config2_AllClocksOn,B154),IF(D154="Disabled",0,Config2_Tcpwm_EnPed*$D$28/100/(2-1/Config2_Tcpwm_Count))+IF(D154="Triggered",D155*IF($D$28=D155,Config2_Tcpwm_TrigPeriCoef,Config2_Tcpwm_TrigCoef),0),0)</f>
        <v>0</v>
      </c>
      <c r="G155" s="58" t="s">
        <v>57</v>
      </c>
      <c r="H155" s="112" t="s">
        <v>212</v>
      </c>
      <c r="AB155" s="41"/>
    </row>
    <row r="156" spans="2:28" hidden="1" outlineLevel="1" x14ac:dyDescent="0.25">
      <c r="B156" s="140" t="b">
        <v>0</v>
      </c>
      <c r="C156" s="122" t="s">
        <v>356</v>
      </c>
      <c r="D156" s="149" t="s">
        <v>335</v>
      </c>
      <c r="E156" s="54"/>
      <c r="F156" s="152"/>
      <c r="G156" s="55"/>
      <c r="H156" s="112" t="s">
        <v>337</v>
      </c>
      <c r="AB156" s="41"/>
    </row>
    <row r="157" spans="2:28" hidden="1" outlineLevel="1" x14ac:dyDescent="0.25">
      <c r="B157" s="140"/>
      <c r="C157" s="122" t="s">
        <v>281</v>
      </c>
      <c r="D157" s="56">
        <v>100</v>
      </c>
      <c r="E157" s="122" t="s">
        <v>3</v>
      </c>
      <c r="F157" s="66">
        <f>IF(AND(Config2_AllClocksOn,B156),IF(D156="Disabled",0,Config2_Tcpwm_EnPed*$D$28/100/(2-1/Config2_Tcpwm_Count))+IF(D156="Triggered",D157*IF($D$28=D157,Config2_Tcpwm_TrigPeriCoef,Config2_Tcpwm_TrigCoef),0),0)</f>
        <v>0</v>
      </c>
      <c r="G157" s="58" t="s">
        <v>57</v>
      </c>
      <c r="H157" s="112" t="s">
        <v>212</v>
      </c>
      <c r="AB157" s="41"/>
    </row>
    <row r="158" spans="2:28" s="1" customFormat="1" hidden="1" outlineLevel="1" x14ac:dyDescent="0.25">
      <c r="B158" s="151" t="b">
        <v>0</v>
      </c>
      <c r="C158" s="122" t="s">
        <v>357</v>
      </c>
      <c r="D158" s="149" t="s">
        <v>335</v>
      </c>
      <c r="E158" s="122"/>
      <c r="F158" s="122"/>
      <c r="G158" s="122"/>
      <c r="H158" s="112" t="s">
        <v>337</v>
      </c>
      <c r="AB158" s="41"/>
    </row>
    <row r="159" spans="2:28" hidden="1" outlineLevel="1" x14ac:dyDescent="0.25">
      <c r="B159" s="140"/>
      <c r="C159" s="122" t="s">
        <v>282</v>
      </c>
      <c r="D159" s="56">
        <v>100</v>
      </c>
      <c r="E159" s="54" t="s">
        <v>3</v>
      </c>
      <c r="F159" s="66">
        <f>IF(AND(Config2_AllClocksOn,B158),IF(D158="Disabled",0,Config2_Tcpwm_EnPed*$D$28/100/(2-1/Config2_Tcpwm_Count))+IF(D158="Triggered",D159*IF($D$28=D159,Config2_Tcpwm_TrigPeriCoef,Config2_Tcpwm_TrigCoef),0),0)</f>
        <v>0</v>
      </c>
      <c r="G159" s="58" t="s">
        <v>57</v>
      </c>
      <c r="H159" s="112" t="s">
        <v>212</v>
      </c>
      <c r="AB159" s="41"/>
    </row>
    <row r="160" spans="2:28" hidden="1" outlineLevel="1" x14ac:dyDescent="0.25">
      <c r="B160" s="140" t="b">
        <v>0</v>
      </c>
      <c r="C160" s="122" t="s">
        <v>358</v>
      </c>
      <c r="D160" s="149" t="s">
        <v>335</v>
      </c>
      <c r="E160" s="54"/>
      <c r="F160" s="152"/>
      <c r="G160" s="55"/>
      <c r="H160" s="112" t="s">
        <v>337</v>
      </c>
      <c r="AB160" s="41"/>
    </row>
    <row r="161" spans="2:28" hidden="1" outlineLevel="1" x14ac:dyDescent="0.25">
      <c r="B161" s="140"/>
      <c r="C161" s="122" t="s">
        <v>283</v>
      </c>
      <c r="D161" s="56">
        <v>100</v>
      </c>
      <c r="E161" s="122" t="s">
        <v>3</v>
      </c>
      <c r="F161" s="66">
        <f>IF(AND(Config2_AllClocksOn,B160),IF(D160="Disabled",0,Config2_Tcpwm_EnPed*$D$28/100/(2-1/Config2_Tcpwm_Count))+IF(D160="Triggered",D161*IF($D$28=D161,Config2_Tcpwm_TrigPeriCoef,Config2_Tcpwm_TrigCoef),0),0)</f>
        <v>0</v>
      </c>
      <c r="G161" s="58" t="s">
        <v>57</v>
      </c>
      <c r="H161" s="112" t="s">
        <v>212</v>
      </c>
      <c r="AB161" s="41"/>
    </row>
    <row r="162" spans="2:28" s="1" customFormat="1" hidden="1" outlineLevel="1" x14ac:dyDescent="0.25">
      <c r="B162" s="151" t="b">
        <v>0</v>
      </c>
      <c r="C162" s="122" t="s">
        <v>359</v>
      </c>
      <c r="D162" s="149" t="s">
        <v>335</v>
      </c>
      <c r="E162" s="122"/>
      <c r="F162" s="122"/>
      <c r="G162" s="122"/>
      <c r="H162" s="112" t="s">
        <v>337</v>
      </c>
      <c r="AB162" s="41"/>
    </row>
    <row r="163" spans="2:28" hidden="1" outlineLevel="1" x14ac:dyDescent="0.25">
      <c r="B163" s="140"/>
      <c r="C163" s="122" t="s">
        <v>284</v>
      </c>
      <c r="D163" s="56">
        <v>100</v>
      </c>
      <c r="E163" s="54" t="s">
        <v>3</v>
      </c>
      <c r="F163" s="66">
        <f>IF(AND(Config2_AllClocksOn,B162),IF(D162="Disabled",0,Config2_Tcpwm_EnPed*$D$28/100/(2-1/Config2_Tcpwm_Count))+IF(D162="Triggered",D163*IF($D$28=D163,Config2_Tcpwm_TrigPeriCoef,Config2_Tcpwm_TrigCoef),0),0)</f>
        <v>0</v>
      </c>
      <c r="G163" s="58" t="s">
        <v>57</v>
      </c>
      <c r="H163" s="112" t="s">
        <v>212</v>
      </c>
      <c r="AB163" s="41"/>
    </row>
    <row r="164" spans="2:28" hidden="1" outlineLevel="1" x14ac:dyDescent="0.25">
      <c r="B164" s="140" t="b">
        <v>0</v>
      </c>
      <c r="C164" s="122" t="s">
        <v>360</v>
      </c>
      <c r="D164" s="149" t="s">
        <v>335</v>
      </c>
      <c r="E164" s="54"/>
      <c r="F164" s="152"/>
      <c r="G164" s="55"/>
      <c r="H164" s="112" t="s">
        <v>337</v>
      </c>
      <c r="AB164" s="41"/>
    </row>
    <row r="165" spans="2:28" hidden="1" outlineLevel="1" x14ac:dyDescent="0.25">
      <c r="B165" s="140"/>
      <c r="C165" s="122" t="s">
        <v>285</v>
      </c>
      <c r="D165" s="56">
        <v>100</v>
      </c>
      <c r="E165" s="122" t="s">
        <v>3</v>
      </c>
      <c r="F165" s="66">
        <f>IF(AND(Config2_AllClocksOn,B164),IF(D164="Disabled",0,Config2_Tcpwm_EnPed*$D$28/100/(2-1/Config2_Tcpwm_Count))+IF(D164="Triggered",D165*IF($D$28=D165,Config2_Tcpwm_TrigPeriCoef,Config2_Tcpwm_TrigCoef),0),0)</f>
        <v>0</v>
      </c>
      <c r="G165" s="58" t="s">
        <v>57</v>
      </c>
      <c r="H165" s="112" t="s">
        <v>212</v>
      </c>
      <c r="AB165" s="41"/>
    </row>
    <row r="166" spans="2:28" s="1" customFormat="1" hidden="1" outlineLevel="1" x14ac:dyDescent="0.25">
      <c r="B166" s="151" t="b">
        <v>0</v>
      </c>
      <c r="C166" s="122" t="s">
        <v>361</v>
      </c>
      <c r="D166" s="149" t="s">
        <v>335</v>
      </c>
      <c r="E166" s="122"/>
      <c r="F166" s="122"/>
      <c r="G166" s="122"/>
      <c r="H166" s="112" t="s">
        <v>337</v>
      </c>
      <c r="AB166" s="41"/>
    </row>
    <row r="167" spans="2:28" hidden="1" outlineLevel="1" x14ac:dyDescent="0.25">
      <c r="B167" s="140"/>
      <c r="C167" s="122" t="s">
        <v>286</v>
      </c>
      <c r="D167" s="56">
        <v>100</v>
      </c>
      <c r="E167" s="54" t="s">
        <v>3</v>
      </c>
      <c r="F167" s="66">
        <f>IF(AND(Config2_AllClocksOn,B166),IF(D166="Disabled",0,Config2_Tcpwm_EnPed*$D$28/100/(2-1/Config2_Tcpwm_Count))+IF(D166="Triggered",D167*IF($D$28=D167,Config2_Tcpwm_TrigPeriCoef,Config2_Tcpwm_TrigCoef),0),0)</f>
        <v>0</v>
      </c>
      <c r="G167" s="58" t="s">
        <v>57</v>
      </c>
      <c r="H167" s="112" t="s">
        <v>212</v>
      </c>
      <c r="AB167" s="41"/>
    </row>
    <row r="168" spans="2:28" hidden="1" outlineLevel="1" x14ac:dyDescent="0.25">
      <c r="B168" s="140" t="b">
        <v>0</v>
      </c>
      <c r="C168" s="122" t="s">
        <v>362</v>
      </c>
      <c r="D168" s="149" t="s">
        <v>335</v>
      </c>
      <c r="E168" s="54"/>
      <c r="F168" s="152"/>
      <c r="G168" s="55"/>
      <c r="H168" s="112" t="s">
        <v>337</v>
      </c>
      <c r="AB168" s="41"/>
    </row>
    <row r="169" spans="2:28" hidden="1" outlineLevel="1" x14ac:dyDescent="0.25">
      <c r="B169" s="140"/>
      <c r="C169" s="122" t="s">
        <v>287</v>
      </c>
      <c r="D169" s="56">
        <v>100</v>
      </c>
      <c r="E169" s="122" t="s">
        <v>3</v>
      </c>
      <c r="F169" s="66">
        <f>IF(AND(Config2_AllClocksOn,B168),IF(D168="Disabled",0,Config2_Tcpwm_EnPed*$D$28/100/(2-1/Config2_Tcpwm_Count))+IF(D168="Triggered",D169*IF($D$28=D169,Config2_Tcpwm_TrigPeriCoef,Config2_Tcpwm_TrigCoef),0),0)</f>
        <v>0</v>
      </c>
      <c r="G169" s="58" t="s">
        <v>57</v>
      </c>
      <c r="H169" s="112" t="s">
        <v>212</v>
      </c>
      <c r="AB169" s="41"/>
    </row>
    <row r="170" spans="2:28" s="1" customFormat="1" hidden="1" outlineLevel="1" x14ac:dyDescent="0.25">
      <c r="B170" s="151" t="b">
        <v>0</v>
      </c>
      <c r="C170" s="122" t="s">
        <v>363</v>
      </c>
      <c r="D170" s="149" t="s">
        <v>335</v>
      </c>
      <c r="E170" s="122"/>
      <c r="F170" s="122"/>
      <c r="G170" s="122"/>
      <c r="H170" s="112" t="s">
        <v>337</v>
      </c>
      <c r="AB170" s="41"/>
    </row>
    <row r="171" spans="2:28" hidden="1" outlineLevel="1" x14ac:dyDescent="0.25">
      <c r="B171" s="140"/>
      <c r="C171" s="122" t="s">
        <v>288</v>
      </c>
      <c r="D171" s="56">
        <v>100</v>
      </c>
      <c r="E171" s="54" t="s">
        <v>3</v>
      </c>
      <c r="F171" s="66">
        <f>IF(AND(Config2_AllClocksOn,B170),IF(D170="Disabled",0,Config2_Tcpwm_EnPed*$D$28/100/(2-1/Config2_Tcpwm_Count))+IF(D170="Triggered",D171*IF($D$28=D171,Config2_Tcpwm_TrigPeriCoef,Config2_Tcpwm_TrigCoef),0),0)</f>
        <v>0</v>
      </c>
      <c r="G171" s="58" t="s">
        <v>57</v>
      </c>
      <c r="H171" s="112" t="s">
        <v>212</v>
      </c>
      <c r="AB171" s="41"/>
    </row>
    <row r="172" spans="2:28" hidden="1" outlineLevel="1" x14ac:dyDescent="0.25">
      <c r="B172" s="140" t="b">
        <v>0</v>
      </c>
      <c r="C172" s="122" t="s">
        <v>364</v>
      </c>
      <c r="D172" s="149" t="s">
        <v>335</v>
      </c>
      <c r="E172" s="54"/>
      <c r="F172" s="152"/>
      <c r="G172" s="55"/>
      <c r="H172" s="112" t="s">
        <v>337</v>
      </c>
      <c r="AB172" s="41"/>
    </row>
    <row r="173" spans="2:28" hidden="1" outlineLevel="1" x14ac:dyDescent="0.25">
      <c r="B173" s="140"/>
      <c r="C173" s="122" t="s">
        <v>289</v>
      </c>
      <c r="D173" s="56">
        <v>100</v>
      </c>
      <c r="E173" s="122" t="s">
        <v>3</v>
      </c>
      <c r="F173" s="66">
        <f>IF(AND(Config2_AllClocksOn,B172),IF(D172="Disabled",0,Config2_Tcpwm_EnPed*$D$28/100/(2-1/Config2_Tcpwm_Count))+IF(D172="Triggered",D173*IF($D$28=D173,Config2_Tcpwm_TrigPeriCoef,Config2_Tcpwm_TrigCoef),0),0)</f>
        <v>0</v>
      </c>
      <c r="G173" s="58" t="s">
        <v>57</v>
      </c>
      <c r="H173" s="112" t="s">
        <v>212</v>
      </c>
      <c r="AB173" s="41"/>
    </row>
    <row r="174" spans="2:28" s="1" customFormat="1" hidden="1" outlineLevel="1" x14ac:dyDescent="0.25">
      <c r="B174" s="151" t="b">
        <v>0</v>
      </c>
      <c r="C174" s="122" t="s">
        <v>365</v>
      </c>
      <c r="D174" s="149" t="s">
        <v>335</v>
      </c>
      <c r="E174" s="122"/>
      <c r="F174" s="122"/>
      <c r="G174" s="122"/>
      <c r="H174" s="112" t="s">
        <v>337</v>
      </c>
      <c r="AB174" s="41"/>
    </row>
    <row r="175" spans="2:28" hidden="1" outlineLevel="1" x14ac:dyDescent="0.25">
      <c r="B175" s="140"/>
      <c r="C175" s="122" t="s">
        <v>290</v>
      </c>
      <c r="D175" s="56">
        <v>100</v>
      </c>
      <c r="E175" s="54" t="s">
        <v>3</v>
      </c>
      <c r="F175" s="66">
        <f>IF(AND(Config2_AllClocksOn,B174),IF(D174="Disabled",0,Config2_Tcpwm_EnPed*$D$28/100/(2-1/Config2_Tcpwm_Count))+IF(D174="Triggered",D175*IF($D$28=D175,Config2_Tcpwm_TrigPeriCoef,Config2_Tcpwm_TrigCoef),0),0)</f>
        <v>0</v>
      </c>
      <c r="G175" s="58" t="s">
        <v>57</v>
      </c>
      <c r="H175" s="112" t="s">
        <v>212</v>
      </c>
      <c r="AB175" s="41"/>
    </row>
    <row r="176" spans="2:28" hidden="1" outlineLevel="1" x14ac:dyDescent="0.25">
      <c r="B176" s="140" t="b">
        <v>0</v>
      </c>
      <c r="C176" s="122" t="s">
        <v>366</v>
      </c>
      <c r="D176" s="149" t="s">
        <v>335</v>
      </c>
      <c r="E176" s="54"/>
      <c r="F176" s="152"/>
      <c r="G176" s="55"/>
      <c r="H176" s="112" t="s">
        <v>337</v>
      </c>
      <c r="AB176" s="41"/>
    </row>
    <row r="177" spans="2:28" hidden="1" outlineLevel="1" x14ac:dyDescent="0.25">
      <c r="B177" s="140"/>
      <c r="C177" s="122" t="s">
        <v>291</v>
      </c>
      <c r="D177" s="56">
        <v>100</v>
      </c>
      <c r="E177" s="122" t="s">
        <v>3</v>
      </c>
      <c r="F177" s="66">
        <f>IF(AND(Config2_AllClocksOn,B176),IF(D176="Disabled",0,Config2_Tcpwm_EnPed*$D$28/100/(2-1/Config2_Tcpwm_Count))+IF(D176="Triggered",D177*IF($D$28=D177,Config2_Tcpwm_TrigPeriCoef,Config2_Tcpwm_TrigCoef),0),0)</f>
        <v>0</v>
      </c>
      <c r="G177" s="58" t="s">
        <v>57</v>
      </c>
      <c r="H177" s="112" t="s">
        <v>212</v>
      </c>
      <c r="AB177" s="41"/>
    </row>
    <row r="178" spans="2:28" s="1" customFormat="1" hidden="1" outlineLevel="1" x14ac:dyDescent="0.25">
      <c r="B178" s="151" t="b">
        <v>0</v>
      </c>
      <c r="C178" s="122" t="s">
        <v>367</v>
      </c>
      <c r="D178" s="149" t="s">
        <v>335</v>
      </c>
      <c r="E178" s="122"/>
      <c r="F178" s="122"/>
      <c r="G178" s="122"/>
      <c r="H178" s="112" t="s">
        <v>337</v>
      </c>
      <c r="AB178" s="41"/>
    </row>
    <row r="179" spans="2:28" hidden="1" outlineLevel="1" x14ac:dyDescent="0.25">
      <c r="B179" s="140"/>
      <c r="C179" s="122" t="s">
        <v>292</v>
      </c>
      <c r="D179" s="56">
        <v>100</v>
      </c>
      <c r="E179" s="54" t="s">
        <v>3</v>
      </c>
      <c r="F179" s="66">
        <f>IF(AND(Config2_AllClocksOn,B178),IF(D178="Disabled",0,Config2_Tcpwm_EnPed*$D$28/100/(2-1/Config2_Tcpwm_Count))+IF(D178="Triggered",D179*IF($D$28=D179,Config2_Tcpwm_TrigPeriCoef,Config2_Tcpwm_TrigCoef),0),0)</f>
        <v>0</v>
      </c>
      <c r="G179" s="58" t="s">
        <v>57</v>
      </c>
      <c r="H179" s="112" t="s">
        <v>212</v>
      </c>
      <c r="AB179" s="41"/>
    </row>
    <row r="180" spans="2:28" hidden="1" outlineLevel="1" x14ac:dyDescent="0.25">
      <c r="B180" s="140" t="b">
        <v>0</v>
      </c>
      <c r="C180" s="122" t="s">
        <v>368</v>
      </c>
      <c r="D180" s="149" t="s">
        <v>335</v>
      </c>
      <c r="E180" s="54"/>
      <c r="F180" s="152"/>
      <c r="G180" s="55"/>
      <c r="H180" s="112" t="s">
        <v>337</v>
      </c>
      <c r="AB180" s="41"/>
    </row>
    <row r="181" spans="2:28" hidden="1" outlineLevel="1" x14ac:dyDescent="0.25">
      <c r="B181" s="140"/>
      <c r="C181" s="122" t="s">
        <v>293</v>
      </c>
      <c r="D181" s="56">
        <v>100</v>
      </c>
      <c r="E181" s="122" t="s">
        <v>3</v>
      </c>
      <c r="F181" s="66">
        <f>IF(AND(Config2_AllClocksOn,B180),IF(D180="Disabled",0,Config2_Tcpwm_EnPed*$D$28/100/(2-1/Config2_Tcpwm_Count))+IF(D180="Triggered",D181*IF($D$28=D181,Config2_Tcpwm_TrigPeriCoef,Config2_Tcpwm_TrigCoef),0),0)</f>
        <v>0</v>
      </c>
      <c r="G181" s="58" t="s">
        <v>57</v>
      </c>
      <c r="H181" s="112" t="s">
        <v>212</v>
      </c>
      <c r="AB181" s="41"/>
    </row>
    <row r="182" spans="2:28" collapsed="1" x14ac:dyDescent="0.25">
      <c r="B182" s="140"/>
      <c r="C182" s="122"/>
      <c r="D182" s="147"/>
      <c r="E182" s="54"/>
      <c r="F182" s="153"/>
      <c r="G182" s="55"/>
      <c r="H182" s="59"/>
      <c r="AB182" s="41"/>
    </row>
    <row r="183" spans="2:28" x14ac:dyDescent="0.25">
      <c r="B183" s="53" t="s">
        <v>69</v>
      </c>
      <c r="C183" s="53"/>
      <c r="D183" s="53"/>
      <c r="E183" s="53"/>
      <c r="F183" s="53"/>
      <c r="G183" s="53"/>
      <c r="H183" s="53"/>
      <c r="AB183" s="41"/>
    </row>
    <row r="184" spans="2:28" x14ac:dyDescent="0.25">
      <c r="B184" s="140" t="b">
        <v>0</v>
      </c>
      <c r="C184" s="55" t="s">
        <v>70</v>
      </c>
      <c r="D184" s="60" t="s">
        <v>193</v>
      </c>
      <c r="E184" s="54"/>
      <c r="F184" s="54"/>
      <c r="G184" s="54"/>
      <c r="H184" s="112" t="s">
        <v>372</v>
      </c>
      <c r="AB184" s="41"/>
    </row>
    <row r="185" spans="2:28" x14ac:dyDescent="0.25">
      <c r="B185" s="140"/>
      <c r="C185" s="122" t="s">
        <v>369</v>
      </c>
      <c r="D185" s="60" t="s">
        <v>371</v>
      </c>
      <c r="E185" s="55"/>
      <c r="F185" s="153"/>
      <c r="G185" s="55"/>
      <c r="H185" s="112" t="s">
        <v>374</v>
      </c>
      <c r="AB185" s="41"/>
    </row>
    <row r="186" spans="2:28" x14ac:dyDescent="0.25">
      <c r="B186" s="140"/>
      <c r="C186" s="55" t="s">
        <v>71</v>
      </c>
      <c r="D186" s="60">
        <v>1250</v>
      </c>
      <c r="E186" s="55" t="s">
        <v>142</v>
      </c>
      <c r="F186" s="57">
        <f>IF(AND(Config2_AllClocksOn,B184),IF(D184="SPI",IF(D185="Transmitting",Config2_SPI_Coef*D186,0)+IF(NOT(D185="Disabled"),Config2_SPI_EnableCoef*D186+Config2_SPI_EnablePeriCoef*$D$28+Config2_SPI_EnablePed,0),IF(D184="I2C",IF(D185="Transmitting",Config2_I2C_Coef*D186+Config2_I2C_RunPed,0)+IF(NOT(D185="Disabled"),Config2_I2C_EnableCoef*D186+Config2_I2C_EnablePed,0),IF(D185="Transmitting",Config2_UART_Coef*D186+Config2_UART_RunPed,0)+IF(NOT(D185="Disabled"),Config2_UART_EnableCoef*D186+Config2_UART_EnablePed,0))),0)</f>
        <v>0</v>
      </c>
      <c r="G186" s="58" t="s">
        <v>57</v>
      </c>
      <c r="H186" s="112" t="s">
        <v>373</v>
      </c>
      <c r="AB186" s="62"/>
    </row>
    <row r="187" spans="2:28" x14ac:dyDescent="0.25">
      <c r="B187" s="140" t="b">
        <v>0</v>
      </c>
      <c r="C187" s="55" t="s">
        <v>70</v>
      </c>
      <c r="D187" s="60" t="s">
        <v>193</v>
      </c>
      <c r="E187" s="54"/>
      <c r="F187" s="54"/>
      <c r="G187" s="54"/>
      <c r="H187" s="112" t="s">
        <v>372</v>
      </c>
      <c r="AB187" s="41"/>
    </row>
    <row r="188" spans="2:28" x14ac:dyDescent="0.25">
      <c r="B188" s="140"/>
      <c r="C188" s="122" t="s">
        <v>369</v>
      </c>
      <c r="D188" s="60" t="s">
        <v>371</v>
      </c>
      <c r="E188" s="55"/>
      <c r="F188" s="153"/>
      <c r="G188" s="55"/>
      <c r="H188" s="112" t="s">
        <v>374</v>
      </c>
      <c r="AB188" s="41"/>
    </row>
    <row r="189" spans="2:28" x14ac:dyDescent="0.25">
      <c r="B189" s="140"/>
      <c r="C189" s="55" t="s">
        <v>71</v>
      </c>
      <c r="D189" s="60">
        <v>100</v>
      </c>
      <c r="E189" s="55" t="s">
        <v>142</v>
      </c>
      <c r="F189" s="57">
        <f>IF(AND(Config2_AllClocksOn,B187),IF(D187="SPI",IF(D188="Transmitting",Config2_SPI_Coef*D189,0)+IF(NOT(D188="Disabled"),Config2_SPI_EnableCoef*D189+Config2_SPI_EnablePeriCoef*$D$28+Config2_SPI_EnablePed,0),IF(D187="I2C",IF(D188="Transmitting",Config2_I2C_Coef*D189+Config2_I2C_RunPed,0)+IF(NOT(D188="Disabled"),Config2_I2C_EnableCoef*D189+Config2_I2C_EnablePed,0),IF(D188="Transmitting",Config2_UART_Coef*D189+Config2_UART_RunPed,0)+IF(NOT(D188="Disabled"),Config2_UART_EnableCoef*D189+Config2_UART_EnablePed,0))),0)</f>
        <v>0</v>
      </c>
      <c r="G189" s="58" t="s">
        <v>57</v>
      </c>
      <c r="H189" s="112" t="s">
        <v>373</v>
      </c>
      <c r="AB189" s="62"/>
    </row>
    <row r="190" spans="2:28" x14ac:dyDescent="0.25">
      <c r="B190" s="140" t="b">
        <v>0</v>
      </c>
      <c r="C190" s="55" t="s">
        <v>70</v>
      </c>
      <c r="D190" s="60" t="s">
        <v>195</v>
      </c>
      <c r="E190" s="54"/>
      <c r="F190" s="54"/>
      <c r="G190" s="54"/>
      <c r="H190" s="112" t="s">
        <v>372</v>
      </c>
      <c r="AB190" s="41"/>
    </row>
    <row r="191" spans="2:28" x14ac:dyDescent="0.25">
      <c r="B191" s="140"/>
      <c r="C191" s="122" t="s">
        <v>369</v>
      </c>
      <c r="D191" s="60" t="s">
        <v>150</v>
      </c>
      <c r="E191" s="55"/>
      <c r="F191" s="153"/>
      <c r="G191" s="55"/>
      <c r="H191" s="112" t="s">
        <v>374</v>
      </c>
      <c r="AB191" s="41"/>
    </row>
    <row r="192" spans="2:28" x14ac:dyDescent="0.25">
      <c r="B192" s="140"/>
      <c r="C192" s="55" t="s">
        <v>71</v>
      </c>
      <c r="D192" s="60">
        <v>100</v>
      </c>
      <c r="E192" s="55" t="s">
        <v>142</v>
      </c>
      <c r="F192" s="57">
        <f>IF(AND(Config2_AllClocksOn,B190),IF(D190="SPI",IF(D191="Transmitting",Config2_SPI_Coef*D192,0)+IF(NOT(D191="Disabled"),Config2_SPI_EnableCoef*D192+Config2_SPI_EnablePeriCoef*$D$28+Config2_SPI_EnablePed,0),IF(D190="I2C",IF(D191="Transmitting",Config2_I2C_Coef*D192+Config2_I2C_RunPed,0)+IF(NOT(D191="Disabled"),Config2_I2C_EnableCoef*D192+Config2_I2C_EnablePed,0),IF(D191="Transmitting",Config2_UART_Coef*D192+Config2_UART_RunPed,0)+IF(NOT(D191="Disabled"),Config2_UART_EnableCoef*D192+Config2_UART_EnablePed,0))),0)</f>
        <v>0</v>
      </c>
      <c r="G192" s="58" t="s">
        <v>57</v>
      </c>
      <c r="H192" s="112" t="s">
        <v>373</v>
      </c>
      <c r="AB192" s="62"/>
    </row>
    <row r="193" spans="2:28" x14ac:dyDescent="0.25">
      <c r="B193" s="140" t="b">
        <v>0</v>
      </c>
      <c r="C193" s="55" t="s">
        <v>70</v>
      </c>
      <c r="D193" s="60" t="s">
        <v>193</v>
      </c>
      <c r="E193" s="54"/>
      <c r="F193" s="54"/>
      <c r="G193" s="54"/>
      <c r="H193" s="112" t="s">
        <v>372</v>
      </c>
      <c r="AB193" s="41"/>
    </row>
    <row r="194" spans="2:28" x14ac:dyDescent="0.25">
      <c r="B194" s="140"/>
      <c r="C194" s="122" t="s">
        <v>369</v>
      </c>
      <c r="D194" s="60" t="s">
        <v>151</v>
      </c>
      <c r="E194" s="55"/>
      <c r="F194" s="153"/>
      <c r="G194" s="55"/>
      <c r="H194" s="112" t="s">
        <v>374</v>
      </c>
      <c r="AB194" s="41"/>
    </row>
    <row r="195" spans="2:28" x14ac:dyDescent="0.25">
      <c r="B195" s="140"/>
      <c r="C195" s="55" t="s">
        <v>71</v>
      </c>
      <c r="D195" s="60">
        <v>100</v>
      </c>
      <c r="E195" s="55" t="s">
        <v>142</v>
      </c>
      <c r="F195" s="57">
        <f>IF(AND(Config2_AllClocksOn,B193),IF(D193="SPI",IF(D194="Transmitting",Config2_SPI_Coef*D195,0)+IF(NOT(D194="Disabled"),Config2_SPI_EnableCoef*D195+Config2_SPI_EnablePeriCoef*$D$28+Config2_SPI_EnablePed,0),IF(D193="I2C",IF(D194="Transmitting",Config2_I2C_Coef*D195+Config2_I2C_RunPed,0)+IF(NOT(D194="Disabled"),Config2_I2C_EnableCoef*D195+Config2_I2C_EnablePed,0),IF(D194="Transmitting",Config2_UART_Coef*D195+Config2_UART_RunPed,0)+IF(NOT(D194="Disabled"),Config2_UART_EnableCoef*D195+Config2_UART_EnablePed,0))),0)</f>
        <v>0</v>
      </c>
      <c r="G195" s="58" t="s">
        <v>57</v>
      </c>
      <c r="H195" s="112" t="s">
        <v>373</v>
      </c>
      <c r="AB195" s="62"/>
    </row>
    <row r="196" spans="2:28" hidden="1" outlineLevel="1" x14ac:dyDescent="0.25">
      <c r="B196" s="140" t="b">
        <v>0</v>
      </c>
      <c r="C196" s="55" t="s">
        <v>70</v>
      </c>
      <c r="D196" s="60" t="s">
        <v>193</v>
      </c>
      <c r="E196" s="54"/>
      <c r="F196" s="54"/>
      <c r="G196" s="54"/>
      <c r="H196" s="112" t="s">
        <v>372</v>
      </c>
      <c r="AB196" s="41"/>
    </row>
    <row r="197" spans="2:28" hidden="1" outlineLevel="1" x14ac:dyDescent="0.25">
      <c r="B197" s="140"/>
      <c r="C197" s="122" t="s">
        <v>369</v>
      </c>
      <c r="D197" s="60" t="s">
        <v>151</v>
      </c>
      <c r="E197" s="55"/>
      <c r="F197" s="153"/>
      <c r="G197" s="55"/>
      <c r="H197" s="112" t="s">
        <v>374</v>
      </c>
      <c r="AB197" s="41"/>
    </row>
    <row r="198" spans="2:28" hidden="1" outlineLevel="1" x14ac:dyDescent="0.25">
      <c r="B198" s="140"/>
      <c r="C198" s="55" t="s">
        <v>71</v>
      </c>
      <c r="D198" s="60">
        <v>100</v>
      </c>
      <c r="E198" s="55" t="s">
        <v>142</v>
      </c>
      <c r="F198" s="57">
        <f>IF(AND(Config2_AllClocksOn,B196),IF(D196="SPI",IF(D197="Transmitting",Config2_SPI_Coef*D198,0)+IF(NOT(D197="Disabled"),Config2_SPI_EnableCoef*D198+Config2_SPI_EnablePeriCoef*$D$28+Config2_SPI_EnablePed,0),IF(D196="I2C",IF(D197="Transmitting",Config2_I2C_Coef*D198+Config2_I2C_RunPed,0)+IF(NOT(D197="Disabled"),Config2_I2C_EnableCoef*D198+Config2_I2C_EnablePed,0),IF(D197="Transmitting",Config2_UART_Coef*D198+Config2_UART_RunPed,0)+IF(NOT(D197="Disabled"),Config2_UART_EnableCoef*D198+Config2_UART_EnablePed,0))),0)</f>
        <v>0</v>
      </c>
      <c r="G198" s="58" t="s">
        <v>57</v>
      </c>
      <c r="H198" s="112" t="s">
        <v>373</v>
      </c>
      <c r="AB198" s="62"/>
    </row>
    <row r="199" spans="2:28" hidden="1" outlineLevel="1" x14ac:dyDescent="0.25">
      <c r="B199" s="140" t="b">
        <v>0</v>
      </c>
      <c r="C199" s="55" t="s">
        <v>70</v>
      </c>
      <c r="D199" s="60" t="s">
        <v>193</v>
      </c>
      <c r="E199" s="54"/>
      <c r="F199" s="54"/>
      <c r="G199" s="54"/>
      <c r="H199" s="112" t="s">
        <v>372</v>
      </c>
      <c r="AB199" s="41"/>
    </row>
    <row r="200" spans="2:28" hidden="1" outlineLevel="1" x14ac:dyDescent="0.25">
      <c r="B200" s="140"/>
      <c r="C200" s="122" t="s">
        <v>369</v>
      </c>
      <c r="D200" s="60" t="s">
        <v>151</v>
      </c>
      <c r="E200" s="55"/>
      <c r="F200" s="153"/>
      <c r="G200" s="55"/>
      <c r="H200" s="112" t="s">
        <v>374</v>
      </c>
      <c r="AB200" s="41"/>
    </row>
    <row r="201" spans="2:28" hidden="1" outlineLevel="1" x14ac:dyDescent="0.25">
      <c r="B201" s="140"/>
      <c r="C201" s="55" t="s">
        <v>71</v>
      </c>
      <c r="D201" s="60">
        <v>100</v>
      </c>
      <c r="E201" s="55" t="s">
        <v>142</v>
      </c>
      <c r="F201" s="57">
        <f>IF(AND(Config2_AllClocksOn,B199),IF(D199="SPI",IF(D200="Transmitting",Config2_SPI_Coef*D201,0)+IF(NOT(D200="Disabled"),Config2_SPI_EnableCoef*D201+Config2_SPI_EnablePeriCoef*$D$28+Config2_SPI_EnablePed,0),IF(D199="I2C",IF(D200="Transmitting",Config2_I2C_Coef*D201+Config2_I2C_RunPed,0)+IF(NOT(D200="Disabled"),Config2_I2C_EnableCoef*D201+Config2_I2C_EnablePed,0),IF(D200="Transmitting",Config2_UART_Coef*D201+Config2_UART_RunPed,0)+IF(NOT(D200="Disabled"),Config2_UART_EnableCoef*D201+Config2_UART_EnablePed,0))),0)</f>
        <v>0</v>
      </c>
      <c r="G201" s="58" t="s">
        <v>57</v>
      </c>
      <c r="H201" s="112" t="s">
        <v>373</v>
      </c>
      <c r="AB201" s="62"/>
    </row>
    <row r="202" spans="2:28" hidden="1" outlineLevel="1" x14ac:dyDescent="0.25">
      <c r="B202" s="140" t="b">
        <v>0</v>
      </c>
      <c r="C202" s="55" t="s">
        <v>70</v>
      </c>
      <c r="D202" s="60" t="s">
        <v>193</v>
      </c>
      <c r="E202" s="54"/>
      <c r="F202" s="54"/>
      <c r="G202" s="54"/>
      <c r="H202" s="112" t="s">
        <v>372</v>
      </c>
      <c r="AB202" s="41"/>
    </row>
    <row r="203" spans="2:28" hidden="1" outlineLevel="1" x14ac:dyDescent="0.25">
      <c r="B203" s="140"/>
      <c r="C203" s="122" t="s">
        <v>369</v>
      </c>
      <c r="D203" s="60" t="s">
        <v>151</v>
      </c>
      <c r="E203" s="55"/>
      <c r="F203" s="153"/>
      <c r="G203" s="55"/>
      <c r="H203" s="112" t="s">
        <v>374</v>
      </c>
      <c r="AB203" s="41"/>
    </row>
    <row r="204" spans="2:28" hidden="1" outlineLevel="1" x14ac:dyDescent="0.25">
      <c r="B204" s="140"/>
      <c r="C204" s="55" t="s">
        <v>71</v>
      </c>
      <c r="D204" s="60">
        <v>100</v>
      </c>
      <c r="E204" s="55" t="s">
        <v>142</v>
      </c>
      <c r="F204" s="57">
        <f>IF(AND(Config2_AllClocksOn,B202),IF(D202="SPI",IF(D203="Transmitting",Config2_SPI_Coef*D204,0)+IF(NOT(D203="Disabled"),Config2_SPI_EnableCoef*D204+Config2_SPI_EnablePeriCoef*$D$28+Config2_SPI_EnablePed,0),IF(D202="I2C",IF(D203="Transmitting",Config2_I2C_Coef*D204+Config2_I2C_RunPed,0)+IF(NOT(D203="Disabled"),Config2_I2C_EnableCoef*D204+Config2_I2C_EnablePed,0),IF(D203="Transmitting",Config2_UART_Coef*D204+Config2_UART_RunPed,0)+IF(NOT(D203="Disabled"),Config2_UART_EnableCoef*D204+Config2_UART_EnablePed,0))),0)</f>
        <v>0</v>
      </c>
      <c r="G204" s="58" t="s">
        <v>57</v>
      </c>
      <c r="H204" s="112" t="s">
        <v>373</v>
      </c>
      <c r="AB204" s="62"/>
    </row>
    <row r="205" spans="2:28" hidden="1" outlineLevel="1" x14ac:dyDescent="0.25">
      <c r="B205" s="140" t="b">
        <v>0</v>
      </c>
      <c r="C205" s="55" t="s">
        <v>70</v>
      </c>
      <c r="D205" s="60" t="s">
        <v>193</v>
      </c>
      <c r="E205" s="54"/>
      <c r="F205" s="54"/>
      <c r="G205" s="54"/>
      <c r="H205" s="112" t="s">
        <v>372</v>
      </c>
      <c r="AB205" s="41"/>
    </row>
    <row r="206" spans="2:28" hidden="1" outlineLevel="1" x14ac:dyDescent="0.25">
      <c r="B206" s="140"/>
      <c r="C206" s="122" t="s">
        <v>369</v>
      </c>
      <c r="D206" s="60" t="s">
        <v>151</v>
      </c>
      <c r="E206" s="55"/>
      <c r="F206" s="153"/>
      <c r="G206" s="55"/>
      <c r="H206" s="112" t="s">
        <v>374</v>
      </c>
      <c r="AB206" s="41"/>
    </row>
    <row r="207" spans="2:28" hidden="1" outlineLevel="1" x14ac:dyDescent="0.25">
      <c r="B207" s="140"/>
      <c r="C207" s="55" t="s">
        <v>71</v>
      </c>
      <c r="D207" s="60">
        <v>100</v>
      </c>
      <c r="E207" s="55" t="s">
        <v>142</v>
      </c>
      <c r="F207" s="57">
        <f>IF(AND(Config2_AllClocksOn,B205),IF(D205="SPI",IF(D206="Transmitting",Config2_SPI_Coef*D207,0)+IF(NOT(D206="Disabled"),Config2_SPI_EnableCoef*D207+Config2_SPI_EnablePeriCoef*$D$28+Config2_SPI_EnablePed,0),IF(D205="I2C",IF(D206="Transmitting",Config2_I2C_Coef*D207+Config2_I2C_RunPed,0)+IF(NOT(D206="Disabled"),Config2_I2C_EnableCoef*D207+Config2_I2C_EnablePed,0),IF(D206="Transmitting",Config2_UART_Coef*D207+Config2_UART_RunPed,0)+IF(NOT(D206="Disabled"),Config2_UART_EnableCoef*D207+Config2_UART_EnablePed,0))),0)</f>
        <v>0</v>
      </c>
      <c r="G207" s="58" t="s">
        <v>57</v>
      </c>
      <c r="H207" s="112" t="s">
        <v>373</v>
      </c>
      <c r="AB207" s="62"/>
    </row>
    <row r="208" spans="2:28" hidden="1" outlineLevel="1" x14ac:dyDescent="0.25">
      <c r="B208" s="140" t="b">
        <v>0</v>
      </c>
      <c r="C208" s="55" t="s">
        <v>149</v>
      </c>
      <c r="D208" s="60" t="s">
        <v>194</v>
      </c>
      <c r="E208" s="54"/>
      <c r="F208" s="54"/>
      <c r="G208" s="54"/>
      <c r="H208" s="59" t="s">
        <v>177</v>
      </c>
    </row>
    <row r="209" spans="2:28" hidden="1" outlineLevel="1" x14ac:dyDescent="0.25">
      <c r="B209" s="140"/>
      <c r="C209" s="122" t="s">
        <v>375</v>
      </c>
      <c r="D209" s="60" t="s">
        <v>151</v>
      </c>
      <c r="E209" s="55"/>
      <c r="F209" s="153"/>
      <c r="G209" s="55"/>
      <c r="H209" s="59" t="s">
        <v>178</v>
      </c>
      <c r="AB209" s="41"/>
    </row>
    <row r="210" spans="2:28" hidden="1" outlineLevel="1" x14ac:dyDescent="0.25">
      <c r="B210" s="140"/>
      <c r="C210" s="55" t="s">
        <v>71</v>
      </c>
      <c r="D210" s="60">
        <v>100</v>
      </c>
      <c r="E210" s="55" t="s">
        <v>142</v>
      </c>
      <c r="F210" s="57">
        <f>IF(AND(Config2_AllClocksOn,B208),IF(D208="SPI",IF(D209="Transmitting",Config2_SPI_Coef*D210,0)+IF(NOT(D209="Disabled"),Config2_SPI_EnableCoef*D210+Config2_SPI_EnablePeriCoef*$D$28+Config2_SPI_EnablePed,0),IF(D208="I2C",IF(D209="Transmitting",Config2_I2C_Coef*D210+Config2_I2C_RunPed,0)+IF(NOT(D209="Disabled"),Config2_I2C_EnableCoef*D210+Config2_I2C_EnablePed,0),IF(D209="Transmitting",Config2_UART_Coef*D210+Config2_UART_RunPed,0)+IF(NOT(D209="Disabled"),Config2_UART_EnableCoef*D210+Config2_UART_EnablePed,0))),0)</f>
        <v>0</v>
      </c>
      <c r="G210" s="58" t="s">
        <v>57</v>
      </c>
      <c r="H210" s="112" t="s">
        <v>373</v>
      </c>
      <c r="AB210" s="62"/>
    </row>
    <row r="211" spans="2:28" collapsed="1" x14ac:dyDescent="0.25">
      <c r="B211" s="140"/>
      <c r="C211" s="55"/>
      <c r="D211" s="156"/>
      <c r="E211" s="54"/>
      <c r="F211" s="54"/>
      <c r="G211" s="54"/>
      <c r="H211" s="59"/>
    </row>
    <row r="212" spans="2:28" x14ac:dyDescent="0.25">
      <c r="B212" s="140"/>
      <c r="C212" s="55"/>
      <c r="D212" s="156"/>
      <c r="E212" s="54"/>
      <c r="F212" s="54"/>
      <c r="G212" s="54"/>
      <c r="H212" s="59"/>
    </row>
    <row r="213" spans="2:28" x14ac:dyDescent="0.25">
      <c r="B213" s="53" t="s">
        <v>392</v>
      </c>
      <c r="C213" s="53"/>
      <c r="D213" s="53"/>
      <c r="E213" s="53"/>
      <c r="F213" s="53"/>
      <c r="G213" s="53"/>
      <c r="H213" s="53"/>
    </row>
    <row r="214" spans="2:28" x14ac:dyDescent="0.25">
      <c r="B214" s="140"/>
      <c r="C214" s="122" t="s">
        <v>396</v>
      </c>
      <c r="D214" s="56" t="s">
        <v>398</v>
      </c>
      <c r="E214" s="54"/>
      <c r="F214" s="80"/>
      <c r="G214" s="81"/>
      <c r="H214" s="112" t="s">
        <v>397</v>
      </c>
    </row>
    <row r="215" spans="2:28" x14ac:dyDescent="0.25">
      <c r="B215" s="140"/>
      <c r="C215" s="122" t="s">
        <v>175</v>
      </c>
      <c r="D215" s="56" t="s">
        <v>151</v>
      </c>
      <c r="E215" s="54"/>
      <c r="F215" s="57">
        <f>IF(OR(Config2_AllClocksOff,NOT(B23)),0,IF(D214="Yes",Config2_SMIF_DMA,0)+IF(D215="Disabled",Config2_SMIF_Dis,Config2_SMIF_En)+IF(D215="Transmitting",Config2_SMIF_Trans))</f>
        <v>0</v>
      </c>
      <c r="G215" s="58" t="s">
        <v>57</v>
      </c>
      <c r="H215" s="112" t="s">
        <v>393</v>
      </c>
    </row>
    <row r="216" spans="2:28" x14ac:dyDescent="0.25">
      <c r="B216" s="53" t="s">
        <v>89</v>
      </c>
      <c r="C216" s="53"/>
      <c r="D216" s="53"/>
      <c r="E216" s="53"/>
      <c r="F216" s="53"/>
      <c r="G216" s="53"/>
      <c r="H216" s="53"/>
    </row>
    <row r="217" spans="2:28" s="1" customFormat="1" collapsed="1" x14ac:dyDescent="0.25">
      <c r="B217" s="55"/>
      <c r="C217" s="55" t="s">
        <v>175</v>
      </c>
      <c r="D217" s="56" t="s">
        <v>28</v>
      </c>
      <c r="E217" s="55"/>
      <c r="F217" s="57">
        <f>IF(OR(Config2_AllClocksOff,D217="Off"),0,IF(D217="Configured Connected",Config2_Usb_ConfigCon,IF(D217="Suspended Connected",Config2_Usb_SuspendCon,Config2_Usb_SuspendDis)))*1000</f>
        <v>0</v>
      </c>
      <c r="G217" s="58" t="s">
        <v>57</v>
      </c>
      <c r="H217" s="59" t="s">
        <v>176</v>
      </c>
      <c r="AB217" s="41"/>
    </row>
    <row r="218" spans="2:28" s="1" customFormat="1" x14ac:dyDescent="0.25">
      <c r="B218" s="53" t="s">
        <v>152</v>
      </c>
      <c r="C218" s="53"/>
      <c r="D218" s="53"/>
      <c r="E218" s="53"/>
      <c r="F218" s="65">
        <f>SUM(F118:F217)/1000</f>
        <v>0</v>
      </c>
      <c r="G218" s="53" t="s">
        <v>316</v>
      </c>
      <c r="H218" s="53"/>
      <c r="AB218" s="41"/>
    </row>
    <row r="219" spans="2:28" s="1" customFormat="1" x14ac:dyDescent="0.25">
      <c r="B219"/>
      <c r="H219" s="49"/>
      <c r="AB219" s="41"/>
    </row>
    <row r="220" spans="2:28" hidden="1" x14ac:dyDescent="0.25">
      <c r="C220" s="1"/>
      <c r="D220" s="1"/>
      <c r="E220" s="1"/>
      <c r="F220" s="1"/>
      <c r="G220" s="1"/>
      <c r="H220" s="49"/>
    </row>
    <row r="221" spans="2:28" ht="15.6" hidden="1" x14ac:dyDescent="0.3">
      <c r="B221" s="225" t="s">
        <v>154</v>
      </c>
      <c r="C221" s="225"/>
      <c r="D221" s="225"/>
      <c r="E221" s="225"/>
      <c r="F221" s="225"/>
      <c r="G221" s="225"/>
      <c r="H221" s="225"/>
    </row>
    <row r="222" spans="2:28" s="1" customFormat="1" collapsed="1" x14ac:dyDescent="0.25">
      <c r="B222" s="67" t="s">
        <v>153</v>
      </c>
      <c r="C222" s="67"/>
      <c r="D222" s="67"/>
      <c r="E222" s="67"/>
      <c r="F222" s="67"/>
      <c r="G222" s="67"/>
      <c r="H222" s="67"/>
      <c r="AB222" s="41"/>
    </row>
    <row r="223" spans="2:28" x14ac:dyDescent="0.25">
      <c r="B223" s="68"/>
      <c r="C223" s="54" t="s">
        <v>11</v>
      </c>
      <c r="D223" s="60">
        <v>0</v>
      </c>
      <c r="E223" s="54" t="s">
        <v>10</v>
      </c>
      <c r="F223" s="69">
        <f t="shared" ref="F223:F230" si="0">D223</f>
        <v>0</v>
      </c>
      <c r="G223" s="58" t="s">
        <v>57</v>
      </c>
      <c r="H223" s="220" t="s">
        <v>49</v>
      </c>
    </row>
    <row r="224" spans="2:28" ht="12.75" customHeight="1" x14ac:dyDescent="0.25">
      <c r="B224" s="54"/>
      <c r="C224" s="54" t="s">
        <v>12</v>
      </c>
      <c r="D224" s="60">
        <v>0</v>
      </c>
      <c r="E224" s="54" t="s">
        <v>10</v>
      </c>
      <c r="F224" s="69">
        <f t="shared" si="0"/>
        <v>0</v>
      </c>
      <c r="G224" s="58" t="s">
        <v>57</v>
      </c>
      <c r="H224" s="221"/>
    </row>
    <row r="225" spans="2:8" ht="12.75" customHeight="1" x14ac:dyDescent="0.25">
      <c r="B225" s="54"/>
      <c r="C225" s="54" t="s">
        <v>13</v>
      </c>
      <c r="D225" s="60">
        <v>0</v>
      </c>
      <c r="E225" s="54" t="s">
        <v>10</v>
      </c>
      <c r="F225" s="69">
        <f t="shared" si="0"/>
        <v>0</v>
      </c>
      <c r="G225" s="58" t="s">
        <v>57</v>
      </c>
      <c r="H225" s="221"/>
    </row>
    <row r="226" spans="2:8" x14ac:dyDescent="0.25">
      <c r="B226" s="54"/>
      <c r="C226" s="54" t="s">
        <v>14</v>
      </c>
      <c r="D226" s="60">
        <v>0</v>
      </c>
      <c r="E226" s="54" t="s">
        <v>10</v>
      </c>
      <c r="F226" s="69">
        <f t="shared" si="0"/>
        <v>0</v>
      </c>
      <c r="G226" s="58" t="s">
        <v>57</v>
      </c>
      <c r="H226" s="221"/>
    </row>
    <row r="227" spans="2:8" x14ac:dyDescent="0.25">
      <c r="B227" s="54"/>
      <c r="C227" s="54" t="s">
        <v>15</v>
      </c>
      <c r="D227" s="60">
        <v>0</v>
      </c>
      <c r="E227" s="54" t="s">
        <v>10</v>
      </c>
      <c r="F227" s="69">
        <f t="shared" si="0"/>
        <v>0</v>
      </c>
      <c r="G227" s="58" t="s">
        <v>57</v>
      </c>
      <c r="H227" s="221"/>
    </row>
    <row r="228" spans="2:8" x14ac:dyDescent="0.25">
      <c r="B228" s="54"/>
      <c r="C228" s="54" t="s">
        <v>16</v>
      </c>
      <c r="D228" s="60">
        <v>0</v>
      </c>
      <c r="E228" s="54" t="s">
        <v>10</v>
      </c>
      <c r="F228" s="69">
        <f t="shared" si="0"/>
        <v>0</v>
      </c>
      <c r="G228" s="58" t="s">
        <v>57</v>
      </c>
      <c r="H228" s="221"/>
    </row>
    <row r="229" spans="2:8" x14ac:dyDescent="0.25">
      <c r="B229" s="54"/>
      <c r="C229" s="54" t="s">
        <v>17</v>
      </c>
      <c r="D229" s="60">
        <v>0</v>
      </c>
      <c r="E229" s="54" t="s">
        <v>10</v>
      </c>
      <c r="F229" s="69">
        <f t="shared" si="0"/>
        <v>0</v>
      </c>
      <c r="G229" s="58" t="s">
        <v>57</v>
      </c>
      <c r="H229" s="221"/>
    </row>
    <row r="230" spans="2:8" x14ac:dyDescent="0.25">
      <c r="B230" s="54"/>
      <c r="C230" s="54" t="s">
        <v>18</v>
      </c>
      <c r="D230" s="60">
        <v>0</v>
      </c>
      <c r="E230" s="54" t="s">
        <v>10</v>
      </c>
      <c r="F230" s="69">
        <f t="shared" si="0"/>
        <v>0</v>
      </c>
      <c r="G230" s="58" t="s">
        <v>57</v>
      </c>
      <c r="H230" s="222"/>
    </row>
    <row r="231" spans="2:8" ht="13.8" thickBot="1" x14ac:dyDescent="0.3">
      <c r="B231" s="70" t="s">
        <v>152</v>
      </c>
      <c r="C231" s="71"/>
      <c r="D231" s="72"/>
      <c r="E231" s="71"/>
      <c r="F231" s="158">
        <f>SUM(F223:F230)/1000</f>
        <v>0</v>
      </c>
      <c r="G231" s="70" t="s">
        <v>316</v>
      </c>
      <c r="H231" s="71"/>
    </row>
    <row r="232" spans="2:8" collapsed="1" x14ac:dyDescent="0.25">
      <c r="B232" s="73"/>
      <c r="C232" s="74"/>
      <c r="D232" s="75"/>
      <c r="E232" s="74"/>
      <c r="F232" s="76"/>
      <c r="G232" s="74"/>
      <c r="H232" s="77"/>
    </row>
    <row r="233" spans="2:8" ht="16.2" thickBot="1" x14ac:dyDescent="0.35">
      <c r="B233" s="3"/>
      <c r="C233" s="5"/>
      <c r="D233" s="24"/>
      <c r="E233" s="27" t="s">
        <v>34</v>
      </c>
      <c r="F233" s="33">
        <f ca="1">SUM(F36,F114,F218,F231)</f>
        <v>1.002</v>
      </c>
      <c r="G233" s="28" t="s">
        <v>316</v>
      </c>
      <c r="H233" s="10"/>
    </row>
    <row r="242" spans="4:4" x14ac:dyDescent="0.25">
      <c r="D242" s="29"/>
    </row>
  </sheetData>
  <dataConsolidate/>
  <mergeCells count="20">
    <mergeCell ref="B71:B96"/>
    <mergeCell ref="C94:E94"/>
    <mergeCell ref="C95:E95"/>
    <mergeCell ref="B221:H221"/>
    <mergeCell ref="H223:H230"/>
    <mergeCell ref="C1:D1"/>
    <mergeCell ref="E1:G1"/>
    <mergeCell ref="B2:E2"/>
    <mergeCell ref="F2:G2"/>
    <mergeCell ref="B3:H3"/>
    <mergeCell ref="B12:C12"/>
    <mergeCell ref="B20:C20"/>
    <mergeCell ref="B30:C30"/>
    <mergeCell ref="B116:H116"/>
    <mergeCell ref="B38:H38"/>
    <mergeCell ref="B39:C39"/>
    <mergeCell ref="B40:B42"/>
    <mergeCell ref="B44:B69"/>
    <mergeCell ref="C67:E67"/>
    <mergeCell ref="C68:E68"/>
  </mergeCells>
  <conditionalFormatting sqref="C9">
    <cfRule type="expression" dxfId="587" priority="264">
      <formula>NUM_CORE=1</formula>
    </cfRule>
  </conditionalFormatting>
  <conditionalFormatting sqref="C17:C19">
    <cfRule type="expression" dxfId="586" priority="256">
      <formula>NUM_PLL=1</formula>
    </cfRule>
  </conditionalFormatting>
  <conditionalFormatting sqref="C26">
    <cfRule type="expression" dxfId="585" priority="248">
      <formula>SelectedDevice&lt;&gt;PSoC62_2M</formula>
    </cfRule>
  </conditionalFormatting>
  <conditionalFormatting sqref="C118:C181">
    <cfRule type="expression" dxfId="584" priority="193">
      <formula>NOT($B$4)</formula>
    </cfRule>
  </conditionalFormatting>
  <conditionalFormatting sqref="D8">
    <cfRule type="expression" dxfId="583" priority="240">
      <formula>AND(Config1_SystemMode=SystemUlp,Config1_VoltageCore=1.1)</formula>
    </cfRule>
  </conditionalFormatting>
  <conditionalFormatting sqref="D9">
    <cfRule type="expression" dxfId="582" priority="263">
      <formula>AND(Config1_SystemMode=SystemDeepSleep,Config1_CM0p_CpuMode&lt;&gt;CpuDeepSleep)</formula>
    </cfRule>
    <cfRule type="expression" dxfId="581" priority="261" stopIfTrue="1">
      <formula>OR(NUM_CORE=1,Config1_SystemMode=SystemHibernate)</formula>
    </cfRule>
  </conditionalFormatting>
  <conditionalFormatting sqref="D10">
    <cfRule type="expression" dxfId="580" priority="262">
      <formula>AND(Config1_SystemMode=SystemDeepSleep,AND(Config1_CM4_CpuMode&lt;&gt;CpuOff,Config1_CM4_CpuMode&lt;&gt;CpuDeepSleep))</formula>
    </cfRule>
    <cfRule type="expression" dxfId="579" priority="260" stopIfTrue="1">
      <formula>Config1_SystemMode=SystemHibernate</formula>
    </cfRule>
  </conditionalFormatting>
  <conditionalFormatting sqref="D22:D26">
    <cfRule type="expression" dxfId="578" priority="245">
      <formula>NOT($B22)</formula>
    </cfRule>
  </conditionalFormatting>
  <conditionalFormatting sqref="D27">
    <cfRule type="expression" dxfId="577" priority="243">
      <formula>FLOOR(MOD(Config1_HFCLK0,$D$27),1)</formula>
    </cfRule>
  </conditionalFormatting>
  <conditionalFormatting sqref="D28">
    <cfRule type="expression" dxfId="576" priority="242">
      <formula>FLOOR(MOD(Config1_HFCLK0,$D$28),1)</formula>
    </cfRule>
  </conditionalFormatting>
  <conditionalFormatting sqref="D29">
    <cfRule type="expression" dxfId="575" priority="241">
      <formula>FLOOR(MOD($D$28,$D$29),1)</formula>
    </cfRule>
  </conditionalFormatting>
  <conditionalFormatting sqref="D40:D42">
    <cfRule type="expression" dxfId="574" priority="155">
      <formula>IF(SelectedDevice = "PSoC 62 (256KB)", FALSE, TRUE)</formula>
    </cfRule>
  </conditionalFormatting>
  <conditionalFormatting sqref="D47 D74">
    <cfRule type="expression" dxfId="573" priority="81">
      <formula>IF(AND($B$43, $D$45="2MHz Deep Sleep Clock", #REF!, $D$105 = "2MHz Deep Sleep Clock", $D$43 = "Triggered Sampling", #REF! = "Triggered Sampling"), IF($D$46 = $D$107, FALSE, TRUE), FALSE)</formula>
    </cfRule>
  </conditionalFormatting>
  <conditionalFormatting sqref="D47">
    <cfRule type="expression" dxfId="572" priority="80">
      <formula>IF($D$44="Triggered Sampling", FALSE, TRUE)</formula>
    </cfRule>
  </conditionalFormatting>
  <conditionalFormatting sqref="D74">
    <cfRule type="expression" dxfId="571" priority="45">
      <formula>IF($D$44="Triggered Sampling", FALSE, TRUE)</formula>
    </cfRule>
  </conditionalFormatting>
  <conditionalFormatting sqref="D13:E13">
    <cfRule type="expression" dxfId="570" priority="259">
      <formula>NOT($B$13)</formula>
    </cfRule>
  </conditionalFormatting>
  <conditionalFormatting sqref="D14:E16">
    <cfRule type="expression" dxfId="569" priority="258">
      <formula>NOT($B$14)</formula>
    </cfRule>
  </conditionalFormatting>
  <conditionalFormatting sqref="D17:E19">
    <cfRule type="expression" dxfId="568" priority="257">
      <formula>NOT($B$17)</formula>
    </cfRule>
    <cfRule type="expression" dxfId="567" priority="255">
      <formula>NUM_PLL=1</formula>
    </cfRule>
  </conditionalFormatting>
  <conditionalFormatting sqref="D21:E21">
    <cfRule type="expression" dxfId="566" priority="254">
      <formula>NOT($B21)</formula>
    </cfRule>
  </conditionalFormatting>
  <conditionalFormatting sqref="D26:E26">
    <cfRule type="expression" dxfId="565" priority="244">
      <formula>SelectedDevice&lt;&gt;PSoC62_2M</formula>
    </cfRule>
  </conditionalFormatting>
  <conditionalFormatting sqref="D35:E35">
    <cfRule type="expression" dxfId="564" priority="239">
      <formula>NOT($B$35)</formula>
    </cfRule>
  </conditionalFormatting>
  <conditionalFormatting sqref="D40:E41">
    <cfRule type="expression" dxfId="563" priority="179">
      <formula>IF(AND($D$8 = "System Deep Sleep", #REF! = "LPOSC"), FALSE, TRUE)</formula>
    </cfRule>
  </conditionalFormatting>
  <conditionalFormatting sqref="D44:E49">
    <cfRule type="expression" dxfId="562" priority="2">
      <formula>IF($I$46=TRUE,FALSE,TRUE)</formula>
    </cfRule>
  </conditionalFormatting>
  <conditionalFormatting sqref="D71:E76">
    <cfRule type="expression" dxfId="561" priority="11">
      <formula>IF($I$72=TRUE,FALSE,TRUE)</formula>
    </cfRule>
  </conditionalFormatting>
  <conditionalFormatting sqref="D118:E119">
    <cfRule type="expression" dxfId="560" priority="246">
      <formula>NOT($B$118)</formula>
    </cfRule>
  </conditionalFormatting>
  <conditionalFormatting sqref="D120:E121">
    <cfRule type="expression" dxfId="559" priority="237">
      <formula>NOT($B$120)</formula>
    </cfRule>
  </conditionalFormatting>
  <conditionalFormatting sqref="D122:E123">
    <cfRule type="expression" dxfId="558" priority="236">
      <formula>NOT($B$122)</formula>
    </cfRule>
  </conditionalFormatting>
  <conditionalFormatting sqref="D124:E125">
    <cfRule type="expression" dxfId="557" priority="234">
      <formula>NOT($B$124)</formula>
    </cfRule>
  </conditionalFormatting>
  <conditionalFormatting sqref="D126:E127">
    <cfRule type="expression" dxfId="556" priority="233">
      <formula>NOT($B$126)</formula>
    </cfRule>
  </conditionalFormatting>
  <conditionalFormatting sqref="D128:E129">
    <cfRule type="expression" dxfId="555" priority="231">
      <formula>NOT($B$128)</formula>
    </cfRule>
  </conditionalFormatting>
  <conditionalFormatting sqref="D130:E131">
    <cfRule type="expression" dxfId="554" priority="230">
      <formula>NOT($B$130)</formula>
    </cfRule>
  </conditionalFormatting>
  <conditionalFormatting sqref="D132:E133">
    <cfRule type="expression" dxfId="553" priority="228">
      <formula>NOT($B$132)</formula>
    </cfRule>
  </conditionalFormatting>
  <conditionalFormatting sqref="D134:E135">
    <cfRule type="expression" dxfId="552" priority="227">
      <formula>NOT($B$134)</formula>
    </cfRule>
  </conditionalFormatting>
  <conditionalFormatting sqref="D136:E137">
    <cfRule type="expression" dxfId="551" priority="225">
      <formula>NOT($B$136)</formula>
    </cfRule>
  </conditionalFormatting>
  <conditionalFormatting sqref="D138:E139">
    <cfRule type="expression" dxfId="550" priority="224">
      <formula>NOT($B$138)</formula>
    </cfRule>
  </conditionalFormatting>
  <conditionalFormatting sqref="D140:E141">
    <cfRule type="expression" dxfId="549" priority="222">
      <formula>NOT($B$140)</formula>
    </cfRule>
  </conditionalFormatting>
  <conditionalFormatting sqref="D142:E143">
    <cfRule type="expression" dxfId="548" priority="221">
      <formula>NOT($B$142)</formula>
    </cfRule>
  </conditionalFormatting>
  <conditionalFormatting sqref="D144:E145">
    <cfRule type="expression" dxfId="547" priority="219">
      <formula>NOT($B$144)</formula>
    </cfRule>
  </conditionalFormatting>
  <conditionalFormatting sqref="D146:E147">
    <cfRule type="expression" dxfId="546" priority="218">
      <formula>NOT($B$146)</formula>
    </cfRule>
  </conditionalFormatting>
  <conditionalFormatting sqref="D148:E149">
    <cfRule type="expression" dxfId="545" priority="216">
      <formula>NOT($B$148)</formula>
    </cfRule>
  </conditionalFormatting>
  <conditionalFormatting sqref="D150:E151">
    <cfRule type="expression" dxfId="544" priority="215">
      <formula>NOT($B$150)</formula>
    </cfRule>
  </conditionalFormatting>
  <conditionalFormatting sqref="D152:E153">
    <cfRule type="expression" dxfId="543" priority="213">
      <formula>NOT($B$152)</formula>
    </cfRule>
  </conditionalFormatting>
  <conditionalFormatting sqref="D154:E155">
    <cfRule type="expression" dxfId="542" priority="212">
      <formula>NOT($B$154)</formula>
    </cfRule>
  </conditionalFormatting>
  <conditionalFormatting sqref="D156:E157">
    <cfRule type="expression" dxfId="541" priority="210">
      <formula>NOT($B$156)</formula>
    </cfRule>
  </conditionalFormatting>
  <conditionalFormatting sqref="D158:E159">
    <cfRule type="expression" dxfId="540" priority="209">
      <formula>NOT($B$158)</formula>
    </cfRule>
  </conditionalFormatting>
  <conditionalFormatting sqref="D160:E161">
    <cfRule type="expression" dxfId="539" priority="207">
      <formula>NOT($B$160)</formula>
    </cfRule>
  </conditionalFormatting>
  <conditionalFormatting sqref="D162:E163">
    <cfRule type="expression" dxfId="538" priority="206">
      <formula>NOT($B$162)</formula>
    </cfRule>
  </conditionalFormatting>
  <conditionalFormatting sqref="D164:E165">
    <cfRule type="expression" dxfId="537" priority="204">
      <formula>NOT($B$164)</formula>
    </cfRule>
  </conditionalFormatting>
  <conditionalFormatting sqref="D166:E167">
    <cfRule type="expression" dxfId="536" priority="203">
      <formula>NOT($B$166)</formula>
    </cfRule>
  </conditionalFormatting>
  <conditionalFormatting sqref="D168:E169">
    <cfRule type="expression" dxfId="535" priority="201">
      <formula>NOT($B$168)</formula>
    </cfRule>
  </conditionalFormatting>
  <conditionalFormatting sqref="D170:E171">
    <cfRule type="expression" dxfId="534" priority="200">
      <formula>NOT($B$170)</formula>
    </cfRule>
  </conditionalFormatting>
  <conditionalFormatting sqref="D172:E173">
    <cfRule type="expression" dxfId="533" priority="198">
      <formula>NOT($B$172)</formula>
    </cfRule>
  </conditionalFormatting>
  <conditionalFormatting sqref="D174:E175">
    <cfRule type="expression" dxfId="532" priority="197">
      <formula>NOT($B$174)</formula>
    </cfRule>
  </conditionalFormatting>
  <conditionalFormatting sqref="D176:E177">
    <cfRule type="expression" dxfId="531" priority="195">
      <formula>NOT($B$176)</formula>
    </cfRule>
  </conditionalFormatting>
  <conditionalFormatting sqref="D178:E179">
    <cfRule type="expression" dxfId="530" priority="194">
      <formula>NOT($B$178)</formula>
    </cfRule>
  </conditionalFormatting>
  <conditionalFormatting sqref="D180:E181">
    <cfRule type="expression" dxfId="529" priority="192">
      <formula>NOT($B$180)</formula>
    </cfRule>
  </conditionalFormatting>
  <conditionalFormatting sqref="D184:E186">
    <cfRule type="expression" dxfId="528" priority="187">
      <formula>NOT($B$184)</formula>
    </cfRule>
  </conditionalFormatting>
  <conditionalFormatting sqref="D187:E189">
    <cfRule type="expression" dxfId="527" priority="185">
      <formula>NOT($B$187)</formula>
    </cfRule>
  </conditionalFormatting>
  <conditionalFormatting sqref="D190:E192">
    <cfRule type="expression" dxfId="526" priority="184">
      <formula>NOT($B$190)</formula>
    </cfRule>
  </conditionalFormatting>
  <conditionalFormatting sqref="D193:E195">
    <cfRule type="expression" dxfId="525" priority="186">
      <formula>NOT($B$193)</formula>
    </cfRule>
  </conditionalFormatting>
  <conditionalFormatting sqref="D196:E198">
    <cfRule type="expression" dxfId="524" priority="191">
      <formula>NOT($B$196)</formula>
    </cfRule>
  </conditionalFormatting>
  <conditionalFormatting sqref="D199:E201">
    <cfRule type="expression" dxfId="523" priority="189">
      <formula>NOT($B$199)</formula>
    </cfRule>
  </conditionalFormatting>
  <conditionalFormatting sqref="D202:E204">
    <cfRule type="expression" dxfId="522" priority="188">
      <formula>NOT($B$202)</formula>
    </cfRule>
  </conditionalFormatting>
  <conditionalFormatting sqref="D205:E207">
    <cfRule type="expression" dxfId="521" priority="190">
      <formula>NOT($B$205)</formula>
    </cfRule>
  </conditionalFormatting>
  <conditionalFormatting sqref="D208:E210">
    <cfRule type="expression" dxfId="520" priority="183">
      <formula>NOT($B$208)</formula>
    </cfRule>
  </conditionalFormatting>
  <conditionalFormatting sqref="D51:G66">
    <cfRule type="expression" dxfId="519" priority="61">
      <formula>IF($D$8 = "System Deep Sleep", IF(SelectedDevice = "PSoC 62 (256KB)", FALSE, TRUE), FALSE)</formula>
    </cfRule>
  </conditionalFormatting>
  <conditionalFormatting sqref="D51:H66 F67:G68">
    <cfRule type="expression" dxfId="518" priority="1">
      <formula>IF($I$46=TRUE,FALSE,TRUE)</formula>
    </cfRule>
  </conditionalFormatting>
  <conditionalFormatting sqref="D52:H52">
    <cfRule type="expression" dxfId="517" priority="59">
      <formula>IF($D$48 &gt;1, FALSE, TRUE)</formula>
    </cfRule>
  </conditionalFormatting>
  <conditionalFormatting sqref="D53:H53">
    <cfRule type="expression" dxfId="516" priority="58">
      <formula>IF($D$48 &gt;2, FALSE, TRUE)</formula>
    </cfRule>
  </conditionalFormatting>
  <conditionalFormatting sqref="D54:H54">
    <cfRule type="expression" dxfId="515" priority="57">
      <formula>IF($D$48 &gt;3, FALSE, TRUE)</formula>
    </cfRule>
  </conditionalFormatting>
  <conditionalFormatting sqref="D55:H55">
    <cfRule type="expression" dxfId="514" priority="65">
      <formula>IF($D$48 &gt;4, FALSE, TRUE)</formula>
    </cfRule>
  </conditionalFormatting>
  <conditionalFormatting sqref="D56:H56">
    <cfRule type="expression" dxfId="513" priority="62">
      <formula>IF($D$48 &gt;5, FALSE, TRUE)</formula>
    </cfRule>
  </conditionalFormatting>
  <conditionalFormatting sqref="D57:H57">
    <cfRule type="expression" dxfId="512" priority="56">
      <formula>IF($D$48 &gt;6, FALSE, TRUE)</formula>
    </cfRule>
  </conditionalFormatting>
  <conditionalFormatting sqref="D58:H58">
    <cfRule type="expression" dxfId="511" priority="55">
      <formula>IF($D$48 &gt;7, FALSE, TRUE)</formula>
    </cfRule>
  </conditionalFormatting>
  <conditionalFormatting sqref="D59:H59">
    <cfRule type="expression" dxfId="510" priority="54">
      <formula>IF($D$48 &gt;8, FALSE, TRUE)</formula>
    </cfRule>
  </conditionalFormatting>
  <conditionalFormatting sqref="D60:H60">
    <cfRule type="expression" dxfId="509" priority="53">
      <formula>IF($D$48 &gt;9, FALSE, TRUE)</formula>
    </cfRule>
  </conditionalFormatting>
  <conditionalFormatting sqref="D61:H61">
    <cfRule type="expression" dxfId="508" priority="52">
      <formula>IF($D$48 &gt;10, FALSE, TRUE)</formula>
    </cfRule>
  </conditionalFormatting>
  <conditionalFormatting sqref="D62:H62">
    <cfRule type="expression" dxfId="507" priority="51">
      <formula>IF($D$48 &gt;11, FALSE, TRUE)</formula>
    </cfRule>
  </conditionalFormatting>
  <conditionalFormatting sqref="D63:H63">
    <cfRule type="expression" dxfId="506" priority="50">
      <formula>IF($D$48 &gt;12, FALSE, TRUE)</formula>
    </cfRule>
  </conditionalFormatting>
  <conditionalFormatting sqref="D64:H64">
    <cfRule type="expression" dxfId="505" priority="49">
      <formula>IF($D$48 &gt;13, FALSE, TRUE)</formula>
    </cfRule>
  </conditionalFormatting>
  <conditionalFormatting sqref="D65:H65">
    <cfRule type="expression" dxfId="504" priority="48">
      <formula>IF($D$48 &gt;14, FALSE, TRUE)</formula>
    </cfRule>
  </conditionalFormatting>
  <conditionalFormatting sqref="D66:H66">
    <cfRule type="expression" dxfId="503" priority="46">
      <formula>IF($D$48 &gt;15, FALSE, TRUE)</formula>
    </cfRule>
  </conditionalFormatting>
  <conditionalFormatting sqref="D78:H93 F94:G95">
    <cfRule type="expression" dxfId="502" priority="27">
      <formula>IF($I$72=TRUE,FALSE,TRUE)</formula>
    </cfRule>
  </conditionalFormatting>
  <conditionalFormatting sqref="D79:H79">
    <cfRule type="expression" dxfId="501" priority="6">
      <formula>IF($D$75 &gt;1, FALSE, TRUE)</formula>
    </cfRule>
  </conditionalFormatting>
  <conditionalFormatting sqref="D80:H80">
    <cfRule type="expression" dxfId="500" priority="24">
      <formula>IF($D$75 &gt;2, FALSE, TRUE)</formula>
    </cfRule>
  </conditionalFormatting>
  <conditionalFormatting sqref="D81:H81">
    <cfRule type="expression" dxfId="499" priority="23">
      <formula>IF($D$75 &gt;3, FALSE, TRUE)</formula>
    </cfRule>
  </conditionalFormatting>
  <conditionalFormatting sqref="D82:H82">
    <cfRule type="expression" dxfId="498" priority="30">
      <formula>IF($D$75 &gt;4, FALSE, TRUE)</formula>
    </cfRule>
  </conditionalFormatting>
  <conditionalFormatting sqref="D83:H83">
    <cfRule type="expression" dxfId="497" priority="28">
      <formula>IF($D$75 &gt;5, FALSE, TRUE)</formula>
    </cfRule>
  </conditionalFormatting>
  <conditionalFormatting sqref="D84:H84">
    <cfRule type="expression" dxfId="496" priority="22">
      <formula>IF($D$75 &gt;6, FALSE, TRUE)</formula>
    </cfRule>
  </conditionalFormatting>
  <conditionalFormatting sqref="D85:H85">
    <cfRule type="expression" dxfId="495" priority="21">
      <formula>IF($D$75 &gt;7, FALSE, TRUE)</formula>
    </cfRule>
  </conditionalFormatting>
  <conditionalFormatting sqref="D86:H86">
    <cfRule type="expression" dxfId="494" priority="20">
      <formula>IF($D$75 &gt;8, FALSE, TRUE)</formula>
    </cfRule>
  </conditionalFormatting>
  <conditionalFormatting sqref="D87:H87">
    <cfRule type="expression" dxfId="493" priority="19">
      <formula>IF($D$75 &gt;9, FALSE, TRUE)</formula>
    </cfRule>
  </conditionalFormatting>
  <conditionalFormatting sqref="D88:H88">
    <cfRule type="expression" dxfId="492" priority="18">
      <formula>IF($D$75 &gt;10, FALSE, TRUE)</formula>
    </cfRule>
  </conditionalFormatting>
  <conditionalFormatting sqref="D89:H89">
    <cfRule type="expression" dxfId="491" priority="17">
      <formula>IF($D$75 &gt;11, FALSE, TRUE)</formula>
    </cfRule>
  </conditionalFormatting>
  <conditionalFormatting sqref="D90:H90">
    <cfRule type="expression" dxfId="490" priority="16">
      <formula>IF($D$75 &gt;12, FALSE, TRUE)</formula>
    </cfRule>
  </conditionalFormatting>
  <conditionalFormatting sqref="D91:H91">
    <cfRule type="expression" dxfId="489" priority="15">
      <formula>IF($D$75 &gt;13, FALSE, TRUE)</formula>
    </cfRule>
  </conditionalFormatting>
  <conditionalFormatting sqref="D92:H92">
    <cfRule type="expression" dxfId="488" priority="14">
      <formula>IF($D$75 &gt;14, FALSE, TRUE)</formula>
    </cfRule>
  </conditionalFormatting>
  <conditionalFormatting sqref="D93:H93">
    <cfRule type="expression" dxfId="487" priority="12">
      <formula>IF($D$75 &gt;15, FALSE, TRUE)</formula>
    </cfRule>
  </conditionalFormatting>
  <conditionalFormatting sqref="E22">
    <cfRule type="expression" dxfId="486" priority="253">
      <formula>NOT($B$22)</formula>
    </cfRule>
  </conditionalFormatting>
  <conditionalFormatting sqref="E23">
    <cfRule type="expression" dxfId="485" priority="252">
      <formula>NOT($B$23)</formula>
    </cfRule>
  </conditionalFormatting>
  <conditionalFormatting sqref="E24">
    <cfRule type="expression" dxfId="484" priority="251">
      <formula>NOT($B$24)</formula>
    </cfRule>
  </conditionalFormatting>
  <conditionalFormatting sqref="E25">
    <cfRule type="expression" dxfId="483" priority="250">
      <formula>NOT($B$25)</formula>
    </cfRule>
  </conditionalFormatting>
  <conditionalFormatting sqref="E26">
    <cfRule type="expression" dxfId="482" priority="249">
      <formula>NOT($B$26)</formula>
    </cfRule>
  </conditionalFormatting>
  <conditionalFormatting sqref="F53:F66">
    <cfRule type="expression" dxfId="481" priority="8">
      <formula>IF($D$48 &gt;1, FALSE, TRUE)</formula>
    </cfRule>
  </conditionalFormatting>
  <conditionalFormatting sqref="F68">
    <cfRule type="expression" dxfId="480" priority="63">
      <formula>IF($F$68 &gt; (1000/$D$47), TRUE, FALSE)</formula>
    </cfRule>
  </conditionalFormatting>
  <conditionalFormatting sqref="F69">
    <cfRule type="expression" dxfId="479" priority="64">
      <formula>IF($F$69&gt;=0, FALSE, TRUE)</formula>
    </cfRule>
  </conditionalFormatting>
  <conditionalFormatting sqref="F79">
    <cfRule type="expression" dxfId="478" priority="7">
      <formula>IF($D$8 = "System Deep Sleep", IF(SelectedDevice = "PSoC 62 (256KB)", FALSE, TRUE), FALSE)</formula>
    </cfRule>
    <cfRule type="expression" dxfId="477" priority="5">
      <formula>OR(NOT($B$71), NOT(SelectedDevice = "PSoC 62 (256KB)"))</formula>
    </cfRule>
  </conditionalFormatting>
  <conditionalFormatting sqref="F81:F93">
    <cfRule type="expression" dxfId="476" priority="4">
      <formula>IF($D$75 &gt;2, FALSE, TRUE)</formula>
    </cfRule>
  </conditionalFormatting>
  <conditionalFormatting sqref="F85">
    <cfRule type="expression" dxfId="475" priority="3">
      <formula>IF($D$75 &gt;6, FALSE, TRUE)</formula>
    </cfRule>
  </conditionalFormatting>
  <conditionalFormatting sqref="F95">
    <cfRule type="expression" dxfId="474" priority="29">
      <formula>IF($F$68 &gt; (1000/$D$47), TRUE, FALSE)</formula>
    </cfRule>
  </conditionalFormatting>
  <conditionalFormatting sqref="F96">
    <cfRule type="expression" dxfId="473" priority="9">
      <formula>IF($F$96&gt;=0, FALSE, TRUE)</formula>
    </cfRule>
  </conditionalFormatting>
  <conditionalFormatting sqref="G51">
    <cfRule type="expression" dxfId="472" priority="60">
      <formula>IF($G$51 = 0, TRUE, FALSE)</formula>
    </cfRule>
  </conditionalFormatting>
  <conditionalFormatting sqref="G52">
    <cfRule type="expression" dxfId="471" priority="79">
      <formula>IF($G$52 = 0, TRUE, FALSE)</formula>
    </cfRule>
  </conditionalFormatting>
  <conditionalFormatting sqref="G53">
    <cfRule type="expression" dxfId="470" priority="78">
      <formula>IF($G$53 = 0, TRUE, FALSE)</formula>
    </cfRule>
  </conditionalFormatting>
  <conditionalFormatting sqref="G54">
    <cfRule type="expression" dxfId="469" priority="77">
      <formula>IF($G$54 = 0, TRUE, FALSE)</formula>
    </cfRule>
  </conditionalFormatting>
  <conditionalFormatting sqref="G55">
    <cfRule type="expression" dxfId="468" priority="76">
      <formula>IF($G$55 = 0, TRUE, FALSE)</formula>
    </cfRule>
  </conditionalFormatting>
  <conditionalFormatting sqref="G56">
    <cfRule type="expression" dxfId="467" priority="75">
      <formula>IF($G$56 = 0, TRUE, FALSE)</formula>
    </cfRule>
  </conditionalFormatting>
  <conditionalFormatting sqref="G57">
    <cfRule type="expression" dxfId="466" priority="74">
      <formula>IF($G$57 = 0, TRUE, FALSE)</formula>
    </cfRule>
  </conditionalFormatting>
  <conditionalFormatting sqref="G58">
    <cfRule type="expression" dxfId="465" priority="73">
      <formula>IF($G$58 = 0, TRUE, FALSE)</formula>
    </cfRule>
  </conditionalFormatting>
  <conditionalFormatting sqref="G59">
    <cfRule type="expression" dxfId="464" priority="72">
      <formula>IF($G$59 = 0, TRUE, FALSE)</formula>
    </cfRule>
  </conditionalFormatting>
  <conditionalFormatting sqref="G60">
    <cfRule type="expression" dxfId="463" priority="71">
      <formula>IF($G$60 = 0, TRUE, FALSE)</formula>
    </cfRule>
  </conditionalFormatting>
  <conditionalFormatting sqref="G61">
    <cfRule type="expression" dxfId="462" priority="70">
      <formula>IF($G$61 = 0, TRUE, FALSE)</formula>
    </cfRule>
  </conditionalFormatting>
  <conditionalFormatting sqref="G62">
    <cfRule type="expression" dxfId="461" priority="69">
      <formula>IF($G$62 = 0, TRUE, FALSE)</formula>
    </cfRule>
  </conditionalFormatting>
  <conditionalFormatting sqref="G63">
    <cfRule type="expression" dxfId="460" priority="68">
      <formula>IF($G$63 = 0, TRUE, FALSE)</formula>
    </cfRule>
  </conditionalFormatting>
  <conditionalFormatting sqref="G64">
    <cfRule type="expression" dxfId="459" priority="67">
      <formula>IF($G$64 = 0, TRUE, FALSE)</formula>
    </cfRule>
  </conditionalFormatting>
  <conditionalFormatting sqref="G65">
    <cfRule type="expression" dxfId="458" priority="66">
      <formula>IF($G$65 = 0, TRUE, FALSE)</formula>
    </cfRule>
  </conditionalFormatting>
  <conditionalFormatting sqref="G66">
    <cfRule type="expression" dxfId="457" priority="47">
      <formula>IF($G$66 = 0, TRUE, FALSE)</formula>
    </cfRule>
  </conditionalFormatting>
  <conditionalFormatting sqref="G78">
    <cfRule type="expression" dxfId="456" priority="26">
      <formula>IF($G$51 = 0, TRUE, FALSE)</formula>
    </cfRule>
  </conditionalFormatting>
  <conditionalFormatting sqref="G79">
    <cfRule type="expression" dxfId="455" priority="44">
      <formula>IF($G$52 = 0, TRUE, FALSE)</formula>
    </cfRule>
  </conditionalFormatting>
  <conditionalFormatting sqref="G80">
    <cfRule type="expression" dxfId="454" priority="43">
      <formula>IF($G$53 = 0, TRUE, FALSE)</formula>
    </cfRule>
  </conditionalFormatting>
  <conditionalFormatting sqref="G81">
    <cfRule type="expression" dxfId="453" priority="42">
      <formula>IF($G$54 = 0, TRUE, FALSE)</formula>
    </cfRule>
  </conditionalFormatting>
  <conditionalFormatting sqref="G82">
    <cfRule type="expression" dxfId="452" priority="41">
      <formula>IF($G$55 = 0, TRUE, FALSE)</formula>
    </cfRule>
  </conditionalFormatting>
  <conditionalFormatting sqref="G83">
    <cfRule type="expression" dxfId="451" priority="40">
      <formula>IF($G$56 = 0, TRUE, FALSE)</formula>
    </cfRule>
  </conditionalFormatting>
  <conditionalFormatting sqref="G84">
    <cfRule type="expression" dxfId="450" priority="39">
      <formula>IF($G$57 = 0, TRUE, FALSE)</formula>
    </cfRule>
  </conditionalFormatting>
  <conditionalFormatting sqref="G85">
    <cfRule type="expression" dxfId="449" priority="38">
      <formula>IF($G$58 = 0, TRUE, FALSE)</formula>
    </cfRule>
  </conditionalFormatting>
  <conditionalFormatting sqref="G86">
    <cfRule type="expression" dxfId="448" priority="37">
      <formula>IF($G$59 = 0, TRUE, FALSE)</formula>
    </cfRule>
  </conditionalFormatting>
  <conditionalFormatting sqref="G87">
    <cfRule type="expression" dxfId="447" priority="36">
      <formula>IF($G$60 = 0, TRUE, FALSE)</formula>
    </cfRule>
  </conditionalFormatting>
  <conditionalFormatting sqref="G88">
    <cfRule type="expression" dxfId="446" priority="35">
      <formula>IF($G$61 = 0, TRUE, FALSE)</formula>
    </cfRule>
  </conditionalFormatting>
  <conditionalFormatting sqref="G89">
    <cfRule type="expression" dxfId="445" priority="34">
      <formula>IF($G$62 = 0, TRUE, FALSE)</formula>
    </cfRule>
  </conditionalFormatting>
  <conditionalFormatting sqref="G90">
    <cfRule type="expression" dxfId="444" priority="33">
      <formula>IF($G$63 = 0, TRUE, FALSE)</formula>
    </cfRule>
  </conditionalFormatting>
  <conditionalFormatting sqref="G91">
    <cfRule type="expression" dxfId="443" priority="32">
      <formula>IF($G$64 = 0, TRUE, FALSE)</formula>
    </cfRule>
  </conditionalFormatting>
  <conditionalFormatting sqref="G92">
    <cfRule type="expression" dxfId="442" priority="31">
      <formula>IF($G$65 = 0, TRUE, FALSE)</formula>
    </cfRule>
  </conditionalFormatting>
  <conditionalFormatting sqref="G93">
    <cfRule type="expression" dxfId="441" priority="13">
      <formula>IF($G$66 = 0, TRUE, FALSE)</formula>
    </cfRule>
  </conditionalFormatting>
  <dataValidations count="25">
    <dataValidation type="decimal" allowBlank="1" showInputMessage="1" showErrorMessage="1" sqref="D109" xr:uid="{0178146D-E7C1-4170-B5D8-12983BD20067}">
      <formula1>0</formula1>
      <formula2>4</formula2>
    </dataValidation>
    <dataValidation type="list" allowBlank="1" showInputMessage="1" showErrorMessage="1" sqref="D32:D34" xr:uid="{D7403576-8A6D-4059-B949-79B99A45CCA0}">
      <formula1>"Enabled,Disabled"</formula1>
    </dataValidation>
    <dataValidation type="decimal" allowBlank="1" showInputMessage="1" showErrorMessage="1" sqref="D182 D37" xr:uid="{D2D90366-B98D-489A-99D1-48EEBE1196E9}">
      <formula1>0</formula1>
      <formula2>48</formula2>
    </dataValidation>
    <dataValidation type="decimal" allowBlank="1" showInputMessage="1" showErrorMessage="1" sqref="D218 D36 D216 D111 D113 D213" xr:uid="{A7015ED0-E658-4B4C-8B21-A17ECC53BB6C}">
      <formula1>0</formula1>
      <formula2>24</formula2>
    </dataValidation>
    <dataValidation type="decimal" allowBlank="1" showInputMessage="1" showErrorMessage="1" sqref="D219:D220" xr:uid="{22AB9E73-6F09-4921-8E98-1F0512C250D3}">
      <formula1>0</formula1>
      <formula2>8</formula2>
    </dataValidation>
    <dataValidation type="list" allowBlank="1" showInputMessage="1" showErrorMessage="1" sqref="D214" xr:uid="{349998BD-EDC5-465B-8F25-00B705F864AC}">
      <formula1>"Yes,No"</formula1>
    </dataValidation>
    <dataValidation type="decimal" allowBlank="1" showInputMessage="1" showErrorMessage="1" sqref="C97 C52:C66 C79:C93" xr:uid="{3345D2C7-0AF6-4A9D-AF84-451CEAA0EFCE}">
      <formula1>0</formula1>
      <formula2>1000</formula2>
    </dataValidation>
    <dataValidation type="list" allowBlank="1" showInputMessage="1" showErrorMessage="1" sqref="D45 D72" xr:uid="{C351017F-EC05-4073-8082-F1D5CF88A483}">
      <formula1>"System bandgap, Vdda, Vdda/2"</formula1>
    </dataValidation>
    <dataValidation type="decimal" allowBlank="1" showInputMessage="1" showErrorMessage="1" sqref="D207 D198 D201 D204 D195 D186 D189 D192 D210" xr:uid="{CA40ACA8-C00C-4789-BC6C-CC97443BD9A5}">
      <formula1>0</formula1>
      <formula2>100000</formula2>
    </dataValidation>
    <dataValidation type="decimal" allowBlank="1" showInputMessage="1" showErrorMessage="1" sqref="D35" xr:uid="{EE3C1880-D9BC-4E98-92C6-39BEDBFACD46}">
      <formula1>4</formula1>
      <formula2>35</formula2>
    </dataValidation>
    <dataValidation type="list" allowBlank="1" showInputMessage="1" showErrorMessage="1" promptTitle="Select the PSoC family." sqref="D7" xr:uid="{C44CAF48-A1D9-49F4-A87D-4CA4BBA1FDDF}">
      <formula1>"0.9,1.1"</formula1>
    </dataValidation>
    <dataValidation type="list" allowBlank="1" showInputMessage="1" showErrorMessage="1" sqref="D21:D26" xr:uid="{1A18DF31-05CD-4C4A-AEA1-1EA2A97F077E}">
      <formula1>Dividers</formula1>
    </dataValidation>
    <dataValidation type="list" allowBlank="1" showInputMessage="1" showErrorMessage="1" sqref="E21:E26" xr:uid="{3CB44351-E829-4386-82F2-17B903722732}">
      <formula1>"FLL, PLL, IMO, ECO"</formula1>
    </dataValidation>
    <dataValidation type="decimal" allowBlank="1" showInputMessage="1" showErrorMessage="1" promptTitle="Select the PSoC family." sqref="D5" xr:uid="{47F0A80A-5FE7-43B9-A094-B8D63A6A7901}">
      <formula1>1.7</formula1>
      <formula2>3.6</formula2>
    </dataValidation>
    <dataValidation type="decimal" allowBlank="1" showInputMessage="1" showErrorMessage="1" sqref="D16 D19" xr:uid="{0AA2F2FF-5DDB-43D6-84D9-FEC7E9D5776F}">
      <formula1>1</formula1>
      <formula2>18</formula2>
    </dataValidation>
    <dataValidation type="decimal" allowBlank="1" showInputMessage="1" showErrorMessage="1" sqref="D14 D17 D27" xr:uid="{97BEBC1A-BB96-4061-8266-80994A899488}">
      <formula1>0</formula1>
      <formula2>150</formula2>
    </dataValidation>
    <dataValidation type="decimal" allowBlank="1" showInputMessage="1" showErrorMessage="1" sqref="D15 D18" xr:uid="{E23B742C-908A-43CF-B297-7E7ACE029952}">
      <formula1>22</formula1>
      <formula2>112</formula2>
    </dataValidation>
    <dataValidation type="decimal" allowBlank="1" showInputMessage="1" showErrorMessage="1" sqref="D13 D28:D29 D119 D121 D123 D125 D127 D129 D131 D133 D135 D137 D139 D141 D143 D145 D147 D149 D151 D153 D155 D157 D159 D161 D163 D165 D167 D169 D171 D173 D175 D177 D179 D181" xr:uid="{442FA30F-73E9-4E8F-97F2-0104D054DF5A}">
      <formula1>0</formula1>
      <formula2>100</formula2>
    </dataValidation>
    <dataValidation type="list" allowBlank="1" showInputMessage="1" showErrorMessage="1" sqref="D107" xr:uid="{F782015A-103B-41FD-8690-C232A51DCAC6}">
      <formula1>#REF!</formula1>
    </dataValidation>
    <dataValidation type="decimal" allowBlank="1" showInputMessage="1" showErrorMessage="1" sqref="D48 D75" xr:uid="{2ADB0C04-E660-4FAE-B98B-F3873B37F350}">
      <formula1>1</formula1>
      <formula2>16</formula2>
    </dataValidation>
    <dataValidation type="list" allowBlank="1" showInputMessage="1" showErrorMessage="1" sqref="D40 E97 E51:E66 E78:E93" xr:uid="{724DF6EE-D961-479A-A54F-6B42435C49E4}">
      <formula1>"Enabled, Disabled"</formula1>
    </dataValidation>
    <dataValidation type="decimal" allowBlank="1" showInputMessage="1" showErrorMessage="1" sqref="D41" xr:uid="{2FC95C17-678A-460B-A480-522A6E569CD3}">
      <formula1>0</formula1>
      <formula2>127.5</formula2>
    </dataValidation>
    <dataValidation type="decimal" allowBlank="1" showInputMessage="1" showErrorMessage="1" sqref="D42" xr:uid="{343DCEC2-53AF-42F7-92DE-0DE2A65C5777}">
      <formula1>1</formula1>
      <formula2>256</formula2>
    </dataValidation>
    <dataValidation type="list" allowBlank="1" showInputMessage="1" showErrorMessage="1" sqref="D98" xr:uid="{6E2D00ED-CA3E-43F3-A2DA-9D6D2E29E95D}">
      <formula1>"100nA, 1uA"</formula1>
    </dataValidation>
    <dataValidation type="list" allowBlank="1" showInputMessage="1" showErrorMessage="1" sqref="D101 D103" xr:uid="{E50026E1-96D9-4B19-A2B2-111858B1A7D4}">
      <formula1>"High, Medium, Low, Off"</formula1>
    </dataValidation>
  </dataValidations>
  <hyperlinks>
    <hyperlink ref="K2" location="Summary!A1" display="Go Back to Summary Page" xr:uid="{00000000-0004-0000-0300-000000000000}"/>
  </hyperlinks>
  <pageMargins left="0.75" right="0.75" top="1" bottom="1" header="0.5" footer="0.5"/>
  <pageSetup scale="5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05" r:id="rId4" name="Check Box 1">
              <controlPr locked="0" defaultSize="0" autoFill="0" autoLine="0" autoPict="0">
                <anchor moveWithCells="1">
                  <from>
                    <xdr:col>1</xdr:col>
                    <xdr:colOff>22860</xdr:colOff>
                    <xdr:row>11</xdr:row>
                    <xdr:rowOff>144780</xdr:rowOff>
                  </from>
                  <to>
                    <xdr:col>2</xdr:col>
                    <xdr:colOff>525780</xdr:colOff>
                    <xdr:row>13</xdr:row>
                    <xdr:rowOff>22860</xdr:rowOff>
                  </to>
                </anchor>
              </controlPr>
            </control>
          </mc:Choice>
        </mc:AlternateContent>
        <mc:AlternateContent xmlns:mc="http://schemas.openxmlformats.org/markup-compatibility/2006">
          <mc:Choice Requires="x14">
            <control shapeId="21506" r:id="rId5" name="Check Box 2">
              <controlPr locked="0" defaultSize="0" autoFill="0" autoLine="0" autoPict="0">
                <anchor moveWithCells="1">
                  <from>
                    <xdr:col>1</xdr:col>
                    <xdr:colOff>22860</xdr:colOff>
                    <xdr:row>12</xdr:row>
                    <xdr:rowOff>152400</xdr:rowOff>
                  </from>
                  <to>
                    <xdr:col>2</xdr:col>
                    <xdr:colOff>525780</xdr:colOff>
                    <xdr:row>14</xdr:row>
                    <xdr:rowOff>22860</xdr:rowOff>
                  </to>
                </anchor>
              </controlPr>
            </control>
          </mc:Choice>
        </mc:AlternateContent>
        <mc:AlternateContent xmlns:mc="http://schemas.openxmlformats.org/markup-compatibility/2006">
          <mc:Choice Requires="x14">
            <control shapeId="21507" r:id="rId6" name="Check Box 3">
              <controlPr locked="0" defaultSize="0" autoFill="0" autoLine="0" autoPict="0">
                <anchor moveWithCells="1">
                  <from>
                    <xdr:col>1</xdr:col>
                    <xdr:colOff>22860</xdr:colOff>
                    <xdr:row>15</xdr:row>
                    <xdr:rowOff>144780</xdr:rowOff>
                  </from>
                  <to>
                    <xdr:col>2</xdr:col>
                    <xdr:colOff>525780</xdr:colOff>
                    <xdr:row>16</xdr:row>
                    <xdr:rowOff>152400</xdr:rowOff>
                  </to>
                </anchor>
              </controlPr>
            </control>
          </mc:Choice>
        </mc:AlternateContent>
        <mc:AlternateContent xmlns:mc="http://schemas.openxmlformats.org/markup-compatibility/2006">
          <mc:Choice Requires="x14">
            <control shapeId="21508" r:id="rId7" name="Check Box 4">
              <controlPr locked="0" defaultSize="0" autoFill="0" autoLine="0" autoPict="0">
                <anchor moveWithCells="1">
                  <from>
                    <xdr:col>1</xdr:col>
                    <xdr:colOff>22860</xdr:colOff>
                    <xdr:row>20</xdr:row>
                    <xdr:rowOff>144780</xdr:rowOff>
                  </from>
                  <to>
                    <xdr:col>2</xdr:col>
                    <xdr:colOff>525780</xdr:colOff>
                    <xdr:row>22</xdr:row>
                    <xdr:rowOff>22860</xdr:rowOff>
                  </to>
                </anchor>
              </controlPr>
            </control>
          </mc:Choice>
        </mc:AlternateContent>
        <mc:AlternateContent xmlns:mc="http://schemas.openxmlformats.org/markup-compatibility/2006">
          <mc:Choice Requires="x14">
            <control shapeId="21509" r:id="rId8" name="Check Box 5">
              <controlPr locked="0" defaultSize="0" autoFill="0" autoLine="0" autoPict="0">
                <anchor moveWithCells="1">
                  <from>
                    <xdr:col>1</xdr:col>
                    <xdr:colOff>22860</xdr:colOff>
                    <xdr:row>21</xdr:row>
                    <xdr:rowOff>144780</xdr:rowOff>
                  </from>
                  <to>
                    <xdr:col>2</xdr:col>
                    <xdr:colOff>525780</xdr:colOff>
                    <xdr:row>23</xdr:row>
                    <xdr:rowOff>22860</xdr:rowOff>
                  </to>
                </anchor>
              </controlPr>
            </control>
          </mc:Choice>
        </mc:AlternateContent>
        <mc:AlternateContent xmlns:mc="http://schemas.openxmlformats.org/markup-compatibility/2006">
          <mc:Choice Requires="x14">
            <control shapeId="21510" r:id="rId9" name="Check Box 6">
              <controlPr locked="0" defaultSize="0" autoFill="0" autoLine="0" autoPict="0">
                <anchor moveWithCells="1">
                  <from>
                    <xdr:col>1</xdr:col>
                    <xdr:colOff>22860</xdr:colOff>
                    <xdr:row>22</xdr:row>
                    <xdr:rowOff>144780</xdr:rowOff>
                  </from>
                  <to>
                    <xdr:col>2</xdr:col>
                    <xdr:colOff>525780</xdr:colOff>
                    <xdr:row>24</xdr:row>
                    <xdr:rowOff>22860</xdr:rowOff>
                  </to>
                </anchor>
              </controlPr>
            </control>
          </mc:Choice>
        </mc:AlternateContent>
        <mc:AlternateContent xmlns:mc="http://schemas.openxmlformats.org/markup-compatibility/2006">
          <mc:Choice Requires="x14">
            <control shapeId="21511" r:id="rId10" name="Check Box 7">
              <controlPr locked="0" defaultSize="0" autoFill="0" autoLine="0" autoPict="0">
                <anchor moveWithCells="1">
                  <from>
                    <xdr:col>1</xdr:col>
                    <xdr:colOff>22860</xdr:colOff>
                    <xdr:row>23</xdr:row>
                    <xdr:rowOff>144780</xdr:rowOff>
                  </from>
                  <to>
                    <xdr:col>2</xdr:col>
                    <xdr:colOff>525780</xdr:colOff>
                    <xdr:row>25</xdr:row>
                    <xdr:rowOff>22860</xdr:rowOff>
                  </to>
                </anchor>
              </controlPr>
            </control>
          </mc:Choice>
        </mc:AlternateContent>
        <mc:AlternateContent xmlns:mc="http://schemas.openxmlformats.org/markup-compatibility/2006">
          <mc:Choice Requires="x14">
            <control shapeId="21512" r:id="rId11" name="Check Box 8">
              <controlPr locked="0" defaultSize="0" autoFill="0" autoLine="0" autoPict="0">
                <anchor moveWithCells="1">
                  <from>
                    <xdr:col>1</xdr:col>
                    <xdr:colOff>22860</xdr:colOff>
                    <xdr:row>24</xdr:row>
                    <xdr:rowOff>137160</xdr:rowOff>
                  </from>
                  <to>
                    <xdr:col>1</xdr:col>
                    <xdr:colOff>213360</xdr:colOff>
                    <xdr:row>26</xdr:row>
                    <xdr:rowOff>22860</xdr:rowOff>
                  </to>
                </anchor>
              </controlPr>
            </control>
          </mc:Choice>
        </mc:AlternateContent>
        <mc:AlternateContent xmlns:mc="http://schemas.openxmlformats.org/markup-compatibility/2006">
          <mc:Choice Requires="x14">
            <control shapeId="21513" r:id="rId12" name="Check Box 9">
              <controlPr locked="0" defaultSize="0" autoFill="0" autoLine="0" autoPict="0">
                <anchor moveWithCells="1">
                  <from>
                    <xdr:col>1</xdr:col>
                    <xdr:colOff>22860</xdr:colOff>
                    <xdr:row>116</xdr:row>
                    <xdr:rowOff>152400</xdr:rowOff>
                  </from>
                  <to>
                    <xdr:col>2</xdr:col>
                    <xdr:colOff>525780</xdr:colOff>
                    <xdr:row>118</xdr:row>
                    <xdr:rowOff>22860</xdr:rowOff>
                  </to>
                </anchor>
              </controlPr>
            </control>
          </mc:Choice>
        </mc:AlternateContent>
        <mc:AlternateContent xmlns:mc="http://schemas.openxmlformats.org/markup-compatibility/2006">
          <mc:Choice Requires="x14">
            <control shapeId="21514" r:id="rId13" name="Check Box 10">
              <controlPr locked="0" defaultSize="0" autoFill="0" autoLine="0" autoPict="0">
                <anchor moveWithCells="1">
                  <from>
                    <xdr:col>1</xdr:col>
                    <xdr:colOff>22860</xdr:colOff>
                    <xdr:row>118</xdr:row>
                    <xdr:rowOff>144780</xdr:rowOff>
                  </from>
                  <to>
                    <xdr:col>2</xdr:col>
                    <xdr:colOff>525780</xdr:colOff>
                    <xdr:row>120</xdr:row>
                    <xdr:rowOff>22860</xdr:rowOff>
                  </to>
                </anchor>
              </controlPr>
            </control>
          </mc:Choice>
        </mc:AlternateContent>
        <mc:AlternateContent xmlns:mc="http://schemas.openxmlformats.org/markup-compatibility/2006">
          <mc:Choice Requires="x14">
            <control shapeId="21515" r:id="rId14" name="Check Box 11">
              <controlPr locked="0" defaultSize="0" autoFill="0" autoLine="0" autoPict="0">
                <anchor moveWithCells="1">
                  <from>
                    <xdr:col>1</xdr:col>
                    <xdr:colOff>22860</xdr:colOff>
                    <xdr:row>33</xdr:row>
                    <xdr:rowOff>137160</xdr:rowOff>
                  </from>
                  <to>
                    <xdr:col>2</xdr:col>
                    <xdr:colOff>0</xdr:colOff>
                    <xdr:row>35</xdr:row>
                    <xdr:rowOff>22860</xdr:rowOff>
                  </to>
                </anchor>
              </controlPr>
            </control>
          </mc:Choice>
        </mc:AlternateContent>
        <mc:AlternateContent xmlns:mc="http://schemas.openxmlformats.org/markup-compatibility/2006">
          <mc:Choice Requires="x14">
            <control shapeId="21516" r:id="rId15" name="Check Box 12">
              <controlPr locked="0" defaultSize="0" autoFill="0" autoLine="0" autoPict="0">
                <anchor moveWithCells="1">
                  <from>
                    <xdr:col>1</xdr:col>
                    <xdr:colOff>22860</xdr:colOff>
                    <xdr:row>120</xdr:row>
                    <xdr:rowOff>152400</xdr:rowOff>
                  </from>
                  <to>
                    <xdr:col>2</xdr:col>
                    <xdr:colOff>525780</xdr:colOff>
                    <xdr:row>122</xdr:row>
                    <xdr:rowOff>22860</xdr:rowOff>
                  </to>
                </anchor>
              </controlPr>
            </control>
          </mc:Choice>
        </mc:AlternateContent>
        <mc:AlternateContent xmlns:mc="http://schemas.openxmlformats.org/markup-compatibility/2006">
          <mc:Choice Requires="x14">
            <control shapeId="21517" r:id="rId16" name="Check Box 13">
              <controlPr locked="0" defaultSize="0" autoFill="0" autoLine="0" autoPict="0">
                <anchor moveWithCells="1">
                  <from>
                    <xdr:col>1</xdr:col>
                    <xdr:colOff>22860</xdr:colOff>
                    <xdr:row>122</xdr:row>
                    <xdr:rowOff>144780</xdr:rowOff>
                  </from>
                  <to>
                    <xdr:col>2</xdr:col>
                    <xdr:colOff>525780</xdr:colOff>
                    <xdr:row>124</xdr:row>
                    <xdr:rowOff>22860</xdr:rowOff>
                  </to>
                </anchor>
              </controlPr>
            </control>
          </mc:Choice>
        </mc:AlternateContent>
        <mc:AlternateContent xmlns:mc="http://schemas.openxmlformats.org/markup-compatibility/2006">
          <mc:Choice Requires="x14">
            <control shapeId="21518" r:id="rId17" name="Check Box 14">
              <controlPr locked="0" defaultSize="0" autoFill="0" autoLine="0" autoPict="0">
                <anchor moveWithCells="1">
                  <from>
                    <xdr:col>1</xdr:col>
                    <xdr:colOff>22860</xdr:colOff>
                    <xdr:row>124</xdr:row>
                    <xdr:rowOff>152400</xdr:rowOff>
                  </from>
                  <to>
                    <xdr:col>2</xdr:col>
                    <xdr:colOff>525780</xdr:colOff>
                    <xdr:row>126</xdr:row>
                    <xdr:rowOff>22860</xdr:rowOff>
                  </to>
                </anchor>
              </controlPr>
            </control>
          </mc:Choice>
        </mc:AlternateContent>
        <mc:AlternateContent xmlns:mc="http://schemas.openxmlformats.org/markup-compatibility/2006">
          <mc:Choice Requires="x14">
            <control shapeId="21519" r:id="rId18" name="Check Box 15">
              <controlPr locked="0" defaultSize="0" autoFill="0" autoLine="0" autoPict="0">
                <anchor moveWithCells="1">
                  <from>
                    <xdr:col>1</xdr:col>
                    <xdr:colOff>22860</xdr:colOff>
                    <xdr:row>126</xdr:row>
                    <xdr:rowOff>144780</xdr:rowOff>
                  </from>
                  <to>
                    <xdr:col>2</xdr:col>
                    <xdr:colOff>525780</xdr:colOff>
                    <xdr:row>128</xdr:row>
                    <xdr:rowOff>22860</xdr:rowOff>
                  </to>
                </anchor>
              </controlPr>
            </control>
          </mc:Choice>
        </mc:AlternateContent>
        <mc:AlternateContent xmlns:mc="http://schemas.openxmlformats.org/markup-compatibility/2006">
          <mc:Choice Requires="x14">
            <control shapeId="21520" r:id="rId19" name="Check Box 16">
              <controlPr locked="0" defaultSize="0" autoFill="0" autoLine="0" autoPict="0">
                <anchor moveWithCells="1">
                  <from>
                    <xdr:col>1</xdr:col>
                    <xdr:colOff>22860</xdr:colOff>
                    <xdr:row>128</xdr:row>
                    <xdr:rowOff>152400</xdr:rowOff>
                  </from>
                  <to>
                    <xdr:col>2</xdr:col>
                    <xdr:colOff>525780</xdr:colOff>
                    <xdr:row>130</xdr:row>
                    <xdr:rowOff>22860</xdr:rowOff>
                  </to>
                </anchor>
              </controlPr>
            </control>
          </mc:Choice>
        </mc:AlternateContent>
        <mc:AlternateContent xmlns:mc="http://schemas.openxmlformats.org/markup-compatibility/2006">
          <mc:Choice Requires="x14">
            <control shapeId="21521" r:id="rId20" name="Check Box 17">
              <controlPr locked="0" defaultSize="0" autoFill="0" autoLine="0" autoPict="0">
                <anchor moveWithCells="1">
                  <from>
                    <xdr:col>1</xdr:col>
                    <xdr:colOff>22860</xdr:colOff>
                    <xdr:row>130</xdr:row>
                    <xdr:rowOff>144780</xdr:rowOff>
                  </from>
                  <to>
                    <xdr:col>2</xdr:col>
                    <xdr:colOff>525780</xdr:colOff>
                    <xdr:row>132</xdr:row>
                    <xdr:rowOff>0</xdr:rowOff>
                  </to>
                </anchor>
              </controlPr>
            </control>
          </mc:Choice>
        </mc:AlternateContent>
        <mc:AlternateContent xmlns:mc="http://schemas.openxmlformats.org/markup-compatibility/2006">
          <mc:Choice Requires="x14">
            <control shapeId="21522" r:id="rId21" name="Check Box 18">
              <controlPr locked="0" defaultSize="0" autoFill="0" autoLine="0" autoPict="0">
                <anchor moveWithCells="1">
                  <from>
                    <xdr:col>1</xdr:col>
                    <xdr:colOff>22860</xdr:colOff>
                    <xdr:row>132</xdr:row>
                    <xdr:rowOff>152400</xdr:rowOff>
                  </from>
                  <to>
                    <xdr:col>2</xdr:col>
                    <xdr:colOff>525780</xdr:colOff>
                    <xdr:row>182</xdr:row>
                    <xdr:rowOff>22860</xdr:rowOff>
                  </to>
                </anchor>
              </controlPr>
            </control>
          </mc:Choice>
        </mc:AlternateContent>
        <mc:AlternateContent xmlns:mc="http://schemas.openxmlformats.org/markup-compatibility/2006">
          <mc:Choice Requires="x14">
            <control shapeId="21523" r:id="rId22" name="Check Box 19">
              <controlPr locked="0" defaultSize="0" autoFill="0" autoLine="0" autoPict="0">
                <anchor moveWithCells="1">
                  <from>
                    <xdr:col>1</xdr:col>
                    <xdr:colOff>22860</xdr:colOff>
                    <xdr:row>134</xdr:row>
                    <xdr:rowOff>144780</xdr:rowOff>
                  </from>
                  <to>
                    <xdr:col>2</xdr:col>
                    <xdr:colOff>525780</xdr:colOff>
                    <xdr:row>182</xdr:row>
                    <xdr:rowOff>45720</xdr:rowOff>
                  </to>
                </anchor>
              </controlPr>
            </control>
          </mc:Choice>
        </mc:AlternateContent>
        <mc:AlternateContent xmlns:mc="http://schemas.openxmlformats.org/markup-compatibility/2006">
          <mc:Choice Requires="x14">
            <control shapeId="21524" r:id="rId23" name="Check Box 20">
              <controlPr locked="0" defaultSize="0" autoFill="0" autoLine="0" autoPict="0">
                <anchor moveWithCells="1">
                  <from>
                    <xdr:col>1</xdr:col>
                    <xdr:colOff>22860</xdr:colOff>
                    <xdr:row>136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25" r:id="rId24" name="Check Box 21">
              <controlPr locked="0" defaultSize="0" autoFill="0" autoLine="0" autoPict="0">
                <anchor moveWithCells="1">
                  <from>
                    <xdr:col>1</xdr:col>
                    <xdr:colOff>22860</xdr:colOff>
                    <xdr:row>138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26" r:id="rId25" name="Check Box 22">
              <controlPr locked="0" defaultSize="0" autoFill="0" autoLine="0" autoPict="0">
                <anchor moveWithCells="1">
                  <from>
                    <xdr:col>1</xdr:col>
                    <xdr:colOff>22860</xdr:colOff>
                    <xdr:row>140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27" r:id="rId26" name="Check Box 23">
              <controlPr locked="0" defaultSize="0" autoFill="0" autoLine="0" autoPict="0">
                <anchor moveWithCells="1">
                  <from>
                    <xdr:col>1</xdr:col>
                    <xdr:colOff>22860</xdr:colOff>
                    <xdr:row>142</xdr:row>
                    <xdr:rowOff>144780</xdr:rowOff>
                  </from>
                  <to>
                    <xdr:col>2</xdr:col>
                    <xdr:colOff>525780</xdr:colOff>
                    <xdr:row>182</xdr:row>
                    <xdr:rowOff>22860</xdr:rowOff>
                  </to>
                </anchor>
              </controlPr>
            </control>
          </mc:Choice>
        </mc:AlternateContent>
        <mc:AlternateContent xmlns:mc="http://schemas.openxmlformats.org/markup-compatibility/2006">
          <mc:Choice Requires="x14">
            <control shapeId="21528" r:id="rId27" name="Check Box 24">
              <controlPr locked="0" defaultSize="0" autoFill="0" autoLine="0" autoPict="0">
                <anchor moveWithCells="1">
                  <from>
                    <xdr:col>1</xdr:col>
                    <xdr:colOff>22860</xdr:colOff>
                    <xdr:row>144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29" r:id="rId28" name="Check Box 25">
              <controlPr locked="0" defaultSize="0" autoFill="0" autoLine="0" autoPict="0">
                <anchor moveWithCells="1">
                  <from>
                    <xdr:col>1</xdr:col>
                    <xdr:colOff>22860</xdr:colOff>
                    <xdr:row>146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30" r:id="rId29" name="Check Box 26">
              <controlPr locked="0" defaultSize="0" autoFill="0" autoLine="0" autoPict="0">
                <anchor moveWithCells="1">
                  <from>
                    <xdr:col>1</xdr:col>
                    <xdr:colOff>22860</xdr:colOff>
                    <xdr:row>148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31" r:id="rId30" name="Check Box 27">
              <controlPr locked="0" defaultSize="0" autoFill="0" autoLine="0" autoPict="0">
                <anchor moveWithCells="1">
                  <from>
                    <xdr:col>1</xdr:col>
                    <xdr:colOff>22860</xdr:colOff>
                    <xdr:row>150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32" r:id="rId31" name="Check Box 28">
              <controlPr locked="0" defaultSize="0" autoFill="0" autoLine="0" autoPict="0">
                <anchor moveWithCells="1">
                  <from>
                    <xdr:col>1</xdr:col>
                    <xdr:colOff>22860</xdr:colOff>
                    <xdr:row>152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33" r:id="rId32" name="Check Box 29">
              <controlPr locked="0" defaultSize="0" autoFill="0" autoLine="0" autoPict="0">
                <anchor moveWithCells="1">
                  <from>
                    <xdr:col>1</xdr:col>
                    <xdr:colOff>22860</xdr:colOff>
                    <xdr:row>154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34" r:id="rId33" name="Check Box 30">
              <controlPr locked="0" defaultSize="0" autoFill="0" autoLine="0" autoPict="0">
                <anchor moveWithCells="1">
                  <from>
                    <xdr:col>1</xdr:col>
                    <xdr:colOff>22860</xdr:colOff>
                    <xdr:row>156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35" r:id="rId34" name="Check Box 31">
              <controlPr locked="0" defaultSize="0" autoFill="0" autoLine="0" autoPict="0">
                <anchor moveWithCells="1">
                  <from>
                    <xdr:col>1</xdr:col>
                    <xdr:colOff>22860</xdr:colOff>
                    <xdr:row>158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36" r:id="rId35" name="Check Box 32">
              <controlPr locked="0" defaultSize="0" autoFill="0" autoLine="0" autoPict="0">
                <anchor moveWithCells="1">
                  <from>
                    <xdr:col>1</xdr:col>
                    <xdr:colOff>22860</xdr:colOff>
                    <xdr:row>160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37" r:id="rId36" name="Check Box 33">
              <controlPr locked="0" defaultSize="0" autoFill="0" autoLine="0" autoPict="0">
                <anchor moveWithCells="1">
                  <from>
                    <xdr:col>1</xdr:col>
                    <xdr:colOff>22860</xdr:colOff>
                    <xdr:row>162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38" r:id="rId37" name="Check Box 34">
              <controlPr locked="0" defaultSize="0" autoFill="0" autoLine="0" autoPict="0">
                <anchor moveWithCells="1">
                  <from>
                    <xdr:col>1</xdr:col>
                    <xdr:colOff>22860</xdr:colOff>
                    <xdr:row>164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39" r:id="rId38" name="Check Box 35">
              <controlPr locked="0" defaultSize="0" autoFill="0" autoLine="0" autoPict="0">
                <anchor moveWithCells="1">
                  <from>
                    <xdr:col>1</xdr:col>
                    <xdr:colOff>22860</xdr:colOff>
                    <xdr:row>166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40" r:id="rId39" name="Check Box 36">
              <controlPr locked="0" defaultSize="0" autoFill="0" autoLine="0" autoPict="0">
                <anchor moveWithCells="1">
                  <from>
                    <xdr:col>1</xdr:col>
                    <xdr:colOff>22860</xdr:colOff>
                    <xdr:row>168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41" r:id="rId40" name="Check Box 37">
              <controlPr locked="0" defaultSize="0" autoFill="0" autoLine="0" autoPict="0">
                <anchor moveWithCells="1">
                  <from>
                    <xdr:col>1</xdr:col>
                    <xdr:colOff>22860</xdr:colOff>
                    <xdr:row>170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42" r:id="rId41" name="Check Box 38">
              <controlPr locked="0" defaultSize="0" autoFill="0" autoLine="0" autoPict="0">
                <anchor moveWithCells="1">
                  <from>
                    <xdr:col>1</xdr:col>
                    <xdr:colOff>22860</xdr:colOff>
                    <xdr:row>172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43" r:id="rId42" name="Check Box 39">
              <controlPr locked="0" defaultSize="0" autoFill="0" autoLine="0" autoPict="0">
                <anchor moveWithCells="1">
                  <from>
                    <xdr:col>1</xdr:col>
                    <xdr:colOff>22860</xdr:colOff>
                    <xdr:row>174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44" r:id="rId43" name="Check Box 40">
              <controlPr locked="0" defaultSize="0" autoFill="0" autoLine="0" autoPict="0">
                <anchor moveWithCells="1">
                  <from>
                    <xdr:col>1</xdr:col>
                    <xdr:colOff>22860</xdr:colOff>
                    <xdr:row>176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1545" r:id="rId44" name="Check Box 41">
              <controlPr locked="0" defaultSize="0" autoFill="0" autoLine="0" autoPict="0">
                <anchor moveWithCells="1">
                  <from>
                    <xdr:col>1</xdr:col>
                    <xdr:colOff>22860</xdr:colOff>
                    <xdr:row>178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1546" r:id="rId45" name="Check Box 42">
              <controlPr locked="0" defaultSize="0" autoFill="0" autoLine="0" autoPict="0">
                <anchor moveWithCells="1">
                  <from>
                    <xdr:col>1</xdr:col>
                    <xdr:colOff>22860</xdr:colOff>
                    <xdr:row>182</xdr:row>
                    <xdr:rowOff>152400</xdr:rowOff>
                  </from>
                  <to>
                    <xdr:col>2</xdr:col>
                    <xdr:colOff>525780</xdr:colOff>
                    <xdr:row>184</xdr:row>
                    <xdr:rowOff>22860</xdr:rowOff>
                  </to>
                </anchor>
              </controlPr>
            </control>
          </mc:Choice>
        </mc:AlternateContent>
        <mc:AlternateContent xmlns:mc="http://schemas.openxmlformats.org/markup-compatibility/2006">
          <mc:Choice Requires="x14">
            <control shapeId="21547" r:id="rId46" name="Check Box 43">
              <controlPr locked="0" defaultSize="0" autoFill="0" autoLine="0" autoPict="0">
                <anchor moveWithCells="1">
                  <from>
                    <xdr:col>1</xdr:col>
                    <xdr:colOff>22860</xdr:colOff>
                    <xdr:row>197</xdr:row>
                    <xdr:rowOff>121920</xdr:rowOff>
                  </from>
                  <to>
                    <xdr:col>2</xdr:col>
                    <xdr:colOff>525780</xdr:colOff>
                    <xdr:row>211</xdr:row>
                    <xdr:rowOff>60960</xdr:rowOff>
                  </to>
                </anchor>
              </controlPr>
            </control>
          </mc:Choice>
        </mc:AlternateContent>
        <mc:AlternateContent xmlns:mc="http://schemas.openxmlformats.org/markup-compatibility/2006">
          <mc:Choice Requires="x14">
            <control shapeId="21548" r:id="rId47" name="Check Box 44">
              <controlPr locked="0" defaultSize="0" autoFill="0" autoLine="0" autoPict="0">
                <anchor moveWithCells="1">
                  <from>
                    <xdr:col>1</xdr:col>
                    <xdr:colOff>22860</xdr:colOff>
                    <xdr:row>185</xdr:row>
                    <xdr:rowOff>152400</xdr:rowOff>
                  </from>
                  <to>
                    <xdr:col>2</xdr:col>
                    <xdr:colOff>525780</xdr:colOff>
                    <xdr:row>187</xdr:row>
                    <xdr:rowOff>22860</xdr:rowOff>
                  </to>
                </anchor>
              </controlPr>
            </control>
          </mc:Choice>
        </mc:AlternateContent>
        <mc:AlternateContent xmlns:mc="http://schemas.openxmlformats.org/markup-compatibility/2006">
          <mc:Choice Requires="x14">
            <control shapeId="21549" r:id="rId48" name="Check Box 45">
              <controlPr locked="0" defaultSize="0" autoFill="0" autoLine="0" autoPict="0">
                <anchor moveWithCells="1">
                  <from>
                    <xdr:col>1</xdr:col>
                    <xdr:colOff>22860</xdr:colOff>
                    <xdr:row>188</xdr:row>
                    <xdr:rowOff>144780</xdr:rowOff>
                  </from>
                  <to>
                    <xdr:col>2</xdr:col>
                    <xdr:colOff>525780</xdr:colOff>
                    <xdr:row>190</xdr:row>
                    <xdr:rowOff>22860</xdr:rowOff>
                  </to>
                </anchor>
              </controlPr>
            </control>
          </mc:Choice>
        </mc:AlternateContent>
        <mc:AlternateContent xmlns:mc="http://schemas.openxmlformats.org/markup-compatibility/2006">
          <mc:Choice Requires="x14">
            <control shapeId="21550" r:id="rId49" name="Check Box 46">
              <controlPr locked="0" defaultSize="0" autoFill="0" autoLine="0" autoPict="0">
                <anchor moveWithCells="1">
                  <from>
                    <xdr:col>1</xdr:col>
                    <xdr:colOff>22860</xdr:colOff>
                    <xdr:row>191</xdr:row>
                    <xdr:rowOff>144780</xdr:rowOff>
                  </from>
                  <to>
                    <xdr:col>2</xdr:col>
                    <xdr:colOff>525780</xdr:colOff>
                    <xdr:row>193</xdr:row>
                    <xdr:rowOff>22860</xdr:rowOff>
                  </to>
                </anchor>
              </controlPr>
            </control>
          </mc:Choice>
        </mc:AlternateContent>
        <mc:AlternateContent xmlns:mc="http://schemas.openxmlformats.org/markup-compatibility/2006">
          <mc:Choice Requires="x14">
            <control shapeId="21551" r:id="rId50" name="Check Box 47">
              <controlPr locked="0" defaultSize="0" autoFill="0" autoLine="0" autoPict="0">
                <anchor moveWithCells="1">
                  <from>
                    <xdr:col>1</xdr:col>
                    <xdr:colOff>22860</xdr:colOff>
                    <xdr:row>194</xdr:row>
                    <xdr:rowOff>144780</xdr:rowOff>
                  </from>
                  <to>
                    <xdr:col>2</xdr:col>
                    <xdr:colOff>533400</xdr:colOff>
                    <xdr:row>211</xdr:row>
                    <xdr:rowOff>30480</xdr:rowOff>
                  </to>
                </anchor>
              </controlPr>
            </control>
          </mc:Choice>
        </mc:AlternateContent>
        <mc:AlternateContent xmlns:mc="http://schemas.openxmlformats.org/markup-compatibility/2006">
          <mc:Choice Requires="x14">
            <control shapeId="21552" r:id="rId51" name="Check Box 48">
              <controlPr locked="0" defaultSize="0" autoFill="0" autoLine="0" autoPict="0">
                <anchor moveWithCells="1">
                  <from>
                    <xdr:col>1</xdr:col>
                    <xdr:colOff>7620</xdr:colOff>
                    <xdr:row>206</xdr:row>
                    <xdr:rowOff>137160</xdr:rowOff>
                  </from>
                  <to>
                    <xdr:col>2</xdr:col>
                    <xdr:colOff>525780</xdr:colOff>
                    <xdr:row>211</xdr:row>
                    <xdr:rowOff>60960</xdr:rowOff>
                  </to>
                </anchor>
              </controlPr>
            </control>
          </mc:Choice>
        </mc:AlternateContent>
        <mc:AlternateContent xmlns:mc="http://schemas.openxmlformats.org/markup-compatibility/2006">
          <mc:Choice Requires="x14">
            <control shapeId="21553" r:id="rId52" name="Check Box 49">
              <controlPr locked="0" defaultSize="0" autoFill="0" autoLine="0" autoPict="0">
                <anchor moveWithCells="1">
                  <from>
                    <xdr:col>1</xdr:col>
                    <xdr:colOff>7620</xdr:colOff>
                    <xdr:row>200</xdr:row>
                    <xdr:rowOff>137160</xdr:rowOff>
                  </from>
                  <to>
                    <xdr:col>2</xdr:col>
                    <xdr:colOff>525780</xdr:colOff>
                    <xdr:row>211</xdr:row>
                    <xdr:rowOff>60960</xdr:rowOff>
                  </to>
                </anchor>
              </controlPr>
            </control>
          </mc:Choice>
        </mc:AlternateContent>
        <mc:AlternateContent xmlns:mc="http://schemas.openxmlformats.org/markup-compatibility/2006">
          <mc:Choice Requires="x14">
            <control shapeId="21554" r:id="rId53" name="Check Box 50">
              <controlPr locked="0" defaultSize="0" autoFill="0" autoLine="0" autoPict="0">
                <anchor moveWithCells="1">
                  <from>
                    <xdr:col>1</xdr:col>
                    <xdr:colOff>22860</xdr:colOff>
                    <xdr:row>203</xdr:row>
                    <xdr:rowOff>137160</xdr:rowOff>
                  </from>
                  <to>
                    <xdr:col>2</xdr:col>
                    <xdr:colOff>533400</xdr:colOff>
                    <xdr:row>211</xdr:row>
                    <xdr:rowOff>60960</xdr:rowOff>
                  </to>
                </anchor>
              </controlPr>
            </control>
          </mc:Choice>
        </mc:AlternateContent>
        <mc:AlternateContent xmlns:mc="http://schemas.openxmlformats.org/markup-compatibility/2006">
          <mc:Choice Requires="x14">
            <control shapeId="21558" r:id="rId54" name="Check Box 54">
              <controlPr locked="0" defaultSize="0" autoFill="0" autoLine="0" autoPict="0">
                <anchor moveWithCells="1">
                  <from>
                    <xdr:col>1</xdr:col>
                    <xdr:colOff>7620</xdr:colOff>
                    <xdr:row>43</xdr:row>
                    <xdr:rowOff>0</xdr:rowOff>
                  </from>
                  <to>
                    <xdr:col>1</xdr:col>
                    <xdr:colOff>198120</xdr:colOff>
                    <xdr:row>44</xdr:row>
                    <xdr:rowOff>30480</xdr:rowOff>
                  </to>
                </anchor>
              </controlPr>
            </control>
          </mc:Choice>
        </mc:AlternateContent>
        <mc:AlternateContent xmlns:mc="http://schemas.openxmlformats.org/markup-compatibility/2006">
          <mc:Choice Requires="x14">
            <control shapeId="21559" r:id="rId55" name="Check Box 55">
              <controlPr locked="0" defaultSize="0" autoFill="0" autoLine="0" autoPict="0">
                <anchor moveWithCells="1">
                  <from>
                    <xdr:col>1</xdr:col>
                    <xdr:colOff>22860</xdr:colOff>
                    <xdr:row>69</xdr:row>
                    <xdr:rowOff>152400</xdr:rowOff>
                  </from>
                  <to>
                    <xdr:col>1</xdr:col>
                    <xdr:colOff>213360</xdr:colOff>
                    <xdr:row>71</xdr:row>
                    <xdr:rowOff>38100</xdr:rowOff>
                  </to>
                </anchor>
              </controlPr>
            </control>
          </mc:Choice>
        </mc:AlternateContent>
        <mc:AlternateContent xmlns:mc="http://schemas.openxmlformats.org/markup-compatibility/2006">
          <mc:Choice Requires="x14">
            <control shapeId="21564" r:id="rId56" name="Check Box 60">
              <controlPr locked="0" defaultSize="0" autoFill="0" autoLine="0" autoPict="0">
                <anchor moveWithCells="1">
                  <from>
                    <xdr:col>1</xdr:col>
                    <xdr:colOff>22860</xdr:colOff>
                    <xdr:row>42</xdr:row>
                    <xdr:rowOff>144780</xdr:rowOff>
                  </from>
                  <to>
                    <xdr:col>1</xdr:col>
                    <xdr:colOff>213360</xdr:colOff>
                    <xdr:row>44</xdr:row>
                    <xdr:rowOff>30480</xdr:rowOff>
                  </to>
                </anchor>
              </controlPr>
            </control>
          </mc:Choice>
        </mc:AlternateContent>
        <mc:AlternateContent xmlns:mc="http://schemas.openxmlformats.org/markup-compatibility/2006">
          <mc:Choice Requires="x14">
            <control shapeId="21565" r:id="rId57" name="Check Box 61">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6">
        <x14:dataValidation type="list" allowBlank="1" showInputMessage="1" showErrorMessage="1" xr:uid="{191D8701-E694-4BEC-899B-4D85F3C13EC9}">
          <x14:formula1>
            <xm:f>'Data_3.3V_BUCK=1.1V'!$B$69:$B$71</xm:f>
          </x14:formula1>
          <xm:sqref>D215</xm:sqref>
        </x14:dataValidation>
        <x14:dataValidation type="list" allowBlank="1" showInputMessage="1" showErrorMessage="1" xr:uid="{1EADA628-ADFA-494E-9AC3-5F5AE76A5499}">
          <x14:formula1>
            <xm:f>Options!$I$3:$I$5</xm:f>
          </x14:formula1>
          <xm:sqref>D197 D206 D200 D203 D185 D194 D188 D191 D209</xm:sqref>
        </x14:dataValidation>
        <x14:dataValidation type="list" allowBlank="1" showInputMessage="1" showErrorMessage="1" xr:uid="{99BDBD51-992B-491B-AE5D-D5E11E6DA61E}">
          <x14:formula1>
            <xm:f>Options!$H$3:$H$5</xm:f>
          </x14:formula1>
          <xm:sqref>D196 D205 D199 D202 D184 D193 D187 D190 D208</xm:sqref>
        </x14:dataValidation>
        <x14:dataValidation type="list" allowBlank="1" showInputMessage="1" showErrorMessage="1" xr:uid="{B45E65CB-6A6F-4DE8-9749-D5E5DA76D993}">
          <x14:formula1>
            <xm:f>Options!$F$3:$F$5</xm:f>
          </x14:formula1>
          <xm:sqref>D118 D120 D122 D124 D126 D128 D130 D132 D134 D136 D138 D140 D142 D144 D146 D148 D150 D152 D154 D156 D158 D160 D162 D164 D166 D168 D170 D172 D174 D176 D178 D180</xm:sqref>
        </x14:dataValidation>
        <x14:dataValidation type="list" allowBlank="1" showInputMessage="1" showErrorMessage="1" xr:uid="{CA9880B9-3268-452E-A7EC-884ACEF0303B}">
          <x14:formula1>
            <xm:f>'Data_3.3V_BUCK=1.1V'!$B$63:$B$66</xm:f>
          </x14:formula1>
          <xm:sqref>D217</xm:sqref>
        </x14:dataValidation>
        <x14:dataValidation type="list" allowBlank="1" showInputMessage="1" showErrorMessage="1" xr:uid="{716AE5FD-B9AE-49DC-A068-DD5435678702}">
          <x14:formula1>
            <xm:f>'Data_3.3V_BUCK=1.1V'!$B$42:$B$45</xm:f>
          </x14:formula1>
          <xm:sqref>D105</xm:sqref>
        </x14:dataValidation>
        <x14:dataValidation type="list" allowBlank="1" showInputMessage="1" showErrorMessage="1" promptTitle="Select the PSoC family." xr:uid="{C2FA8353-06D8-4A9D-A9E4-A714C22CB600}">
          <x14:formula1>
            <xm:f>Options!$E$3:$E$4</xm:f>
          </x14:formula1>
          <xm:sqref>D6</xm:sqref>
        </x14:dataValidation>
        <x14:dataValidation type="list" errorStyle="warning" allowBlank="1" showInputMessage="1" showErrorMessage="1" errorTitle="Invalid Power Mode" promptTitle="Select the CM0+ CPU Power Mode." xr:uid="{F221CC29-0C24-43A4-88BC-AB2775F3FD4E}">
          <x14:formula1>
            <xm:f>IF(Config2_SystemMode=Options!$C$5,Options!$D$5,Options!$D$3:$D$5)</xm:f>
          </x14:formula1>
          <xm:sqref>D9</xm:sqref>
        </x14:dataValidation>
        <x14:dataValidation type="list" allowBlank="1" showInputMessage="1" showErrorMessage="1" promptTitle="Select the PSoC family." xr:uid="{69B6F861-D575-4FB2-BF0A-DE4C1CB64310}">
          <x14:formula1>
            <xm:f>IF(Config2_SystemMode=SystemDeepSleep,Options!$D$5:$D$6,Options!$D$3:$D$6)</xm:f>
          </x14:formula1>
          <xm:sqref>D10</xm:sqref>
        </x14:dataValidation>
        <x14:dataValidation type="list" allowBlank="1" showInputMessage="1" showErrorMessage="1" promptTitle="Select the PSoC family." xr:uid="{52F8E47D-FC85-4A24-AB5E-FE242B9CE394}">
          <x14:formula1>
            <xm:f>Options!$C$3:$C$6</xm:f>
          </x14:formula1>
          <xm:sqref>D8</xm:sqref>
        </x14:dataValidation>
        <x14:dataValidation type="list" allowBlank="1" showInputMessage="1" showErrorMessage="1" xr:uid="{E8B42BB6-95F7-44A5-B713-8060CE61A362}">
          <x14:formula1>
            <xm:f>Options!$W$3:$W$10</xm:f>
          </x14:formula1>
          <xm:sqref>D49 D76</xm:sqref>
        </x14:dataValidation>
        <x14:dataValidation type="list" allowBlank="1" showInputMessage="1" showErrorMessage="1" xr:uid="{3E031E95-CEF0-438D-83FD-3F6A34418A14}">
          <x14:formula1>
            <xm:f>IF(Config1_SystemMode = "System Deep Sleep",Options!$V$4, Options!$V$3:$V$4)</xm:f>
          </x14:formula1>
          <xm:sqref>D44 D71</xm:sqref>
        </x14:dataValidation>
        <x14:dataValidation type="list" allowBlank="1" showInputMessage="1" showErrorMessage="1" xr:uid="{6C4159FF-AC26-4A8C-AD26-099A8A18D561}">
          <x14:formula1>
            <xm:f>IF(OR((SelectedDevice=PSoC60), (SelectedDevice=PSoC61), (SelectedDevice=PSoC62_1M),(SelectedDevice=PSoC4000S), (SelectedDevice=PSoC4100S), (SelectedDevice=PSoC4100PS)),Options!H3:H3,Options!H3:H6)</xm:f>
          </x14:formula1>
          <xm:sqref>D211:D212</xm:sqref>
        </x14:dataValidation>
        <x14:dataValidation type="list" allowBlank="1" showInputMessage="1" showErrorMessage="1" xr:uid="{C7B5A011-086F-4671-B481-830481A8124F}">
          <x14:formula1>
            <xm:f>IF(SelectedDevice = "PSoC 62 (256KB)", Options!X3:X4, Options!X3)</xm:f>
          </x14:formula1>
          <xm:sqref>D99</xm:sqref>
        </x14:dataValidation>
        <x14:dataValidation type="decimal" operator="lessThanOrEqual" allowBlank="1" showInputMessage="1" showErrorMessage="1" xr:uid="{2F0CF42B-43B3-419F-832C-F5337CD98FAD}">
          <x14:formula1>
            <xm:f>IF(OR(Summary!F33 = "PSoC 62 (256KB)", Summary!F33 = "PSoC 62 (2MB)"), 36000, 18000)</xm:f>
          </x14:formula1>
          <xm:sqref>D73</xm:sqref>
        </x14:dataValidation>
        <x14:dataValidation type="decimal" operator="lessThanOrEqual" allowBlank="1" showInputMessage="1" showErrorMessage="1" xr:uid="{C12AE856-26CD-4746-8D76-7E31F1F7A67D}">
          <x14:formula1>
            <xm:f>IF(OR(Summary!F2 = "PSoC 62 (256KB)", Summary!F2 = "PSoC 62 (2MB)"), 36000, 18000)</xm:f>
          </x14:formula1>
          <xm:sqref>D46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B242"/>
  <sheetViews>
    <sheetView topLeftCell="B1" zoomScale="175" zoomScaleNormal="175" workbookViewId="0">
      <selection activeCell="D9" sqref="D9"/>
    </sheetView>
  </sheetViews>
  <sheetFormatPr defaultRowHeight="13.2" outlineLevelRow="1" x14ac:dyDescent="0.25"/>
  <cols>
    <col min="1" max="1" width="4.6640625" customWidth="1"/>
    <col min="2" max="2" width="3.33203125" customWidth="1"/>
    <col min="3" max="3" width="28.6640625" customWidth="1"/>
    <col min="4" max="4" width="17.6640625" style="23" customWidth="1"/>
    <col min="5" max="5" width="16.6640625" customWidth="1"/>
    <col min="6" max="6" width="11.6640625" style="29" customWidth="1"/>
    <col min="7" max="7" width="10.6640625" customWidth="1"/>
    <col min="8" max="8" width="105.6640625" customWidth="1"/>
  </cols>
  <sheetData>
    <row r="1" spans="2:28" x14ac:dyDescent="0.25">
      <c r="B1" s="1"/>
      <c r="C1" s="223" t="s">
        <v>400</v>
      </c>
      <c r="D1" s="223"/>
      <c r="E1" s="224" t="s">
        <v>159</v>
      </c>
      <c r="F1" s="224"/>
      <c r="G1" s="224"/>
    </row>
    <row r="2" spans="2:28" ht="15.6" x14ac:dyDescent="0.3">
      <c r="B2" s="241" t="s">
        <v>36</v>
      </c>
      <c r="C2" s="219"/>
      <c r="D2" s="219"/>
      <c r="E2" s="219"/>
      <c r="F2" s="219" t="s">
        <v>20</v>
      </c>
      <c r="G2" s="219"/>
      <c r="H2" s="51" t="s">
        <v>35</v>
      </c>
      <c r="K2" s="88" t="s">
        <v>192</v>
      </c>
      <c r="AB2" s="43"/>
    </row>
    <row r="3" spans="2:28" ht="15.6" x14ac:dyDescent="0.3">
      <c r="B3" s="225" t="s">
        <v>155</v>
      </c>
      <c r="C3" s="225"/>
      <c r="D3" s="225"/>
      <c r="E3" s="225"/>
      <c r="F3" s="225"/>
      <c r="G3" s="225"/>
      <c r="H3" s="225"/>
      <c r="AB3" s="43"/>
    </row>
    <row r="4" spans="2:28" x14ac:dyDescent="0.25">
      <c r="B4" s="53" t="s">
        <v>140</v>
      </c>
      <c r="C4" s="53"/>
      <c r="D4" s="53"/>
      <c r="E4" s="53"/>
      <c r="F4" s="53"/>
      <c r="G4" s="53"/>
      <c r="H4" s="53"/>
      <c r="AB4" s="43"/>
    </row>
    <row r="5" spans="2:28" x14ac:dyDescent="0.25">
      <c r="B5" s="54"/>
      <c r="C5" s="122" t="s">
        <v>476</v>
      </c>
      <c r="D5" s="111">
        <v>3.3</v>
      </c>
      <c r="E5" s="122" t="s">
        <v>267</v>
      </c>
      <c r="F5" s="110"/>
      <c r="G5" s="55"/>
      <c r="H5" s="112" t="s">
        <v>268</v>
      </c>
      <c r="AB5" s="43"/>
    </row>
    <row r="6" spans="2:28" x14ac:dyDescent="0.25">
      <c r="B6" s="54"/>
      <c r="C6" s="122" t="s">
        <v>264</v>
      </c>
      <c r="D6" s="111" t="s">
        <v>266</v>
      </c>
      <c r="E6" s="54"/>
      <c r="F6" s="110"/>
      <c r="G6" s="55"/>
      <c r="H6" s="112" t="s">
        <v>269</v>
      </c>
      <c r="AB6" s="43"/>
    </row>
    <row r="7" spans="2:28" x14ac:dyDescent="0.25">
      <c r="B7" s="54"/>
      <c r="C7" s="122" t="s">
        <v>317</v>
      </c>
      <c r="D7" s="111">
        <v>0.9</v>
      </c>
      <c r="E7" s="122" t="s">
        <v>267</v>
      </c>
      <c r="F7" s="110"/>
      <c r="G7" s="55"/>
      <c r="H7" s="112" t="s">
        <v>318</v>
      </c>
      <c r="AB7" s="43"/>
    </row>
    <row r="8" spans="2:28" x14ac:dyDescent="0.25">
      <c r="B8" s="54"/>
      <c r="C8" s="54" t="s">
        <v>219</v>
      </c>
      <c r="D8" s="111" t="s">
        <v>223</v>
      </c>
      <c r="E8" s="54"/>
      <c r="F8" s="110"/>
      <c r="G8" s="55"/>
      <c r="H8" s="112" t="s">
        <v>477</v>
      </c>
      <c r="AB8" s="43"/>
    </row>
    <row r="9" spans="2:28" x14ac:dyDescent="0.25">
      <c r="B9" s="54"/>
      <c r="C9" s="122" t="s">
        <v>231</v>
      </c>
      <c r="D9" s="111" t="s">
        <v>228</v>
      </c>
      <c r="E9" s="54"/>
      <c r="F9" s="110"/>
      <c r="G9" s="55"/>
      <c r="H9" s="112" t="s">
        <v>230</v>
      </c>
      <c r="AB9" s="43"/>
    </row>
    <row r="10" spans="2:28" x14ac:dyDescent="0.25">
      <c r="B10" s="54"/>
      <c r="C10" s="122" t="s">
        <v>232</v>
      </c>
      <c r="D10" s="111" t="s">
        <v>257</v>
      </c>
      <c r="E10" s="54"/>
      <c r="F10" s="110"/>
      <c r="G10" s="55"/>
      <c r="H10" s="112" t="s">
        <v>229</v>
      </c>
      <c r="AB10" s="43"/>
    </row>
    <row r="11" spans="2:28" x14ac:dyDescent="0.25">
      <c r="B11" s="53" t="s">
        <v>115</v>
      </c>
      <c r="C11" s="53"/>
      <c r="D11" s="53"/>
      <c r="E11" s="53"/>
      <c r="F11" s="53"/>
      <c r="G11" s="53"/>
      <c r="H11" s="53"/>
      <c r="AB11" s="41"/>
    </row>
    <row r="12" spans="2:28" x14ac:dyDescent="0.25">
      <c r="B12" s="226" t="s">
        <v>233</v>
      </c>
      <c r="C12" s="227"/>
      <c r="D12" s="53"/>
      <c r="E12" s="53"/>
      <c r="F12" s="53"/>
      <c r="G12" s="53"/>
      <c r="H12" s="53"/>
      <c r="AB12" s="41"/>
    </row>
    <row r="13" spans="2:28" x14ac:dyDescent="0.25">
      <c r="B13" s="140" t="b">
        <v>1</v>
      </c>
      <c r="C13" s="122" t="s">
        <v>234</v>
      </c>
      <c r="D13" s="60">
        <v>50</v>
      </c>
      <c r="E13" s="122" t="s">
        <v>3</v>
      </c>
      <c r="F13" s="57">
        <f ca="1">IF(AND(Config3_AllClocksOn,B13),Config3_FLL_Coef*D13,0)</f>
        <v>182.00000000000006</v>
      </c>
      <c r="G13" s="58" t="s">
        <v>57</v>
      </c>
      <c r="H13" s="112" t="s">
        <v>236</v>
      </c>
      <c r="AB13" s="43"/>
    </row>
    <row r="14" spans="2:28" x14ac:dyDescent="0.25">
      <c r="B14" s="140" t="b">
        <v>0</v>
      </c>
      <c r="C14" s="122" t="s">
        <v>164</v>
      </c>
      <c r="D14" s="123">
        <v>40</v>
      </c>
      <c r="E14" s="122" t="s">
        <v>3</v>
      </c>
      <c r="F14" s="57">
        <f>IF(AND(Config3_AllClocksOn,B14),Config3_PLL_Coef*D14+IF(D15/D16&gt;40,Config3_PLL_Coef_h40*D15/D16+Config3_PLL_Ped_h40,Config3_PLL_Coef_l40*D15/D16+Config3_PLL_Ped_l40),0)</f>
        <v>0</v>
      </c>
      <c r="G14" s="58" t="s">
        <v>57</v>
      </c>
      <c r="H14" s="112" t="s">
        <v>238</v>
      </c>
      <c r="AB14" s="41"/>
    </row>
    <row r="15" spans="2:28" x14ac:dyDescent="0.25">
      <c r="B15" s="54"/>
      <c r="C15" s="122" t="s">
        <v>237</v>
      </c>
      <c r="D15" s="146">
        <v>40</v>
      </c>
      <c r="E15" s="54"/>
      <c r="F15" s="80"/>
      <c r="G15" s="81"/>
      <c r="H15" s="112" t="s">
        <v>240</v>
      </c>
      <c r="AB15" s="41"/>
    </row>
    <row r="16" spans="2:28" x14ac:dyDescent="0.25">
      <c r="B16" s="54"/>
      <c r="C16" s="122" t="s">
        <v>239</v>
      </c>
      <c r="D16" s="60">
        <v>1</v>
      </c>
      <c r="E16" s="54"/>
      <c r="F16" s="80"/>
      <c r="G16" s="81"/>
      <c r="H16" s="112" t="s">
        <v>241</v>
      </c>
      <c r="AB16" s="41"/>
    </row>
    <row r="17" spans="2:28" x14ac:dyDescent="0.25">
      <c r="B17" s="148" t="b">
        <v>0</v>
      </c>
      <c r="C17" s="122" t="s">
        <v>165</v>
      </c>
      <c r="D17" s="56">
        <v>150</v>
      </c>
      <c r="E17" s="122" t="s">
        <v>3</v>
      </c>
      <c r="F17" s="57">
        <f>IF(AND(NUM_PLL&gt;1,AND(Config3_AllClocksOn,B17)),Config3_PLL_Coef*D17+IF(D18/D19&gt;40,Config3_PLL_Coef_h40*D18/D19+Config3_PLL_Ped_h40,Config3_PLL_Coef_l40*D18/D19+Config3_PLL_Ped_l40),0)</f>
        <v>0</v>
      </c>
      <c r="G17" s="58" t="s">
        <v>57</v>
      </c>
      <c r="H17" s="112" t="s">
        <v>242</v>
      </c>
      <c r="AB17" s="41"/>
    </row>
    <row r="18" spans="2:28" x14ac:dyDescent="0.25">
      <c r="B18" s="139"/>
      <c r="C18" s="138" t="s">
        <v>237</v>
      </c>
      <c r="D18" s="60">
        <v>25</v>
      </c>
      <c r="E18" s="55"/>
      <c r="F18" s="80"/>
      <c r="G18" s="81"/>
      <c r="H18" s="112" t="s">
        <v>244</v>
      </c>
      <c r="AB18" s="41"/>
    </row>
    <row r="19" spans="2:28" x14ac:dyDescent="0.25">
      <c r="B19" s="139"/>
      <c r="C19" s="122" t="s">
        <v>239</v>
      </c>
      <c r="D19" s="60">
        <v>1</v>
      </c>
      <c r="E19" s="55"/>
      <c r="F19" s="80"/>
      <c r="G19" s="81"/>
      <c r="H19" s="112" t="s">
        <v>243</v>
      </c>
      <c r="AB19" s="41"/>
    </row>
    <row r="20" spans="2:28" x14ac:dyDescent="0.25">
      <c r="B20" s="226" t="s">
        <v>235</v>
      </c>
      <c r="C20" s="227"/>
      <c r="D20" s="136"/>
      <c r="E20" s="136"/>
      <c r="F20" s="53"/>
      <c r="G20" s="53"/>
      <c r="H20" s="53"/>
      <c r="AB20" s="41"/>
    </row>
    <row r="21" spans="2:28" x14ac:dyDescent="0.25">
      <c r="B21" s="140" t="b">
        <v>1</v>
      </c>
      <c r="C21" s="122" t="s">
        <v>246</v>
      </c>
      <c r="D21" s="60" t="s">
        <v>304</v>
      </c>
      <c r="E21" s="149" t="s">
        <v>234</v>
      </c>
      <c r="F21" s="80"/>
      <c r="G21" s="81"/>
      <c r="H21" s="112" t="s">
        <v>310</v>
      </c>
      <c r="AB21" s="43"/>
    </row>
    <row r="22" spans="2:28" x14ac:dyDescent="0.25">
      <c r="B22" s="140" t="b">
        <v>0</v>
      </c>
      <c r="C22" s="122" t="s">
        <v>247</v>
      </c>
      <c r="D22" s="60" t="s">
        <v>308</v>
      </c>
      <c r="E22" s="149" t="s">
        <v>234</v>
      </c>
      <c r="F22" s="80"/>
      <c r="G22" s="81"/>
      <c r="H22" s="112" t="s">
        <v>311</v>
      </c>
      <c r="AB22" s="43"/>
    </row>
    <row r="23" spans="2:28" x14ac:dyDescent="0.25">
      <c r="B23" s="140" t="b">
        <v>0</v>
      </c>
      <c r="C23" s="122" t="s">
        <v>248</v>
      </c>
      <c r="D23" s="60" t="s">
        <v>304</v>
      </c>
      <c r="E23" s="149" t="s">
        <v>234</v>
      </c>
      <c r="F23" s="57">
        <f>IF(AND(Config3_AllClocksOn,B23),Config3_SMIF_Clk,0)</f>
        <v>0</v>
      </c>
      <c r="G23" s="58" t="s">
        <v>57</v>
      </c>
      <c r="H23" s="112" t="s">
        <v>312</v>
      </c>
      <c r="AB23" s="43"/>
    </row>
    <row r="24" spans="2:28" x14ac:dyDescent="0.25">
      <c r="B24" s="140" t="b">
        <v>0</v>
      </c>
      <c r="C24" s="122" t="s">
        <v>249</v>
      </c>
      <c r="D24" s="60" t="s">
        <v>304</v>
      </c>
      <c r="E24" s="149" t="s">
        <v>234</v>
      </c>
      <c r="F24" s="80"/>
      <c r="G24" s="81"/>
      <c r="H24" s="112" t="s">
        <v>313</v>
      </c>
      <c r="AB24" s="43"/>
    </row>
    <row r="25" spans="2:28" x14ac:dyDescent="0.25">
      <c r="B25" s="140" t="b">
        <v>0</v>
      </c>
      <c r="C25" s="122" t="s">
        <v>250</v>
      </c>
      <c r="D25" s="60" t="s">
        <v>304</v>
      </c>
      <c r="E25" s="149" t="s">
        <v>234</v>
      </c>
      <c r="F25" s="80"/>
      <c r="G25" s="81"/>
      <c r="H25" s="112" t="s">
        <v>314</v>
      </c>
      <c r="AB25" s="43"/>
    </row>
    <row r="26" spans="2:28" x14ac:dyDescent="0.25">
      <c r="B26" s="140" t="b">
        <v>0</v>
      </c>
      <c r="C26" s="122" t="s">
        <v>251</v>
      </c>
      <c r="D26" s="60" t="s">
        <v>304</v>
      </c>
      <c r="E26" s="149" t="s">
        <v>234</v>
      </c>
      <c r="F26" s="80"/>
      <c r="G26" s="81"/>
      <c r="H26" s="112" t="s">
        <v>315</v>
      </c>
      <c r="AB26" s="43"/>
    </row>
    <row r="27" spans="2:28" x14ac:dyDescent="0.25">
      <c r="B27" s="140"/>
      <c r="C27" s="138" t="s">
        <v>252</v>
      </c>
      <c r="D27" s="60">
        <v>50</v>
      </c>
      <c r="E27" s="122" t="s">
        <v>3</v>
      </c>
      <c r="F27" s="57">
        <f ca="1">IF(Config3_AllClocksOn,D27*Config3_Fast_Coef,0)</f>
        <v>26.999999999999968</v>
      </c>
      <c r="G27" s="58" t="s">
        <v>57</v>
      </c>
      <c r="H27" s="112" t="s">
        <v>321</v>
      </c>
      <c r="AB27" s="43"/>
    </row>
    <row r="28" spans="2:28" x14ac:dyDescent="0.25">
      <c r="B28" s="140"/>
      <c r="C28" s="138" t="s">
        <v>253</v>
      </c>
      <c r="D28" s="60">
        <v>50</v>
      </c>
      <c r="E28" s="122" t="s">
        <v>3</v>
      </c>
      <c r="F28" s="57">
        <f ca="1">IF(Config3_AllClocksOn,D28*Config3_Peri_Coef,0)</f>
        <v>312.00000000000006</v>
      </c>
      <c r="G28" s="58" t="s">
        <v>57</v>
      </c>
      <c r="H28" s="112" t="s">
        <v>319</v>
      </c>
      <c r="AB28" s="43"/>
    </row>
    <row r="29" spans="2:28" x14ac:dyDescent="0.25">
      <c r="B29" s="140"/>
      <c r="C29" s="138" t="s">
        <v>254</v>
      </c>
      <c r="D29" s="60">
        <v>25</v>
      </c>
      <c r="E29" s="122" t="s">
        <v>3</v>
      </c>
      <c r="F29" s="57">
        <f ca="1">IF(Config3_AllClocksOn,D29*Config3_Slow_Coef,0)</f>
        <v>286.99999999999994</v>
      </c>
      <c r="G29" s="58" t="s">
        <v>57</v>
      </c>
      <c r="H29" s="112" t="s">
        <v>320</v>
      </c>
      <c r="AB29" s="43"/>
    </row>
    <row r="30" spans="2:28" x14ac:dyDescent="0.25">
      <c r="B30" s="226" t="s">
        <v>245</v>
      </c>
      <c r="C30" s="227"/>
      <c r="D30" s="53"/>
      <c r="E30" s="53"/>
      <c r="F30" s="53"/>
      <c r="G30" s="53"/>
      <c r="H30" s="53"/>
      <c r="AB30" s="41"/>
    </row>
    <row r="31" spans="2:28" x14ac:dyDescent="0.25">
      <c r="B31" s="54"/>
      <c r="C31" s="122" t="s">
        <v>255</v>
      </c>
      <c r="D31" s="141" t="s">
        <v>150</v>
      </c>
      <c r="E31" s="55"/>
      <c r="F31" s="57">
        <f ca="1">IF(Config3_AllClocksOn,Config3_IMO_Ped,0)</f>
        <v>194</v>
      </c>
      <c r="G31" s="58" t="s">
        <v>57</v>
      </c>
      <c r="H31" s="112" t="s">
        <v>256</v>
      </c>
      <c r="AB31" s="41"/>
    </row>
    <row r="32" spans="2:28" x14ac:dyDescent="0.25">
      <c r="B32" s="54"/>
      <c r="C32" s="122" t="s">
        <v>260</v>
      </c>
      <c r="D32" s="60" t="s">
        <v>151</v>
      </c>
      <c r="E32" s="55"/>
      <c r="F32" s="57">
        <f>IF(D32="Enabled",Config3_WCO_Ped,0)</f>
        <v>0</v>
      </c>
      <c r="G32" s="58" t="s">
        <v>57</v>
      </c>
      <c r="H32" s="112" t="s">
        <v>261</v>
      </c>
      <c r="AB32" s="41"/>
    </row>
    <row r="33" spans="2:28" x14ac:dyDescent="0.25">
      <c r="B33" s="54"/>
      <c r="C33" s="55" t="s">
        <v>81</v>
      </c>
      <c r="D33" s="60" t="s">
        <v>151</v>
      </c>
      <c r="E33" s="55"/>
      <c r="F33" s="64">
        <f>IF(D33="Enabled",Config3_ILO_Ped,0)</f>
        <v>0</v>
      </c>
      <c r="G33" s="58" t="s">
        <v>57</v>
      </c>
      <c r="H33" s="112" t="s">
        <v>262</v>
      </c>
      <c r="AB33" s="41"/>
    </row>
    <row r="34" spans="2:28" x14ac:dyDescent="0.25">
      <c r="B34" s="54"/>
      <c r="C34" s="122" t="s">
        <v>259</v>
      </c>
      <c r="D34" s="60" t="s">
        <v>151</v>
      </c>
      <c r="E34" s="55"/>
      <c r="F34" s="64">
        <f>IF(D34="Enabled",Config3_PILO_Ped,0)</f>
        <v>0</v>
      </c>
      <c r="G34" s="58" t="s">
        <v>57</v>
      </c>
      <c r="H34" s="112" t="s">
        <v>263</v>
      </c>
      <c r="AB34" s="41"/>
    </row>
    <row r="35" spans="2:28" x14ac:dyDescent="0.25">
      <c r="B35" s="140" t="b">
        <v>0</v>
      </c>
      <c r="C35" s="122" t="s">
        <v>326</v>
      </c>
      <c r="D35" s="60">
        <v>17.203399999999998</v>
      </c>
      <c r="E35" s="122" t="s">
        <v>3</v>
      </c>
      <c r="F35" s="64">
        <f>IF(AND(Config3_AllClocksOn,B35),Config3_ECO_Coef*D35,0)</f>
        <v>0</v>
      </c>
      <c r="G35" s="58" t="s">
        <v>57</v>
      </c>
      <c r="H35" s="112" t="s">
        <v>327</v>
      </c>
      <c r="AB35" s="41"/>
    </row>
    <row r="36" spans="2:28" s="1" customFormat="1" x14ac:dyDescent="0.25">
      <c r="B36" s="53" t="s">
        <v>152</v>
      </c>
      <c r="C36" s="53"/>
      <c r="D36" s="53"/>
      <c r="E36" s="53"/>
      <c r="F36" s="65">
        <f ca="1">(IF(Config3_SystemMode=SystemDeepSleep,Config3_DeepSleep_Cur,0)+IF(Config3_SystemMode=SystemHibernate,Config3_Hibernate_Cur,0)+SUM(F8:F8,F13:F35))/1000</f>
        <v>1.002</v>
      </c>
      <c r="G36" s="53" t="s">
        <v>316</v>
      </c>
      <c r="H36" s="53"/>
      <c r="AB36" s="41"/>
    </row>
    <row r="37" spans="2:28" x14ac:dyDescent="0.25">
      <c r="D37"/>
      <c r="F37"/>
      <c r="AB37" s="43"/>
    </row>
    <row r="38" spans="2:28" ht="15.6" x14ac:dyDescent="0.3">
      <c r="B38" s="225" t="s">
        <v>138</v>
      </c>
      <c r="C38" s="225"/>
      <c r="D38" s="225"/>
      <c r="E38" s="225"/>
      <c r="F38" s="225"/>
      <c r="G38" s="225"/>
      <c r="H38" s="225"/>
      <c r="AB38" s="43"/>
    </row>
    <row r="39" spans="2:28" ht="15.6" x14ac:dyDescent="0.3">
      <c r="B39" s="228" t="s">
        <v>406</v>
      </c>
      <c r="C39" s="229"/>
      <c r="D39" s="167"/>
      <c r="E39" s="167"/>
      <c r="F39" s="167"/>
      <c r="G39" s="167"/>
      <c r="H39" s="167"/>
      <c r="AB39" s="43"/>
    </row>
    <row r="40" spans="2:28" ht="15.6" customHeight="1" x14ac:dyDescent="0.25">
      <c r="B40" s="239"/>
      <c r="C40" s="54" t="s">
        <v>408</v>
      </c>
      <c r="D40" s="60" t="s">
        <v>151</v>
      </c>
      <c r="E40" s="54"/>
      <c r="F40" s="54"/>
      <c r="G40" s="54"/>
      <c r="H40" s="54" t="s">
        <v>412</v>
      </c>
      <c r="AB40" s="43"/>
    </row>
    <row r="41" spans="2:28" ht="15.6" customHeight="1" x14ac:dyDescent="0.25">
      <c r="B41" s="239"/>
      <c r="C41" s="54" t="s">
        <v>409</v>
      </c>
      <c r="D41" s="169">
        <v>0</v>
      </c>
      <c r="E41" s="54" t="s">
        <v>413</v>
      </c>
      <c r="F41" s="54"/>
      <c r="G41" s="54"/>
      <c r="H41" s="54" t="s">
        <v>414</v>
      </c>
      <c r="AB41" s="43"/>
    </row>
    <row r="42" spans="2:28" ht="15.6" x14ac:dyDescent="0.3">
      <c r="B42" s="240"/>
      <c r="C42" s="54" t="s">
        <v>410</v>
      </c>
      <c r="D42" s="169">
        <v>1</v>
      </c>
      <c r="E42" s="122" t="s">
        <v>415</v>
      </c>
      <c r="F42" s="170"/>
      <c r="G42" s="171"/>
      <c r="H42" s="122" t="s">
        <v>416</v>
      </c>
      <c r="AB42" s="43"/>
    </row>
    <row r="43" spans="2:28" x14ac:dyDescent="0.25">
      <c r="B43" s="53" t="s">
        <v>468</v>
      </c>
      <c r="C43" s="53"/>
      <c r="D43" s="53"/>
      <c r="E43" s="53"/>
      <c r="F43" s="53"/>
      <c r="G43" s="53"/>
      <c r="H43" s="53"/>
      <c r="AB43" s="43"/>
    </row>
    <row r="44" spans="2:28" ht="12.6" customHeight="1" x14ac:dyDescent="0.25">
      <c r="B44" s="233" t="b">
        <v>0</v>
      </c>
      <c r="C44" s="174" t="s">
        <v>33</v>
      </c>
      <c r="D44" t="s">
        <v>419</v>
      </c>
      <c r="E44" s="54"/>
      <c r="F44" s="152"/>
      <c r="G44" s="55"/>
      <c r="H44" s="176" t="s">
        <v>465</v>
      </c>
      <c r="I44">
        <f>IF(Config1_SystemMode &lt;&gt; "System Hibernate",IF(Config1_SystemMode &lt;&gt; "System Deep Sleep",1,0),0)</f>
        <v>1</v>
      </c>
      <c r="AB44" s="43"/>
    </row>
    <row r="45" spans="2:28" ht="12.6" customHeight="1" x14ac:dyDescent="0.25">
      <c r="B45" s="234"/>
      <c r="C45" s="122" t="s">
        <v>381</v>
      </c>
      <c r="D45" s="60" t="s">
        <v>451</v>
      </c>
      <c r="E45" s="54"/>
      <c r="F45" s="152"/>
      <c r="G45" s="55"/>
      <c r="H45" s="112" t="s">
        <v>382</v>
      </c>
      <c r="I45">
        <f>IF(AND(Config1_SystemMode = "System Deep Sleep", SelectedDevice = "PSOC 62 (256KB)"),1,0)</f>
        <v>0</v>
      </c>
      <c r="AB45" s="43"/>
    </row>
    <row r="46" spans="2:28" ht="12.6" customHeight="1" x14ac:dyDescent="0.25">
      <c r="B46" s="234"/>
      <c r="C46" s="122" t="s">
        <v>420</v>
      </c>
      <c r="D46" s="169">
        <v>18000</v>
      </c>
      <c r="E46" s="122" t="s">
        <v>424</v>
      </c>
      <c r="F46" s="152"/>
      <c r="G46" s="55"/>
      <c r="H46" s="112" t="s">
        <v>475</v>
      </c>
      <c r="I46" s="159" t="b">
        <f>IF(SUM(I44:I45)&gt;0,IF(B44=TRUE,TRUE,FALSE),FALSE)</f>
        <v>0</v>
      </c>
      <c r="AB46" s="41"/>
    </row>
    <row r="47" spans="2:28" ht="12.9" customHeight="1" x14ac:dyDescent="0.25">
      <c r="B47" s="234"/>
      <c r="C47" s="122" t="s">
        <v>421</v>
      </c>
      <c r="D47" s="175">
        <v>1</v>
      </c>
      <c r="E47" s="122" t="s">
        <v>425</v>
      </c>
      <c r="F47" s="152"/>
      <c r="G47" s="55"/>
      <c r="H47" s="112" t="s">
        <v>387</v>
      </c>
      <c r="AB47" s="41"/>
    </row>
    <row r="48" spans="2:28" ht="12.9" customHeight="1" x14ac:dyDescent="0.25">
      <c r="B48" s="234"/>
      <c r="C48" s="176" t="s">
        <v>422</v>
      </c>
      <c r="D48" s="169">
        <v>1</v>
      </c>
      <c r="E48" s="54"/>
      <c r="F48" s="152"/>
      <c r="G48" s="55"/>
      <c r="H48" s="112" t="s">
        <v>466</v>
      </c>
      <c r="AB48" s="41"/>
    </row>
    <row r="49" spans="2:28" ht="12.9" customHeight="1" x14ac:dyDescent="0.25">
      <c r="B49" s="234"/>
      <c r="C49" s="122" t="s">
        <v>423</v>
      </c>
      <c r="D49" s="169">
        <v>4</v>
      </c>
      <c r="E49" s="54"/>
      <c r="F49" s="152"/>
      <c r="G49" s="55"/>
      <c r="H49" s="112" t="s">
        <v>467</v>
      </c>
      <c r="AB49" s="41"/>
    </row>
    <row r="50" spans="2:28" ht="38.1" customHeight="1" x14ac:dyDescent="0.25">
      <c r="B50" s="234"/>
      <c r="C50" s="113" t="s">
        <v>426</v>
      </c>
      <c r="D50" s="193" t="str">
        <f>"Acquisition Time (min "&amp;ROUNDUP(ROUNDUP(IF(Summary!F2 = "PSOC 62 (256KB)", 83, 166)*IF(Config1_SystemMode = "System Deep Sleep", 2000, D46)/1000000, 0)/IF(Config1_SystemMode = "System Deep Sleep", 2000, D46)*1000000, 0)&amp;"ns)"</f>
        <v>Acquisition Time (min 167ns)</v>
      </c>
      <c r="E50" s="113" t="s">
        <v>427</v>
      </c>
      <c r="F50" s="194" t="s">
        <v>428</v>
      </c>
      <c r="G50" s="193" t="s">
        <v>429</v>
      </c>
      <c r="H50" s="112"/>
      <c r="AB50" s="41"/>
    </row>
    <row r="51" spans="2:28" ht="12.9" customHeight="1" x14ac:dyDescent="0.25">
      <c r="B51" s="234"/>
      <c r="C51" s="122">
        <v>0</v>
      </c>
      <c r="D51" s="60">
        <v>1000</v>
      </c>
      <c r="E51" s="60" t="s">
        <v>151</v>
      </c>
      <c r="F51" s="177">
        <f>ROUNDDOWN((G51/1000+ (1/IF(Config1_SystemMode = "System Deep Sleep", 2000, D46)*1000)*15)*IF(E51="Enabled", D49, 1),2)</f>
        <v>1.83</v>
      </c>
      <c r="G51" s="112">
        <f>ROUNDUP(ROUND(D51*D46/1000000,0)/D46*1000000,0)</f>
        <v>1000</v>
      </c>
      <c r="H51" s="112" t="s">
        <v>430</v>
      </c>
      <c r="AB51" s="41"/>
    </row>
    <row r="52" spans="2:28" ht="12.9" customHeight="1" x14ac:dyDescent="0.25">
      <c r="B52" s="234"/>
      <c r="C52" s="173">
        <v>1</v>
      </c>
      <c r="D52" s="60">
        <v>1000</v>
      </c>
      <c r="E52" s="60" t="s">
        <v>151</v>
      </c>
      <c r="F52" s="177">
        <f>ROUNDDOWN(IF(D$48 &gt; 1,(G52/1000+ (1/IF(Config1_SystemMode = "System Deep Sleep", 2000, D$46)*1000)*15)*IF(E52="Enabled", D$49, 1),0), 2)</f>
        <v>0</v>
      </c>
      <c r="G52" s="112">
        <f>ROUNDUP(ROUND(D52*D46/1000000,0)/D46*1000000,0)</f>
        <v>1000</v>
      </c>
      <c r="H52" s="112" t="s">
        <v>431</v>
      </c>
      <c r="AB52" s="41"/>
    </row>
    <row r="53" spans="2:28" ht="12.9" customHeight="1" x14ac:dyDescent="0.25">
      <c r="B53" s="234"/>
      <c r="C53" s="173">
        <v>2</v>
      </c>
      <c r="D53" s="60">
        <v>1000</v>
      </c>
      <c r="E53" s="60" t="s">
        <v>151</v>
      </c>
      <c r="F53" s="177">
        <f>ROUNDDOWN(IF(D$48 &gt; 2,(G53/1000+ (1/IF(Config1_SystemMode = "System Deep Sleep", 2000, D$46)*1000)*15)*IF(E53="Enabled", D$49, 1),0), 2)</f>
        <v>0</v>
      </c>
      <c r="G53" s="112">
        <f>ROUNDUP(ROUND(D53*D46/1000000,0)/D46*1000000,0)</f>
        <v>1000</v>
      </c>
      <c r="H53" s="112" t="s">
        <v>432</v>
      </c>
      <c r="AB53" s="41"/>
    </row>
    <row r="54" spans="2:28" ht="12.9" customHeight="1" x14ac:dyDescent="0.25">
      <c r="B54" s="234"/>
      <c r="C54" s="173">
        <v>3</v>
      </c>
      <c r="D54" s="60">
        <v>1000</v>
      </c>
      <c r="E54" s="60" t="s">
        <v>151</v>
      </c>
      <c r="F54" s="177">
        <f>ROUNDDOWN(IF(D$48 &gt;3,(G54/1000+ (1/IF(Config1_SystemMode = "System Deep Sleep", 2000, D$46)*1000)*15)*IF(E54="Enabled", D$49, 1),0), 2)</f>
        <v>0</v>
      </c>
      <c r="G54" s="112">
        <f>ROUNDUP(ROUND(D54*D46/1000000,0)/D46*1000000,0)</f>
        <v>1000</v>
      </c>
      <c r="H54" s="112" t="s">
        <v>433</v>
      </c>
      <c r="AB54" s="41"/>
    </row>
    <row r="55" spans="2:28" ht="12.9" customHeight="1" x14ac:dyDescent="0.25">
      <c r="B55" s="234"/>
      <c r="C55" s="192">
        <v>4</v>
      </c>
      <c r="D55" s="60">
        <v>1000</v>
      </c>
      <c r="E55" s="60" t="s">
        <v>151</v>
      </c>
      <c r="F55" s="177">
        <f>ROUNDDOWN(IF(D$48 &gt;4,(G55/1000+ (1/IF(Config1_SystemMode = "System Deep Sleep", 2000, D$46)*1000)*15)*IF(E55="Enabled", D$49, 1),0), 2)</f>
        <v>0</v>
      </c>
      <c r="G55" s="112">
        <f>ROUNDUP(ROUND(D55*D46/1000000,0)/D46*1000000,0)</f>
        <v>1000</v>
      </c>
      <c r="H55" s="112" t="s">
        <v>434</v>
      </c>
      <c r="AB55" s="41"/>
    </row>
    <row r="56" spans="2:28" ht="12.9" customHeight="1" x14ac:dyDescent="0.25">
      <c r="B56" s="234"/>
      <c r="C56" s="173">
        <v>5</v>
      </c>
      <c r="D56" s="60">
        <v>1000</v>
      </c>
      <c r="E56" s="60" t="s">
        <v>151</v>
      </c>
      <c r="F56" s="177">
        <f>ROUNDDOWN(IF(D$48 &gt; 5,(G56/1000+ (1/IF(Config1_SystemMode = "System Deep Sleep", 2000, D$46)*1000)*15)*IF(E56="Enabled", D$49, 1),0), 2)</f>
        <v>0</v>
      </c>
      <c r="G56" s="112">
        <f>ROUNDUP(ROUND(D56*D46/1000000,0)/D46*1000000,0)</f>
        <v>1000</v>
      </c>
      <c r="H56" s="112" t="s">
        <v>435</v>
      </c>
      <c r="AB56" s="41"/>
    </row>
    <row r="57" spans="2:28" ht="12.9" customHeight="1" x14ac:dyDescent="0.25">
      <c r="B57" s="234"/>
      <c r="C57" s="173">
        <v>6</v>
      </c>
      <c r="D57" s="60">
        <v>1000</v>
      </c>
      <c r="E57" s="60" t="s">
        <v>151</v>
      </c>
      <c r="F57" s="177">
        <f>ROUNDDOWN(IF(D$48 &gt; 6,(G57/1000+ (1/IF(Config1_SystemMode = "System Deep Sleep", 2000, D$46)*1000)*15)*IF(E57="Enabled", D$49, 1),0), 2)</f>
        <v>0</v>
      </c>
      <c r="G57" s="112">
        <f>ROUNDUP(ROUND(D57*D46/1000000,0)/D46*1000000,0)</f>
        <v>1000</v>
      </c>
      <c r="H57" s="112" t="s">
        <v>436</v>
      </c>
      <c r="AB57" s="41"/>
    </row>
    <row r="58" spans="2:28" ht="12.9" customHeight="1" x14ac:dyDescent="0.25">
      <c r="B58" s="234"/>
      <c r="C58" s="173">
        <v>7</v>
      </c>
      <c r="D58" s="60">
        <v>1000</v>
      </c>
      <c r="E58" s="60" t="s">
        <v>151</v>
      </c>
      <c r="F58" s="177">
        <f>ROUNDDOWN(IF(D$48 &gt; 7,(G58/1000+ (1/IF(Config1_SystemMode = "System Deep Sleep", 2000, D$46)*1000)*15)*IF(E58="Enabled", D$49, 1),0), 2)</f>
        <v>0</v>
      </c>
      <c r="G58" s="112">
        <f>ROUNDUP(ROUND(D58*D46/1000000,0)/D46*1000000,0)</f>
        <v>1000</v>
      </c>
      <c r="H58" s="112" t="s">
        <v>437</v>
      </c>
      <c r="AB58" s="41"/>
    </row>
    <row r="59" spans="2:28" ht="12.9" customHeight="1" x14ac:dyDescent="0.25">
      <c r="B59" s="234"/>
      <c r="C59" s="173">
        <v>8</v>
      </c>
      <c r="D59" s="60">
        <v>1000</v>
      </c>
      <c r="E59" s="60" t="s">
        <v>151</v>
      </c>
      <c r="F59" s="177">
        <f>ROUNDDOWN(IF(D$48 &gt; 8,(G59/1000+ (1/IF(Config1_SystemMode = "System Deep Sleep", 2000, D$46)*1000)*15)*IF(E59="Enabled", D$49, 1),0), 2)</f>
        <v>0</v>
      </c>
      <c r="G59" s="112">
        <f>ROUNDUP(ROUND(D59*D46/1000000,0)/D46*1000000,0)</f>
        <v>1000</v>
      </c>
      <c r="H59" s="112" t="s">
        <v>438</v>
      </c>
      <c r="AB59" s="41"/>
    </row>
    <row r="60" spans="2:28" ht="12.9" customHeight="1" x14ac:dyDescent="0.25">
      <c r="B60" s="234"/>
      <c r="C60" s="173">
        <v>9</v>
      </c>
      <c r="D60" s="60">
        <v>1000</v>
      </c>
      <c r="E60" s="60" t="s">
        <v>151</v>
      </c>
      <c r="F60" s="177">
        <f>ROUNDDOWN(IF(D$48 &gt; 9,(G60/1000+ (1/IF(Config1_SystemMode = "System Deep Sleep", 2000, D$46)*1000)*15)*IF(E60="Enabled", D$49, 1),0), 2)</f>
        <v>0</v>
      </c>
      <c r="G60" s="112">
        <f>ROUNDUP(ROUND(D60*D46/1000000,0)/D46*1000000,0)</f>
        <v>1000</v>
      </c>
      <c r="H60" s="112" t="s">
        <v>439</v>
      </c>
      <c r="AB60" s="41"/>
    </row>
    <row r="61" spans="2:28" ht="12.9" customHeight="1" x14ac:dyDescent="0.25">
      <c r="B61" s="234"/>
      <c r="C61" s="173">
        <v>10</v>
      </c>
      <c r="D61" s="60">
        <v>1000</v>
      </c>
      <c r="E61" s="60" t="s">
        <v>151</v>
      </c>
      <c r="F61" s="177">
        <f>ROUNDDOWN(IF(D$48 &gt;10,(G61/1000+ (1/IF(Config1_SystemMode = "System Deep Sleep", 2000, D$46)*1000)*15)*IF(E61="Enabled", D$49, 1),0), 2)</f>
        <v>0</v>
      </c>
      <c r="G61" s="112">
        <f>ROUNDUP(ROUND(D61*D46/1000000,0)/D46*1000000,0)</f>
        <v>1000</v>
      </c>
      <c r="H61" s="112" t="s">
        <v>440</v>
      </c>
      <c r="AB61" s="41"/>
    </row>
    <row r="62" spans="2:28" ht="12.9" customHeight="1" x14ac:dyDescent="0.25">
      <c r="B62" s="234"/>
      <c r="C62" s="173">
        <v>11</v>
      </c>
      <c r="D62" s="60">
        <v>1000</v>
      </c>
      <c r="E62" s="60" t="s">
        <v>151</v>
      </c>
      <c r="F62" s="177">
        <f>ROUNDDOWN(IF(D$48 &gt; 11,(G62/1000+ (1/IF(Config1_SystemMode = "System Deep Sleep", 2000, D$46)*1000)*15)*IF(E62="Enabled", D$49, 1),0), 2)</f>
        <v>0</v>
      </c>
      <c r="G62" s="112">
        <f>ROUNDUP(ROUND(D62*D46/1000000,0)/D46*1000000,0)</f>
        <v>1000</v>
      </c>
      <c r="H62" s="112" t="s">
        <v>441</v>
      </c>
      <c r="AB62" s="41"/>
    </row>
    <row r="63" spans="2:28" ht="12.9" customHeight="1" x14ac:dyDescent="0.25">
      <c r="B63" s="234"/>
      <c r="C63" s="173">
        <v>12</v>
      </c>
      <c r="D63" s="60">
        <v>1000</v>
      </c>
      <c r="E63" s="60" t="s">
        <v>151</v>
      </c>
      <c r="F63" s="177">
        <f>ROUNDDOWN(IF(D$48 &gt; 12,(G63/1000+ (1/IF(Config1_SystemMode = "System Deep Sleep", 2000, D$46)*1000)*15)*IF(E63="Enabled", D$49, 1),0), 2)</f>
        <v>0</v>
      </c>
      <c r="G63" s="112">
        <f>ROUNDUP(ROUND(D63*D46/1000000,0)/D46*1000000,0)</f>
        <v>1000</v>
      </c>
      <c r="H63" s="112" t="s">
        <v>442</v>
      </c>
      <c r="AB63" s="41"/>
    </row>
    <row r="64" spans="2:28" ht="12.9" customHeight="1" x14ac:dyDescent="0.25">
      <c r="B64" s="234"/>
      <c r="C64" s="173">
        <v>13</v>
      </c>
      <c r="D64" s="60">
        <v>1000</v>
      </c>
      <c r="E64" s="60" t="s">
        <v>151</v>
      </c>
      <c r="F64" s="177">
        <f>ROUNDDOWN(IF(D$48 &gt; 13,(G64/1000+ (1/IF(Config1_SystemMode = "System Deep Sleep", 2000, D$46)*1000)*15)*IF(E64="Enabled", D$49, 1),0), 2)</f>
        <v>0</v>
      </c>
      <c r="G64" s="112">
        <f>ROUNDUP(ROUND(D64*D46/1000000,0)/D46*1000000,0)</f>
        <v>1000</v>
      </c>
      <c r="H64" s="112" t="s">
        <v>443</v>
      </c>
      <c r="AB64" s="41"/>
    </row>
    <row r="65" spans="2:28" ht="12.9" customHeight="1" x14ac:dyDescent="0.25">
      <c r="B65" s="234"/>
      <c r="C65" s="173">
        <v>14</v>
      </c>
      <c r="D65" s="60">
        <v>1000</v>
      </c>
      <c r="E65" s="60" t="s">
        <v>151</v>
      </c>
      <c r="F65" s="177">
        <f>ROUNDDOWN(IF(D$48 &gt; 14,(G65/1000+ (1/IF(Config1_SystemMode = "System Deep Sleep", 2000, D$46)*1000)*15)*IF(E65="Enabled", D$49, 1),0), 2)</f>
        <v>0</v>
      </c>
      <c r="G65" s="112">
        <f>ROUNDUP(ROUND(D65*D46/1000000,0)/D46*1000000,0)</f>
        <v>1000</v>
      </c>
      <c r="H65" s="112" t="s">
        <v>444</v>
      </c>
      <c r="AB65" s="41"/>
    </row>
    <row r="66" spans="2:28" ht="12.9" customHeight="1" x14ac:dyDescent="0.25">
      <c r="B66" s="234"/>
      <c r="C66" s="173">
        <v>15</v>
      </c>
      <c r="D66" s="60">
        <v>1000</v>
      </c>
      <c r="E66" s="60" t="s">
        <v>151</v>
      </c>
      <c r="F66" s="177">
        <f>ROUNDDOWN(IF(D$48 &gt; 15,(G66/1000+ (1/IF(Config1_SystemMode = "System Deep Sleep", 2000, D$46)*1000)*15)*IF(E66="Enabled", D$49, 1),0), 2)</f>
        <v>0</v>
      </c>
      <c r="G66" s="112">
        <f>ROUNDUP(ROUND(D66*D46/1000000,0)/D46*1000000,0)</f>
        <v>1000</v>
      </c>
      <c r="H66" s="112" t="s">
        <v>445</v>
      </c>
      <c r="AB66" s="41"/>
    </row>
    <row r="67" spans="2:28" ht="12.9" customHeight="1" x14ac:dyDescent="0.25">
      <c r="B67" s="234"/>
      <c r="C67" s="230" t="s">
        <v>448</v>
      </c>
      <c r="D67" s="231"/>
      <c r="E67" s="232"/>
      <c r="F67" s="178">
        <f>IF(I46=TRUE,SUM(F51:F66),0)</f>
        <v>0</v>
      </c>
      <c r="G67" s="122" t="s">
        <v>413</v>
      </c>
      <c r="H67" s="112"/>
      <c r="AB67" s="41"/>
    </row>
    <row r="68" spans="2:28" ht="12.9" customHeight="1" x14ac:dyDescent="0.25">
      <c r="B68" s="234"/>
      <c r="C68" s="230" t="s">
        <v>446</v>
      </c>
      <c r="D68" s="231"/>
      <c r="E68" s="232"/>
      <c r="F68" s="152">
        <f>(F67*D42+IF(Config1_SystemMode = "System Deep Sleep", D41,0))*IF(NOT(B44), 0, 1)</f>
        <v>0</v>
      </c>
      <c r="G68" s="122" t="s">
        <v>413</v>
      </c>
      <c r="H68" s="112"/>
      <c r="AB68" s="41"/>
    </row>
    <row r="69" spans="2:28" s="195" customFormat="1" ht="12.9" customHeight="1" x14ac:dyDescent="0.25">
      <c r="B69" s="235"/>
      <c r="C69" s="182" t="s">
        <v>447</v>
      </c>
      <c r="D69" s="183"/>
      <c r="E69" s="184"/>
      <c r="F69" s="66">
        <f>IF(I46=FALSE,0,IF(B44, IF(AND(Config1_SystemMode = "System Deep Sleep", SelectedDevice = "PSOC 62 (256KB)"), Config1_SAR_DPSLP * F68*D47/1000, IF(Config1_SystemMode = "System Deep Sleep", 0, (IF(D45="System bandgap",Config1_SAR_Ped_SysGap,0)+IF(D45="Vdda",Config1_SAR_Ped_Vdda,0)+IF(D45="Vdda/2",Config1_SAR_Ped_Vdda2,0)+D46/18*Config1_SAR_Coef))), 0))</f>
        <v>0</v>
      </c>
      <c r="G69" s="198" t="s">
        <v>10</v>
      </c>
      <c r="H69" s="112"/>
      <c r="AB69" s="196"/>
    </row>
    <row r="70" spans="2:28" x14ac:dyDescent="0.25">
      <c r="B70" s="186" t="s">
        <v>469</v>
      </c>
      <c r="C70" s="187"/>
      <c r="D70" s="188"/>
      <c r="E70" s="89"/>
      <c r="F70" s="189"/>
      <c r="G70" s="187"/>
      <c r="H70" s="190"/>
      <c r="AB70" s="41"/>
    </row>
    <row r="71" spans="2:28" ht="12.9" customHeight="1" x14ac:dyDescent="0.25">
      <c r="B71" s="236" t="b">
        <v>0</v>
      </c>
      <c r="C71" s="174" t="s">
        <v>33</v>
      </c>
      <c r="D71" t="s">
        <v>418</v>
      </c>
      <c r="E71" s="54"/>
      <c r="F71" s="152"/>
      <c r="G71" s="55"/>
      <c r="H71" s="176" t="s">
        <v>465</v>
      </c>
      <c r="I71">
        <f>IF(AND(Config1_SystemMode &lt;&gt; "System Hibernate", SelectedDevice = "PSOC 62 (256KB)"),1,0)</f>
        <v>0</v>
      </c>
      <c r="AB71" s="41"/>
    </row>
    <row r="72" spans="2:28" ht="12.9" customHeight="1" x14ac:dyDescent="0.25">
      <c r="B72" s="237"/>
      <c r="C72" s="122" t="s">
        <v>381</v>
      </c>
      <c r="D72" s="60" t="s">
        <v>451</v>
      </c>
      <c r="E72" s="54"/>
      <c r="F72" s="152"/>
      <c r="G72" s="55"/>
      <c r="H72" s="112" t="s">
        <v>382</v>
      </c>
      <c r="I72" s="159" t="b">
        <f>IF(SUM(I71)&gt;0,IF(B71=TRUE,TRUE,FALSE),FALSE)</f>
        <v>0</v>
      </c>
      <c r="AB72" s="41"/>
    </row>
    <row r="73" spans="2:28" ht="12.9" customHeight="1" x14ac:dyDescent="0.25">
      <c r="B73" s="237"/>
      <c r="C73" s="122" t="s">
        <v>420</v>
      </c>
      <c r="D73" s="169">
        <v>18000</v>
      </c>
      <c r="E73" s="122" t="s">
        <v>424</v>
      </c>
      <c r="F73" s="152"/>
      <c r="G73" s="55"/>
      <c r="H73" s="112" t="s">
        <v>475</v>
      </c>
      <c r="AB73" s="41"/>
    </row>
    <row r="74" spans="2:28" ht="12.9" customHeight="1" x14ac:dyDescent="0.25">
      <c r="B74" s="237"/>
      <c r="C74" s="122" t="s">
        <v>421</v>
      </c>
      <c r="D74" s="175">
        <v>1</v>
      </c>
      <c r="E74" s="122" t="s">
        <v>425</v>
      </c>
      <c r="F74" s="152"/>
      <c r="G74" s="55"/>
      <c r="H74" s="112" t="s">
        <v>387</v>
      </c>
      <c r="AB74" s="41"/>
    </row>
    <row r="75" spans="2:28" ht="12.9" customHeight="1" x14ac:dyDescent="0.25">
      <c r="B75" s="237"/>
      <c r="C75" s="176" t="s">
        <v>422</v>
      </c>
      <c r="D75" s="169">
        <v>1</v>
      </c>
      <c r="E75" s="54"/>
      <c r="F75" s="152"/>
      <c r="G75" s="55"/>
      <c r="H75" s="112" t="s">
        <v>466</v>
      </c>
      <c r="AB75" s="41"/>
    </row>
    <row r="76" spans="2:28" ht="12.9" customHeight="1" x14ac:dyDescent="0.25">
      <c r="B76" s="237"/>
      <c r="C76" s="122" t="s">
        <v>423</v>
      </c>
      <c r="D76" s="169">
        <v>4</v>
      </c>
      <c r="E76" s="54"/>
      <c r="F76" s="152"/>
      <c r="G76" s="55"/>
      <c r="H76" s="112" t="s">
        <v>467</v>
      </c>
      <c r="AB76" s="41"/>
    </row>
    <row r="77" spans="2:28" ht="38.1" customHeight="1" x14ac:dyDescent="0.25">
      <c r="B77" s="237"/>
      <c r="C77" s="113" t="s">
        <v>426</v>
      </c>
      <c r="D77" s="193" t="str">
        <f>"Acquisition Time (min "&amp;ROUNDUP(ROUNDUP(IF(Summary!F33 = "PSOC 62 (256KB)", 83, 166)*IF(Config1_SystemMode = "System Deep Sleep", 2000, D73)/1000000, 0)/IF(Config1_SystemMode = "System Deep Sleep", 2000, D73)*1000000, 0)&amp;"ns)"</f>
        <v>Acquisition Time (min 167ns)</v>
      </c>
      <c r="E77" s="113" t="s">
        <v>427</v>
      </c>
      <c r="F77" s="194" t="s">
        <v>428</v>
      </c>
      <c r="G77" s="193" t="s">
        <v>429</v>
      </c>
      <c r="H77" s="112"/>
      <c r="AB77" s="41"/>
    </row>
    <row r="78" spans="2:28" ht="12.9" customHeight="1" x14ac:dyDescent="0.25">
      <c r="B78" s="237"/>
      <c r="C78" s="122">
        <v>0</v>
      </c>
      <c r="D78" s="60">
        <v>1000</v>
      </c>
      <c r="E78" s="60" t="s">
        <v>151</v>
      </c>
      <c r="F78" s="177">
        <f>ROUNDDOWN((G78/1000+ (1/IF(Config1_SystemMode = "System Deep Sleep", 2000, D73)*1000)*15)*IF(E78="Enabled", D76, 1),2)</f>
        <v>1.83</v>
      </c>
      <c r="G78" s="112">
        <f>ROUNDUP(ROUND(D78*D73/1000000,0)/D73*1000000,0)</f>
        <v>1000</v>
      </c>
      <c r="H78" s="112" t="s">
        <v>430</v>
      </c>
      <c r="AB78" s="41"/>
    </row>
    <row r="79" spans="2:28" ht="12.9" customHeight="1" x14ac:dyDescent="0.25">
      <c r="B79" s="237"/>
      <c r="C79" s="173">
        <v>1</v>
      </c>
      <c r="D79" s="60">
        <v>1000</v>
      </c>
      <c r="E79" s="60" t="s">
        <v>151</v>
      </c>
      <c r="F79" s="177">
        <f>ROUNDDOWN(IF(D$75 &gt; 1,(G79/1000+ (1/IF(Config1_SystemMode = "System Deep Sleep", 2000, D$73)*1000)*15)*IF(E79="Enabled", D$76, 1),0), 2)</f>
        <v>0</v>
      </c>
      <c r="G79" s="112">
        <f>ROUNDUP(ROUND(D79*D73/1000000,0)/D73*1000000,0)</f>
        <v>1000</v>
      </c>
      <c r="H79" s="112" t="s">
        <v>431</v>
      </c>
      <c r="AB79" s="41"/>
    </row>
    <row r="80" spans="2:28" ht="12.9" customHeight="1" x14ac:dyDescent="0.25">
      <c r="B80" s="237"/>
      <c r="C80" s="173">
        <v>2</v>
      </c>
      <c r="D80" s="60">
        <v>1000</v>
      </c>
      <c r="E80" s="60" t="s">
        <v>151</v>
      </c>
      <c r="F80" s="177">
        <f>ROUNDDOWN(IF(D$75 &gt; 2,(G79/1000+ (1/IF(Config1_SystemMode = "System Deep Sleep", 2000, D$73)*1000)*15)*IF(E79="Enabled", D$76, 1),0), 2)</f>
        <v>0</v>
      </c>
      <c r="G80" s="112">
        <f>ROUNDUP(ROUND(D80*D73/1000000,0)/D73*1000000,0)</f>
        <v>1000</v>
      </c>
      <c r="H80" s="112" t="s">
        <v>432</v>
      </c>
      <c r="AB80" s="41"/>
    </row>
    <row r="81" spans="2:28" ht="12.9" customHeight="1" x14ac:dyDescent="0.25">
      <c r="B81" s="237"/>
      <c r="C81" s="173">
        <v>3</v>
      </c>
      <c r="D81" s="60">
        <v>1000</v>
      </c>
      <c r="E81" s="60" t="s">
        <v>151</v>
      </c>
      <c r="F81" s="177">
        <f>ROUNDDOWN(IF(D$75 &gt; 2,(G80/1000+ (1/IF(Config1_SystemMode = "System Deep Sleep", 2000, D$73)*1000)*15)*IF(E80="Enabled", D$76, 1),0), 2)</f>
        <v>0</v>
      </c>
      <c r="G81" s="112">
        <f>ROUNDUP(ROUND(D81*D73/1000000,0)/D73*1000000,0)</f>
        <v>1000</v>
      </c>
      <c r="H81" s="112" t="s">
        <v>433</v>
      </c>
      <c r="AB81" s="41"/>
    </row>
    <row r="82" spans="2:28" ht="12.9" customHeight="1" x14ac:dyDescent="0.25">
      <c r="B82" s="237"/>
      <c r="C82" s="173">
        <v>4</v>
      </c>
      <c r="D82" s="60">
        <v>1000</v>
      </c>
      <c r="E82" s="60" t="s">
        <v>151</v>
      </c>
      <c r="F82" s="177">
        <f>ROUNDDOWN(IF(D$75 &gt; 4,(G81/1000+ (1/IF(Config1_SystemMode = "System Deep Sleep", 2000, D$73)*1000)*15)*IF(E81="Enabled", D$76, 1),0), 2)</f>
        <v>0</v>
      </c>
      <c r="G82" s="112">
        <f>ROUNDUP(ROUND(D82*D73/1000000,0)/D73*1000000,0)</f>
        <v>1000</v>
      </c>
      <c r="H82" s="112" t="s">
        <v>434</v>
      </c>
      <c r="AB82" s="41"/>
    </row>
    <row r="83" spans="2:28" ht="12.9" customHeight="1" x14ac:dyDescent="0.25">
      <c r="B83" s="237"/>
      <c r="C83" s="173">
        <v>5</v>
      </c>
      <c r="D83" s="60">
        <v>1000</v>
      </c>
      <c r="E83" s="60" t="s">
        <v>151</v>
      </c>
      <c r="F83" s="177">
        <f>ROUNDDOWN(IF(D$75 &gt; 5,(G82/1000+ (1/IF(Config1_SystemMode = "System Deep Sleep", 2000, D$73)*1000)*15)*IF(E82="Enabled", D$76, 1),0), 2)</f>
        <v>0</v>
      </c>
      <c r="G83" s="112">
        <f>ROUNDUP(ROUND(D83*D73/1000000,0)/D73*1000000,0)</f>
        <v>1000</v>
      </c>
      <c r="H83" s="112" t="s">
        <v>435</v>
      </c>
      <c r="AB83" s="41"/>
    </row>
    <row r="84" spans="2:28" ht="12.9" customHeight="1" x14ac:dyDescent="0.25">
      <c r="B84" s="237"/>
      <c r="C84" s="173">
        <v>6</v>
      </c>
      <c r="D84" s="60">
        <v>1000</v>
      </c>
      <c r="E84" s="60" t="s">
        <v>151</v>
      </c>
      <c r="F84" s="177">
        <f>ROUNDDOWN(IF(D$75 &gt; 6,(G83/1000+ (1/IF(Config1_SystemMode = "System Deep Sleep", 2000, D$73)*1000)*15)*IF(E83="Enabled", D$76, 1),0), 2)</f>
        <v>0</v>
      </c>
      <c r="G84" s="112">
        <f>ROUNDUP(ROUND(D84*D73/1000000,0)/D73*1000000,0)</f>
        <v>1000</v>
      </c>
      <c r="H84" s="112" t="s">
        <v>436</v>
      </c>
      <c r="AB84" s="41"/>
    </row>
    <row r="85" spans="2:28" ht="12.9" customHeight="1" x14ac:dyDescent="0.25">
      <c r="B85" s="237"/>
      <c r="C85" s="173">
        <v>7</v>
      </c>
      <c r="D85" s="60">
        <v>1000</v>
      </c>
      <c r="E85" s="60" t="s">
        <v>151</v>
      </c>
      <c r="F85" s="177">
        <f>ROUNDDOWN(IF(D$75 &gt;7,(G84/1000+ (1/IF(Config1_SystemMode = "System Deep Sleep", 2000, D$73)*1000)*15)*IF(E84="Enabled", D$76, 1),0), 2)</f>
        <v>0</v>
      </c>
      <c r="G85" s="112">
        <f>ROUNDUP(ROUND(D85*D73/1000000,0)/D73*1000000,0)</f>
        <v>1000</v>
      </c>
      <c r="H85" s="112" t="s">
        <v>437</v>
      </c>
      <c r="AB85" s="41"/>
    </row>
    <row r="86" spans="2:28" ht="12.9" customHeight="1" x14ac:dyDescent="0.25">
      <c r="B86" s="237"/>
      <c r="C86" s="173">
        <v>8</v>
      </c>
      <c r="D86" s="60">
        <v>1000</v>
      </c>
      <c r="E86" s="60" t="s">
        <v>151</v>
      </c>
      <c r="F86" s="177">
        <f>ROUNDDOWN(IF(D$75 &gt; 8,(G85/1000+ (1/IF(Config1_SystemMode = "System Deep Sleep", 2000, D$73)*1000)*15)*IF(E85="Enabled", D$76, 1),0), 2)</f>
        <v>0</v>
      </c>
      <c r="G86" s="112">
        <f>ROUNDUP(ROUND(D86*D73/1000000,0)/D73*1000000,0)</f>
        <v>1000</v>
      </c>
      <c r="H86" s="112" t="s">
        <v>438</v>
      </c>
      <c r="AB86" s="41"/>
    </row>
    <row r="87" spans="2:28" ht="12.9" customHeight="1" x14ac:dyDescent="0.25">
      <c r="B87" s="237"/>
      <c r="C87" s="173">
        <v>9</v>
      </c>
      <c r="D87" s="60">
        <v>1000</v>
      </c>
      <c r="E87" s="60" t="s">
        <v>151</v>
      </c>
      <c r="F87" s="177">
        <f>ROUNDDOWN(IF(D$75 &gt; 9,(G86/1000+ (1/IF(Config1_SystemMode = "System Deep Sleep", 2000, D$73)*1000)*15)*IF(E86="Enabled", D$76, 1),0), 2)</f>
        <v>0</v>
      </c>
      <c r="G87" s="112">
        <f>ROUNDUP(ROUND(D87*D73/1000000,0)/D73*1000000,0)</f>
        <v>1000</v>
      </c>
      <c r="H87" s="112" t="s">
        <v>439</v>
      </c>
      <c r="AB87" s="41"/>
    </row>
    <row r="88" spans="2:28" ht="12.9" customHeight="1" x14ac:dyDescent="0.25">
      <c r="B88" s="237"/>
      <c r="C88" s="173">
        <v>10</v>
      </c>
      <c r="D88" s="60">
        <v>1000</v>
      </c>
      <c r="E88" s="60" t="s">
        <v>151</v>
      </c>
      <c r="F88" s="177">
        <f>ROUNDDOWN(IF(D$75 &gt; 10,(G87/1000+ (1/IF(Config1_SystemMode = "System Deep Sleep", 2000, D$73)*1000)*15)*IF(E87="Enabled", D$76, 1),0), 2)</f>
        <v>0</v>
      </c>
      <c r="G88" s="112">
        <f>ROUNDUP(ROUND(D88*D73/1000000,0)/D73*1000000,0)</f>
        <v>1000</v>
      </c>
      <c r="H88" s="112" t="s">
        <v>440</v>
      </c>
      <c r="AB88" s="41"/>
    </row>
    <row r="89" spans="2:28" ht="12.9" customHeight="1" x14ac:dyDescent="0.25">
      <c r="B89" s="237"/>
      <c r="C89" s="173">
        <v>11</v>
      </c>
      <c r="D89" s="60">
        <v>1000</v>
      </c>
      <c r="E89" s="60" t="s">
        <v>151</v>
      </c>
      <c r="F89" s="177">
        <f>ROUNDDOWN(IF(D$75 &gt; 11,(G88/1000+ (1/IF(Config1_SystemMode = "System Deep Sleep", 2000, D$73)*1000)*15)*IF(E88="Enabled", D$76, 1),0), 2)</f>
        <v>0</v>
      </c>
      <c r="G89" s="112">
        <f>ROUNDUP(ROUND(D89*D73/1000000,0)/D73*1000000,0)</f>
        <v>1000</v>
      </c>
      <c r="H89" s="112" t="s">
        <v>441</v>
      </c>
      <c r="AB89" s="41"/>
    </row>
    <row r="90" spans="2:28" ht="12.9" customHeight="1" x14ac:dyDescent="0.25">
      <c r="B90" s="237"/>
      <c r="C90" s="173">
        <v>12</v>
      </c>
      <c r="D90" s="60">
        <v>1000</v>
      </c>
      <c r="E90" s="60" t="s">
        <v>151</v>
      </c>
      <c r="F90" s="177">
        <f>ROUNDDOWN(IF(D$75 &gt; 12,(G89/1000+ (1/IF(Config1_SystemMode = "System Deep Sleep", 2000, D$73)*1000)*15)*IF(E89="Enabled", D$76, 1),0), 2)</f>
        <v>0</v>
      </c>
      <c r="G90" s="112">
        <f>ROUNDUP(ROUND(D90*D73/1000000,0)/D73*1000000,0)</f>
        <v>1000</v>
      </c>
      <c r="H90" s="112" t="s">
        <v>442</v>
      </c>
      <c r="AB90" s="41"/>
    </row>
    <row r="91" spans="2:28" ht="12.9" customHeight="1" x14ac:dyDescent="0.25">
      <c r="B91" s="237"/>
      <c r="C91" s="173">
        <v>13</v>
      </c>
      <c r="D91" s="60">
        <v>1000</v>
      </c>
      <c r="E91" s="60" t="s">
        <v>151</v>
      </c>
      <c r="F91" s="177">
        <f>ROUNDDOWN(IF(D$75 &gt; 13,(G90/1000+ (1/IF(Config1_SystemMode = "System Deep Sleep", 2000, D$73)*1000)*15)*IF(E90="Enabled", D$76, 1),0), 2)</f>
        <v>0</v>
      </c>
      <c r="G91" s="112">
        <f>ROUNDUP(ROUND(D91*D73/1000000,0)/D73*1000000,0)</f>
        <v>1000</v>
      </c>
      <c r="H91" s="112" t="s">
        <v>443</v>
      </c>
      <c r="AB91" s="41"/>
    </row>
    <row r="92" spans="2:28" ht="12.9" customHeight="1" x14ac:dyDescent="0.25">
      <c r="B92" s="237"/>
      <c r="C92" s="173">
        <v>14</v>
      </c>
      <c r="D92" s="60">
        <v>1000</v>
      </c>
      <c r="E92" s="60" t="s">
        <v>151</v>
      </c>
      <c r="F92" s="177">
        <f>ROUNDDOWN(IF(D$75 &gt; 14,(G91/1000+ (1/IF(Config1_SystemMode = "System Deep Sleep", 2000, D$73)*1000)*15)*IF(E91="Enabled", D$76, 1),0), 2)</f>
        <v>0</v>
      </c>
      <c r="G92" s="112">
        <f>ROUNDUP(ROUND(D92*D73/1000000,0)/D73*1000000,0)</f>
        <v>1000</v>
      </c>
      <c r="H92" s="112" t="s">
        <v>444</v>
      </c>
      <c r="AB92" s="41"/>
    </row>
    <row r="93" spans="2:28" ht="12.9" customHeight="1" x14ac:dyDescent="0.25">
      <c r="B93" s="237"/>
      <c r="C93" s="173">
        <v>15</v>
      </c>
      <c r="D93" s="60">
        <v>1000</v>
      </c>
      <c r="E93" s="60" t="s">
        <v>151</v>
      </c>
      <c r="F93" s="177">
        <f>ROUNDDOWN(IF(D$75 &gt; 15,(G92/1000+ (1/IF(Config1_SystemMode = "System Deep Sleep", 2000, D$73)*1000)*15)*IF(E92="Enabled", D$76, 1),0), 2)</f>
        <v>0</v>
      </c>
      <c r="G93" s="112">
        <f>ROUNDUP(ROUND(D93*D73/1000000,0)/D73*1000000,0)</f>
        <v>1000</v>
      </c>
      <c r="H93" s="112" t="s">
        <v>445</v>
      </c>
      <c r="AB93" s="41"/>
    </row>
    <row r="94" spans="2:28" ht="12.9" customHeight="1" x14ac:dyDescent="0.25">
      <c r="B94" s="237"/>
      <c r="C94" s="230" t="s">
        <v>448</v>
      </c>
      <c r="D94" s="231"/>
      <c r="E94" s="232"/>
      <c r="F94" s="178">
        <f>IF(I72=TRUE,SUM(F78:F93),0)</f>
        <v>0</v>
      </c>
      <c r="G94" s="122" t="s">
        <v>413</v>
      </c>
      <c r="H94" s="112"/>
      <c r="AB94" s="41"/>
    </row>
    <row r="95" spans="2:28" ht="12.9" customHeight="1" x14ac:dyDescent="0.25">
      <c r="B95" s="237"/>
      <c r="C95" s="230" t="s">
        <v>446</v>
      </c>
      <c r="D95" s="231"/>
      <c r="E95" s="232"/>
      <c r="F95" s="152">
        <f>(F94*D42+IF(Config1_SystemMode = "System Deep Sleep", D41,0))*IF(NOT(B71), 0, 1)</f>
        <v>0</v>
      </c>
      <c r="G95" s="122" t="s">
        <v>413</v>
      </c>
      <c r="H95" s="112"/>
      <c r="AB95" s="41"/>
    </row>
    <row r="96" spans="2:28" ht="12.9" customHeight="1" x14ac:dyDescent="0.25">
      <c r="B96" s="238"/>
      <c r="C96" s="182" t="s">
        <v>471</v>
      </c>
      <c r="D96" s="179"/>
      <c r="E96" s="180"/>
      <c r="F96" s="66">
        <f>IF(I72=FALSE,0,IF(B71, IF(AND(Config1_SystemMode = "System Deep Sleep", SelectedDevice = "PSOC 62 (256KB)"), Config1_SAR_DPSLP * F95*D74/1000, IF(Config1_SystemMode = "System Deep Sleep", 0, (IF(D72="System bandgap",Config1_SAR_Ped_SysGap,0)+IF(D72="Vdda",Config1_SAR_Ped_Vdda,0)+IF(D72="Vdda/2",Config1_SAR_Ped_Vdda2,0)+D73/18*Config1_SAR_Coef))), 0))</f>
        <v>0</v>
      </c>
      <c r="G96" s="197" t="s">
        <v>10</v>
      </c>
      <c r="H96" s="112"/>
      <c r="AB96" s="41"/>
    </row>
    <row r="97" spans="2:28" x14ac:dyDescent="0.25">
      <c r="B97" s="186" t="s">
        <v>452</v>
      </c>
      <c r="C97" s="188"/>
      <c r="D97" s="188"/>
      <c r="E97" s="188"/>
      <c r="F97" s="191"/>
      <c r="G97" s="190"/>
      <c r="H97" s="190"/>
      <c r="AB97" s="41"/>
    </row>
    <row r="98" spans="2:28" x14ac:dyDescent="0.25">
      <c r="B98" s="168"/>
      <c r="C98" s="122" t="s">
        <v>453</v>
      </c>
      <c r="D98" s="60" t="s">
        <v>457</v>
      </c>
      <c r="E98" s="54"/>
      <c r="F98" s="152"/>
      <c r="G98" s="122"/>
      <c r="H98" s="112"/>
      <c r="AB98" s="41"/>
    </row>
    <row r="99" spans="2:28" x14ac:dyDescent="0.25">
      <c r="B99" s="168"/>
      <c r="C99" s="122" t="s">
        <v>454</v>
      </c>
      <c r="D99" s="146" t="s">
        <v>458</v>
      </c>
      <c r="E99" s="54"/>
      <c r="F99" s="152"/>
      <c r="G99" s="122"/>
      <c r="H99" s="112" t="s">
        <v>456</v>
      </c>
      <c r="AB99" s="41"/>
    </row>
    <row r="100" spans="2:28" x14ac:dyDescent="0.25">
      <c r="B100" s="53" t="s">
        <v>54</v>
      </c>
      <c r="C100" s="53"/>
      <c r="D100" s="53"/>
      <c r="E100" s="53"/>
      <c r="F100" s="53"/>
      <c r="G100" s="53"/>
      <c r="H100" s="53"/>
      <c r="AB100" s="41"/>
    </row>
    <row r="101" spans="2:28" x14ac:dyDescent="0.25">
      <c r="B101" s="54"/>
      <c r="C101" s="54" t="s">
        <v>33</v>
      </c>
      <c r="D101" s="60" t="s">
        <v>28</v>
      </c>
      <c r="E101" s="54"/>
      <c r="F101" s="57">
        <f>IF(D101="Off",0,IF(D101="High",IF(D98="100nA",Config1_OpAmp_High_100nA,Config1_OpAmp_High_1uA),0)+IF(D101="Low",IF(D98="100nA",Config1_OpAmp_Low_100nA,Config1_OpAmp_Low_1uA),0)+IF(D101="Medium",IF(D98="100nA",Config1_OpAmp_Med_100nA,Config1_OpAmp_Med_1uA),0))* IF(AND(D99 = "Deep Sleep Clock", Config1_SystemMode = "System Deep Sleep", OR(IF(F69= 0, FALSE, TRUE), IF(F96 = 0, FALSE, TRUE))), MAX(F68, F95)* IF(B44, D47, (IF(B71, D74, 1)))/1000,1)</f>
        <v>0</v>
      </c>
      <c r="G101" s="185" t="s">
        <v>57</v>
      </c>
      <c r="H101" s="112" t="s">
        <v>73</v>
      </c>
      <c r="AB101" s="41"/>
    </row>
    <row r="102" spans="2:28" x14ac:dyDescent="0.25">
      <c r="B102" s="53" t="s">
        <v>55</v>
      </c>
      <c r="C102" s="53"/>
      <c r="D102" s="53"/>
      <c r="E102" s="53"/>
      <c r="F102" s="53"/>
      <c r="G102" s="53"/>
      <c r="H102" s="53"/>
      <c r="AB102" s="41"/>
    </row>
    <row r="103" spans="2:28" x14ac:dyDescent="0.25">
      <c r="B103" s="54"/>
      <c r="C103" s="54" t="s">
        <v>33</v>
      </c>
      <c r="D103" s="60" t="s">
        <v>28</v>
      </c>
      <c r="E103" s="54"/>
      <c r="F103" s="57">
        <f>IF(D103="Off",0,IF(D103="High",IF(D98="100nA",Config1_OpAmp_High_100nA,Config1_OpAmp_High_1uA),0)+IF(D103="Low",IF(D98="100nA",Config1_OpAmp_Low_100nA,Config1_OpAmp_Low_1uA),0)+IF(D103="Medium",IF(D98="100nA",Config1_OpAmp_Med_100nA,Config1_OpAmp_Med_1uA),0))* IF(AND(D99 = "Deep Sleep Clock", Config1_SystemMode = "System Deep Sleep", OR(IF(F69= 0, FALSE, TRUE), IF(F96 = 0, FALSE, TRUE))), MAX(F68, F95)* IF(B44, D47, (IF(B71, D74, 1)))/1000,1)</f>
        <v>0</v>
      </c>
      <c r="G103" s="185" t="s">
        <v>57</v>
      </c>
      <c r="H103" s="112" t="s">
        <v>72</v>
      </c>
      <c r="AB103" s="43"/>
    </row>
    <row r="104" spans="2:28" x14ac:dyDescent="0.25">
      <c r="B104" s="53" t="s">
        <v>52</v>
      </c>
      <c r="C104" s="53"/>
      <c r="D104" s="53"/>
      <c r="E104" s="53"/>
      <c r="F104" s="53"/>
      <c r="G104" s="53"/>
      <c r="H104" s="53"/>
      <c r="AB104" s="41"/>
    </row>
    <row r="105" spans="2:28" x14ac:dyDescent="0.25">
      <c r="B105" s="54"/>
      <c r="C105" s="54" t="s">
        <v>2</v>
      </c>
      <c r="D105" s="60" t="s">
        <v>28</v>
      </c>
      <c r="E105" s="54"/>
      <c r="F105" s="57">
        <f>IF(D105="Off",0,IF(D105="Fast/Normal",Config1_LP_Fast,IF(D105="Medium/Low Power",Config1_LP_Med,Config1_LP_Slow)))</f>
        <v>0</v>
      </c>
      <c r="G105" s="58" t="s">
        <v>57</v>
      </c>
      <c r="H105" s="59" t="s">
        <v>74</v>
      </c>
      <c r="AB105" s="41"/>
    </row>
    <row r="106" spans="2:28" x14ac:dyDescent="0.25">
      <c r="B106" s="53" t="s">
        <v>53</v>
      </c>
      <c r="C106" s="53"/>
      <c r="D106" s="53"/>
      <c r="E106" s="53"/>
      <c r="F106" s="53"/>
      <c r="G106" s="53"/>
      <c r="H106" s="53"/>
      <c r="AB106" s="41"/>
    </row>
    <row r="107" spans="2:28" x14ac:dyDescent="0.25">
      <c r="B107" s="54"/>
      <c r="C107" s="54" t="s">
        <v>2</v>
      </c>
      <c r="D107" s="60" t="s">
        <v>28</v>
      </c>
      <c r="E107" s="54"/>
      <c r="F107" s="57">
        <f>IF(D107="Off",0,IF(D107="Fast/Normal",Config1_LP_Fast,IF(D107="Medium/Low Power",Config1_LP_Med,Config1_LP_Slow)))</f>
        <v>0</v>
      </c>
      <c r="G107" s="58" t="s">
        <v>57</v>
      </c>
      <c r="H107" s="59" t="s">
        <v>75</v>
      </c>
      <c r="AB107" s="41"/>
    </row>
    <row r="108" spans="2:28" x14ac:dyDescent="0.25">
      <c r="B108" s="53" t="s">
        <v>86</v>
      </c>
      <c r="C108" s="53"/>
      <c r="D108" s="53"/>
      <c r="E108" s="53"/>
      <c r="F108" s="53"/>
      <c r="G108" s="53"/>
      <c r="H108" s="53"/>
      <c r="AB108" s="41"/>
    </row>
    <row r="109" spans="2:28" x14ac:dyDescent="0.25">
      <c r="B109" s="54"/>
      <c r="C109" s="55" t="s">
        <v>156</v>
      </c>
      <c r="D109" s="60">
        <v>0</v>
      </c>
      <c r="E109" s="54"/>
      <c r="F109" s="57">
        <f ca="1">IF(OR(Config1_SystemMode = "System LP", Config1_SystemMode = "System ULP"), D109*Config1_DAC_Ped, 0)</f>
        <v>0</v>
      </c>
      <c r="G109" s="58" t="s">
        <v>57</v>
      </c>
      <c r="H109" s="112" t="s">
        <v>211</v>
      </c>
      <c r="AB109" s="41"/>
    </row>
    <row r="110" spans="2:28" x14ac:dyDescent="0.25">
      <c r="B110" s="53" t="s">
        <v>179</v>
      </c>
      <c r="C110" s="53"/>
      <c r="D110" s="53"/>
      <c r="E110" s="53"/>
      <c r="F110" s="53"/>
      <c r="G110" s="53"/>
      <c r="H110" s="53"/>
      <c r="AB110" s="41"/>
    </row>
    <row r="111" spans="2:28" x14ac:dyDescent="0.25">
      <c r="B111" s="55"/>
      <c r="C111" s="55" t="s">
        <v>56</v>
      </c>
      <c r="D111" s="56">
        <v>0</v>
      </c>
      <c r="E111" s="55" t="s">
        <v>3</v>
      </c>
      <c r="F111" s="57">
        <f ca="1">IF(OR(Config1_SystemMode = "System LP", Config1_SystemMode = "System ULP"), D111*Config1_CapSense_Coef+Config1_CapSense_Ped*D111, 0)</f>
        <v>0</v>
      </c>
      <c r="G111" s="58" t="s">
        <v>57</v>
      </c>
      <c r="H111" s="112" t="s">
        <v>215</v>
      </c>
      <c r="AB111" s="41"/>
    </row>
    <row r="112" spans="2:28" s="1" customFormat="1" x14ac:dyDescent="0.25">
      <c r="B112" s="53" t="s">
        <v>180</v>
      </c>
      <c r="C112" s="53"/>
      <c r="D112" s="53"/>
      <c r="E112" s="53"/>
      <c r="F112" s="53"/>
      <c r="G112" s="53"/>
      <c r="H112" s="53"/>
      <c r="AB112" s="41"/>
    </row>
    <row r="113" spans="2:28" x14ac:dyDescent="0.25">
      <c r="B113" s="55"/>
      <c r="C113" s="55" t="s">
        <v>56</v>
      </c>
      <c r="D113" s="56">
        <v>0</v>
      </c>
      <c r="E113" s="55" t="s">
        <v>3</v>
      </c>
      <c r="F113" s="57">
        <f ca="1">IF(OR(Config1_SystemMode = "System LP", Config1_SystemMode = "System ULP"), D113*Config1_CapSense_Coef+Config1_CapSense_Ped*D113, 0)</f>
        <v>0</v>
      </c>
      <c r="G113" s="58" t="s">
        <v>57</v>
      </c>
      <c r="H113" s="112" t="s">
        <v>215</v>
      </c>
      <c r="AB113" s="41"/>
    </row>
    <row r="114" spans="2:28" s="1" customFormat="1" x14ac:dyDescent="0.25">
      <c r="B114" s="53" t="s">
        <v>152</v>
      </c>
      <c r="C114" s="53"/>
      <c r="D114" s="53"/>
      <c r="E114" s="53"/>
      <c r="F114" s="65">
        <f ca="1">(F69+F96+SUM(F101:F113))/1000</f>
        <v>0</v>
      </c>
      <c r="G114" s="53" t="s">
        <v>316</v>
      </c>
      <c r="H114" s="53"/>
      <c r="AB114" s="41"/>
    </row>
    <row r="115" spans="2:28" s="1" customFormat="1" x14ac:dyDescent="0.25">
      <c r="B115" s="48"/>
      <c r="C115" s="48"/>
      <c r="D115" s="48"/>
      <c r="E115" s="48"/>
      <c r="F115" s="48"/>
      <c r="G115" s="48"/>
      <c r="H115" s="50"/>
      <c r="AB115" s="41"/>
    </row>
    <row r="116" spans="2:28" s="1" customFormat="1" ht="15.6" x14ac:dyDescent="0.3">
      <c r="B116" s="225" t="s">
        <v>139</v>
      </c>
      <c r="C116" s="225"/>
      <c r="D116" s="225"/>
      <c r="E116" s="225"/>
      <c r="F116" s="225"/>
      <c r="G116" s="225"/>
      <c r="H116" s="225"/>
      <c r="AB116" s="41"/>
    </row>
    <row r="117" spans="2:28" s="1" customFormat="1" x14ac:dyDescent="0.25">
      <c r="B117" s="53" t="s">
        <v>68</v>
      </c>
      <c r="C117" s="53"/>
      <c r="D117" s="53"/>
      <c r="E117" s="53"/>
      <c r="F117" s="53"/>
      <c r="G117" s="53"/>
      <c r="H117" s="53"/>
      <c r="AB117" s="41"/>
    </row>
    <row r="118" spans="2:28" s="1" customFormat="1" x14ac:dyDescent="0.25">
      <c r="B118" s="151" t="b">
        <v>0</v>
      </c>
      <c r="C118" s="122" t="s">
        <v>333</v>
      </c>
      <c r="D118" s="149" t="s">
        <v>335</v>
      </c>
      <c r="E118" s="122"/>
      <c r="F118" s="122"/>
      <c r="G118" s="122"/>
      <c r="H118" s="112" t="s">
        <v>337</v>
      </c>
      <c r="AB118" s="41"/>
    </row>
    <row r="119" spans="2:28" x14ac:dyDescent="0.25">
      <c r="B119" s="140"/>
      <c r="C119" s="55" t="s">
        <v>63</v>
      </c>
      <c r="D119" s="56">
        <v>100</v>
      </c>
      <c r="E119" s="54" t="s">
        <v>3</v>
      </c>
      <c r="F119" s="66">
        <f>IF(AND(Config3_AllClocksOn,B118),IF(D118="Disabled",0,Config3_Tcpwm_EnPed*$D$28/100/(2-1/Config3_Tcpwm_Count))+IF(D118="Triggered",D119*IF($D$28=D119,Config3_Tcpwm_TrigPeriCoef,Config3_Tcpwm_TrigCoef),0),0)</f>
        <v>0</v>
      </c>
      <c r="G119" s="58" t="s">
        <v>57</v>
      </c>
      <c r="H119" s="112" t="s">
        <v>212</v>
      </c>
      <c r="AB119" s="41"/>
    </row>
    <row r="120" spans="2:28" x14ac:dyDescent="0.25">
      <c r="B120" s="140" t="b">
        <v>0</v>
      </c>
      <c r="C120" s="122" t="s">
        <v>338</v>
      </c>
      <c r="D120" s="149" t="s">
        <v>335</v>
      </c>
      <c r="E120" s="54"/>
      <c r="F120" s="152"/>
      <c r="G120" s="55"/>
      <c r="H120" s="112" t="s">
        <v>337</v>
      </c>
      <c r="AB120" s="41"/>
    </row>
    <row r="121" spans="2:28" x14ac:dyDescent="0.25">
      <c r="B121" s="140"/>
      <c r="C121" s="122" t="s">
        <v>65</v>
      </c>
      <c r="D121" s="56">
        <v>100</v>
      </c>
      <c r="E121" s="122" t="s">
        <v>3</v>
      </c>
      <c r="F121" s="66">
        <f>IF(AND(Config3_AllClocksOn,B120),IF(D120="Disabled",0,Config3_Tcpwm_EnPed*$D$28/100/(2-1/Config3_Tcpwm_Count))+IF(D120="Triggered",D121*IF($D$28=D121,Config3_Tcpwm_TrigPeriCoef,Config3_Tcpwm_TrigCoef),0),0)</f>
        <v>0</v>
      </c>
      <c r="G121" s="58" t="s">
        <v>57</v>
      </c>
      <c r="H121" s="112" t="s">
        <v>212</v>
      </c>
      <c r="AB121" s="41"/>
    </row>
    <row r="122" spans="2:28" s="1" customFormat="1" x14ac:dyDescent="0.25">
      <c r="B122" s="151" t="b">
        <v>0</v>
      </c>
      <c r="C122" s="122" t="s">
        <v>339</v>
      </c>
      <c r="D122" s="149" t="s">
        <v>335</v>
      </c>
      <c r="E122" s="122"/>
      <c r="F122" s="122"/>
      <c r="G122" s="122"/>
      <c r="H122" s="112" t="s">
        <v>337</v>
      </c>
      <c r="AB122" s="41"/>
    </row>
    <row r="123" spans="2:28" x14ac:dyDescent="0.25">
      <c r="B123" s="140"/>
      <c r="C123" s="122" t="s">
        <v>66</v>
      </c>
      <c r="D123" s="56">
        <v>100</v>
      </c>
      <c r="E123" s="54" t="s">
        <v>3</v>
      </c>
      <c r="F123" s="66">
        <f>IF(AND(Config3_AllClocksOn,B122),IF(D122="Disabled",0,Config3_Tcpwm_EnPed*$D$28/100/(2-1/Config3_Tcpwm_Count))+IF(D122="Triggered",D123*IF($D$28=D123,Config3_Tcpwm_TrigPeriCoef,Config3_Tcpwm_TrigCoef),0),0)</f>
        <v>0</v>
      </c>
      <c r="G123" s="58" t="s">
        <v>57</v>
      </c>
      <c r="H123" s="112" t="s">
        <v>212</v>
      </c>
      <c r="AB123" s="41"/>
    </row>
    <row r="124" spans="2:28" x14ac:dyDescent="0.25">
      <c r="B124" s="140" t="b">
        <v>0</v>
      </c>
      <c r="C124" s="122" t="s">
        <v>340</v>
      </c>
      <c r="D124" s="149" t="s">
        <v>335</v>
      </c>
      <c r="E124" s="54"/>
      <c r="F124" s="152"/>
      <c r="G124" s="55"/>
      <c r="H124" s="112" t="s">
        <v>337</v>
      </c>
      <c r="AB124" s="41"/>
    </row>
    <row r="125" spans="2:28" x14ac:dyDescent="0.25">
      <c r="B125" s="140"/>
      <c r="C125" s="122" t="s">
        <v>67</v>
      </c>
      <c r="D125" s="56">
        <v>100</v>
      </c>
      <c r="E125" s="122" t="s">
        <v>3</v>
      </c>
      <c r="F125" s="66">
        <f>IF(AND(Config3_AllClocksOn,B124),IF(D124="Disabled",0,Config3_Tcpwm_EnPed*$D$28/100/(2-1/Config3_Tcpwm_Count))+IF(D124="Triggered",D125*IF($D$28=D125,Config3_Tcpwm_TrigPeriCoef,Config3_Tcpwm_TrigCoef),0),0)</f>
        <v>0</v>
      </c>
      <c r="G125" s="58" t="s">
        <v>57</v>
      </c>
      <c r="H125" s="112" t="s">
        <v>212</v>
      </c>
      <c r="AB125" s="41"/>
    </row>
    <row r="126" spans="2:28" s="1" customFormat="1" x14ac:dyDescent="0.25">
      <c r="B126" s="151" t="b">
        <v>0</v>
      </c>
      <c r="C126" s="122" t="s">
        <v>341</v>
      </c>
      <c r="D126" s="149" t="s">
        <v>335</v>
      </c>
      <c r="E126" s="122"/>
      <c r="F126" s="122"/>
      <c r="G126" s="122"/>
      <c r="H126" s="112" t="s">
        <v>337</v>
      </c>
      <c r="AB126" s="41"/>
    </row>
    <row r="127" spans="2:28" x14ac:dyDescent="0.25">
      <c r="B127" s="140"/>
      <c r="C127" s="122" t="s">
        <v>145</v>
      </c>
      <c r="D127" s="56">
        <v>100</v>
      </c>
      <c r="E127" s="54" t="s">
        <v>3</v>
      </c>
      <c r="F127" s="66">
        <f>IF(AND(Config3_AllClocksOn,B126),IF(D126="Disabled",0,Config3_Tcpwm_EnPed*$D$28/100/(2-1/Config3_Tcpwm_Count))+IF(D126="Triggered",D127*IF($D$28=D127,Config3_Tcpwm_TrigPeriCoef,Config3_Tcpwm_TrigCoef),0),0)</f>
        <v>0</v>
      </c>
      <c r="G127" s="58" t="s">
        <v>57</v>
      </c>
      <c r="H127" s="112" t="s">
        <v>212</v>
      </c>
      <c r="AB127" s="41"/>
    </row>
    <row r="128" spans="2:28" x14ac:dyDescent="0.25">
      <c r="B128" s="140" t="b">
        <v>0</v>
      </c>
      <c r="C128" s="122" t="s">
        <v>342</v>
      </c>
      <c r="D128" s="149" t="s">
        <v>335</v>
      </c>
      <c r="E128" s="54"/>
      <c r="F128" s="152"/>
      <c r="G128" s="55"/>
      <c r="H128" s="112" t="s">
        <v>337</v>
      </c>
      <c r="AB128" s="41"/>
    </row>
    <row r="129" spans="2:28" x14ac:dyDescent="0.25">
      <c r="B129" s="140"/>
      <c r="C129" s="122" t="s">
        <v>146</v>
      </c>
      <c r="D129" s="56">
        <v>100</v>
      </c>
      <c r="E129" s="122" t="s">
        <v>3</v>
      </c>
      <c r="F129" s="66">
        <f>IF(AND(Config3_AllClocksOn,B128),IF(D128="Disabled",0,Config3_Tcpwm_EnPed*$D$28/100/(2-1/Config3_Tcpwm_Count))+IF(D128="Triggered",D129*IF($D$28=D129,Config3_Tcpwm_TrigPeriCoef,Config3_Tcpwm_TrigCoef),0),0)</f>
        <v>0</v>
      </c>
      <c r="G129" s="58" t="s">
        <v>57</v>
      </c>
      <c r="H129" s="112" t="s">
        <v>212</v>
      </c>
      <c r="AB129" s="41"/>
    </row>
    <row r="130" spans="2:28" s="1" customFormat="1" x14ac:dyDescent="0.25">
      <c r="B130" s="151" t="b">
        <v>0</v>
      </c>
      <c r="C130" s="122" t="s">
        <v>343</v>
      </c>
      <c r="D130" s="149" t="s">
        <v>335</v>
      </c>
      <c r="E130" s="122"/>
      <c r="F130" s="122"/>
      <c r="G130" s="122"/>
      <c r="H130" s="112" t="s">
        <v>337</v>
      </c>
      <c r="AB130" s="41"/>
    </row>
    <row r="131" spans="2:28" x14ac:dyDescent="0.25">
      <c r="B131" s="140"/>
      <c r="C131" s="122" t="s">
        <v>147</v>
      </c>
      <c r="D131" s="56">
        <v>100</v>
      </c>
      <c r="E131" s="54" t="s">
        <v>3</v>
      </c>
      <c r="F131" s="66">
        <f>IF(AND(Config3_AllClocksOn,B130),IF(D130="Disabled",0,Config3_Tcpwm_EnPed*$D$28/100/(2-1/Config3_Tcpwm_Count))+IF(D130="Triggered",D131*IF($D$28=D131,Config3_Tcpwm_TrigPeriCoef,Config3_Tcpwm_TrigCoef),0),0)</f>
        <v>0</v>
      </c>
      <c r="G131" s="58" t="s">
        <v>57</v>
      </c>
      <c r="H131" s="112" t="s">
        <v>212</v>
      </c>
      <c r="AB131" s="41"/>
    </row>
    <row r="132" spans="2:28" x14ac:dyDescent="0.25">
      <c r="B132" s="140" t="b">
        <v>0</v>
      </c>
      <c r="C132" s="122" t="s">
        <v>344</v>
      </c>
      <c r="D132" s="149" t="s">
        <v>335</v>
      </c>
      <c r="E132" s="54"/>
      <c r="F132" s="152"/>
      <c r="G132" s="55"/>
      <c r="H132" s="112" t="s">
        <v>337</v>
      </c>
      <c r="AB132" s="41"/>
    </row>
    <row r="133" spans="2:28" x14ac:dyDescent="0.25">
      <c r="B133" s="140"/>
      <c r="C133" s="122" t="s">
        <v>148</v>
      </c>
      <c r="D133" s="56">
        <v>100</v>
      </c>
      <c r="E133" s="122" t="s">
        <v>3</v>
      </c>
      <c r="F133" s="66">
        <f>IF(AND(Config3_AllClocksOn,B132),IF(D132="Disabled",0,Config3_Tcpwm_EnPed*$D$28/100/(2-1/Config3_Tcpwm_Count))+IF(D132="Triggered",D133*IF($D$28=D133,Config3_Tcpwm_TrigPeriCoef,Config3_Tcpwm_TrigCoef),0),0)</f>
        <v>0</v>
      </c>
      <c r="G133" s="58" t="s">
        <v>57</v>
      </c>
      <c r="H133" s="112" t="s">
        <v>212</v>
      </c>
      <c r="AB133" s="41"/>
    </row>
    <row r="134" spans="2:28" s="1" customFormat="1" hidden="1" outlineLevel="1" x14ac:dyDescent="0.25">
      <c r="B134" s="151" t="b">
        <v>0</v>
      </c>
      <c r="C134" s="122" t="s">
        <v>345</v>
      </c>
      <c r="D134" s="149" t="s">
        <v>335</v>
      </c>
      <c r="E134" s="122"/>
      <c r="F134" s="122"/>
      <c r="G134" s="122"/>
      <c r="H134" s="112" t="s">
        <v>337</v>
      </c>
      <c r="AB134" s="41"/>
    </row>
    <row r="135" spans="2:28" hidden="1" outlineLevel="1" x14ac:dyDescent="0.25">
      <c r="B135" s="140"/>
      <c r="C135" s="122" t="s">
        <v>270</v>
      </c>
      <c r="D135" s="56">
        <v>100</v>
      </c>
      <c r="E135" s="54" t="s">
        <v>3</v>
      </c>
      <c r="F135" s="66">
        <f>IF(AND(Config3_AllClocksOn,B134),IF(D134="Disabled",0,Config3_Tcpwm_EnPed*$D$28/100/(2-1/Config3_Tcpwm_Count))+IF(D134="Triggered",D135*IF($D$28=D135,Config3_Tcpwm_TrigPeriCoef,Config3_Tcpwm_TrigCoef),0),0)</f>
        <v>0</v>
      </c>
      <c r="G135" s="58" t="s">
        <v>57</v>
      </c>
      <c r="H135" s="112" t="s">
        <v>212</v>
      </c>
      <c r="AB135" s="41"/>
    </row>
    <row r="136" spans="2:28" hidden="1" outlineLevel="1" x14ac:dyDescent="0.25">
      <c r="B136" s="140" t="b">
        <v>0</v>
      </c>
      <c r="C136" s="122" t="s">
        <v>346</v>
      </c>
      <c r="D136" s="149" t="s">
        <v>335</v>
      </c>
      <c r="E136" s="54"/>
      <c r="F136" s="152"/>
      <c r="G136" s="55"/>
      <c r="H136" s="112" t="s">
        <v>337</v>
      </c>
      <c r="AB136" s="41"/>
    </row>
    <row r="137" spans="2:28" hidden="1" outlineLevel="1" x14ac:dyDescent="0.25">
      <c r="B137" s="140"/>
      <c r="C137" s="122" t="s">
        <v>271</v>
      </c>
      <c r="D137" s="56">
        <v>100</v>
      </c>
      <c r="E137" s="122" t="s">
        <v>3</v>
      </c>
      <c r="F137" s="66">
        <f>IF(AND(Config3_AllClocksOn,B136),IF(D136="Disabled",0,Config3_Tcpwm_EnPed*$D$28/100/(2-1/Config3_Tcpwm_Count))+IF(D136="Triggered",D137*IF($D$28=D137,Config3_Tcpwm_TrigPeriCoef,Config3_Tcpwm_TrigCoef),0),0)</f>
        <v>0</v>
      </c>
      <c r="G137" s="58" t="s">
        <v>57</v>
      </c>
      <c r="H137" s="112" t="s">
        <v>212</v>
      </c>
      <c r="AB137" s="41"/>
    </row>
    <row r="138" spans="2:28" s="1" customFormat="1" hidden="1" outlineLevel="1" x14ac:dyDescent="0.25">
      <c r="B138" s="151" t="b">
        <v>0</v>
      </c>
      <c r="C138" s="122" t="s">
        <v>347</v>
      </c>
      <c r="D138" s="149" t="s">
        <v>335</v>
      </c>
      <c r="E138" s="122"/>
      <c r="F138" s="122"/>
      <c r="G138" s="122"/>
      <c r="H138" s="112" t="s">
        <v>337</v>
      </c>
      <c r="AB138" s="41"/>
    </row>
    <row r="139" spans="2:28" hidden="1" outlineLevel="1" x14ac:dyDescent="0.25">
      <c r="B139" s="140"/>
      <c r="C139" s="122" t="s">
        <v>272</v>
      </c>
      <c r="D139" s="56">
        <v>100</v>
      </c>
      <c r="E139" s="54" t="s">
        <v>3</v>
      </c>
      <c r="F139" s="66">
        <f>IF(AND(Config3_AllClocksOn,B138),IF(D138="Disabled",0,Config3_Tcpwm_EnPed*$D$28/100/(2-1/Config3_Tcpwm_Count))+IF(D138="Triggered",D139*IF($D$28=D139,Config3_Tcpwm_TrigPeriCoef,Config3_Tcpwm_TrigCoef),0),0)</f>
        <v>0</v>
      </c>
      <c r="G139" s="58" t="s">
        <v>57</v>
      </c>
      <c r="H139" s="112" t="s">
        <v>212</v>
      </c>
      <c r="AB139" s="41"/>
    </row>
    <row r="140" spans="2:28" hidden="1" outlineLevel="1" x14ac:dyDescent="0.25">
      <c r="B140" s="140" t="b">
        <v>0</v>
      </c>
      <c r="C140" s="122" t="s">
        <v>348</v>
      </c>
      <c r="D140" s="149" t="s">
        <v>335</v>
      </c>
      <c r="E140" s="54"/>
      <c r="F140" s="152"/>
      <c r="G140" s="55"/>
      <c r="H140" s="112" t="s">
        <v>337</v>
      </c>
      <c r="AB140" s="41"/>
    </row>
    <row r="141" spans="2:28" hidden="1" outlineLevel="1" x14ac:dyDescent="0.25">
      <c r="B141" s="140"/>
      <c r="C141" s="122" t="s">
        <v>273</v>
      </c>
      <c r="D141" s="56">
        <v>100</v>
      </c>
      <c r="E141" s="122" t="s">
        <v>3</v>
      </c>
      <c r="F141" s="66">
        <f>IF(AND(Config3_AllClocksOn,B140),IF(D140="Disabled",0,Config3_Tcpwm_EnPed*$D$28/100/(2-1/Config3_Tcpwm_Count))+IF(D140="Triggered",D141*IF($D$28=D141,Config3_Tcpwm_TrigPeriCoef,Config3_Tcpwm_TrigCoef),0),0)</f>
        <v>0</v>
      </c>
      <c r="G141" s="58" t="s">
        <v>57</v>
      </c>
      <c r="H141" s="112" t="s">
        <v>212</v>
      </c>
      <c r="AB141" s="41"/>
    </row>
    <row r="142" spans="2:28" s="1" customFormat="1" hidden="1" outlineLevel="1" x14ac:dyDescent="0.25">
      <c r="B142" s="151" t="b">
        <v>0</v>
      </c>
      <c r="C142" s="122" t="s">
        <v>349</v>
      </c>
      <c r="D142" s="149" t="s">
        <v>335</v>
      </c>
      <c r="E142" s="122"/>
      <c r="F142" s="122"/>
      <c r="G142" s="122"/>
      <c r="H142" s="112" t="s">
        <v>337</v>
      </c>
      <c r="AB142" s="41"/>
    </row>
    <row r="143" spans="2:28" hidden="1" outlineLevel="1" x14ac:dyDescent="0.25">
      <c r="B143" s="140"/>
      <c r="C143" s="122" t="s">
        <v>274</v>
      </c>
      <c r="D143" s="56">
        <v>100</v>
      </c>
      <c r="E143" s="54" t="s">
        <v>3</v>
      </c>
      <c r="F143" s="66">
        <f>IF(AND(Config3_AllClocksOn,B142),IF(D142="Disabled",0,Config3_Tcpwm_EnPed*$D$28/100/(2-1/Config3_Tcpwm_Count))+IF(D142="Triggered",D143*IF($D$28=D143,Config3_Tcpwm_TrigPeriCoef,Config3_Tcpwm_TrigCoef),0),0)</f>
        <v>0</v>
      </c>
      <c r="G143" s="58" t="s">
        <v>57</v>
      </c>
      <c r="H143" s="112" t="s">
        <v>212</v>
      </c>
      <c r="AB143" s="41"/>
    </row>
    <row r="144" spans="2:28" hidden="1" outlineLevel="1" x14ac:dyDescent="0.25">
      <c r="B144" s="140" t="b">
        <v>0</v>
      </c>
      <c r="C144" s="122" t="s">
        <v>350</v>
      </c>
      <c r="D144" s="149" t="s">
        <v>335</v>
      </c>
      <c r="E144" s="54"/>
      <c r="F144" s="152"/>
      <c r="G144" s="55"/>
      <c r="H144" s="112" t="s">
        <v>337</v>
      </c>
      <c r="AB144" s="41"/>
    </row>
    <row r="145" spans="2:28" hidden="1" outlineLevel="1" x14ac:dyDescent="0.25">
      <c r="B145" s="140"/>
      <c r="C145" s="122" t="s">
        <v>275</v>
      </c>
      <c r="D145" s="56">
        <v>100</v>
      </c>
      <c r="E145" s="122" t="s">
        <v>3</v>
      </c>
      <c r="F145" s="66">
        <f>IF(AND(Config3_AllClocksOn,B144),IF(D144="Disabled",0,Config3_Tcpwm_EnPed*$D$28/100/(2-1/Config3_Tcpwm_Count))+IF(D144="Triggered",D145*IF($D$28=D145,Config3_Tcpwm_TrigPeriCoef,Config3_Tcpwm_TrigCoef),0),0)</f>
        <v>0</v>
      </c>
      <c r="G145" s="58" t="s">
        <v>57</v>
      </c>
      <c r="H145" s="112" t="s">
        <v>212</v>
      </c>
      <c r="AB145" s="41"/>
    </row>
    <row r="146" spans="2:28" s="1" customFormat="1" hidden="1" outlineLevel="1" x14ac:dyDescent="0.25">
      <c r="B146" s="151" t="b">
        <v>0</v>
      </c>
      <c r="C146" s="122" t="s">
        <v>351</v>
      </c>
      <c r="D146" s="149" t="s">
        <v>335</v>
      </c>
      <c r="E146" s="122"/>
      <c r="F146" s="122"/>
      <c r="G146" s="122"/>
      <c r="H146" s="112" t="s">
        <v>337</v>
      </c>
      <c r="AB146" s="41"/>
    </row>
    <row r="147" spans="2:28" hidden="1" outlineLevel="1" x14ac:dyDescent="0.25">
      <c r="B147" s="140"/>
      <c r="C147" s="122" t="s">
        <v>276</v>
      </c>
      <c r="D147" s="56">
        <v>100</v>
      </c>
      <c r="E147" s="54" t="s">
        <v>3</v>
      </c>
      <c r="F147" s="66">
        <f>IF(AND(Config3_AllClocksOn,B146),IF(D146="Disabled",0,Config3_Tcpwm_EnPed*$D$28/100/(2-1/Config3_Tcpwm_Count))+IF(D146="Triggered",D147*IF($D$28=D147,Config3_Tcpwm_TrigPeriCoef,Config3_Tcpwm_TrigCoef),0),0)</f>
        <v>0</v>
      </c>
      <c r="G147" s="58" t="s">
        <v>57</v>
      </c>
      <c r="H147" s="112" t="s">
        <v>212</v>
      </c>
      <c r="AB147" s="41"/>
    </row>
    <row r="148" spans="2:28" hidden="1" outlineLevel="1" x14ac:dyDescent="0.25">
      <c r="B148" s="140" t="b">
        <v>0</v>
      </c>
      <c r="C148" s="122" t="s">
        <v>352</v>
      </c>
      <c r="D148" s="149" t="s">
        <v>335</v>
      </c>
      <c r="E148" s="54"/>
      <c r="F148" s="152"/>
      <c r="G148" s="55"/>
      <c r="H148" s="112" t="s">
        <v>337</v>
      </c>
      <c r="AB148" s="41"/>
    </row>
    <row r="149" spans="2:28" hidden="1" outlineLevel="1" x14ac:dyDescent="0.25">
      <c r="B149" s="140"/>
      <c r="C149" s="122" t="s">
        <v>277</v>
      </c>
      <c r="D149" s="56">
        <v>100</v>
      </c>
      <c r="E149" s="122" t="s">
        <v>3</v>
      </c>
      <c r="F149" s="66">
        <f>IF(AND(Config3_AllClocksOn,B148),IF(D148="Disabled",0,Config3_Tcpwm_EnPed*$D$28/100/(2-1/Config3_Tcpwm_Count))+IF(D148="Triggered",D149*IF($D$28=D149,Config3_Tcpwm_TrigPeriCoef,Config3_Tcpwm_TrigCoef),0),0)</f>
        <v>0</v>
      </c>
      <c r="G149" s="58" t="s">
        <v>57</v>
      </c>
      <c r="H149" s="112" t="s">
        <v>212</v>
      </c>
      <c r="AB149" s="41"/>
    </row>
    <row r="150" spans="2:28" s="1" customFormat="1" hidden="1" outlineLevel="1" x14ac:dyDescent="0.25">
      <c r="B150" s="151" t="b">
        <v>0</v>
      </c>
      <c r="C150" s="122" t="s">
        <v>353</v>
      </c>
      <c r="D150" s="149" t="s">
        <v>335</v>
      </c>
      <c r="E150" s="122"/>
      <c r="F150" s="122"/>
      <c r="G150" s="122"/>
      <c r="H150" s="112" t="s">
        <v>337</v>
      </c>
      <c r="AB150" s="41"/>
    </row>
    <row r="151" spans="2:28" hidden="1" outlineLevel="1" x14ac:dyDescent="0.25">
      <c r="B151" s="140"/>
      <c r="C151" s="122" t="s">
        <v>278</v>
      </c>
      <c r="D151" s="56">
        <v>100</v>
      </c>
      <c r="E151" s="54" t="s">
        <v>3</v>
      </c>
      <c r="F151" s="66">
        <f>IF(AND(Config3_AllClocksOn,B150),IF(D150="Disabled",0,Config3_Tcpwm_EnPed*$D$28/100/(2-1/Config3_Tcpwm_Count))+IF(D150="Triggered",D151*IF($D$28=D151,Config3_Tcpwm_TrigPeriCoef,Config3_Tcpwm_TrigCoef),0),0)</f>
        <v>0</v>
      </c>
      <c r="G151" s="58" t="s">
        <v>57</v>
      </c>
      <c r="H151" s="112" t="s">
        <v>212</v>
      </c>
      <c r="AB151" s="41"/>
    </row>
    <row r="152" spans="2:28" hidden="1" outlineLevel="1" x14ac:dyDescent="0.25">
      <c r="B152" s="140" t="b">
        <v>0</v>
      </c>
      <c r="C152" s="122" t="s">
        <v>354</v>
      </c>
      <c r="D152" s="149" t="s">
        <v>335</v>
      </c>
      <c r="E152" s="54"/>
      <c r="F152" s="152"/>
      <c r="G152" s="55"/>
      <c r="H152" s="112" t="s">
        <v>337</v>
      </c>
      <c r="AB152" s="41"/>
    </row>
    <row r="153" spans="2:28" hidden="1" outlineLevel="1" x14ac:dyDescent="0.25">
      <c r="B153" s="140"/>
      <c r="C153" s="122" t="s">
        <v>279</v>
      </c>
      <c r="D153" s="56">
        <v>100</v>
      </c>
      <c r="E153" s="122" t="s">
        <v>3</v>
      </c>
      <c r="F153" s="66">
        <f>IF(AND(Config3_AllClocksOn,B152),IF(D152="Disabled",0,Config3_Tcpwm_EnPed*$D$28/100/(2-1/Config3_Tcpwm_Count))+IF(D152="Triggered",D153*IF($D$28=D153,Config3_Tcpwm_TrigPeriCoef,Config3_Tcpwm_TrigCoef),0),0)</f>
        <v>0</v>
      </c>
      <c r="G153" s="58" t="s">
        <v>57</v>
      </c>
      <c r="H153" s="112" t="s">
        <v>212</v>
      </c>
      <c r="AB153" s="41"/>
    </row>
    <row r="154" spans="2:28" s="1" customFormat="1" hidden="1" outlineLevel="1" x14ac:dyDescent="0.25">
      <c r="B154" s="151" t="b">
        <v>0</v>
      </c>
      <c r="C154" s="122" t="s">
        <v>355</v>
      </c>
      <c r="D154" s="149" t="s">
        <v>335</v>
      </c>
      <c r="E154" s="122"/>
      <c r="F154" s="122"/>
      <c r="G154" s="122"/>
      <c r="H154" s="112" t="s">
        <v>337</v>
      </c>
      <c r="AB154" s="41"/>
    </row>
    <row r="155" spans="2:28" hidden="1" outlineLevel="1" x14ac:dyDescent="0.25">
      <c r="B155" s="140"/>
      <c r="C155" s="122" t="s">
        <v>280</v>
      </c>
      <c r="D155" s="56">
        <v>100</v>
      </c>
      <c r="E155" s="54" t="s">
        <v>3</v>
      </c>
      <c r="F155" s="66">
        <f>IF(AND(Config3_AllClocksOn,B154),IF(D154="Disabled",0,Config3_Tcpwm_EnPed*$D$28/100/(2-1/Config3_Tcpwm_Count))+IF(D154="Triggered",D155*IF($D$28=D155,Config3_Tcpwm_TrigPeriCoef,Config3_Tcpwm_TrigCoef),0),0)</f>
        <v>0</v>
      </c>
      <c r="G155" s="58" t="s">
        <v>57</v>
      </c>
      <c r="H155" s="112" t="s">
        <v>212</v>
      </c>
      <c r="AB155" s="41"/>
    </row>
    <row r="156" spans="2:28" hidden="1" outlineLevel="1" x14ac:dyDescent="0.25">
      <c r="B156" s="140" t="b">
        <v>0</v>
      </c>
      <c r="C156" s="122" t="s">
        <v>356</v>
      </c>
      <c r="D156" s="149" t="s">
        <v>335</v>
      </c>
      <c r="E156" s="54"/>
      <c r="F156" s="152"/>
      <c r="G156" s="55"/>
      <c r="H156" s="112" t="s">
        <v>337</v>
      </c>
      <c r="AB156" s="41"/>
    </row>
    <row r="157" spans="2:28" hidden="1" outlineLevel="1" x14ac:dyDescent="0.25">
      <c r="B157" s="140"/>
      <c r="C157" s="122" t="s">
        <v>281</v>
      </c>
      <c r="D157" s="56">
        <v>100</v>
      </c>
      <c r="E157" s="122" t="s">
        <v>3</v>
      </c>
      <c r="F157" s="66">
        <f>IF(AND(Config3_AllClocksOn,B156),IF(D156="Disabled",0,Config3_Tcpwm_EnPed*$D$28/100/(2-1/Config3_Tcpwm_Count))+IF(D156="Triggered",D157*IF($D$28=D157,Config3_Tcpwm_TrigPeriCoef,Config3_Tcpwm_TrigCoef),0),0)</f>
        <v>0</v>
      </c>
      <c r="G157" s="58" t="s">
        <v>57</v>
      </c>
      <c r="H157" s="112" t="s">
        <v>212</v>
      </c>
      <c r="AB157" s="41"/>
    </row>
    <row r="158" spans="2:28" s="1" customFormat="1" hidden="1" outlineLevel="1" x14ac:dyDescent="0.25">
      <c r="B158" s="151" t="b">
        <v>0</v>
      </c>
      <c r="C158" s="122" t="s">
        <v>357</v>
      </c>
      <c r="D158" s="149" t="s">
        <v>335</v>
      </c>
      <c r="E158" s="122"/>
      <c r="F158" s="122"/>
      <c r="G158" s="122"/>
      <c r="H158" s="112" t="s">
        <v>337</v>
      </c>
      <c r="AB158" s="41"/>
    </row>
    <row r="159" spans="2:28" hidden="1" outlineLevel="1" x14ac:dyDescent="0.25">
      <c r="B159" s="140"/>
      <c r="C159" s="122" t="s">
        <v>282</v>
      </c>
      <c r="D159" s="56">
        <v>100</v>
      </c>
      <c r="E159" s="54" t="s">
        <v>3</v>
      </c>
      <c r="F159" s="66">
        <f>IF(AND(Config3_AllClocksOn,B158),IF(D158="Disabled",0,Config3_Tcpwm_EnPed*$D$28/100/(2-1/Config3_Tcpwm_Count))+IF(D158="Triggered",D159*IF($D$28=D159,Config3_Tcpwm_TrigPeriCoef,Config3_Tcpwm_TrigCoef),0),0)</f>
        <v>0</v>
      </c>
      <c r="G159" s="58" t="s">
        <v>57</v>
      </c>
      <c r="H159" s="112" t="s">
        <v>212</v>
      </c>
      <c r="AB159" s="41"/>
    </row>
    <row r="160" spans="2:28" hidden="1" outlineLevel="1" x14ac:dyDescent="0.25">
      <c r="B160" s="140" t="b">
        <v>0</v>
      </c>
      <c r="C160" s="122" t="s">
        <v>358</v>
      </c>
      <c r="D160" s="149" t="s">
        <v>335</v>
      </c>
      <c r="E160" s="54"/>
      <c r="F160" s="152"/>
      <c r="G160" s="55"/>
      <c r="H160" s="112" t="s">
        <v>337</v>
      </c>
      <c r="AB160" s="41"/>
    </row>
    <row r="161" spans="2:28" hidden="1" outlineLevel="1" x14ac:dyDescent="0.25">
      <c r="B161" s="140"/>
      <c r="C161" s="122" t="s">
        <v>283</v>
      </c>
      <c r="D161" s="56">
        <v>100</v>
      </c>
      <c r="E161" s="122" t="s">
        <v>3</v>
      </c>
      <c r="F161" s="66">
        <f>IF(AND(Config3_AllClocksOn,B160),IF(D160="Disabled",0,Config3_Tcpwm_EnPed*$D$28/100/(2-1/Config3_Tcpwm_Count))+IF(D160="Triggered",D161*IF($D$28=D161,Config3_Tcpwm_TrigPeriCoef,Config3_Tcpwm_TrigCoef),0),0)</f>
        <v>0</v>
      </c>
      <c r="G161" s="58" t="s">
        <v>57</v>
      </c>
      <c r="H161" s="112" t="s">
        <v>212</v>
      </c>
      <c r="AB161" s="41"/>
    </row>
    <row r="162" spans="2:28" s="1" customFormat="1" hidden="1" outlineLevel="1" x14ac:dyDescent="0.25">
      <c r="B162" s="151" t="b">
        <v>0</v>
      </c>
      <c r="C162" s="122" t="s">
        <v>359</v>
      </c>
      <c r="D162" s="149" t="s">
        <v>335</v>
      </c>
      <c r="E162" s="122"/>
      <c r="F162" s="122"/>
      <c r="G162" s="122"/>
      <c r="H162" s="112" t="s">
        <v>337</v>
      </c>
      <c r="AB162" s="41"/>
    </row>
    <row r="163" spans="2:28" hidden="1" outlineLevel="1" x14ac:dyDescent="0.25">
      <c r="B163" s="140"/>
      <c r="C163" s="122" t="s">
        <v>284</v>
      </c>
      <c r="D163" s="56">
        <v>100</v>
      </c>
      <c r="E163" s="54" t="s">
        <v>3</v>
      </c>
      <c r="F163" s="66">
        <f>IF(AND(Config3_AllClocksOn,B162),IF(D162="Disabled",0,Config3_Tcpwm_EnPed*$D$28/100/(2-1/Config3_Tcpwm_Count))+IF(D162="Triggered",D163*IF($D$28=D163,Config3_Tcpwm_TrigPeriCoef,Config3_Tcpwm_TrigCoef),0),0)</f>
        <v>0</v>
      </c>
      <c r="G163" s="58" t="s">
        <v>57</v>
      </c>
      <c r="H163" s="112" t="s">
        <v>212</v>
      </c>
      <c r="AB163" s="41"/>
    </row>
    <row r="164" spans="2:28" hidden="1" outlineLevel="1" x14ac:dyDescent="0.25">
      <c r="B164" s="140" t="b">
        <v>0</v>
      </c>
      <c r="C164" s="122" t="s">
        <v>360</v>
      </c>
      <c r="D164" s="149" t="s">
        <v>335</v>
      </c>
      <c r="E164" s="54"/>
      <c r="F164" s="152"/>
      <c r="G164" s="55"/>
      <c r="H164" s="112" t="s">
        <v>337</v>
      </c>
      <c r="AB164" s="41"/>
    </row>
    <row r="165" spans="2:28" hidden="1" outlineLevel="1" x14ac:dyDescent="0.25">
      <c r="B165" s="140"/>
      <c r="C165" s="122" t="s">
        <v>285</v>
      </c>
      <c r="D165" s="56">
        <v>100</v>
      </c>
      <c r="E165" s="122" t="s">
        <v>3</v>
      </c>
      <c r="F165" s="66">
        <f>IF(AND(Config3_AllClocksOn,B164),IF(D164="Disabled",0,Config3_Tcpwm_EnPed*$D$28/100/(2-1/Config3_Tcpwm_Count))+IF(D164="Triggered",D165*IF($D$28=D165,Config3_Tcpwm_TrigPeriCoef,Config3_Tcpwm_TrigCoef),0),0)</f>
        <v>0</v>
      </c>
      <c r="G165" s="58" t="s">
        <v>57</v>
      </c>
      <c r="H165" s="112" t="s">
        <v>212</v>
      </c>
      <c r="AB165" s="41"/>
    </row>
    <row r="166" spans="2:28" s="1" customFormat="1" hidden="1" outlineLevel="1" x14ac:dyDescent="0.25">
      <c r="B166" s="151" t="b">
        <v>0</v>
      </c>
      <c r="C166" s="122" t="s">
        <v>361</v>
      </c>
      <c r="D166" s="149" t="s">
        <v>335</v>
      </c>
      <c r="E166" s="122"/>
      <c r="F166" s="122"/>
      <c r="G166" s="122"/>
      <c r="H166" s="112" t="s">
        <v>337</v>
      </c>
      <c r="AB166" s="41"/>
    </row>
    <row r="167" spans="2:28" hidden="1" outlineLevel="1" x14ac:dyDescent="0.25">
      <c r="B167" s="140"/>
      <c r="C167" s="122" t="s">
        <v>286</v>
      </c>
      <c r="D167" s="56">
        <v>100</v>
      </c>
      <c r="E167" s="54" t="s">
        <v>3</v>
      </c>
      <c r="F167" s="66">
        <f>IF(AND(Config3_AllClocksOn,B166),IF(D166="Disabled",0,Config3_Tcpwm_EnPed*$D$28/100/(2-1/Config3_Tcpwm_Count))+IF(D166="Triggered",D167*IF($D$28=D167,Config3_Tcpwm_TrigPeriCoef,Config3_Tcpwm_TrigCoef),0),0)</f>
        <v>0</v>
      </c>
      <c r="G167" s="58" t="s">
        <v>57</v>
      </c>
      <c r="H167" s="112" t="s">
        <v>212</v>
      </c>
      <c r="AB167" s="41"/>
    </row>
    <row r="168" spans="2:28" hidden="1" outlineLevel="1" x14ac:dyDescent="0.25">
      <c r="B168" s="140" t="b">
        <v>0</v>
      </c>
      <c r="C168" s="122" t="s">
        <v>362</v>
      </c>
      <c r="D168" s="149" t="s">
        <v>335</v>
      </c>
      <c r="E168" s="54"/>
      <c r="F168" s="152"/>
      <c r="G168" s="55"/>
      <c r="H168" s="112" t="s">
        <v>337</v>
      </c>
      <c r="AB168" s="41"/>
    </row>
    <row r="169" spans="2:28" hidden="1" outlineLevel="1" x14ac:dyDescent="0.25">
      <c r="B169" s="140"/>
      <c r="C169" s="122" t="s">
        <v>287</v>
      </c>
      <c r="D169" s="56">
        <v>100</v>
      </c>
      <c r="E169" s="122" t="s">
        <v>3</v>
      </c>
      <c r="F169" s="66">
        <f>IF(AND(Config3_AllClocksOn,B168),IF(D168="Disabled",0,Config3_Tcpwm_EnPed*$D$28/100/(2-1/Config3_Tcpwm_Count))+IF(D168="Triggered",D169*IF($D$28=D169,Config3_Tcpwm_TrigPeriCoef,Config3_Tcpwm_TrigCoef),0),0)</f>
        <v>0</v>
      </c>
      <c r="G169" s="58" t="s">
        <v>57</v>
      </c>
      <c r="H169" s="112" t="s">
        <v>212</v>
      </c>
      <c r="AB169" s="41"/>
    </row>
    <row r="170" spans="2:28" s="1" customFormat="1" hidden="1" outlineLevel="1" x14ac:dyDescent="0.25">
      <c r="B170" s="151" t="b">
        <v>0</v>
      </c>
      <c r="C170" s="122" t="s">
        <v>363</v>
      </c>
      <c r="D170" s="149" t="s">
        <v>335</v>
      </c>
      <c r="E170" s="122"/>
      <c r="F170" s="122"/>
      <c r="G170" s="122"/>
      <c r="H170" s="112" t="s">
        <v>337</v>
      </c>
      <c r="AB170" s="41"/>
    </row>
    <row r="171" spans="2:28" hidden="1" outlineLevel="1" x14ac:dyDescent="0.25">
      <c r="B171" s="140"/>
      <c r="C171" s="122" t="s">
        <v>288</v>
      </c>
      <c r="D171" s="56">
        <v>100</v>
      </c>
      <c r="E171" s="54" t="s">
        <v>3</v>
      </c>
      <c r="F171" s="66">
        <f>IF(AND(Config3_AllClocksOn,B170),IF(D170="Disabled",0,Config3_Tcpwm_EnPed*$D$28/100/(2-1/Config3_Tcpwm_Count))+IF(D170="Triggered",D171*IF($D$28=D171,Config3_Tcpwm_TrigPeriCoef,Config3_Tcpwm_TrigCoef),0),0)</f>
        <v>0</v>
      </c>
      <c r="G171" s="58" t="s">
        <v>57</v>
      </c>
      <c r="H171" s="112" t="s">
        <v>212</v>
      </c>
      <c r="AB171" s="41"/>
    </row>
    <row r="172" spans="2:28" hidden="1" outlineLevel="1" x14ac:dyDescent="0.25">
      <c r="B172" s="140" t="b">
        <v>0</v>
      </c>
      <c r="C172" s="122" t="s">
        <v>364</v>
      </c>
      <c r="D172" s="149" t="s">
        <v>335</v>
      </c>
      <c r="E172" s="54"/>
      <c r="F172" s="152"/>
      <c r="G172" s="55"/>
      <c r="H172" s="112" t="s">
        <v>337</v>
      </c>
      <c r="AB172" s="41"/>
    </row>
    <row r="173" spans="2:28" hidden="1" outlineLevel="1" x14ac:dyDescent="0.25">
      <c r="B173" s="140"/>
      <c r="C173" s="122" t="s">
        <v>289</v>
      </c>
      <c r="D173" s="56">
        <v>100</v>
      </c>
      <c r="E173" s="122" t="s">
        <v>3</v>
      </c>
      <c r="F173" s="66">
        <f>IF(AND(Config3_AllClocksOn,B172),IF(D172="Disabled",0,Config3_Tcpwm_EnPed*$D$28/100/(2-1/Config3_Tcpwm_Count))+IF(D172="Triggered",D173*IF($D$28=D173,Config3_Tcpwm_TrigPeriCoef,Config3_Tcpwm_TrigCoef),0),0)</f>
        <v>0</v>
      </c>
      <c r="G173" s="58" t="s">
        <v>57</v>
      </c>
      <c r="H173" s="112" t="s">
        <v>212</v>
      </c>
      <c r="AB173" s="41"/>
    </row>
    <row r="174" spans="2:28" s="1" customFormat="1" hidden="1" outlineLevel="1" x14ac:dyDescent="0.25">
      <c r="B174" s="151" t="b">
        <v>0</v>
      </c>
      <c r="C174" s="122" t="s">
        <v>365</v>
      </c>
      <c r="D174" s="149" t="s">
        <v>335</v>
      </c>
      <c r="E174" s="122"/>
      <c r="F174" s="122"/>
      <c r="G174" s="122"/>
      <c r="H174" s="112" t="s">
        <v>337</v>
      </c>
      <c r="AB174" s="41"/>
    </row>
    <row r="175" spans="2:28" hidden="1" outlineLevel="1" x14ac:dyDescent="0.25">
      <c r="B175" s="140"/>
      <c r="C175" s="122" t="s">
        <v>290</v>
      </c>
      <c r="D175" s="56">
        <v>100</v>
      </c>
      <c r="E175" s="54" t="s">
        <v>3</v>
      </c>
      <c r="F175" s="66">
        <f>IF(AND(Config3_AllClocksOn,B174),IF(D174="Disabled",0,Config3_Tcpwm_EnPed*$D$28/100/(2-1/Config3_Tcpwm_Count))+IF(D174="Triggered",D175*IF($D$28=D175,Config3_Tcpwm_TrigPeriCoef,Config3_Tcpwm_TrigCoef),0),0)</f>
        <v>0</v>
      </c>
      <c r="G175" s="58" t="s">
        <v>57</v>
      </c>
      <c r="H175" s="112" t="s">
        <v>212</v>
      </c>
      <c r="AB175" s="41"/>
    </row>
    <row r="176" spans="2:28" hidden="1" outlineLevel="1" x14ac:dyDescent="0.25">
      <c r="B176" s="140" t="b">
        <v>0</v>
      </c>
      <c r="C176" s="122" t="s">
        <v>366</v>
      </c>
      <c r="D176" s="149" t="s">
        <v>335</v>
      </c>
      <c r="E176" s="54"/>
      <c r="F176" s="152"/>
      <c r="G176" s="55"/>
      <c r="H176" s="112" t="s">
        <v>337</v>
      </c>
      <c r="AB176" s="41"/>
    </row>
    <row r="177" spans="2:28" hidden="1" outlineLevel="1" x14ac:dyDescent="0.25">
      <c r="B177" s="140"/>
      <c r="C177" s="122" t="s">
        <v>291</v>
      </c>
      <c r="D177" s="56">
        <v>100</v>
      </c>
      <c r="E177" s="122" t="s">
        <v>3</v>
      </c>
      <c r="F177" s="66">
        <f>IF(AND(Config3_AllClocksOn,B176),IF(D176="Disabled",0,Config3_Tcpwm_EnPed*$D$28/100/(2-1/Config3_Tcpwm_Count))+IF(D176="Triggered",D177*IF($D$28=D177,Config3_Tcpwm_TrigPeriCoef,Config3_Tcpwm_TrigCoef),0),0)</f>
        <v>0</v>
      </c>
      <c r="G177" s="58" t="s">
        <v>57</v>
      </c>
      <c r="H177" s="112" t="s">
        <v>212</v>
      </c>
      <c r="AB177" s="41"/>
    </row>
    <row r="178" spans="2:28" s="1" customFormat="1" hidden="1" outlineLevel="1" x14ac:dyDescent="0.25">
      <c r="B178" s="151" t="b">
        <v>0</v>
      </c>
      <c r="C178" s="122" t="s">
        <v>367</v>
      </c>
      <c r="D178" s="149" t="s">
        <v>335</v>
      </c>
      <c r="E178" s="122"/>
      <c r="F178" s="122"/>
      <c r="G178" s="122"/>
      <c r="H178" s="112" t="s">
        <v>337</v>
      </c>
      <c r="AB178" s="41"/>
    </row>
    <row r="179" spans="2:28" hidden="1" outlineLevel="1" x14ac:dyDescent="0.25">
      <c r="B179" s="140"/>
      <c r="C179" s="122" t="s">
        <v>292</v>
      </c>
      <c r="D179" s="56">
        <v>100</v>
      </c>
      <c r="E179" s="54" t="s">
        <v>3</v>
      </c>
      <c r="F179" s="66">
        <f>IF(AND(Config3_AllClocksOn,B178),IF(D178="Disabled",0,Config3_Tcpwm_EnPed*$D$28/100/(2-1/Config3_Tcpwm_Count))+IF(D178="Triggered",D179*IF($D$28=D179,Config3_Tcpwm_TrigPeriCoef,Config3_Tcpwm_TrigCoef),0),0)</f>
        <v>0</v>
      </c>
      <c r="G179" s="58" t="s">
        <v>57</v>
      </c>
      <c r="H179" s="112" t="s">
        <v>212</v>
      </c>
      <c r="AB179" s="41"/>
    </row>
    <row r="180" spans="2:28" hidden="1" outlineLevel="1" x14ac:dyDescent="0.25">
      <c r="B180" s="140" t="b">
        <v>0</v>
      </c>
      <c r="C180" s="122" t="s">
        <v>368</v>
      </c>
      <c r="D180" s="149" t="s">
        <v>335</v>
      </c>
      <c r="E180" s="54"/>
      <c r="F180" s="152"/>
      <c r="G180" s="55"/>
      <c r="H180" s="112" t="s">
        <v>337</v>
      </c>
      <c r="AB180" s="41"/>
    </row>
    <row r="181" spans="2:28" hidden="1" outlineLevel="1" x14ac:dyDescent="0.25">
      <c r="B181" s="140"/>
      <c r="C181" s="122" t="s">
        <v>293</v>
      </c>
      <c r="D181" s="56">
        <v>100</v>
      </c>
      <c r="E181" s="122" t="s">
        <v>3</v>
      </c>
      <c r="F181" s="66">
        <f>IF(AND(Config3_AllClocksOn,B180),IF(D180="Disabled",0,Config3_Tcpwm_EnPed*$D$28/100/(2-1/Config3_Tcpwm_Count))+IF(D180="Triggered",D181*IF($D$28=D181,Config3_Tcpwm_TrigPeriCoef,Config3_Tcpwm_TrigCoef),0),0)</f>
        <v>0</v>
      </c>
      <c r="G181" s="58" t="s">
        <v>57</v>
      </c>
      <c r="H181" s="112" t="s">
        <v>212</v>
      </c>
      <c r="AB181" s="41"/>
    </row>
    <row r="182" spans="2:28" collapsed="1" x14ac:dyDescent="0.25">
      <c r="B182" s="140"/>
      <c r="C182" s="122"/>
      <c r="D182" s="147"/>
      <c r="E182" s="54"/>
      <c r="F182" s="153"/>
      <c r="G182" s="55"/>
      <c r="H182" s="59"/>
      <c r="AB182" s="41"/>
    </row>
    <row r="183" spans="2:28" x14ac:dyDescent="0.25">
      <c r="B183" s="53" t="s">
        <v>69</v>
      </c>
      <c r="C183" s="53"/>
      <c r="D183" s="53"/>
      <c r="E183" s="53"/>
      <c r="F183" s="53"/>
      <c r="G183" s="53"/>
      <c r="H183" s="53"/>
      <c r="AB183" s="41"/>
    </row>
    <row r="184" spans="2:28" x14ac:dyDescent="0.25">
      <c r="B184" s="140" t="b">
        <v>0</v>
      </c>
      <c r="C184" s="55" t="s">
        <v>70</v>
      </c>
      <c r="D184" s="60" t="s">
        <v>195</v>
      </c>
      <c r="E184" s="54"/>
      <c r="F184" s="54"/>
      <c r="G184" s="54"/>
      <c r="H184" s="112" t="s">
        <v>372</v>
      </c>
      <c r="AB184" s="41"/>
    </row>
    <row r="185" spans="2:28" x14ac:dyDescent="0.25">
      <c r="B185" s="140"/>
      <c r="C185" s="122" t="s">
        <v>369</v>
      </c>
      <c r="D185" s="60" t="s">
        <v>371</v>
      </c>
      <c r="E185" s="55"/>
      <c r="F185" s="153"/>
      <c r="G185" s="55"/>
      <c r="H185" s="112" t="s">
        <v>374</v>
      </c>
      <c r="AB185" s="41"/>
    </row>
    <row r="186" spans="2:28" x14ac:dyDescent="0.25">
      <c r="B186" s="140"/>
      <c r="C186" s="55" t="s">
        <v>71</v>
      </c>
      <c r="D186" s="60">
        <v>25000</v>
      </c>
      <c r="E186" s="55" t="s">
        <v>142</v>
      </c>
      <c r="F186" s="57">
        <f>IF(AND(Config3_AllClocksOn,B184),IF(D184="SPI",IF(D185="Transmitting",Config3_SPI_Coef*D186,0)+IF(NOT(D185="Disabled"),Config3_SPI_EnableCoef*D186+Config3_SPI_EnablePeriCoef*$D$28+Config3_SPI_EnablePed,0),IF(D184="I2C",IF(D185="Transmitting",Config3_I2C_Coef*D186+Config3_I2C_RunPed,0)+IF(NOT(D185="Disabled"),Config3_I2C_EnableCoef*D186+Config3_I2C_EnablePed,0),IF(D185="Transmitting",Config3_UART_Coef*D186+Config3_UART_RunPed,0)+IF(NOT(D185="Disabled"),Config3_UART_EnableCoef*D186+Config3_UART_EnablePed,0))),0)</f>
        <v>0</v>
      </c>
      <c r="G186" s="58" t="s">
        <v>57</v>
      </c>
      <c r="H186" s="112" t="s">
        <v>373</v>
      </c>
      <c r="AB186" s="62"/>
    </row>
    <row r="187" spans="2:28" x14ac:dyDescent="0.25">
      <c r="B187" s="140" t="b">
        <v>0</v>
      </c>
      <c r="C187" s="55" t="s">
        <v>70</v>
      </c>
      <c r="D187" s="60" t="s">
        <v>193</v>
      </c>
      <c r="E187" s="54"/>
      <c r="F187" s="54"/>
      <c r="G187" s="54"/>
      <c r="H187" s="112" t="s">
        <v>372</v>
      </c>
      <c r="AB187" s="41"/>
    </row>
    <row r="188" spans="2:28" x14ac:dyDescent="0.25">
      <c r="B188" s="140"/>
      <c r="C188" s="122" t="s">
        <v>369</v>
      </c>
      <c r="D188" s="60" t="s">
        <v>371</v>
      </c>
      <c r="E188" s="55"/>
      <c r="F188" s="153"/>
      <c r="G188" s="55"/>
      <c r="H188" s="112" t="s">
        <v>374</v>
      </c>
      <c r="AB188" s="41"/>
    </row>
    <row r="189" spans="2:28" x14ac:dyDescent="0.25">
      <c r="B189" s="140"/>
      <c r="C189" s="55" t="s">
        <v>71</v>
      </c>
      <c r="D189" s="60">
        <v>100</v>
      </c>
      <c r="E189" s="55" t="s">
        <v>142</v>
      </c>
      <c r="F189" s="57">
        <f>IF(AND(Config3_AllClocksOn,B187),IF(D187="SPI",IF(D188="Transmitting",Config3_SPI_Coef*D189,0)+IF(NOT(D188="Disabled"),Config3_SPI_EnableCoef*D189+Config3_SPI_EnablePeriCoef*$D$28+Config3_SPI_EnablePed,0),IF(D187="I2C",IF(D188="Transmitting",Config3_I2C_Coef*D189+Config3_I2C_RunPed,0)+IF(NOT(D188="Disabled"),Config3_I2C_EnableCoef*D189+Config3_I2C_EnablePed,0),IF(D188="Transmitting",Config3_UART_Coef*D189+Config3_UART_RunPed,0)+IF(NOT(D188="Disabled"),Config3_UART_EnableCoef*D189+Config3_UART_EnablePed,0))),0)</f>
        <v>0</v>
      </c>
      <c r="G189" s="58" t="s">
        <v>57</v>
      </c>
      <c r="H189" s="112" t="s">
        <v>373</v>
      </c>
      <c r="AB189" s="62"/>
    </row>
    <row r="190" spans="2:28" x14ac:dyDescent="0.25">
      <c r="B190" s="140" t="b">
        <v>0</v>
      </c>
      <c r="C190" s="55" t="s">
        <v>70</v>
      </c>
      <c r="D190" s="60" t="s">
        <v>195</v>
      </c>
      <c r="E190" s="54"/>
      <c r="F190" s="54"/>
      <c r="G190" s="54"/>
      <c r="H190" s="112" t="s">
        <v>372</v>
      </c>
      <c r="AB190" s="41"/>
    </row>
    <row r="191" spans="2:28" x14ac:dyDescent="0.25">
      <c r="B191" s="140"/>
      <c r="C191" s="122" t="s">
        <v>369</v>
      </c>
      <c r="D191" s="60" t="s">
        <v>150</v>
      </c>
      <c r="E191" s="55"/>
      <c r="F191" s="153"/>
      <c r="G191" s="55"/>
      <c r="H191" s="112" t="s">
        <v>374</v>
      </c>
      <c r="AB191" s="41"/>
    </row>
    <row r="192" spans="2:28" x14ac:dyDescent="0.25">
      <c r="B192" s="140"/>
      <c r="C192" s="55" t="s">
        <v>71</v>
      </c>
      <c r="D192" s="60">
        <v>100</v>
      </c>
      <c r="E192" s="55" t="s">
        <v>142</v>
      </c>
      <c r="F192" s="57">
        <f>IF(AND(Config3_AllClocksOn,B190),IF(D190="SPI",IF(D191="Transmitting",Config3_SPI_Coef*D192,0)+IF(NOT(D191="Disabled"),Config3_SPI_EnableCoef*D192+Config3_SPI_EnablePeriCoef*$D$28+Config3_SPI_EnablePed,0),IF(D190="I2C",IF(D191="Transmitting",Config3_I2C_Coef*D192+Config3_I2C_RunPed,0)+IF(NOT(D191="Disabled"),Config3_I2C_EnableCoef*D192+Config3_I2C_EnablePed,0),IF(D191="Transmitting",Config3_UART_Coef*D192+Config3_UART_RunPed,0)+IF(NOT(D191="Disabled"),Config3_UART_EnableCoef*D192+Config3_UART_EnablePed,0))),0)</f>
        <v>0</v>
      </c>
      <c r="G192" s="58" t="s">
        <v>57</v>
      </c>
      <c r="H192" s="112" t="s">
        <v>373</v>
      </c>
      <c r="AB192" s="62"/>
    </row>
    <row r="193" spans="2:28" x14ac:dyDescent="0.25">
      <c r="B193" s="140" t="b">
        <v>0</v>
      </c>
      <c r="C193" s="55" t="s">
        <v>70</v>
      </c>
      <c r="D193" s="60" t="s">
        <v>193</v>
      </c>
      <c r="E193" s="54"/>
      <c r="F193" s="54"/>
      <c r="G193" s="54"/>
      <c r="H193" s="112" t="s">
        <v>372</v>
      </c>
      <c r="AB193" s="41"/>
    </row>
    <row r="194" spans="2:28" x14ac:dyDescent="0.25">
      <c r="B194" s="140"/>
      <c r="C194" s="122" t="s">
        <v>369</v>
      </c>
      <c r="D194" s="60" t="s">
        <v>151</v>
      </c>
      <c r="E194" s="55"/>
      <c r="F194" s="153"/>
      <c r="G194" s="55"/>
      <c r="H194" s="112" t="s">
        <v>374</v>
      </c>
      <c r="AB194" s="41"/>
    </row>
    <row r="195" spans="2:28" x14ac:dyDescent="0.25">
      <c r="B195" s="140"/>
      <c r="C195" s="55" t="s">
        <v>71</v>
      </c>
      <c r="D195" s="60">
        <v>100</v>
      </c>
      <c r="E195" s="55" t="s">
        <v>142</v>
      </c>
      <c r="F195" s="57">
        <f>IF(AND(Config3_AllClocksOn,B193),IF(D193="SPI",IF(D194="Transmitting",Config3_SPI_Coef*D195,0)+IF(NOT(D194="Disabled"),Config3_SPI_EnableCoef*D195+Config3_SPI_EnablePeriCoef*$D$28+Config3_SPI_EnablePed,0),IF(D193="I2C",IF(D194="Transmitting",Config3_I2C_Coef*D195+Config3_I2C_RunPed,0)+IF(NOT(D194="Disabled"),Config3_I2C_EnableCoef*D195+Config3_I2C_EnablePed,0),IF(D194="Transmitting",Config3_UART_Coef*D195+Config3_UART_RunPed,0)+IF(NOT(D194="Disabled"),Config3_UART_EnableCoef*D195+Config3_UART_EnablePed,0))),0)</f>
        <v>0</v>
      </c>
      <c r="G195" s="58" t="s">
        <v>57</v>
      </c>
      <c r="H195" s="112" t="s">
        <v>373</v>
      </c>
      <c r="AB195" s="62"/>
    </row>
    <row r="196" spans="2:28" hidden="1" outlineLevel="1" x14ac:dyDescent="0.25">
      <c r="B196" s="140" t="b">
        <v>0</v>
      </c>
      <c r="C196" s="55" t="s">
        <v>70</v>
      </c>
      <c r="D196" s="60" t="s">
        <v>193</v>
      </c>
      <c r="E196" s="54"/>
      <c r="F196" s="54"/>
      <c r="G196" s="54"/>
      <c r="H196" s="112" t="s">
        <v>372</v>
      </c>
      <c r="AB196" s="41"/>
    </row>
    <row r="197" spans="2:28" hidden="1" outlineLevel="1" x14ac:dyDescent="0.25">
      <c r="B197" s="140"/>
      <c r="C197" s="122" t="s">
        <v>369</v>
      </c>
      <c r="D197" s="60" t="s">
        <v>151</v>
      </c>
      <c r="E197" s="55"/>
      <c r="F197" s="153"/>
      <c r="G197" s="55"/>
      <c r="H197" s="112" t="s">
        <v>374</v>
      </c>
      <c r="AB197" s="41"/>
    </row>
    <row r="198" spans="2:28" hidden="1" outlineLevel="1" x14ac:dyDescent="0.25">
      <c r="B198" s="140"/>
      <c r="C198" s="55" t="s">
        <v>71</v>
      </c>
      <c r="D198" s="60">
        <v>100</v>
      </c>
      <c r="E198" s="55" t="s">
        <v>142</v>
      </c>
      <c r="F198" s="57">
        <f>IF(AND(Config3_AllClocksOn,B196),IF(D196="SPI",IF(D197="Transmitting",Config3_SPI_Coef*D198,0)+IF(NOT(D197="Disabled"),Config3_SPI_EnableCoef*D198+Config3_SPI_EnablePeriCoef*$D$28+Config3_SPI_EnablePed,0),IF(D196="I2C",IF(D197="Transmitting",Config3_I2C_Coef*D198+Config3_I2C_RunPed,0)+IF(NOT(D197="Disabled"),Config3_I2C_EnableCoef*D198+Config3_I2C_EnablePed,0),IF(D197="Transmitting",Config3_UART_Coef*D198+Config3_UART_RunPed,0)+IF(NOT(D197="Disabled"),Config3_UART_EnableCoef*D198+Config3_UART_EnablePed,0))),0)</f>
        <v>0</v>
      </c>
      <c r="G198" s="58" t="s">
        <v>57</v>
      </c>
      <c r="H198" s="112" t="s">
        <v>373</v>
      </c>
      <c r="AB198" s="62"/>
    </row>
    <row r="199" spans="2:28" hidden="1" outlineLevel="1" x14ac:dyDescent="0.25">
      <c r="B199" s="140" t="b">
        <v>0</v>
      </c>
      <c r="C199" s="55" t="s">
        <v>70</v>
      </c>
      <c r="D199" s="60" t="s">
        <v>193</v>
      </c>
      <c r="E199" s="54"/>
      <c r="F199" s="54"/>
      <c r="G199" s="54"/>
      <c r="H199" s="112" t="s">
        <v>372</v>
      </c>
      <c r="AB199" s="41"/>
    </row>
    <row r="200" spans="2:28" hidden="1" outlineLevel="1" x14ac:dyDescent="0.25">
      <c r="B200" s="140"/>
      <c r="C200" s="122" t="s">
        <v>369</v>
      </c>
      <c r="D200" s="60" t="s">
        <v>151</v>
      </c>
      <c r="E200" s="55"/>
      <c r="F200" s="153"/>
      <c r="G200" s="55"/>
      <c r="H200" s="112" t="s">
        <v>374</v>
      </c>
      <c r="AB200" s="41"/>
    </row>
    <row r="201" spans="2:28" hidden="1" outlineLevel="1" x14ac:dyDescent="0.25">
      <c r="B201" s="140"/>
      <c r="C201" s="55" t="s">
        <v>71</v>
      </c>
      <c r="D201" s="60">
        <v>100</v>
      </c>
      <c r="E201" s="55" t="s">
        <v>142</v>
      </c>
      <c r="F201" s="57">
        <f>IF(AND(Config3_AllClocksOn,B199),IF(D199="SPI",IF(D200="Transmitting",Config3_SPI_Coef*D201,0)+IF(NOT(D200="Disabled"),Config3_SPI_EnableCoef*D201+Config3_SPI_EnablePeriCoef*$D$28+Config3_SPI_EnablePed,0),IF(D199="I2C",IF(D200="Transmitting",Config3_I2C_Coef*D201+Config3_I2C_RunPed,0)+IF(NOT(D200="Disabled"),Config3_I2C_EnableCoef*D201+Config3_I2C_EnablePed,0),IF(D200="Transmitting",Config3_UART_Coef*D201+Config3_UART_RunPed,0)+IF(NOT(D200="Disabled"),Config3_UART_EnableCoef*D201+Config3_UART_EnablePed,0))),0)</f>
        <v>0</v>
      </c>
      <c r="G201" s="58" t="s">
        <v>57</v>
      </c>
      <c r="H201" s="112" t="s">
        <v>373</v>
      </c>
      <c r="AB201" s="62"/>
    </row>
    <row r="202" spans="2:28" hidden="1" outlineLevel="1" x14ac:dyDescent="0.25">
      <c r="B202" s="140" t="b">
        <v>0</v>
      </c>
      <c r="C202" s="55" t="s">
        <v>70</v>
      </c>
      <c r="D202" s="60" t="s">
        <v>193</v>
      </c>
      <c r="E202" s="54"/>
      <c r="F202" s="54"/>
      <c r="G202" s="54"/>
      <c r="H202" s="112" t="s">
        <v>372</v>
      </c>
      <c r="AB202" s="41"/>
    </row>
    <row r="203" spans="2:28" hidden="1" outlineLevel="1" x14ac:dyDescent="0.25">
      <c r="B203" s="140"/>
      <c r="C203" s="122" t="s">
        <v>369</v>
      </c>
      <c r="D203" s="60" t="s">
        <v>151</v>
      </c>
      <c r="E203" s="55"/>
      <c r="F203" s="153"/>
      <c r="G203" s="55"/>
      <c r="H203" s="112" t="s">
        <v>374</v>
      </c>
      <c r="AB203" s="41"/>
    </row>
    <row r="204" spans="2:28" hidden="1" outlineLevel="1" x14ac:dyDescent="0.25">
      <c r="B204" s="140"/>
      <c r="C204" s="55" t="s">
        <v>71</v>
      </c>
      <c r="D204" s="60">
        <v>100</v>
      </c>
      <c r="E204" s="55" t="s">
        <v>142</v>
      </c>
      <c r="F204" s="57">
        <f>IF(AND(Config3_AllClocksOn,B202),IF(D202="SPI",IF(D203="Transmitting",Config3_SPI_Coef*D204,0)+IF(NOT(D203="Disabled"),Config3_SPI_EnableCoef*D204+Config3_SPI_EnablePeriCoef*$D$28+Config3_SPI_EnablePed,0),IF(D202="I2C",IF(D203="Transmitting",Config3_I2C_Coef*D204+Config3_I2C_RunPed,0)+IF(NOT(D203="Disabled"),Config3_I2C_EnableCoef*D204+Config3_I2C_EnablePed,0),IF(D203="Transmitting",Config3_UART_Coef*D204+Config3_UART_RunPed,0)+IF(NOT(D203="Disabled"),Config3_UART_EnableCoef*D204+Config3_UART_EnablePed,0))),0)</f>
        <v>0</v>
      </c>
      <c r="G204" s="58" t="s">
        <v>57</v>
      </c>
      <c r="H204" s="112" t="s">
        <v>373</v>
      </c>
      <c r="AB204" s="62"/>
    </row>
    <row r="205" spans="2:28" hidden="1" outlineLevel="1" x14ac:dyDescent="0.25">
      <c r="B205" s="140" t="b">
        <v>0</v>
      </c>
      <c r="C205" s="55" t="s">
        <v>70</v>
      </c>
      <c r="D205" s="60" t="s">
        <v>193</v>
      </c>
      <c r="E205" s="54"/>
      <c r="F205" s="54"/>
      <c r="G205" s="54"/>
      <c r="H205" s="112" t="s">
        <v>372</v>
      </c>
      <c r="AB205" s="41"/>
    </row>
    <row r="206" spans="2:28" hidden="1" outlineLevel="1" x14ac:dyDescent="0.25">
      <c r="B206" s="140"/>
      <c r="C206" s="122" t="s">
        <v>369</v>
      </c>
      <c r="D206" s="60" t="s">
        <v>151</v>
      </c>
      <c r="E206" s="55"/>
      <c r="F206" s="153"/>
      <c r="G206" s="55"/>
      <c r="H206" s="112" t="s">
        <v>374</v>
      </c>
      <c r="AB206" s="41"/>
    </row>
    <row r="207" spans="2:28" hidden="1" outlineLevel="1" x14ac:dyDescent="0.25">
      <c r="B207" s="140"/>
      <c r="C207" s="55" t="s">
        <v>71</v>
      </c>
      <c r="D207" s="60">
        <v>100</v>
      </c>
      <c r="E207" s="55" t="s">
        <v>142</v>
      </c>
      <c r="F207" s="57">
        <f>IF(AND(Config3_AllClocksOn,B205),IF(D205="SPI",IF(D206="Transmitting",Config3_SPI_Coef*D207,0)+IF(NOT(D206="Disabled"),Config3_SPI_EnableCoef*D207+Config3_SPI_EnablePeriCoef*$D$28+Config3_SPI_EnablePed,0),IF(D205="I2C",IF(D206="Transmitting",Config3_I2C_Coef*D207+Config3_I2C_RunPed,0)+IF(NOT(D206="Disabled"),Config3_I2C_EnableCoef*D207+Config3_I2C_EnablePed,0),IF(D206="Transmitting",Config3_UART_Coef*D207+Config3_UART_RunPed,0)+IF(NOT(D206="Disabled"),Config3_UART_EnableCoef*D207+Config3_UART_EnablePed,0))),0)</f>
        <v>0</v>
      </c>
      <c r="G207" s="58" t="s">
        <v>57</v>
      </c>
      <c r="H207" s="112" t="s">
        <v>373</v>
      </c>
      <c r="AB207" s="62"/>
    </row>
    <row r="208" spans="2:28" hidden="1" outlineLevel="1" x14ac:dyDescent="0.25">
      <c r="B208" s="140" t="b">
        <v>0</v>
      </c>
      <c r="C208" s="55" t="s">
        <v>149</v>
      </c>
      <c r="D208" s="60" t="s">
        <v>194</v>
      </c>
      <c r="E208" s="54"/>
      <c r="F208" s="54"/>
      <c r="G208" s="54"/>
      <c r="H208" s="59" t="s">
        <v>177</v>
      </c>
    </row>
    <row r="209" spans="2:28" hidden="1" outlineLevel="1" x14ac:dyDescent="0.25">
      <c r="B209" s="140"/>
      <c r="C209" s="122" t="s">
        <v>375</v>
      </c>
      <c r="D209" s="60" t="s">
        <v>151</v>
      </c>
      <c r="E209" s="55"/>
      <c r="F209" s="153"/>
      <c r="G209" s="55"/>
      <c r="H209" s="59" t="s">
        <v>178</v>
      </c>
      <c r="AB209" s="41"/>
    </row>
    <row r="210" spans="2:28" hidden="1" outlineLevel="1" x14ac:dyDescent="0.25">
      <c r="B210" s="140"/>
      <c r="C210" s="55" t="s">
        <v>71</v>
      </c>
      <c r="D210" s="60">
        <v>100</v>
      </c>
      <c r="E210" s="55" t="s">
        <v>142</v>
      </c>
      <c r="F210" s="57">
        <f>IF(AND(Config3_AllClocksOn,B208),IF(D208="SPI",IF(D209="Transmitting",Config3_SPI_Coef*D210,0)+IF(NOT(D209="Disabled"),Config3_SPI_EnableCoef*D210+Config3_SPI_EnablePeriCoef*$D$28+Config3_SPI_EnablePed,0),IF(D208="I2C",IF(D209="Transmitting",Config3_I2C_Coef*D210+Config3_I2C_RunPed,0)+IF(NOT(D209="Disabled"),Config3_I2C_EnableCoef*D210+Config3_I2C_EnablePed,0),IF(D209="Transmitting",Config3_UART_Coef*D210+Config3_UART_RunPed,0)+IF(NOT(D209="Disabled"),Config3_UART_EnableCoef*D210+Config3_UART_EnablePed,0))),0)</f>
        <v>0</v>
      </c>
      <c r="G210" s="58" t="s">
        <v>57</v>
      </c>
      <c r="H210" s="112" t="s">
        <v>373</v>
      </c>
      <c r="AB210" s="62"/>
    </row>
    <row r="211" spans="2:28" collapsed="1" x14ac:dyDescent="0.25">
      <c r="B211" s="140"/>
      <c r="C211" s="55"/>
      <c r="D211" s="156"/>
      <c r="E211" s="54"/>
      <c r="F211" s="54"/>
      <c r="G211" s="54"/>
      <c r="H211" s="59"/>
    </row>
    <row r="212" spans="2:28" x14ac:dyDescent="0.25">
      <c r="B212" s="140"/>
      <c r="C212" s="55"/>
      <c r="D212" s="156"/>
      <c r="E212" s="54"/>
      <c r="F212" s="54"/>
      <c r="G212" s="54"/>
      <c r="H212" s="59"/>
    </row>
    <row r="213" spans="2:28" x14ac:dyDescent="0.25">
      <c r="B213" s="53" t="s">
        <v>392</v>
      </c>
      <c r="C213" s="53"/>
      <c r="D213" s="53"/>
      <c r="E213" s="53"/>
      <c r="F213" s="53"/>
      <c r="G213" s="53"/>
      <c r="H213" s="53"/>
    </row>
    <row r="214" spans="2:28" x14ac:dyDescent="0.25">
      <c r="B214" s="140"/>
      <c r="C214" s="122" t="s">
        <v>396</v>
      </c>
      <c r="D214" s="56" t="s">
        <v>398</v>
      </c>
      <c r="E214" s="54"/>
      <c r="F214" s="80"/>
      <c r="G214" s="81"/>
      <c r="H214" s="112" t="s">
        <v>397</v>
      </c>
    </row>
    <row r="215" spans="2:28" x14ac:dyDescent="0.25">
      <c r="B215" s="140"/>
      <c r="C215" s="122" t="s">
        <v>175</v>
      </c>
      <c r="D215" s="56" t="s">
        <v>151</v>
      </c>
      <c r="E215" s="54"/>
      <c r="F215" s="57">
        <f>IF(OR(Config3_AllClocksOff,NOT(B23)),0,IF(D214="Yes",Config3_SMIF_DMA,0)+IF(D215="Disabled",Config3_SMIF_Dis,Config3_SMIF_En)+IF(D215="Transmitting",Config3_SMIF_Trans))</f>
        <v>0</v>
      </c>
      <c r="G215" s="58" t="s">
        <v>57</v>
      </c>
      <c r="H215" s="112" t="s">
        <v>393</v>
      </c>
    </row>
    <row r="216" spans="2:28" x14ac:dyDescent="0.25">
      <c r="B216" s="53" t="s">
        <v>89</v>
      </c>
      <c r="C216" s="53"/>
      <c r="D216" s="53"/>
      <c r="E216" s="53"/>
      <c r="F216" s="53"/>
      <c r="G216" s="53"/>
      <c r="H216" s="53"/>
    </row>
    <row r="217" spans="2:28" s="1" customFormat="1" collapsed="1" x14ac:dyDescent="0.25">
      <c r="B217" s="55"/>
      <c r="C217" s="55" t="s">
        <v>175</v>
      </c>
      <c r="D217" s="56" t="s">
        <v>28</v>
      </c>
      <c r="E217" s="55"/>
      <c r="F217" s="57">
        <f>IF(OR(Config3_AllClocksOff,D217="Off"),0,IF(D217="Configured Connected",Config3_Usb_ConfigCon,IF(D217="Suspended Connected",Config3_Usb_SuspendCon,Config3_Usb_SuspendDis)))*1000</f>
        <v>0</v>
      </c>
      <c r="G217" s="58" t="s">
        <v>57</v>
      </c>
      <c r="H217" s="59" t="s">
        <v>176</v>
      </c>
      <c r="AB217" s="41"/>
    </row>
    <row r="218" spans="2:28" s="1" customFormat="1" x14ac:dyDescent="0.25">
      <c r="B218" s="53" t="s">
        <v>152</v>
      </c>
      <c r="C218" s="53"/>
      <c r="D218" s="53"/>
      <c r="E218" s="53"/>
      <c r="F218" s="65">
        <f>SUM(F118:F217)/1000</f>
        <v>0</v>
      </c>
      <c r="G218" s="53" t="s">
        <v>316</v>
      </c>
      <c r="H218" s="53"/>
      <c r="AB218" s="41"/>
    </row>
    <row r="219" spans="2:28" s="1" customFormat="1" x14ac:dyDescent="0.25">
      <c r="B219"/>
      <c r="H219" s="49"/>
      <c r="AB219" s="41"/>
    </row>
    <row r="220" spans="2:28" hidden="1" x14ac:dyDescent="0.25">
      <c r="C220" s="1"/>
      <c r="D220" s="1"/>
      <c r="E220" s="1"/>
      <c r="F220" s="1"/>
      <c r="G220" s="1"/>
      <c r="H220" s="49"/>
    </row>
    <row r="221" spans="2:28" ht="15.6" hidden="1" x14ac:dyDescent="0.3">
      <c r="B221" s="225" t="s">
        <v>154</v>
      </c>
      <c r="C221" s="225"/>
      <c r="D221" s="225"/>
      <c r="E221" s="225"/>
      <c r="F221" s="225"/>
      <c r="G221" s="225"/>
      <c r="H221" s="225"/>
    </row>
    <row r="222" spans="2:28" s="1" customFormat="1" collapsed="1" x14ac:dyDescent="0.25">
      <c r="B222" s="67" t="s">
        <v>153</v>
      </c>
      <c r="C222" s="67"/>
      <c r="D222" s="67"/>
      <c r="E222" s="67"/>
      <c r="F222" s="67"/>
      <c r="G222" s="67"/>
      <c r="H222" s="67"/>
      <c r="AB222" s="41"/>
    </row>
    <row r="223" spans="2:28" x14ac:dyDescent="0.25">
      <c r="B223" s="68"/>
      <c r="C223" s="54" t="s">
        <v>11</v>
      </c>
      <c r="D223" s="60">
        <v>0</v>
      </c>
      <c r="E223" s="54" t="s">
        <v>10</v>
      </c>
      <c r="F223" s="69">
        <f t="shared" ref="F223:F230" si="0">D223</f>
        <v>0</v>
      </c>
      <c r="G223" s="58" t="s">
        <v>57</v>
      </c>
      <c r="H223" s="220" t="s">
        <v>49</v>
      </c>
    </row>
    <row r="224" spans="2:28" ht="12.75" customHeight="1" x14ac:dyDescent="0.25">
      <c r="B224" s="54"/>
      <c r="C224" s="54" t="s">
        <v>12</v>
      </c>
      <c r="D224" s="60">
        <v>0</v>
      </c>
      <c r="E224" s="54" t="s">
        <v>10</v>
      </c>
      <c r="F224" s="69">
        <f t="shared" si="0"/>
        <v>0</v>
      </c>
      <c r="G224" s="58" t="s">
        <v>57</v>
      </c>
      <c r="H224" s="221"/>
    </row>
    <row r="225" spans="2:8" ht="12.75" customHeight="1" x14ac:dyDescent="0.25">
      <c r="B225" s="54"/>
      <c r="C225" s="54" t="s">
        <v>13</v>
      </c>
      <c r="D225" s="60">
        <v>0</v>
      </c>
      <c r="E225" s="54" t="s">
        <v>10</v>
      </c>
      <c r="F225" s="69">
        <f t="shared" si="0"/>
        <v>0</v>
      </c>
      <c r="G225" s="58" t="s">
        <v>57</v>
      </c>
      <c r="H225" s="221"/>
    </row>
    <row r="226" spans="2:8" x14ac:dyDescent="0.25">
      <c r="B226" s="54"/>
      <c r="C226" s="54" t="s">
        <v>14</v>
      </c>
      <c r="D226" s="60">
        <v>0</v>
      </c>
      <c r="E226" s="54" t="s">
        <v>10</v>
      </c>
      <c r="F226" s="69">
        <f t="shared" si="0"/>
        <v>0</v>
      </c>
      <c r="G226" s="58" t="s">
        <v>57</v>
      </c>
      <c r="H226" s="221"/>
    </row>
    <row r="227" spans="2:8" x14ac:dyDescent="0.25">
      <c r="B227" s="54"/>
      <c r="C227" s="54" t="s">
        <v>15</v>
      </c>
      <c r="D227" s="60">
        <v>0</v>
      </c>
      <c r="E227" s="54" t="s">
        <v>10</v>
      </c>
      <c r="F227" s="69">
        <f t="shared" si="0"/>
        <v>0</v>
      </c>
      <c r="G227" s="58" t="s">
        <v>57</v>
      </c>
      <c r="H227" s="221"/>
    </row>
    <row r="228" spans="2:8" x14ac:dyDescent="0.25">
      <c r="B228" s="54"/>
      <c r="C228" s="54" t="s">
        <v>16</v>
      </c>
      <c r="D228" s="60">
        <v>0</v>
      </c>
      <c r="E228" s="54" t="s">
        <v>10</v>
      </c>
      <c r="F228" s="69">
        <f t="shared" si="0"/>
        <v>0</v>
      </c>
      <c r="G228" s="58" t="s">
        <v>57</v>
      </c>
      <c r="H228" s="221"/>
    </row>
    <row r="229" spans="2:8" x14ac:dyDescent="0.25">
      <c r="B229" s="54"/>
      <c r="C229" s="54" t="s">
        <v>17</v>
      </c>
      <c r="D229" s="60">
        <v>0</v>
      </c>
      <c r="E229" s="54" t="s">
        <v>10</v>
      </c>
      <c r="F229" s="69">
        <f t="shared" si="0"/>
        <v>0</v>
      </c>
      <c r="G229" s="58" t="s">
        <v>57</v>
      </c>
      <c r="H229" s="221"/>
    </row>
    <row r="230" spans="2:8" x14ac:dyDescent="0.25">
      <c r="B230" s="54"/>
      <c r="C230" s="54" t="s">
        <v>18</v>
      </c>
      <c r="D230" s="60">
        <v>0</v>
      </c>
      <c r="E230" s="54" t="s">
        <v>10</v>
      </c>
      <c r="F230" s="69">
        <f t="shared" si="0"/>
        <v>0</v>
      </c>
      <c r="G230" s="58" t="s">
        <v>57</v>
      </c>
      <c r="H230" s="222"/>
    </row>
    <row r="231" spans="2:8" ht="13.8" thickBot="1" x14ac:dyDescent="0.3">
      <c r="B231" s="70" t="s">
        <v>152</v>
      </c>
      <c r="C231" s="71"/>
      <c r="D231" s="72"/>
      <c r="E231" s="71"/>
      <c r="F231" s="158">
        <f>SUM(F223:F230)/1000</f>
        <v>0</v>
      </c>
      <c r="G231" s="70" t="s">
        <v>316</v>
      </c>
      <c r="H231" s="71"/>
    </row>
    <row r="232" spans="2:8" collapsed="1" x14ac:dyDescent="0.25">
      <c r="B232" s="73"/>
      <c r="C232" s="74"/>
      <c r="D232" s="75"/>
      <c r="E232" s="74"/>
      <c r="F232" s="76"/>
      <c r="G232" s="74"/>
      <c r="H232" s="77"/>
    </row>
    <row r="233" spans="2:8" ht="16.2" thickBot="1" x14ac:dyDescent="0.35">
      <c r="B233" s="3"/>
      <c r="C233" s="5"/>
      <c r="D233" s="24"/>
      <c r="E233" s="27" t="s">
        <v>34</v>
      </c>
      <c r="F233" s="33">
        <f ca="1">SUM(F36,F114,F218,F231)</f>
        <v>1.002</v>
      </c>
      <c r="G233" s="28" t="s">
        <v>316</v>
      </c>
      <c r="H233" s="10"/>
    </row>
    <row r="242" spans="4:4" x14ac:dyDescent="0.25">
      <c r="D242" s="29"/>
    </row>
  </sheetData>
  <dataConsolidate/>
  <mergeCells count="20">
    <mergeCell ref="B71:B96"/>
    <mergeCell ref="C94:E94"/>
    <mergeCell ref="C95:E95"/>
    <mergeCell ref="B221:H221"/>
    <mergeCell ref="H223:H230"/>
    <mergeCell ref="C1:D1"/>
    <mergeCell ref="E1:G1"/>
    <mergeCell ref="B2:E2"/>
    <mergeCell ref="F2:G2"/>
    <mergeCell ref="B3:H3"/>
    <mergeCell ref="B12:C12"/>
    <mergeCell ref="B20:C20"/>
    <mergeCell ref="B30:C30"/>
    <mergeCell ref="B116:H116"/>
    <mergeCell ref="B38:H38"/>
    <mergeCell ref="B39:C39"/>
    <mergeCell ref="B40:B42"/>
    <mergeCell ref="B44:B69"/>
    <mergeCell ref="C67:E67"/>
    <mergeCell ref="C68:E68"/>
  </mergeCells>
  <conditionalFormatting sqref="C9">
    <cfRule type="expression" dxfId="440" priority="266">
      <formula>NUM_CORE=1</formula>
    </cfRule>
  </conditionalFormatting>
  <conditionalFormatting sqref="C17:C19">
    <cfRule type="expression" dxfId="439" priority="258">
      <formula>NUM_PLL=1</formula>
    </cfRule>
  </conditionalFormatting>
  <conditionalFormatting sqref="C26">
    <cfRule type="expression" dxfId="438" priority="250">
      <formula>SelectedDevice&lt;&gt;PSoC62_2M</formula>
    </cfRule>
  </conditionalFormatting>
  <conditionalFormatting sqref="C118:C181">
    <cfRule type="expression" dxfId="437" priority="195">
      <formula>NOT($B$4)</formula>
    </cfRule>
  </conditionalFormatting>
  <conditionalFormatting sqref="D8">
    <cfRule type="expression" dxfId="436" priority="242">
      <formula>AND(Config1_SystemMode=SystemUlp,Config1_VoltageCore=1.1)</formula>
    </cfRule>
  </conditionalFormatting>
  <conditionalFormatting sqref="D9">
    <cfRule type="expression" dxfId="435" priority="265">
      <formula>AND(Config1_SystemMode=SystemDeepSleep,Config1_CM0p_CpuMode&lt;&gt;CpuDeepSleep)</formula>
    </cfRule>
    <cfRule type="expression" dxfId="434" priority="263" stopIfTrue="1">
      <formula>OR(NUM_CORE=1,Config1_SystemMode=SystemHibernate)</formula>
    </cfRule>
  </conditionalFormatting>
  <conditionalFormatting sqref="D10">
    <cfRule type="expression" dxfId="433" priority="264">
      <formula>AND(Config1_SystemMode=SystemDeepSleep,AND(Config1_CM4_CpuMode&lt;&gt;CpuOff,Config1_CM4_CpuMode&lt;&gt;CpuDeepSleep))</formula>
    </cfRule>
    <cfRule type="expression" dxfId="432" priority="262" stopIfTrue="1">
      <formula>Config1_SystemMode=SystemHibernate</formula>
    </cfRule>
  </conditionalFormatting>
  <conditionalFormatting sqref="D22:D26">
    <cfRule type="expression" dxfId="431" priority="247">
      <formula>NOT($B22)</formula>
    </cfRule>
  </conditionalFormatting>
  <conditionalFormatting sqref="D27">
    <cfRule type="expression" dxfId="430" priority="245">
      <formula>FLOOR(MOD(Config1_HFCLK0,$D$27),1)</formula>
    </cfRule>
  </conditionalFormatting>
  <conditionalFormatting sqref="D28">
    <cfRule type="expression" dxfId="429" priority="244">
      <formula>FLOOR(MOD(Config1_HFCLK0,$D$28),1)</formula>
    </cfRule>
  </conditionalFormatting>
  <conditionalFormatting sqref="D29">
    <cfRule type="expression" dxfId="428" priority="243">
      <formula>FLOOR(MOD($D$28,$D$29),1)</formula>
    </cfRule>
  </conditionalFormatting>
  <conditionalFormatting sqref="D40:D42">
    <cfRule type="expression" dxfId="427" priority="157">
      <formula>IF(SelectedDevice = "PSoC 62 (256KB)", FALSE, TRUE)</formula>
    </cfRule>
  </conditionalFormatting>
  <conditionalFormatting sqref="D47 D74">
    <cfRule type="expression" dxfId="426" priority="81">
      <formula>IF(AND($B$43, $D$45="2MHz Deep Sleep Clock", #REF!, $D$105 = "2MHz Deep Sleep Clock", $D$43 = "Triggered Sampling", #REF! = "Triggered Sampling"), IF($D$46 = $D$107, FALSE, TRUE), FALSE)</formula>
    </cfRule>
  </conditionalFormatting>
  <conditionalFormatting sqref="D47">
    <cfRule type="expression" dxfId="425" priority="80">
      <formula>IF($D$44="Triggered Sampling", FALSE, TRUE)</formula>
    </cfRule>
  </conditionalFormatting>
  <conditionalFormatting sqref="D74">
    <cfRule type="expression" dxfId="424" priority="45">
      <formula>IF($D$44="Triggered Sampling", FALSE, TRUE)</formula>
    </cfRule>
  </conditionalFormatting>
  <conditionalFormatting sqref="D13:E13">
    <cfRule type="expression" dxfId="423" priority="261">
      <formula>NOT($B$13)</formula>
    </cfRule>
  </conditionalFormatting>
  <conditionalFormatting sqref="D14:E16">
    <cfRule type="expression" dxfId="422" priority="260">
      <formula>NOT($B$14)</formula>
    </cfRule>
  </conditionalFormatting>
  <conditionalFormatting sqref="D17:E19">
    <cfRule type="expression" dxfId="421" priority="259">
      <formula>NOT($B$17)</formula>
    </cfRule>
    <cfRule type="expression" dxfId="420" priority="257">
      <formula>NUM_PLL=1</formula>
    </cfRule>
  </conditionalFormatting>
  <conditionalFormatting sqref="D21:E21">
    <cfRule type="expression" dxfId="419" priority="256">
      <formula>NOT($B21)</formula>
    </cfRule>
  </conditionalFormatting>
  <conditionalFormatting sqref="D26:E26">
    <cfRule type="expression" dxfId="418" priority="246">
      <formula>SelectedDevice&lt;&gt;PSoC62_2M</formula>
    </cfRule>
  </conditionalFormatting>
  <conditionalFormatting sqref="D35:E35">
    <cfRule type="expression" dxfId="417" priority="241">
      <formula>NOT($B$35)</formula>
    </cfRule>
  </conditionalFormatting>
  <conditionalFormatting sqref="D40:E41">
    <cfRule type="expression" dxfId="416" priority="181">
      <formula>IF(AND($D$8 = "System Deep Sleep", #REF! = "LPOSC"), FALSE, TRUE)</formula>
    </cfRule>
  </conditionalFormatting>
  <conditionalFormatting sqref="D44:E49">
    <cfRule type="expression" dxfId="415" priority="2">
      <formula>IF($I$46=TRUE,FALSE,TRUE)</formula>
    </cfRule>
  </conditionalFormatting>
  <conditionalFormatting sqref="D71:E76">
    <cfRule type="expression" dxfId="414" priority="11">
      <formula>IF($I$72=TRUE,FALSE,TRUE)</formula>
    </cfRule>
  </conditionalFormatting>
  <conditionalFormatting sqref="D118:E119">
    <cfRule type="expression" dxfId="413" priority="248">
      <formula>NOT($B$118)</formula>
    </cfRule>
  </conditionalFormatting>
  <conditionalFormatting sqref="D120:E121">
    <cfRule type="expression" dxfId="412" priority="239">
      <formula>NOT($B$120)</formula>
    </cfRule>
  </conditionalFormatting>
  <conditionalFormatting sqref="D122:E123">
    <cfRule type="expression" dxfId="411" priority="238">
      <formula>NOT($B$122)</formula>
    </cfRule>
  </conditionalFormatting>
  <conditionalFormatting sqref="D124:E125">
    <cfRule type="expression" dxfId="410" priority="236">
      <formula>NOT($B$124)</formula>
    </cfRule>
  </conditionalFormatting>
  <conditionalFormatting sqref="D126:E127">
    <cfRule type="expression" dxfId="409" priority="235">
      <formula>NOT($B$126)</formula>
    </cfRule>
  </conditionalFormatting>
  <conditionalFormatting sqref="D128:E129">
    <cfRule type="expression" dxfId="408" priority="233">
      <formula>NOT($B$128)</formula>
    </cfRule>
  </conditionalFormatting>
  <conditionalFormatting sqref="D130:E131">
    <cfRule type="expression" dxfId="407" priority="232">
      <formula>NOT($B$130)</formula>
    </cfRule>
  </conditionalFormatting>
  <conditionalFormatting sqref="D132:E133">
    <cfRule type="expression" dxfId="406" priority="230">
      <formula>NOT($B$132)</formula>
    </cfRule>
  </conditionalFormatting>
  <conditionalFormatting sqref="D134:E135">
    <cfRule type="expression" dxfId="405" priority="229">
      <formula>NOT($B$134)</formula>
    </cfRule>
  </conditionalFormatting>
  <conditionalFormatting sqref="D136:E137">
    <cfRule type="expression" dxfId="404" priority="227">
      <formula>NOT($B$136)</formula>
    </cfRule>
  </conditionalFormatting>
  <conditionalFormatting sqref="D138:E139">
    <cfRule type="expression" dxfId="403" priority="226">
      <formula>NOT($B$138)</formula>
    </cfRule>
  </conditionalFormatting>
  <conditionalFormatting sqref="D140:E141">
    <cfRule type="expression" dxfId="402" priority="224">
      <formula>NOT($B$140)</formula>
    </cfRule>
  </conditionalFormatting>
  <conditionalFormatting sqref="D142:E143">
    <cfRule type="expression" dxfId="401" priority="223">
      <formula>NOT($B$142)</formula>
    </cfRule>
  </conditionalFormatting>
  <conditionalFormatting sqref="D144:E145">
    <cfRule type="expression" dxfId="400" priority="221">
      <formula>NOT($B$144)</formula>
    </cfRule>
  </conditionalFormatting>
  <conditionalFormatting sqref="D146:E147">
    <cfRule type="expression" dxfId="399" priority="220">
      <formula>NOT($B$146)</formula>
    </cfRule>
  </conditionalFormatting>
  <conditionalFormatting sqref="D148:E149">
    <cfRule type="expression" dxfId="398" priority="218">
      <formula>NOT($B$148)</formula>
    </cfRule>
  </conditionalFormatting>
  <conditionalFormatting sqref="D150:E151">
    <cfRule type="expression" dxfId="397" priority="217">
      <formula>NOT($B$150)</formula>
    </cfRule>
  </conditionalFormatting>
  <conditionalFormatting sqref="D152:E153">
    <cfRule type="expression" dxfId="396" priority="215">
      <formula>NOT($B$152)</formula>
    </cfRule>
  </conditionalFormatting>
  <conditionalFormatting sqref="D154:E155">
    <cfRule type="expression" dxfId="395" priority="214">
      <formula>NOT($B$154)</formula>
    </cfRule>
  </conditionalFormatting>
  <conditionalFormatting sqref="D156:E157">
    <cfRule type="expression" dxfId="394" priority="212">
      <formula>NOT($B$156)</formula>
    </cfRule>
  </conditionalFormatting>
  <conditionalFormatting sqref="D158:E159">
    <cfRule type="expression" dxfId="393" priority="211">
      <formula>NOT($B$158)</formula>
    </cfRule>
  </conditionalFormatting>
  <conditionalFormatting sqref="D160:E161">
    <cfRule type="expression" dxfId="392" priority="209">
      <formula>NOT($B$160)</formula>
    </cfRule>
  </conditionalFormatting>
  <conditionalFormatting sqref="D162:E163">
    <cfRule type="expression" dxfId="391" priority="208">
      <formula>NOT($B$162)</formula>
    </cfRule>
  </conditionalFormatting>
  <conditionalFormatting sqref="D164:E165">
    <cfRule type="expression" dxfId="390" priority="206">
      <formula>NOT($B$164)</formula>
    </cfRule>
  </conditionalFormatting>
  <conditionalFormatting sqref="D166:E167">
    <cfRule type="expression" dxfId="389" priority="205">
      <formula>NOT($B$166)</formula>
    </cfRule>
  </conditionalFormatting>
  <conditionalFormatting sqref="D168:E169">
    <cfRule type="expression" dxfId="388" priority="203">
      <formula>NOT($B$168)</formula>
    </cfRule>
  </conditionalFormatting>
  <conditionalFormatting sqref="D170:E171">
    <cfRule type="expression" dxfId="387" priority="202">
      <formula>NOT($B$170)</formula>
    </cfRule>
  </conditionalFormatting>
  <conditionalFormatting sqref="D172:E173">
    <cfRule type="expression" dxfId="386" priority="200">
      <formula>NOT($B$172)</formula>
    </cfRule>
  </conditionalFormatting>
  <conditionalFormatting sqref="D174:E175">
    <cfRule type="expression" dxfId="385" priority="199">
      <formula>NOT($B$174)</formula>
    </cfRule>
  </conditionalFormatting>
  <conditionalFormatting sqref="D176:E177">
    <cfRule type="expression" dxfId="384" priority="197">
      <formula>NOT($B$176)</formula>
    </cfRule>
  </conditionalFormatting>
  <conditionalFormatting sqref="D178:E179">
    <cfRule type="expression" dxfId="383" priority="196">
      <formula>NOT($B$178)</formula>
    </cfRule>
  </conditionalFormatting>
  <conditionalFormatting sqref="D180:E181">
    <cfRule type="expression" dxfId="382" priority="194">
      <formula>NOT($B$180)</formula>
    </cfRule>
  </conditionalFormatting>
  <conditionalFormatting sqref="D184:E186">
    <cfRule type="expression" dxfId="381" priority="189">
      <formula>NOT($B$184)</formula>
    </cfRule>
  </conditionalFormatting>
  <conditionalFormatting sqref="D187:E189">
    <cfRule type="expression" dxfId="380" priority="187">
      <formula>NOT($B$187)</formula>
    </cfRule>
  </conditionalFormatting>
  <conditionalFormatting sqref="D190:E192">
    <cfRule type="expression" dxfId="379" priority="186">
      <formula>NOT($B$190)</formula>
    </cfRule>
  </conditionalFormatting>
  <conditionalFormatting sqref="D193:E195">
    <cfRule type="expression" dxfId="378" priority="188">
      <formula>NOT($B$193)</formula>
    </cfRule>
  </conditionalFormatting>
  <conditionalFormatting sqref="D196:E198">
    <cfRule type="expression" dxfId="377" priority="193">
      <formula>NOT($B$196)</formula>
    </cfRule>
  </conditionalFormatting>
  <conditionalFormatting sqref="D199:E201">
    <cfRule type="expression" dxfId="376" priority="191">
      <formula>NOT($B$199)</formula>
    </cfRule>
  </conditionalFormatting>
  <conditionalFormatting sqref="D202:E204">
    <cfRule type="expression" dxfId="375" priority="190">
      <formula>NOT($B$202)</formula>
    </cfRule>
  </conditionalFormatting>
  <conditionalFormatting sqref="D205:E207">
    <cfRule type="expression" dxfId="374" priority="192">
      <formula>NOT($B$205)</formula>
    </cfRule>
  </conditionalFormatting>
  <conditionalFormatting sqref="D208:E210">
    <cfRule type="expression" dxfId="373" priority="185">
      <formula>NOT($B$208)</formula>
    </cfRule>
  </conditionalFormatting>
  <conditionalFormatting sqref="D51:G66">
    <cfRule type="expression" dxfId="372" priority="61">
      <formula>IF($D$8 = "System Deep Sleep", IF(SelectedDevice = "PSoC 62 (256KB)", FALSE, TRUE), FALSE)</formula>
    </cfRule>
  </conditionalFormatting>
  <conditionalFormatting sqref="D51:H66 F67:G68">
    <cfRule type="expression" dxfId="371" priority="1">
      <formula>IF($I$46=TRUE,FALSE,TRUE)</formula>
    </cfRule>
  </conditionalFormatting>
  <conditionalFormatting sqref="D52:H52">
    <cfRule type="expression" dxfId="370" priority="59">
      <formula>IF($D$48 &gt;1, FALSE, TRUE)</formula>
    </cfRule>
  </conditionalFormatting>
  <conditionalFormatting sqref="D53:H53">
    <cfRule type="expression" dxfId="369" priority="58">
      <formula>IF($D$48 &gt;2, FALSE, TRUE)</formula>
    </cfRule>
  </conditionalFormatting>
  <conditionalFormatting sqref="D54:H54">
    <cfRule type="expression" dxfId="368" priority="57">
      <formula>IF($D$48 &gt;3, FALSE, TRUE)</formula>
    </cfRule>
  </conditionalFormatting>
  <conditionalFormatting sqref="D55:H55">
    <cfRule type="expression" dxfId="367" priority="65">
      <formula>IF($D$48 &gt;4, FALSE, TRUE)</formula>
    </cfRule>
  </conditionalFormatting>
  <conditionalFormatting sqref="D56:H56">
    <cfRule type="expression" dxfId="366" priority="62">
      <formula>IF($D$48 &gt;5, FALSE, TRUE)</formula>
    </cfRule>
  </conditionalFormatting>
  <conditionalFormatting sqref="D57:H57">
    <cfRule type="expression" dxfId="365" priority="56">
      <formula>IF($D$48 &gt;6, FALSE, TRUE)</formula>
    </cfRule>
  </conditionalFormatting>
  <conditionalFormatting sqref="D58:H58">
    <cfRule type="expression" dxfId="364" priority="55">
      <formula>IF($D$48 &gt;7, FALSE, TRUE)</formula>
    </cfRule>
  </conditionalFormatting>
  <conditionalFormatting sqref="D59:H59">
    <cfRule type="expression" dxfId="363" priority="54">
      <formula>IF($D$48 &gt;8, FALSE, TRUE)</formula>
    </cfRule>
  </conditionalFormatting>
  <conditionalFormatting sqref="D60:H60">
    <cfRule type="expression" dxfId="362" priority="53">
      <formula>IF($D$48 &gt;9, FALSE, TRUE)</formula>
    </cfRule>
  </conditionalFormatting>
  <conditionalFormatting sqref="D61:H61">
    <cfRule type="expression" dxfId="361" priority="52">
      <formula>IF($D$48 &gt;10, FALSE, TRUE)</formula>
    </cfRule>
  </conditionalFormatting>
  <conditionalFormatting sqref="D62:H62">
    <cfRule type="expression" dxfId="360" priority="51">
      <formula>IF($D$48 &gt;11, FALSE, TRUE)</formula>
    </cfRule>
  </conditionalFormatting>
  <conditionalFormatting sqref="D63:H63">
    <cfRule type="expression" dxfId="359" priority="50">
      <formula>IF($D$48 &gt;12, FALSE, TRUE)</formula>
    </cfRule>
  </conditionalFormatting>
  <conditionalFormatting sqref="D64:H64">
    <cfRule type="expression" dxfId="358" priority="49">
      <formula>IF($D$48 &gt;13, FALSE, TRUE)</formula>
    </cfRule>
  </conditionalFormatting>
  <conditionalFormatting sqref="D65:H65">
    <cfRule type="expression" dxfId="357" priority="48">
      <formula>IF($D$48 &gt;14, FALSE, TRUE)</formula>
    </cfRule>
  </conditionalFormatting>
  <conditionalFormatting sqref="D66:H66">
    <cfRule type="expression" dxfId="356" priority="46">
      <formula>IF($D$48 &gt;15, FALSE, TRUE)</formula>
    </cfRule>
  </conditionalFormatting>
  <conditionalFormatting sqref="D78:H93 F94:G95">
    <cfRule type="expression" dxfId="355" priority="27">
      <formula>IF($I$72=TRUE,FALSE,TRUE)</formula>
    </cfRule>
  </conditionalFormatting>
  <conditionalFormatting sqref="D79:H79">
    <cfRule type="expression" dxfId="354" priority="6">
      <formula>IF($D$75 &gt;1, FALSE, TRUE)</formula>
    </cfRule>
  </conditionalFormatting>
  <conditionalFormatting sqref="D80:H80">
    <cfRule type="expression" dxfId="353" priority="24">
      <formula>IF($D$75 &gt;2, FALSE, TRUE)</formula>
    </cfRule>
  </conditionalFormatting>
  <conditionalFormatting sqref="D81:H81">
    <cfRule type="expression" dxfId="352" priority="23">
      <formula>IF($D$75 &gt;3, FALSE, TRUE)</formula>
    </cfRule>
  </conditionalFormatting>
  <conditionalFormatting sqref="D82:H82">
    <cfRule type="expression" dxfId="351" priority="30">
      <formula>IF($D$75 &gt;4, FALSE, TRUE)</formula>
    </cfRule>
  </conditionalFormatting>
  <conditionalFormatting sqref="D83:H83">
    <cfRule type="expression" dxfId="350" priority="28">
      <formula>IF($D$75 &gt;5, FALSE, TRUE)</formula>
    </cfRule>
  </conditionalFormatting>
  <conditionalFormatting sqref="D84:H84">
    <cfRule type="expression" dxfId="349" priority="22">
      <formula>IF($D$75 &gt;6, FALSE, TRUE)</formula>
    </cfRule>
  </conditionalFormatting>
  <conditionalFormatting sqref="D85:H85">
    <cfRule type="expression" dxfId="348" priority="21">
      <formula>IF($D$75 &gt;7, FALSE, TRUE)</formula>
    </cfRule>
  </conditionalFormatting>
  <conditionalFormatting sqref="D86:H86">
    <cfRule type="expression" dxfId="347" priority="20">
      <formula>IF($D$75 &gt;8, FALSE, TRUE)</formula>
    </cfRule>
  </conditionalFormatting>
  <conditionalFormatting sqref="D87:H87">
    <cfRule type="expression" dxfId="346" priority="19">
      <formula>IF($D$75 &gt;9, FALSE, TRUE)</formula>
    </cfRule>
  </conditionalFormatting>
  <conditionalFormatting sqref="D88:H88">
    <cfRule type="expression" dxfId="345" priority="18">
      <formula>IF($D$75 &gt;10, FALSE, TRUE)</formula>
    </cfRule>
  </conditionalFormatting>
  <conditionalFormatting sqref="D89:H89">
    <cfRule type="expression" dxfId="344" priority="17">
      <formula>IF($D$75 &gt;11, FALSE, TRUE)</formula>
    </cfRule>
  </conditionalFormatting>
  <conditionalFormatting sqref="D90:H90">
    <cfRule type="expression" dxfId="343" priority="16">
      <formula>IF($D$75 &gt;12, FALSE, TRUE)</formula>
    </cfRule>
  </conditionalFormatting>
  <conditionalFormatting sqref="D91:H91">
    <cfRule type="expression" dxfId="342" priority="15">
      <formula>IF($D$75 &gt;13, FALSE, TRUE)</formula>
    </cfRule>
  </conditionalFormatting>
  <conditionalFormatting sqref="D92:H92">
    <cfRule type="expression" dxfId="341" priority="14">
      <formula>IF($D$75 &gt;14, FALSE, TRUE)</formula>
    </cfRule>
  </conditionalFormatting>
  <conditionalFormatting sqref="D93:H93">
    <cfRule type="expression" dxfId="340" priority="12">
      <formula>IF($D$75 &gt;15, FALSE, TRUE)</formula>
    </cfRule>
  </conditionalFormatting>
  <conditionalFormatting sqref="E22">
    <cfRule type="expression" dxfId="339" priority="255">
      <formula>NOT($B$22)</formula>
    </cfRule>
  </conditionalFormatting>
  <conditionalFormatting sqref="E23">
    <cfRule type="expression" dxfId="338" priority="254">
      <formula>NOT($B$23)</formula>
    </cfRule>
  </conditionalFormatting>
  <conditionalFormatting sqref="E24">
    <cfRule type="expression" dxfId="337" priority="253">
      <formula>NOT($B$24)</formula>
    </cfRule>
  </conditionalFormatting>
  <conditionalFormatting sqref="E25">
    <cfRule type="expression" dxfId="336" priority="252">
      <formula>NOT($B$25)</formula>
    </cfRule>
  </conditionalFormatting>
  <conditionalFormatting sqref="E26">
    <cfRule type="expression" dxfId="335" priority="251">
      <formula>NOT($B$26)</formula>
    </cfRule>
  </conditionalFormatting>
  <conditionalFormatting sqref="F53:F66">
    <cfRule type="expression" dxfId="334" priority="8">
      <formula>IF($D$48 &gt;1, FALSE, TRUE)</formula>
    </cfRule>
  </conditionalFormatting>
  <conditionalFormatting sqref="F68">
    <cfRule type="expression" dxfId="333" priority="63">
      <formula>IF($F$68 &gt; (1000/$D$47), TRUE, FALSE)</formula>
    </cfRule>
  </conditionalFormatting>
  <conditionalFormatting sqref="F69">
    <cfRule type="expression" dxfId="332" priority="64">
      <formula>IF($F$69&gt;=0, FALSE, TRUE)</formula>
    </cfRule>
  </conditionalFormatting>
  <conditionalFormatting sqref="F79">
    <cfRule type="expression" dxfId="331" priority="7">
      <formula>IF($D$8 = "System Deep Sleep", IF(SelectedDevice = "PSoC 62 (256KB)", FALSE, TRUE), FALSE)</formula>
    </cfRule>
    <cfRule type="expression" dxfId="330" priority="5">
      <formula>OR(NOT($B$71), NOT(SelectedDevice = "PSoC 62 (256KB)"))</formula>
    </cfRule>
  </conditionalFormatting>
  <conditionalFormatting sqref="F81:F93">
    <cfRule type="expression" dxfId="329" priority="4">
      <formula>IF($D$75 &gt;2, FALSE, TRUE)</formula>
    </cfRule>
  </conditionalFormatting>
  <conditionalFormatting sqref="F85">
    <cfRule type="expression" dxfId="328" priority="3">
      <formula>IF($D$75 &gt;6, FALSE, TRUE)</formula>
    </cfRule>
  </conditionalFormatting>
  <conditionalFormatting sqref="F95">
    <cfRule type="expression" dxfId="327" priority="29">
      <formula>IF($F$68 &gt; (1000/$D$47), TRUE, FALSE)</formula>
    </cfRule>
  </conditionalFormatting>
  <conditionalFormatting sqref="F96">
    <cfRule type="expression" dxfId="326" priority="9">
      <formula>IF($F$96&gt;=0, FALSE, TRUE)</formula>
    </cfRule>
  </conditionalFormatting>
  <conditionalFormatting sqref="G51">
    <cfRule type="expression" dxfId="325" priority="60">
      <formula>IF($G$51 = 0, TRUE, FALSE)</formula>
    </cfRule>
  </conditionalFormatting>
  <conditionalFormatting sqref="G52">
    <cfRule type="expression" dxfId="324" priority="79">
      <formula>IF($G$52 = 0, TRUE, FALSE)</formula>
    </cfRule>
  </conditionalFormatting>
  <conditionalFormatting sqref="G53">
    <cfRule type="expression" dxfId="323" priority="78">
      <formula>IF($G$53 = 0, TRUE, FALSE)</formula>
    </cfRule>
  </conditionalFormatting>
  <conditionalFormatting sqref="G54">
    <cfRule type="expression" dxfId="322" priority="77">
      <formula>IF($G$54 = 0, TRUE, FALSE)</formula>
    </cfRule>
  </conditionalFormatting>
  <conditionalFormatting sqref="G55">
    <cfRule type="expression" dxfId="321" priority="76">
      <formula>IF($G$55 = 0, TRUE, FALSE)</formula>
    </cfRule>
  </conditionalFormatting>
  <conditionalFormatting sqref="G56">
    <cfRule type="expression" dxfId="320" priority="75">
      <formula>IF($G$56 = 0, TRUE, FALSE)</formula>
    </cfRule>
  </conditionalFormatting>
  <conditionalFormatting sqref="G57">
    <cfRule type="expression" dxfId="319" priority="74">
      <formula>IF($G$57 = 0, TRUE, FALSE)</formula>
    </cfRule>
  </conditionalFormatting>
  <conditionalFormatting sqref="G58">
    <cfRule type="expression" dxfId="318" priority="73">
      <formula>IF($G$58 = 0, TRUE, FALSE)</formula>
    </cfRule>
  </conditionalFormatting>
  <conditionalFormatting sqref="G59">
    <cfRule type="expression" dxfId="317" priority="72">
      <formula>IF($G$59 = 0, TRUE, FALSE)</formula>
    </cfRule>
  </conditionalFormatting>
  <conditionalFormatting sqref="G60">
    <cfRule type="expression" dxfId="316" priority="71">
      <formula>IF($G$60 = 0, TRUE, FALSE)</formula>
    </cfRule>
  </conditionalFormatting>
  <conditionalFormatting sqref="G61">
    <cfRule type="expression" dxfId="315" priority="70">
      <formula>IF($G$61 = 0, TRUE, FALSE)</formula>
    </cfRule>
  </conditionalFormatting>
  <conditionalFormatting sqref="G62">
    <cfRule type="expression" dxfId="314" priority="69">
      <formula>IF($G$62 = 0, TRUE, FALSE)</formula>
    </cfRule>
  </conditionalFormatting>
  <conditionalFormatting sqref="G63">
    <cfRule type="expression" dxfId="313" priority="68">
      <formula>IF($G$63 = 0, TRUE, FALSE)</formula>
    </cfRule>
  </conditionalFormatting>
  <conditionalFormatting sqref="G64">
    <cfRule type="expression" dxfId="312" priority="67">
      <formula>IF($G$64 = 0, TRUE, FALSE)</formula>
    </cfRule>
  </conditionalFormatting>
  <conditionalFormatting sqref="G65">
    <cfRule type="expression" dxfId="311" priority="66">
      <formula>IF($G$65 = 0, TRUE, FALSE)</formula>
    </cfRule>
  </conditionalFormatting>
  <conditionalFormatting sqref="G66">
    <cfRule type="expression" dxfId="310" priority="47">
      <formula>IF($G$66 = 0, TRUE, FALSE)</formula>
    </cfRule>
  </conditionalFormatting>
  <conditionalFormatting sqref="G78">
    <cfRule type="expression" dxfId="309" priority="26">
      <formula>IF($G$51 = 0, TRUE, FALSE)</formula>
    </cfRule>
  </conditionalFormatting>
  <conditionalFormatting sqref="G79">
    <cfRule type="expression" dxfId="308" priority="44">
      <formula>IF($G$52 = 0, TRUE, FALSE)</formula>
    </cfRule>
  </conditionalFormatting>
  <conditionalFormatting sqref="G80">
    <cfRule type="expression" dxfId="307" priority="43">
      <formula>IF($G$53 = 0, TRUE, FALSE)</formula>
    </cfRule>
  </conditionalFormatting>
  <conditionalFormatting sqref="G81">
    <cfRule type="expression" dxfId="306" priority="42">
      <formula>IF($G$54 = 0, TRUE, FALSE)</formula>
    </cfRule>
  </conditionalFormatting>
  <conditionalFormatting sqref="G82">
    <cfRule type="expression" dxfId="305" priority="41">
      <formula>IF($G$55 = 0, TRUE, FALSE)</formula>
    </cfRule>
  </conditionalFormatting>
  <conditionalFormatting sqref="G83">
    <cfRule type="expression" dxfId="304" priority="40">
      <formula>IF($G$56 = 0, TRUE, FALSE)</formula>
    </cfRule>
  </conditionalFormatting>
  <conditionalFormatting sqref="G84">
    <cfRule type="expression" dxfId="303" priority="39">
      <formula>IF($G$57 = 0, TRUE, FALSE)</formula>
    </cfRule>
  </conditionalFormatting>
  <conditionalFormatting sqref="G85">
    <cfRule type="expression" dxfId="302" priority="38">
      <formula>IF($G$58 = 0, TRUE, FALSE)</formula>
    </cfRule>
  </conditionalFormatting>
  <conditionalFormatting sqref="G86">
    <cfRule type="expression" dxfId="301" priority="37">
      <formula>IF($G$59 = 0, TRUE, FALSE)</formula>
    </cfRule>
  </conditionalFormatting>
  <conditionalFormatting sqref="G87">
    <cfRule type="expression" dxfId="300" priority="36">
      <formula>IF($G$60 = 0, TRUE, FALSE)</formula>
    </cfRule>
  </conditionalFormatting>
  <conditionalFormatting sqref="G88">
    <cfRule type="expression" dxfId="299" priority="35">
      <formula>IF($G$61 = 0, TRUE, FALSE)</formula>
    </cfRule>
  </conditionalFormatting>
  <conditionalFormatting sqref="G89">
    <cfRule type="expression" dxfId="298" priority="34">
      <formula>IF($G$62 = 0, TRUE, FALSE)</formula>
    </cfRule>
  </conditionalFormatting>
  <conditionalFormatting sqref="G90">
    <cfRule type="expression" dxfId="297" priority="33">
      <formula>IF($G$63 = 0, TRUE, FALSE)</formula>
    </cfRule>
  </conditionalFormatting>
  <conditionalFormatting sqref="G91">
    <cfRule type="expression" dxfId="296" priority="32">
      <formula>IF($G$64 = 0, TRUE, FALSE)</formula>
    </cfRule>
  </conditionalFormatting>
  <conditionalFormatting sqref="G92">
    <cfRule type="expression" dxfId="295" priority="31">
      <formula>IF($G$65 = 0, TRUE, FALSE)</formula>
    </cfRule>
  </conditionalFormatting>
  <conditionalFormatting sqref="G93">
    <cfRule type="expression" dxfId="294" priority="13">
      <formula>IF($G$66 = 0, TRUE, FALSE)</formula>
    </cfRule>
  </conditionalFormatting>
  <dataValidations count="24">
    <dataValidation type="decimal" allowBlank="1" showInputMessage="1" showErrorMessage="1" sqref="D219:D220" xr:uid="{FF412FCA-2036-4794-A01F-F3980126AAD7}">
      <formula1>0</formula1>
      <formula2>8</formula2>
    </dataValidation>
    <dataValidation type="decimal" allowBlank="1" showInputMessage="1" showErrorMessage="1" sqref="D218 D36 D216 D213 D111 D113" xr:uid="{D136C5B8-193D-41F3-A0D8-867FED721F5A}">
      <formula1>0</formula1>
      <formula2>24</formula2>
    </dataValidation>
    <dataValidation type="decimal" allowBlank="1" showInputMessage="1" showErrorMessage="1" sqref="D182 D37" xr:uid="{3593D8B1-A9F4-42CF-972C-26B216413D40}">
      <formula1>0</formula1>
      <formula2>48</formula2>
    </dataValidation>
    <dataValidation type="list" allowBlank="1" showInputMessage="1" showErrorMessage="1" sqref="D32:D34" xr:uid="{58ECE342-9E12-4F20-835D-68C9682F73E5}">
      <formula1>"Enabled,Disabled"</formula1>
    </dataValidation>
    <dataValidation type="decimal" allowBlank="1" showInputMessage="1" showErrorMessage="1" sqref="D109" xr:uid="{3CEC26ED-84B7-4DD2-AE9E-7EF53DF0ADB9}">
      <formula1>0</formula1>
      <formula2>4</formula2>
    </dataValidation>
    <dataValidation type="list" allowBlank="1" showInputMessage="1" showErrorMessage="1" sqref="D214" xr:uid="{9C3D98CC-7F24-46D8-AA15-BE3236F22B89}">
      <formula1>"Yes,No"</formula1>
    </dataValidation>
    <dataValidation type="decimal" allowBlank="1" showInputMessage="1" showErrorMessage="1" sqref="C97 C52:C66 C79:C93" xr:uid="{71037B0B-7F8C-4A88-8BBC-CF966E56863F}">
      <formula1>0</formula1>
      <formula2>1000</formula2>
    </dataValidation>
    <dataValidation type="list" allowBlank="1" showInputMessage="1" showErrorMessage="1" sqref="D45 D72" xr:uid="{7BD0DEF5-5E8E-4CF4-A0C8-F818A5C4F427}">
      <formula1>"System bandgap, Vdda, Vdda/2"</formula1>
    </dataValidation>
    <dataValidation type="decimal" allowBlank="1" showInputMessage="1" showErrorMessage="1" sqref="D207 D198 D201 D204 D195 D186 D189 D192 D210" xr:uid="{F86E5A4C-D716-440D-9373-6D4230C0463E}">
      <formula1>0</formula1>
      <formula2>100000</formula2>
    </dataValidation>
    <dataValidation type="decimal" allowBlank="1" showInputMessage="1" showErrorMessage="1" sqref="D35" xr:uid="{B9399099-AFBF-4571-977D-C85064F178C2}">
      <formula1>4</formula1>
      <formula2>35</formula2>
    </dataValidation>
    <dataValidation type="list" allowBlank="1" showInputMessage="1" showErrorMessage="1" promptTitle="Select the PSoC family." sqref="D7" xr:uid="{DDA18D2B-92A4-4EAB-97BB-3C5C6AC8EBD8}">
      <formula1>"0.9,1.1"</formula1>
    </dataValidation>
    <dataValidation type="list" allowBlank="1" showInputMessage="1" showErrorMessage="1" sqref="D21:D26" xr:uid="{DB59E861-D27A-4363-8DC8-6D83CFD38C42}">
      <formula1>Dividers</formula1>
    </dataValidation>
    <dataValidation type="list" allowBlank="1" showInputMessage="1" showErrorMessage="1" sqref="E21:E26" xr:uid="{7995B6C1-0474-476B-8685-5971BAAA689F}">
      <formula1>"FLL, PLL, IMO, ECO"</formula1>
    </dataValidation>
    <dataValidation type="decimal" allowBlank="1" showInputMessage="1" showErrorMessage="1" promptTitle="Select the PSoC family." sqref="D5" xr:uid="{E5F38332-6981-4EFC-955A-ABE8D7BCACF6}">
      <formula1>1.7</formula1>
      <formula2>3.6</formula2>
    </dataValidation>
    <dataValidation type="decimal" allowBlank="1" showInputMessage="1" showErrorMessage="1" sqref="D16 D19" xr:uid="{F97F3B9F-3C44-4F6D-B589-1A241446052B}">
      <formula1>1</formula1>
      <formula2>18</formula2>
    </dataValidation>
    <dataValidation type="decimal" allowBlank="1" showInputMessage="1" showErrorMessage="1" sqref="D14 D17 D27" xr:uid="{253CCE02-5111-44B5-9C82-82D1666C5468}">
      <formula1>0</formula1>
      <formula2>150</formula2>
    </dataValidation>
    <dataValidation type="decimal" allowBlank="1" showInputMessage="1" showErrorMessage="1" sqref="D15 D18" xr:uid="{32A7C4A6-73AA-4436-889A-AFE9B31DB039}">
      <formula1>22</formula1>
      <formula2>112</formula2>
    </dataValidation>
    <dataValidation type="decimal" allowBlank="1" showInputMessage="1" showErrorMessage="1" sqref="D13 D28:D29 D119 D121 D123 D125 D127 D129 D131 D133 D135 D137 D139 D141 D143 D145 D147 D149 D151 D153 D155 D157 D159 D161 D163 D165 D167 D169 D171 D173 D175 D177 D179 D181" xr:uid="{6D0FB01E-3317-4303-87C2-FA3B72565BB7}">
      <formula1>0</formula1>
      <formula2>100</formula2>
    </dataValidation>
    <dataValidation type="decimal" allowBlank="1" showInputMessage="1" showErrorMessage="1" sqref="D48 D75" xr:uid="{A86821DF-BC55-41AA-A253-42482F1EF7DE}">
      <formula1>1</formula1>
      <formula2>16</formula2>
    </dataValidation>
    <dataValidation type="list" allowBlank="1" showInputMessage="1" showErrorMessage="1" sqref="D40 E97 E51:E66 E78:E93" xr:uid="{77A76A70-341E-4F71-AEAD-E40B84EAA329}">
      <formula1>"Enabled, Disabled"</formula1>
    </dataValidation>
    <dataValidation type="decimal" allowBlank="1" showInputMessage="1" showErrorMessage="1" sqref="D41" xr:uid="{8979BC82-AC9A-454B-AADC-E03871C4BA41}">
      <formula1>0</formula1>
      <formula2>127.5</formula2>
    </dataValidation>
    <dataValidation type="decimal" allowBlank="1" showInputMessage="1" showErrorMessage="1" sqref="D42" xr:uid="{E54211F5-00C3-4C1F-8FA1-B37A74F95974}">
      <formula1>1</formula1>
      <formula2>256</formula2>
    </dataValidation>
    <dataValidation type="list" allowBlank="1" showInputMessage="1" showErrorMessage="1" sqref="D98" xr:uid="{FC889A06-66A6-4D31-A60A-FF5E185DF089}">
      <formula1>"100nA, 1uA"</formula1>
    </dataValidation>
    <dataValidation type="list" allowBlank="1" showInputMessage="1" showErrorMessage="1" sqref="D101 D103" xr:uid="{2A87FD1E-899D-44E0-B670-C228F16CBC63}">
      <formula1>"High, Medium, Low, Off"</formula1>
    </dataValidation>
  </dataValidations>
  <hyperlinks>
    <hyperlink ref="K2" location="Summary!A1" display="Go Back to Summary Page" xr:uid="{00000000-0004-0000-0400-000000000000}"/>
  </hyperlinks>
  <pageMargins left="0.75" right="0.75" top="1" bottom="1" header="0.5" footer="0.5"/>
  <pageSetup scale="5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3553" r:id="rId4" name="Check Box 1">
              <controlPr locked="0" defaultSize="0" autoFill="0" autoLine="0" autoPict="0">
                <anchor moveWithCells="1">
                  <from>
                    <xdr:col>1</xdr:col>
                    <xdr:colOff>22860</xdr:colOff>
                    <xdr:row>11</xdr:row>
                    <xdr:rowOff>144780</xdr:rowOff>
                  </from>
                  <to>
                    <xdr:col>2</xdr:col>
                    <xdr:colOff>525780</xdr:colOff>
                    <xdr:row>13</xdr:row>
                    <xdr:rowOff>22860</xdr:rowOff>
                  </to>
                </anchor>
              </controlPr>
            </control>
          </mc:Choice>
        </mc:AlternateContent>
        <mc:AlternateContent xmlns:mc="http://schemas.openxmlformats.org/markup-compatibility/2006">
          <mc:Choice Requires="x14">
            <control shapeId="23554" r:id="rId5" name="Check Box 2">
              <controlPr locked="0" defaultSize="0" autoFill="0" autoLine="0" autoPict="0">
                <anchor moveWithCells="1">
                  <from>
                    <xdr:col>1</xdr:col>
                    <xdr:colOff>22860</xdr:colOff>
                    <xdr:row>12</xdr:row>
                    <xdr:rowOff>152400</xdr:rowOff>
                  </from>
                  <to>
                    <xdr:col>2</xdr:col>
                    <xdr:colOff>525780</xdr:colOff>
                    <xdr:row>14</xdr:row>
                    <xdr:rowOff>22860</xdr:rowOff>
                  </to>
                </anchor>
              </controlPr>
            </control>
          </mc:Choice>
        </mc:AlternateContent>
        <mc:AlternateContent xmlns:mc="http://schemas.openxmlformats.org/markup-compatibility/2006">
          <mc:Choice Requires="x14">
            <control shapeId="23555" r:id="rId6" name="Check Box 3">
              <controlPr locked="0" defaultSize="0" autoFill="0" autoLine="0" autoPict="0">
                <anchor moveWithCells="1">
                  <from>
                    <xdr:col>1</xdr:col>
                    <xdr:colOff>22860</xdr:colOff>
                    <xdr:row>15</xdr:row>
                    <xdr:rowOff>144780</xdr:rowOff>
                  </from>
                  <to>
                    <xdr:col>2</xdr:col>
                    <xdr:colOff>525780</xdr:colOff>
                    <xdr:row>16</xdr:row>
                    <xdr:rowOff>152400</xdr:rowOff>
                  </to>
                </anchor>
              </controlPr>
            </control>
          </mc:Choice>
        </mc:AlternateContent>
        <mc:AlternateContent xmlns:mc="http://schemas.openxmlformats.org/markup-compatibility/2006">
          <mc:Choice Requires="x14">
            <control shapeId="23556" r:id="rId7" name="Check Box 4">
              <controlPr locked="0" defaultSize="0" autoFill="0" autoLine="0" autoPict="0">
                <anchor moveWithCells="1">
                  <from>
                    <xdr:col>1</xdr:col>
                    <xdr:colOff>22860</xdr:colOff>
                    <xdr:row>20</xdr:row>
                    <xdr:rowOff>144780</xdr:rowOff>
                  </from>
                  <to>
                    <xdr:col>2</xdr:col>
                    <xdr:colOff>525780</xdr:colOff>
                    <xdr:row>22</xdr:row>
                    <xdr:rowOff>22860</xdr:rowOff>
                  </to>
                </anchor>
              </controlPr>
            </control>
          </mc:Choice>
        </mc:AlternateContent>
        <mc:AlternateContent xmlns:mc="http://schemas.openxmlformats.org/markup-compatibility/2006">
          <mc:Choice Requires="x14">
            <control shapeId="23557" r:id="rId8" name="Check Box 5">
              <controlPr locked="0" defaultSize="0" autoFill="0" autoLine="0" autoPict="0">
                <anchor moveWithCells="1">
                  <from>
                    <xdr:col>1</xdr:col>
                    <xdr:colOff>22860</xdr:colOff>
                    <xdr:row>21</xdr:row>
                    <xdr:rowOff>144780</xdr:rowOff>
                  </from>
                  <to>
                    <xdr:col>2</xdr:col>
                    <xdr:colOff>525780</xdr:colOff>
                    <xdr:row>23</xdr:row>
                    <xdr:rowOff>22860</xdr:rowOff>
                  </to>
                </anchor>
              </controlPr>
            </control>
          </mc:Choice>
        </mc:AlternateContent>
        <mc:AlternateContent xmlns:mc="http://schemas.openxmlformats.org/markup-compatibility/2006">
          <mc:Choice Requires="x14">
            <control shapeId="23558" r:id="rId9" name="Check Box 6">
              <controlPr locked="0" defaultSize="0" autoFill="0" autoLine="0" autoPict="0">
                <anchor moveWithCells="1">
                  <from>
                    <xdr:col>1</xdr:col>
                    <xdr:colOff>22860</xdr:colOff>
                    <xdr:row>22</xdr:row>
                    <xdr:rowOff>144780</xdr:rowOff>
                  </from>
                  <to>
                    <xdr:col>2</xdr:col>
                    <xdr:colOff>525780</xdr:colOff>
                    <xdr:row>24</xdr:row>
                    <xdr:rowOff>22860</xdr:rowOff>
                  </to>
                </anchor>
              </controlPr>
            </control>
          </mc:Choice>
        </mc:AlternateContent>
        <mc:AlternateContent xmlns:mc="http://schemas.openxmlformats.org/markup-compatibility/2006">
          <mc:Choice Requires="x14">
            <control shapeId="23559" r:id="rId10" name="Check Box 7">
              <controlPr locked="0" defaultSize="0" autoFill="0" autoLine="0" autoPict="0">
                <anchor moveWithCells="1">
                  <from>
                    <xdr:col>1</xdr:col>
                    <xdr:colOff>22860</xdr:colOff>
                    <xdr:row>23</xdr:row>
                    <xdr:rowOff>144780</xdr:rowOff>
                  </from>
                  <to>
                    <xdr:col>2</xdr:col>
                    <xdr:colOff>525780</xdr:colOff>
                    <xdr:row>25</xdr:row>
                    <xdr:rowOff>22860</xdr:rowOff>
                  </to>
                </anchor>
              </controlPr>
            </control>
          </mc:Choice>
        </mc:AlternateContent>
        <mc:AlternateContent xmlns:mc="http://schemas.openxmlformats.org/markup-compatibility/2006">
          <mc:Choice Requires="x14">
            <control shapeId="23560" r:id="rId11" name="Check Box 8">
              <controlPr locked="0" defaultSize="0" autoFill="0" autoLine="0" autoPict="0">
                <anchor moveWithCells="1">
                  <from>
                    <xdr:col>1</xdr:col>
                    <xdr:colOff>22860</xdr:colOff>
                    <xdr:row>24</xdr:row>
                    <xdr:rowOff>137160</xdr:rowOff>
                  </from>
                  <to>
                    <xdr:col>1</xdr:col>
                    <xdr:colOff>213360</xdr:colOff>
                    <xdr:row>26</xdr:row>
                    <xdr:rowOff>22860</xdr:rowOff>
                  </to>
                </anchor>
              </controlPr>
            </control>
          </mc:Choice>
        </mc:AlternateContent>
        <mc:AlternateContent xmlns:mc="http://schemas.openxmlformats.org/markup-compatibility/2006">
          <mc:Choice Requires="x14">
            <control shapeId="23561" r:id="rId12" name="Check Box 9">
              <controlPr locked="0" defaultSize="0" autoFill="0" autoLine="0" autoPict="0">
                <anchor moveWithCells="1">
                  <from>
                    <xdr:col>1</xdr:col>
                    <xdr:colOff>22860</xdr:colOff>
                    <xdr:row>116</xdr:row>
                    <xdr:rowOff>152400</xdr:rowOff>
                  </from>
                  <to>
                    <xdr:col>2</xdr:col>
                    <xdr:colOff>525780</xdr:colOff>
                    <xdr:row>118</xdr:row>
                    <xdr:rowOff>22860</xdr:rowOff>
                  </to>
                </anchor>
              </controlPr>
            </control>
          </mc:Choice>
        </mc:AlternateContent>
        <mc:AlternateContent xmlns:mc="http://schemas.openxmlformats.org/markup-compatibility/2006">
          <mc:Choice Requires="x14">
            <control shapeId="23562" r:id="rId13" name="Check Box 10">
              <controlPr locked="0" defaultSize="0" autoFill="0" autoLine="0" autoPict="0">
                <anchor moveWithCells="1">
                  <from>
                    <xdr:col>1</xdr:col>
                    <xdr:colOff>22860</xdr:colOff>
                    <xdr:row>118</xdr:row>
                    <xdr:rowOff>144780</xdr:rowOff>
                  </from>
                  <to>
                    <xdr:col>2</xdr:col>
                    <xdr:colOff>525780</xdr:colOff>
                    <xdr:row>120</xdr:row>
                    <xdr:rowOff>22860</xdr:rowOff>
                  </to>
                </anchor>
              </controlPr>
            </control>
          </mc:Choice>
        </mc:AlternateContent>
        <mc:AlternateContent xmlns:mc="http://schemas.openxmlformats.org/markup-compatibility/2006">
          <mc:Choice Requires="x14">
            <control shapeId="23563" r:id="rId14" name="Check Box 11">
              <controlPr locked="0" defaultSize="0" autoFill="0" autoLine="0" autoPict="0">
                <anchor moveWithCells="1">
                  <from>
                    <xdr:col>1</xdr:col>
                    <xdr:colOff>22860</xdr:colOff>
                    <xdr:row>33</xdr:row>
                    <xdr:rowOff>137160</xdr:rowOff>
                  </from>
                  <to>
                    <xdr:col>2</xdr:col>
                    <xdr:colOff>0</xdr:colOff>
                    <xdr:row>35</xdr:row>
                    <xdr:rowOff>22860</xdr:rowOff>
                  </to>
                </anchor>
              </controlPr>
            </control>
          </mc:Choice>
        </mc:AlternateContent>
        <mc:AlternateContent xmlns:mc="http://schemas.openxmlformats.org/markup-compatibility/2006">
          <mc:Choice Requires="x14">
            <control shapeId="23564" r:id="rId15" name="Check Box 12">
              <controlPr locked="0" defaultSize="0" autoFill="0" autoLine="0" autoPict="0">
                <anchor moveWithCells="1">
                  <from>
                    <xdr:col>1</xdr:col>
                    <xdr:colOff>22860</xdr:colOff>
                    <xdr:row>120</xdr:row>
                    <xdr:rowOff>152400</xdr:rowOff>
                  </from>
                  <to>
                    <xdr:col>2</xdr:col>
                    <xdr:colOff>525780</xdr:colOff>
                    <xdr:row>122</xdr:row>
                    <xdr:rowOff>22860</xdr:rowOff>
                  </to>
                </anchor>
              </controlPr>
            </control>
          </mc:Choice>
        </mc:AlternateContent>
        <mc:AlternateContent xmlns:mc="http://schemas.openxmlformats.org/markup-compatibility/2006">
          <mc:Choice Requires="x14">
            <control shapeId="23565" r:id="rId16" name="Check Box 13">
              <controlPr locked="0" defaultSize="0" autoFill="0" autoLine="0" autoPict="0">
                <anchor moveWithCells="1">
                  <from>
                    <xdr:col>1</xdr:col>
                    <xdr:colOff>22860</xdr:colOff>
                    <xdr:row>122</xdr:row>
                    <xdr:rowOff>144780</xdr:rowOff>
                  </from>
                  <to>
                    <xdr:col>2</xdr:col>
                    <xdr:colOff>525780</xdr:colOff>
                    <xdr:row>124</xdr:row>
                    <xdr:rowOff>22860</xdr:rowOff>
                  </to>
                </anchor>
              </controlPr>
            </control>
          </mc:Choice>
        </mc:AlternateContent>
        <mc:AlternateContent xmlns:mc="http://schemas.openxmlformats.org/markup-compatibility/2006">
          <mc:Choice Requires="x14">
            <control shapeId="23566" r:id="rId17" name="Check Box 14">
              <controlPr locked="0" defaultSize="0" autoFill="0" autoLine="0" autoPict="0">
                <anchor moveWithCells="1">
                  <from>
                    <xdr:col>1</xdr:col>
                    <xdr:colOff>22860</xdr:colOff>
                    <xdr:row>124</xdr:row>
                    <xdr:rowOff>152400</xdr:rowOff>
                  </from>
                  <to>
                    <xdr:col>2</xdr:col>
                    <xdr:colOff>525780</xdr:colOff>
                    <xdr:row>126</xdr:row>
                    <xdr:rowOff>22860</xdr:rowOff>
                  </to>
                </anchor>
              </controlPr>
            </control>
          </mc:Choice>
        </mc:AlternateContent>
        <mc:AlternateContent xmlns:mc="http://schemas.openxmlformats.org/markup-compatibility/2006">
          <mc:Choice Requires="x14">
            <control shapeId="23567" r:id="rId18" name="Check Box 15">
              <controlPr locked="0" defaultSize="0" autoFill="0" autoLine="0" autoPict="0">
                <anchor moveWithCells="1">
                  <from>
                    <xdr:col>1</xdr:col>
                    <xdr:colOff>22860</xdr:colOff>
                    <xdr:row>126</xdr:row>
                    <xdr:rowOff>144780</xdr:rowOff>
                  </from>
                  <to>
                    <xdr:col>2</xdr:col>
                    <xdr:colOff>525780</xdr:colOff>
                    <xdr:row>128</xdr:row>
                    <xdr:rowOff>22860</xdr:rowOff>
                  </to>
                </anchor>
              </controlPr>
            </control>
          </mc:Choice>
        </mc:AlternateContent>
        <mc:AlternateContent xmlns:mc="http://schemas.openxmlformats.org/markup-compatibility/2006">
          <mc:Choice Requires="x14">
            <control shapeId="23568" r:id="rId19" name="Check Box 16">
              <controlPr locked="0" defaultSize="0" autoFill="0" autoLine="0" autoPict="0">
                <anchor moveWithCells="1">
                  <from>
                    <xdr:col>1</xdr:col>
                    <xdr:colOff>22860</xdr:colOff>
                    <xdr:row>128</xdr:row>
                    <xdr:rowOff>152400</xdr:rowOff>
                  </from>
                  <to>
                    <xdr:col>2</xdr:col>
                    <xdr:colOff>525780</xdr:colOff>
                    <xdr:row>130</xdr:row>
                    <xdr:rowOff>22860</xdr:rowOff>
                  </to>
                </anchor>
              </controlPr>
            </control>
          </mc:Choice>
        </mc:AlternateContent>
        <mc:AlternateContent xmlns:mc="http://schemas.openxmlformats.org/markup-compatibility/2006">
          <mc:Choice Requires="x14">
            <control shapeId="23569" r:id="rId20" name="Check Box 17">
              <controlPr locked="0" defaultSize="0" autoFill="0" autoLine="0" autoPict="0">
                <anchor moveWithCells="1">
                  <from>
                    <xdr:col>1</xdr:col>
                    <xdr:colOff>22860</xdr:colOff>
                    <xdr:row>130</xdr:row>
                    <xdr:rowOff>144780</xdr:rowOff>
                  </from>
                  <to>
                    <xdr:col>2</xdr:col>
                    <xdr:colOff>525780</xdr:colOff>
                    <xdr:row>132</xdr:row>
                    <xdr:rowOff>0</xdr:rowOff>
                  </to>
                </anchor>
              </controlPr>
            </control>
          </mc:Choice>
        </mc:AlternateContent>
        <mc:AlternateContent xmlns:mc="http://schemas.openxmlformats.org/markup-compatibility/2006">
          <mc:Choice Requires="x14">
            <control shapeId="23570" r:id="rId21" name="Check Box 18">
              <controlPr locked="0" defaultSize="0" autoFill="0" autoLine="0" autoPict="0">
                <anchor moveWithCells="1">
                  <from>
                    <xdr:col>1</xdr:col>
                    <xdr:colOff>22860</xdr:colOff>
                    <xdr:row>132</xdr:row>
                    <xdr:rowOff>152400</xdr:rowOff>
                  </from>
                  <to>
                    <xdr:col>2</xdr:col>
                    <xdr:colOff>525780</xdr:colOff>
                    <xdr:row>182</xdr:row>
                    <xdr:rowOff>22860</xdr:rowOff>
                  </to>
                </anchor>
              </controlPr>
            </control>
          </mc:Choice>
        </mc:AlternateContent>
        <mc:AlternateContent xmlns:mc="http://schemas.openxmlformats.org/markup-compatibility/2006">
          <mc:Choice Requires="x14">
            <control shapeId="23571" r:id="rId22" name="Check Box 19">
              <controlPr locked="0" defaultSize="0" autoFill="0" autoLine="0" autoPict="0">
                <anchor moveWithCells="1">
                  <from>
                    <xdr:col>1</xdr:col>
                    <xdr:colOff>22860</xdr:colOff>
                    <xdr:row>134</xdr:row>
                    <xdr:rowOff>144780</xdr:rowOff>
                  </from>
                  <to>
                    <xdr:col>2</xdr:col>
                    <xdr:colOff>525780</xdr:colOff>
                    <xdr:row>182</xdr:row>
                    <xdr:rowOff>45720</xdr:rowOff>
                  </to>
                </anchor>
              </controlPr>
            </control>
          </mc:Choice>
        </mc:AlternateContent>
        <mc:AlternateContent xmlns:mc="http://schemas.openxmlformats.org/markup-compatibility/2006">
          <mc:Choice Requires="x14">
            <control shapeId="23572" r:id="rId23" name="Check Box 20">
              <controlPr locked="0" defaultSize="0" autoFill="0" autoLine="0" autoPict="0">
                <anchor moveWithCells="1">
                  <from>
                    <xdr:col>1</xdr:col>
                    <xdr:colOff>22860</xdr:colOff>
                    <xdr:row>136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73" r:id="rId24" name="Check Box 21">
              <controlPr locked="0" defaultSize="0" autoFill="0" autoLine="0" autoPict="0">
                <anchor moveWithCells="1">
                  <from>
                    <xdr:col>1</xdr:col>
                    <xdr:colOff>22860</xdr:colOff>
                    <xdr:row>138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74" r:id="rId25" name="Check Box 22">
              <controlPr locked="0" defaultSize="0" autoFill="0" autoLine="0" autoPict="0">
                <anchor moveWithCells="1">
                  <from>
                    <xdr:col>1</xdr:col>
                    <xdr:colOff>22860</xdr:colOff>
                    <xdr:row>140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75" r:id="rId26" name="Check Box 23">
              <controlPr locked="0" defaultSize="0" autoFill="0" autoLine="0" autoPict="0">
                <anchor moveWithCells="1">
                  <from>
                    <xdr:col>1</xdr:col>
                    <xdr:colOff>22860</xdr:colOff>
                    <xdr:row>142</xdr:row>
                    <xdr:rowOff>144780</xdr:rowOff>
                  </from>
                  <to>
                    <xdr:col>2</xdr:col>
                    <xdr:colOff>525780</xdr:colOff>
                    <xdr:row>182</xdr:row>
                    <xdr:rowOff>22860</xdr:rowOff>
                  </to>
                </anchor>
              </controlPr>
            </control>
          </mc:Choice>
        </mc:AlternateContent>
        <mc:AlternateContent xmlns:mc="http://schemas.openxmlformats.org/markup-compatibility/2006">
          <mc:Choice Requires="x14">
            <control shapeId="23576" r:id="rId27" name="Check Box 24">
              <controlPr locked="0" defaultSize="0" autoFill="0" autoLine="0" autoPict="0">
                <anchor moveWithCells="1">
                  <from>
                    <xdr:col>1</xdr:col>
                    <xdr:colOff>22860</xdr:colOff>
                    <xdr:row>144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77" r:id="rId28" name="Check Box 25">
              <controlPr locked="0" defaultSize="0" autoFill="0" autoLine="0" autoPict="0">
                <anchor moveWithCells="1">
                  <from>
                    <xdr:col>1</xdr:col>
                    <xdr:colOff>22860</xdr:colOff>
                    <xdr:row>146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78" r:id="rId29" name="Check Box 26">
              <controlPr locked="0" defaultSize="0" autoFill="0" autoLine="0" autoPict="0">
                <anchor moveWithCells="1">
                  <from>
                    <xdr:col>1</xdr:col>
                    <xdr:colOff>22860</xdr:colOff>
                    <xdr:row>148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79" r:id="rId30" name="Check Box 27">
              <controlPr locked="0" defaultSize="0" autoFill="0" autoLine="0" autoPict="0">
                <anchor moveWithCells="1">
                  <from>
                    <xdr:col>1</xdr:col>
                    <xdr:colOff>22860</xdr:colOff>
                    <xdr:row>150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80" r:id="rId31" name="Check Box 28">
              <controlPr locked="0" defaultSize="0" autoFill="0" autoLine="0" autoPict="0">
                <anchor moveWithCells="1">
                  <from>
                    <xdr:col>1</xdr:col>
                    <xdr:colOff>22860</xdr:colOff>
                    <xdr:row>152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81" r:id="rId32" name="Check Box 29">
              <controlPr locked="0" defaultSize="0" autoFill="0" autoLine="0" autoPict="0">
                <anchor moveWithCells="1">
                  <from>
                    <xdr:col>1</xdr:col>
                    <xdr:colOff>22860</xdr:colOff>
                    <xdr:row>154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82" r:id="rId33" name="Check Box 30">
              <controlPr locked="0" defaultSize="0" autoFill="0" autoLine="0" autoPict="0">
                <anchor moveWithCells="1">
                  <from>
                    <xdr:col>1</xdr:col>
                    <xdr:colOff>22860</xdr:colOff>
                    <xdr:row>156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83" r:id="rId34" name="Check Box 31">
              <controlPr locked="0" defaultSize="0" autoFill="0" autoLine="0" autoPict="0">
                <anchor moveWithCells="1">
                  <from>
                    <xdr:col>1</xdr:col>
                    <xdr:colOff>22860</xdr:colOff>
                    <xdr:row>158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84" r:id="rId35" name="Check Box 32">
              <controlPr locked="0" defaultSize="0" autoFill="0" autoLine="0" autoPict="0">
                <anchor moveWithCells="1">
                  <from>
                    <xdr:col>1</xdr:col>
                    <xdr:colOff>22860</xdr:colOff>
                    <xdr:row>160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85" r:id="rId36" name="Check Box 33">
              <controlPr locked="0" defaultSize="0" autoFill="0" autoLine="0" autoPict="0">
                <anchor moveWithCells="1">
                  <from>
                    <xdr:col>1</xdr:col>
                    <xdr:colOff>22860</xdr:colOff>
                    <xdr:row>162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86" r:id="rId37" name="Check Box 34">
              <controlPr locked="0" defaultSize="0" autoFill="0" autoLine="0" autoPict="0">
                <anchor moveWithCells="1">
                  <from>
                    <xdr:col>1</xdr:col>
                    <xdr:colOff>22860</xdr:colOff>
                    <xdr:row>164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87" r:id="rId38" name="Check Box 35">
              <controlPr locked="0" defaultSize="0" autoFill="0" autoLine="0" autoPict="0">
                <anchor moveWithCells="1">
                  <from>
                    <xdr:col>1</xdr:col>
                    <xdr:colOff>22860</xdr:colOff>
                    <xdr:row>166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88" r:id="rId39" name="Check Box 36">
              <controlPr locked="0" defaultSize="0" autoFill="0" autoLine="0" autoPict="0">
                <anchor moveWithCells="1">
                  <from>
                    <xdr:col>1</xdr:col>
                    <xdr:colOff>22860</xdr:colOff>
                    <xdr:row>168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89" r:id="rId40" name="Check Box 37">
              <controlPr locked="0" defaultSize="0" autoFill="0" autoLine="0" autoPict="0">
                <anchor moveWithCells="1">
                  <from>
                    <xdr:col>1</xdr:col>
                    <xdr:colOff>22860</xdr:colOff>
                    <xdr:row>170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90" r:id="rId41" name="Check Box 38">
              <controlPr locked="0" defaultSize="0" autoFill="0" autoLine="0" autoPict="0">
                <anchor moveWithCells="1">
                  <from>
                    <xdr:col>1</xdr:col>
                    <xdr:colOff>22860</xdr:colOff>
                    <xdr:row>172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91" r:id="rId42" name="Check Box 39">
              <controlPr locked="0" defaultSize="0" autoFill="0" autoLine="0" autoPict="0">
                <anchor moveWithCells="1">
                  <from>
                    <xdr:col>1</xdr:col>
                    <xdr:colOff>22860</xdr:colOff>
                    <xdr:row>174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92" r:id="rId43" name="Check Box 40">
              <controlPr locked="0" defaultSize="0" autoFill="0" autoLine="0" autoPict="0">
                <anchor moveWithCells="1">
                  <from>
                    <xdr:col>1</xdr:col>
                    <xdr:colOff>22860</xdr:colOff>
                    <xdr:row>176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3593" r:id="rId44" name="Check Box 41">
              <controlPr locked="0" defaultSize="0" autoFill="0" autoLine="0" autoPict="0">
                <anchor moveWithCells="1">
                  <from>
                    <xdr:col>1</xdr:col>
                    <xdr:colOff>22860</xdr:colOff>
                    <xdr:row>178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3594" r:id="rId45" name="Check Box 42">
              <controlPr locked="0" defaultSize="0" autoFill="0" autoLine="0" autoPict="0">
                <anchor moveWithCells="1">
                  <from>
                    <xdr:col>1</xdr:col>
                    <xdr:colOff>22860</xdr:colOff>
                    <xdr:row>182</xdr:row>
                    <xdr:rowOff>152400</xdr:rowOff>
                  </from>
                  <to>
                    <xdr:col>2</xdr:col>
                    <xdr:colOff>525780</xdr:colOff>
                    <xdr:row>184</xdr:row>
                    <xdr:rowOff>22860</xdr:rowOff>
                  </to>
                </anchor>
              </controlPr>
            </control>
          </mc:Choice>
        </mc:AlternateContent>
        <mc:AlternateContent xmlns:mc="http://schemas.openxmlformats.org/markup-compatibility/2006">
          <mc:Choice Requires="x14">
            <control shapeId="23595" r:id="rId46" name="Check Box 43">
              <controlPr locked="0" defaultSize="0" autoFill="0" autoLine="0" autoPict="0">
                <anchor moveWithCells="1">
                  <from>
                    <xdr:col>1</xdr:col>
                    <xdr:colOff>22860</xdr:colOff>
                    <xdr:row>197</xdr:row>
                    <xdr:rowOff>121920</xdr:rowOff>
                  </from>
                  <to>
                    <xdr:col>2</xdr:col>
                    <xdr:colOff>525780</xdr:colOff>
                    <xdr:row>211</xdr:row>
                    <xdr:rowOff>60960</xdr:rowOff>
                  </to>
                </anchor>
              </controlPr>
            </control>
          </mc:Choice>
        </mc:AlternateContent>
        <mc:AlternateContent xmlns:mc="http://schemas.openxmlformats.org/markup-compatibility/2006">
          <mc:Choice Requires="x14">
            <control shapeId="23596" r:id="rId47" name="Check Box 44">
              <controlPr locked="0" defaultSize="0" autoFill="0" autoLine="0" autoPict="0">
                <anchor moveWithCells="1">
                  <from>
                    <xdr:col>1</xdr:col>
                    <xdr:colOff>22860</xdr:colOff>
                    <xdr:row>185</xdr:row>
                    <xdr:rowOff>152400</xdr:rowOff>
                  </from>
                  <to>
                    <xdr:col>2</xdr:col>
                    <xdr:colOff>525780</xdr:colOff>
                    <xdr:row>187</xdr:row>
                    <xdr:rowOff>22860</xdr:rowOff>
                  </to>
                </anchor>
              </controlPr>
            </control>
          </mc:Choice>
        </mc:AlternateContent>
        <mc:AlternateContent xmlns:mc="http://schemas.openxmlformats.org/markup-compatibility/2006">
          <mc:Choice Requires="x14">
            <control shapeId="23597" r:id="rId48" name="Check Box 45">
              <controlPr locked="0" defaultSize="0" autoFill="0" autoLine="0" autoPict="0">
                <anchor moveWithCells="1">
                  <from>
                    <xdr:col>1</xdr:col>
                    <xdr:colOff>22860</xdr:colOff>
                    <xdr:row>188</xdr:row>
                    <xdr:rowOff>144780</xdr:rowOff>
                  </from>
                  <to>
                    <xdr:col>2</xdr:col>
                    <xdr:colOff>525780</xdr:colOff>
                    <xdr:row>190</xdr:row>
                    <xdr:rowOff>22860</xdr:rowOff>
                  </to>
                </anchor>
              </controlPr>
            </control>
          </mc:Choice>
        </mc:AlternateContent>
        <mc:AlternateContent xmlns:mc="http://schemas.openxmlformats.org/markup-compatibility/2006">
          <mc:Choice Requires="x14">
            <control shapeId="23598" r:id="rId49" name="Check Box 46">
              <controlPr locked="0" defaultSize="0" autoFill="0" autoLine="0" autoPict="0">
                <anchor moveWithCells="1">
                  <from>
                    <xdr:col>1</xdr:col>
                    <xdr:colOff>22860</xdr:colOff>
                    <xdr:row>191</xdr:row>
                    <xdr:rowOff>144780</xdr:rowOff>
                  </from>
                  <to>
                    <xdr:col>2</xdr:col>
                    <xdr:colOff>525780</xdr:colOff>
                    <xdr:row>193</xdr:row>
                    <xdr:rowOff>22860</xdr:rowOff>
                  </to>
                </anchor>
              </controlPr>
            </control>
          </mc:Choice>
        </mc:AlternateContent>
        <mc:AlternateContent xmlns:mc="http://schemas.openxmlformats.org/markup-compatibility/2006">
          <mc:Choice Requires="x14">
            <control shapeId="23599" r:id="rId50" name="Check Box 47">
              <controlPr locked="0" defaultSize="0" autoFill="0" autoLine="0" autoPict="0">
                <anchor moveWithCells="1">
                  <from>
                    <xdr:col>1</xdr:col>
                    <xdr:colOff>22860</xdr:colOff>
                    <xdr:row>194</xdr:row>
                    <xdr:rowOff>121920</xdr:rowOff>
                  </from>
                  <to>
                    <xdr:col>2</xdr:col>
                    <xdr:colOff>533400</xdr:colOff>
                    <xdr:row>211</xdr:row>
                    <xdr:rowOff>22860</xdr:rowOff>
                  </to>
                </anchor>
              </controlPr>
            </control>
          </mc:Choice>
        </mc:AlternateContent>
        <mc:AlternateContent xmlns:mc="http://schemas.openxmlformats.org/markup-compatibility/2006">
          <mc:Choice Requires="x14">
            <control shapeId="23600" r:id="rId51" name="Check Box 48">
              <controlPr locked="0" defaultSize="0" autoFill="0" autoLine="0" autoPict="0">
                <anchor moveWithCells="1">
                  <from>
                    <xdr:col>1</xdr:col>
                    <xdr:colOff>22860</xdr:colOff>
                    <xdr:row>206</xdr:row>
                    <xdr:rowOff>121920</xdr:rowOff>
                  </from>
                  <to>
                    <xdr:col>2</xdr:col>
                    <xdr:colOff>533400</xdr:colOff>
                    <xdr:row>211</xdr:row>
                    <xdr:rowOff>60960</xdr:rowOff>
                  </to>
                </anchor>
              </controlPr>
            </control>
          </mc:Choice>
        </mc:AlternateContent>
        <mc:AlternateContent xmlns:mc="http://schemas.openxmlformats.org/markup-compatibility/2006">
          <mc:Choice Requires="x14">
            <control shapeId="23601" r:id="rId52" name="Check Box 49">
              <controlPr locked="0" defaultSize="0" autoFill="0" autoLine="0" autoPict="0">
                <anchor moveWithCells="1">
                  <from>
                    <xdr:col>1</xdr:col>
                    <xdr:colOff>7620</xdr:colOff>
                    <xdr:row>200</xdr:row>
                    <xdr:rowOff>137160</xdr:rowOff>
                  </from>
                  <to>
                    <xdr:col>2</xdr:col>
                    <xdr:colOff>525780</xdr:colOff>
                    <xdr:row>211</xdr:row>
                    <xdr:rowOff>60960</xdr:rowOff>
                  </to>
                </anchor>
              </controlPr>
            </control>
          </mc:Choice>
        </mc:AlternateContent>
        <mc:AlternateContent xmlns:mc="http://schemas.openxmlformats.org/markup-compatibility/2006">
          <mc:Choice Requires="x14">
            <control shapeId="23602" r:id="rId53" name="Check Box 50">
              <controlPr locked="0" defaultSize="0" autoFill="0" autoLine="0" autoPict="0">
                <anchor moveWithCells="1">
                  <from>
                    <xdr:col>1</xdr:col>
                    <xdr:colOff>22860</xdr:colOff>
                    <xdr:row>203</xdr:row>
                    <xdr:rowOff>137160</xdr:rowOff>
                  </from>
                  <to>
                    <xdr:col>2</xdr:col>
                    <xdr:colOff>533400</xdr:colOff>
                    <xdr:row>211</xdr:row>
                    <xdr:rowOff>60960</xdr:rowOff>
                  </to>
                </anchor>
              </controlPr>
            </control>
          </mc:Choice>
        </mc:AlternateContent>
        <mc:AlternateContent xmlns:mc="http://schemas.openxmlformats.org/markup-compatibility/2006">
          <mc:Choice Requires="x14">
            <control shapeId="23606" r:id="rId54" name="Check Box 54">
              <controlPr locked="0" defaultSize="0" autoFill="0" autoLine="0" autoPict="0">
                <anchor moveWithCells="1">
                  <from>
                    <xdr:col>1</xdr:col>
                    <xdr:colOff>7620</xdr:colOff>
                    <xdr:row>42</xdr:row>
                    <xdr:rowOff>152400</xdr:rowOff>
                  </from>
                  <to>
                    <xdr:col>1</xdr:col>
                    <xdr:colOff>198120</xdr:colOff>
                    <xdr:row>44</xdr:row>
                    <xdr:rowOff>22860</xdr:rowOff>
                  </to>
                </anchor>
              </controlPr>
            </control>
          </mc:Choice>
        </mc:AlternateContent>
        <mc:AlternateContent xmlns:mc="http://schemas.openxmlformats.org/markup-compatibility/2006">
          <mc:Choice Requires="x14">
            <control shapeId="23607" r:id="rId55" name="Check Box 55">
              <controlPr locked="0" defaultSize="0" autoFill="0" autoLine="0" autoPict="0">
                <anchor moveWithCells="1">
                  <from>
                    <xdr:col>1</xdr:col>
                    <xdr:colOff>22860</xdr:colOff>
                    <xdr:row>69</xdr:row>
                    <xdr:rowOff>152400</xdr:rowOff>
                  </from>
                  <to>
                    <xdr:col>1</xdr:col>
                    <xdr:colOff>213360</xdr:colOff>
                    <xdr:row>71</xdr:row>
                    <xdr:rowOff>38100</xdr:rowOff>
                  </to>
                </anchor>
              </controlPr>
            </control>
          </mc:Choice>
        </mc:AlternateContent>
        <mc:AlternateContent xmlns:mc="http://schemas.openxmlformats.org/markup-compatibility/2006">
          <mc:Choice Requires="x14">
            <control shapeId="23611" r:id="rId56" name="Check Box 59">
              <controlPr locked="0" defaultSize="0" autoFill="0" autoLine="0" autoPict="0">
                <anchor moveWithCells="1">
                  <from>
                    <xdr:col>1</xdr:col>
                    <xdr:colOff>22860</xdr:colOff>
                    <xdr:row>42</xdr:row>
                    <xdr:rowOff>144780</xdr:rowOff>
                  </from>
                  <to>
                    <xdr:col>1</xdr:col>
                    <xdr:colOff>213360</xdr:colOff>
                    <xdr:row>44</xdr:row>
                    <xdr:rowOff>30480</xdr:rowOff>
                  </to>
                </anchor>
              </controlPr>
            </control>
          </mc:Choice>
        </mc:AlternateContent>
        <mc:AlternateContent xmlns:mc="http://schemas.openxmlformats.org/markup-compatibility/2006">
          <mc:Choice Requires="x14">
            <control shapeId="23612" r:id="rId57" name="Check Box 60">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6">
        <x14:dataValidation type="list" allowBlank="1" showInputMessage="1" showErrorMessage="1" xr:uid="{37B7BD06-E46D-456D-9B31-D4BB2F4F1EBA}">
          <x14:formula1>
            <xm:f>'Data_3.3V_BUCK=1.1V'!$B$69:$B$71</xm:f>
          </x14:formula1>
          <xm:sqref>D215</xm:sqref>
        </x14:dataValidation>
        <x14:dataValidation type="list" allowBlank="1" showInputMessage="1" showErrorMessage="1" xr:uid="{348A3F43-41B3-4AB8-AE16-9672F15460D4}">
          <x14:formula1>
            <xm:f>Options!$I$3:$I$5</xm:f>
          </x14:formula1>
          <xm:sqref>D197 D206 D200 D203 D185 D194 D188 D191 D209</xm:sqref>
        </x14:dataValidation>
        <x14:dataValidation type="list" allowBlank="1" showInputMessage="1" showErrorMessage="1" xr:uid="{26BF8229-3D93-4E1E-B4AB-C06F31633F89}">
          <x14:formula1>
            <xm:f>Options!$H$3:$H$5</xm:f>
          </x14:formula1>
          <xm:sqref>D196 D205 D199 D202 D184 D193 D187 D190 D208</xm:sqref>
        </x14:dataValidation>
        <x14:dataValidation type="list" allowBlank="1" showInputMessage="1" showErrorMessage="1" xr:uid="{00388301-E7D5-4EA6-BBD0-47E6286E5878}">
          <x14:formula1>
            <xm:f>Options!$F$3:$F$5</xm:f>
          </x14:formula1>
          <xm:sqref>D118 D120 D122 D124 D126 D128 D130 D132 D134 D136 D138 D140 D142 D144 D146 D148 D150 D152 D154 D156 D158 D160 D162 D164 D166 D168 D170 D172 D174 D176 D178 D180</xm:sqref>
        </x14:dataValidation>
        <x14:dataValidation type="list" allowBlank="1" showInputMessage="1" showErrorMessage="1" xr:uid="{0EFF791F-E948-490D-967C-E6BE06C1C4F8}">
          <x14:formula1>
            <xm:f>'Data_3.3V_BUCK=1.1V'!$B$63:$B$66</xm:f>
          </x14:formula1>
          <xm:sqref>D217</xm:sqref>
        </x14:dataValidation>
        <x14:dataValidation type="list" allowBlank="1" showInputMessage="1" showErrorMessage="1" xr:uid="{87D6FE8D-B6AF-4BAF-9BB6-436CC7926942}">
          <x14:formula1>
            <xm:f>'Data_3.3V_BUCK=1.1V'!$B$42:$B$45</xm:f>
          </x14:formula1>
          <xm:sqref>D105 D107</xm:sqref>
        </x14:dataValidation>
        <x14:dataValidation type="list" allowBlank="1" showInputMessage="1" showErrorMessage="1" promptTitle="Select the PSoC family." xr:uid="{6D553522-FBF6-48E1-ADB6-7D445391874E}">
          <x14:formula1>
            <xm:f>Options!$E$3:$E$4</xm:f>
          </x14:formula1>
          <xm:sqref>D6</xm:sqref>
        </x14:dataValidation>
        <x14:dataValidation type="list" errorStyle="warning" allowBlank="1" showInputMessage="1" showErrorMessage="1" errorTitle="Invalid Power Mode" promptTitle="Select the CM0+ CPU Power Mode." xr:uid="{7A3C5005-0AA4-4D4D-9075-76ADD6EF2E5D}">
          <x14:formula1>
            <xm:f>IF(Config3_SystemMode=Options!$C$5,Options!$D$5,Options!$D$3:$D$5)</xm:f>
          </x14:formula1>
          <xm:sqref>D9</xm:sqref>
        </x14:dataValidation>
        <x14:dataValidation type="list" allowBlank="1" showInputMessage="1" showErrorMessage="1" promptTitle="Select the PSoC family." xr:uid="{C0216A5D-B608-47EB-B765-C221A567AEEF}">
          <x14:formula1>
            <xm:f>IF(Config3_SystemMode=SystemDeepSleep,Options!$D$5:$D$6,Options!$D$3:$D$6)</xm:f>
          </x14:formula1>
          <xm:sqref>D10</xm:sqref>
        </x14:dataValidation>
        <x14:dataValidation type="list" allowBlank="1" showInputMessage="1" showErrorMessage="1" promptTitle="Select the PSoC family." xr:uid="{04835BAA-C9F2-4ABD-B329-A2FF028E8BF1}">
          <x14:formula1>
            <xm:f>Options!$C$3:$C$6</xm:f>
          </x14:formula1>
          <xm:sqref>D8</xm:sqref>
        </x14:dataValidation>
        <x14:dataValidation type="list" allowBlank="1" showInputMessage="1" showErrorMessage="1" xr:uid="{80171881-AAAA-483E-A9D2-133758F094CC}">
          <x14:formula1>
            <xm:f>Options!$W$3:$W$10</xm:f>
          </x14:formula1>
          <xm:sqref>D49 D76</xm:sqref>
        </x14:dataValidation>
        <x14:dataValidation type="list" allowBlank="1" showInputMessage="1" showErrorMessage="1" xr:uid="{34F78EF1-7470-4C49-9976-EECF7E67EFED}">
          <x14:formula1>
            <xm:f>IF(Config1_SystemMode = "System Deep Sleep",Options!$V$4, Options!$V$3:$V$4)</xm:f>
          </x14:formula1>
          <xm:sqref>D44 D71</xm:sqref>
        </x14:dataValidation>
        <x14:dataValidation type="list" allowBlank="1" showInputMessage="1" showErrorMessage="1" xr:uid="{516F8DCC-86B6-4C81-82F1-1A18B3F0432B}">
          <x14:formula1>
            <xm:f>IF(OR((SelectedDevice=PSoC60), (SelectedDevice=PSoC61), (SelectedDevice=PSoC62_1M),(SelectedDevice=PSoC4000S), (SelectedDevice=PSoC4100S), (SelectedDevice=PSoC4100PS)),Options!H3:H3,Options!H3:H6)</xm:f>
          </x14:formula1>
          <xm:sqref>D211:D212</xm:sqref>
        </x14:dataValidation>
        <x14:dataValidation type="list" allowBlank="1" showInputMessage="1" showErrorMessage="1" xr:uid="{5E493804-D977-4516-8D56-D1A62FE7FEDC}">
          <x14:formula1>
            <xm:f>IF(SelectedDevice = "PSoC 62 (256KB)", Options!X3:X4, Options!X3)</xm:f>
          </x14:formula1>
          <xm:sqref>D99</xm:sqref>
        </x14:dataValidation>
        <x14:dataValidation type="decimal" operator="lessThanOrEqual" allowBlank="1" showInputMessage="1" showErrorMessage="1" xr:uid="{B56BE5DA-1FCE-441E-8ABD-5B06D881E054}">
          <x14:formula1>
            <xm:f>IF(OR(Summary!F33 = "PSoC 62 (256KB)", Summary!F33 = "PSoC 62 (2MB)"), 36000, 18000)</xm:f>
          </x14:formula1>
          <xm:sqref>D73</xm:sqref>
        </x14:dataValidation>
        <x14:dataValidation type="decimal" operator="lessThanOrEqual" allowBlank="1" showInputMessage="1" showErrorMessage="1" xr:uid="{3B58F8EC-1E5E-4632-B9E6-5097814160B2}">
          <x14:formula1>
            <xm:f>IF(OR(Summary!F2 = "PSoC 62 (256KB)", Summary!F2 = "PSoC 62 (2MB)"), 36000, 18000)</xm:f>
          </x14:formula1>
          <xm:sqref>D46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B242"/>
  <sheetViews>
    <sheetView topLeftCell="B1" zoomScale="175" zoomScaleNormal="175" workbookViewId="0">
      <selection activeCell="D10" sqref="D10"/>
    </sheetView>
  </sheetViews>
  <sheetFormatPr defaultRowHeight="13.2" outlineLevelRow="1" x14ac:dyDescent="0.25"/>
  <cols>
    <col min="1" max="1" width="4.6640625" customWidth="1"/>
    <col min="2" max="2" width="3.33203125" customWidth="1"/>
    <col min="3" max="3" width="28.6640625" customWidth="1"/>
    <col min="4" max="4" width="17.6640625" style="23" customWidth="1"/>
    <col min="5" max="5" width="16.6640625" customWidth="1"/>
    <col min="6" max="6" width="11.6640625" style="29" customWidth="1"/>
    <col min="7" max="7" width="10.6640625" customWidth="1"/>
    <col min="8" max="8" width="105.6640625" customWidth="1"/>
  </cols>
  <sheetData>
    <row r="1" spans="2:28" x14ac:dyDescent="0.25">
      <c r="B1" s="1"/>
      <c r="C1" s="223" t="s">
        <v>401</v>
      </c>
      <c r="D1" s="223"/>
      <c r="E1" s="224" t="s">
        <v>160</v>
      </c>
      <c r="F1" s="224"/>
      <c r="G1" s="224"/>
    </row>
    <row r="2" spans="2:28" ht="15.6" x14ac:dyDescent="0.3">
      <c r="B2" s="241" t="s">
        <v>36</v>
      </c>
      <c r="C2" s="219"/>
      <c r="D2" s="219"/>
      <c r="E2" s="219"/>
      <c r="F2" s="219" t="s">
        <v>20</v>
      </c>
      <c r="G2" s="219"/>
      <c r="H2" s="51" t="s">
        <v>35</v>
      </c>
      <c r="K2" s="88" t="s">
        <v>192</v>
      </c>
      <c r="AB2" s="43"/>
    </row>
    <row r="3" spans="2:28" ht="15.6" x14ac:dyDescent="0.3">
      <c r="B3" s="225" t="s">
        <v>155</v>
      </c>
      <c r="C3" s="225"/>
      <c r="D3" s="225"/>
      <c r="E3" s="225"/>
      <c r="F3" s="225"/>
      <c r="G3" s="225"/>
      <c r="H3" s="225"/>
      <c r="AB3" s="43"/>
    </row>
    <row r="4" spans="2:28" x14ac:dyDescent="0.25">
      <c r="B4" s="53" t="s">
        <v>140</v>
      </c>
      <c r="C4" s="53"/>
      <c r="D4" s="53"/>
      <c r="E4" s="53"/>
      <c r="F4" s="53"/>
      <c r="G4" s="53"/>
      <c r="H4" s="53"/>
      <c r="AB4" s="43"/>
    </row>
    <row r="5" spans="2:28" x14ac:dyDescent="0.25">
      <c r="B5" s="54"/>
      <c r="C5" s="122" t="s">
        <v>476</v>
      </c>
      <c r="D5" s="111">
        <v>3.3</v>
      </c>
      <c r="E5" s="122" t="s">
        <v>267</v>
      </c>
      <c r="F5" s="110"/>
      <c r="G5" s="55"/>
      <c r="H5" s="112" t="s">
        <v>268</v>
      </c>
      <c r="AB5" s="43"/>
    </row>
    <row r="6" spans="2:28" x14ac:dyDescent="0.25">
      <c r="B6" s="54"/>
      <c r="C6" s="122" t="s">
        <v>264</v>
      </c>
      <c r="D6" s="111" t="s">
        <v>266</v>
      </c>
      <c r="E6" s="54"/>
      <c r="F6" s="110"/>
      <c r="G6" s="55"/>
      <c r="H6" s="112" t="s">
        <v>269</v>
      </c>
      <c r="AB6" s="43"/>
    </row>
    <row r="7" spans="2:28" x14ac:dyDescent="0.25">
      <c r="B7" s="54"/>
      <c r="C7" s="122" t="s">
        <v>317</v>
      </c>
      <c r="D7" s="111">
        <v>0.9</v>
      </c>
      <c r="E7" s="122" t="s">
        <v>267</v>
      </c>
      <c r="F7" s="110"/>
      <c r="G7" s="55"/>
      <c r="H7" s="112" t="s">
        <v>318</v>
      </c>
      <c r="AB7" s="43"/>
    </row>
    <row r="8" spans="2:28" x14ac:dyDescent="0.25">
      <c r="B8" s="54"/>
      <c r="C8" s="54" t="s">
        <v>219</v>
      </c>
      <c r="D8" s="111" t="s">
        <v>223</v>
      </c>
      <c r="E8" s="54"/>
      <c r="F8" s="110"/>
      <c r="G8" s="55"/>
      <c r="H8" s="112" t="s">
        <v>477</v>
      </c>
      <c r="AB8" s="43"/>
    </row>
    <row r="9" spans="2:28" x14ac:dyDescent="0.25">
      <c r="B9" s="54"/>
      <c r="C9" s="122" t="s">
        <v>231</v>
      </c>
      <c r="D9" s="111" t="s">
        <v>228</v>
      </c>
      <c r="E9" s="54"/>
      <c r="F9" s="110"/>
      <c r="G9" s="55"/>
      <c r="H9" s="112" t="s">
        <v>230</v>
      </c>
      <c r="AB9" s="43"/>
    </row>
    <row r="10" spans="2:28" x14ac:dyDescent="0.25">
      <c r="B10" s="54"/>
      <c r="C10" s="122" t="s">
        <v>232</v>
      </c>
      <c r="D10" s="111" t="s">
        <v>257</v>
      </c>
      <c r="E10" s="54"/>
      <c r="F10" s="110"/>
      <c r="G10" s="55"/>
      <c r="H10" s="112" t="s">
        <v>229</v>
      </c>
      <c r="AB10" s="43"/>
    </row>
    <row r="11" spans="2:28" x14ac:dyDescent="0.25">
      <c r="B11" s="53" t="s">
        <v>115</v>
      </c>
      <c r="C11" s="53"/>
      <c r="D11" s="53"/>
      <c r="E11" s="53"/>
      <c r="F11" s="53"/>
      <c r="G11" s="53"/>
      <c r="H11" s="53"/>
      <c r="AB11" s="41"/>
    </row>
    <row r="12" spans="2:28" x14ac:dyDescent="0.25">
      <c r="B12" s="226" t="s">
        <v>233</v>
      </c>
      <c r="C12" s="227"/>
      <c r="D12" s="53"/>
      <c r="E12" s="53"/>
      <c r="F12" s="53"/>
      <c r="G12" s="53"/>
      <c r="H12" s="53"/>
      <c r="AB12" s="41"/>
    </row>
    <row r="13" spans="2:28" x14ac:dyDescent="0.25">
      <c r="B13" s="140" t="b">
        <v>1</v>
      </c>
      <c r="C13" s="122" t="s">
        <v>234</v>
      </c>
      <c r="D13" s="60">
        <v>50</v>
      </c>
      <c r="E13" s="122" t="s">
        <v>3</v>
      </c>
      <c r="F13" s="57">
        <f ca="1">IF(AND(Config4_AllClocksOn,B13),Config4_FLL_Coef*D13,0)</f>
        <v>182.00000000000006</v>
      </c>
      <c r="G13" s="58" t="s">
        <v>57</v>
      </c>
      <c r="H13" s="112" t="s">
        <v>236</v>
      </c>
      <c r="AB13" s="43"/>
    </row>
    <row r="14" spans="2:28" x14ac:dyDescent="0.25">
      <c r="B14" s="140" t="b">
        <v>0</v>
      </c>
      <c r="C14" s="122" t="s">
        <v>164</v>
      </c>
      <c r="D14" s="123">
        <v>40</v>
      </c>
      <c r="E14" s="122" t="s">
        <v>3</v>
      </c>
      <c r="F14" s="57">
        <f>IF(AND(Config4_AllClocksOn,B14),Config4_PLL_Coef*D14+IF(D15/D16&gt;40,Config4_PLL_Coef_h40*D15/D16+Config4_PLL_Ped_h40,Config4_PLL_Coef_l40*D15/D16+Config4_PLL_Ped_l40),0)</f>
        <v>0</v>
      </c>
      <c r="G14" s="58" t="s">
        <v>57</v>
      </c>
      <c r="H14" s="112" t="s">
        <v>238</v>
      </c>
      <c r="AB14" s="41"/>
    </row>
    <row r="15" spans="2:28" x14ac:dyDescent="0.25">
      <c r="B15" s="54"/>
      <c r="C15" s="122" t="s">
        <v>237</v>
      </c>
      <c r="D15" s="146">
        <v>40</v>
      </c>
      <c r="E15" s="54"/>
      <c r="F15" s="80"/>
      <c r="G15" s="81"/>
      <c r="H15" s="112" t="s">
        <v>240</v>
      </c>
      <c r="AB15" s="41"/>
    </row>
    <row r="16" spans="2:28" x14ac:dyDescent="0.25">
      <c r="B16" s="54"/>
      <c r="C16" s="122" t="s">
        <v>239</v>
      </c>
      <c r="D16" s="60">
        <v>1</v>
      </c>
      <c r="E16" s="54"/>
      <c r="F16" s="80"/>
      <c r="G16" s="81"/>
      <c r="H16" s="112" t="s">
        <v>241</v>
      </c>
      <c r="AB16" s="41"/>
    </row>
    <row r="17" spans="2:28" x14ac:dyDescent="0.25">
      <c r="B17" s="148" t="b">
        <v>0</v>
      </c>
      <c r="C17" s="122" t="s">
        <v>165</v>
      </c>
      <c r="D17" s="56">
        <v>150</v>
      </c>
      <c r="E17" s="122" t="s">
        <v>3</v>
      </c>
      <c r="F17" s="57">
        <f>IF(AND(NUM_PLL&gt;1,AND(Config4_AllClocksOn,B17)),Config4_PLL_Coef*D17+IF(D18/D19&gt;40,Config4_PLL_Coef_h40*D18/D19+Config4_PLL_Ped_h40,Config4_PLL_Coef_l40*D18/D19+Config4_PLL_Ped_l40),0)</f>
        <v>0</v>
      </c>
      <c r="G17" s="58" t="s">
        <v>57</v>
      </c>
      <c r="H17" s="112" t="s">
        <v>242</v>
      </c>
      <c r="AB17" s="41"/>
    </row>
    <row r="18" spans="2:28" x14ac:dyDescent="0.25">
      <c r="B18" s="139"/>
      <c r="C18" s="138" t="s">
        <v>237</v>
      </c>
      <c r="D18" s="60">
        <v>25</v>
      </c>
      <c r="E18" s="55"/>
      <c r="F18" s="80"/>
      <c r="G18" s="81"/>
      <c r="H18" s="112" t="s">
        <v>244</v>
      </c>
      <c r="AB18" s="41"/>
    </row>
    <row r="19" spans="2:28" x14ac:dyDescent="0.25">
      <c r="B19" s="139"/>
      <c r="C19" s="122" t="s">
        <v>239</v>
      </c>
      <c r="D19" s="60">
        <v>1</v>
      </c>
      <c r="E19" s="55"/>
      <c r="F19" s="80"/>
      <c r="G19" s="81"/>
      <c r="H19" s="112" t="s">
        <v>243</v>
      </c>
      <c r="AB19" s="41"/>
    </row>
    <row r="20" spans="2:28" x14ac:dyDescent="0.25">
      <c r="B20" s="226" t="s">
        <v>235</v>
      </c>
      <c r="C20" s="227"/>
      <c r="D20" s="136"/>
      <c r="E20" s="136"/>
      <c r="F20" s="53"/>
      <c r="G20" s="53"/>
      <c r="H20" s="53"/>
      <c r="AB20" s="41"/>
    </row>
    <row r="21" spans="2:28" x14ac:dyDescent="0.25">
      <c r="B21" s="140" t="b">
        <v>1</v>
      </c>
      <c r="C21" s="122" t="s">
        <v>246</v>
      </c>
      <c r="D21" s="60" t="s">
        <v>304</v>
      </c>
      <c r="E21" s="149" t="s">
        <v>234</v>
      </c>
      <c r="F21" s="80"/>
      <c r="G21" s="81"/>
      <c r="H21" s="112" t="s">
        <v>310</v>
      </c>
      <c r="AB21" s="43"/>
    </row>
    <row r="22" spans="2:28" x14ac:dyDescent="0.25">
      <c r="B22" s="140" t="b">
        <v>0</v>
      </c>
      <c r="C22" s="122" t="s">
        <v>247</v>
      </c>
      <c r="D22" s="60" t="s">
        <v>308</v>
      </c>
      <c r="E22" s="149" t="s">
        <v>234</v>
      </c>
      <c r="F22" s="80"/>
      <c r="G22" s="81"/>
      <c r="H22" s="112" t="s">
        <v>311</v>
      </c>
      <c r="AB22" s="43"/>
    </row>
    <row r="23" spans="2:28" x14ac:dyDescent="0.25">
      <c r="B23" s="140" t="b">
        <v>0</v>
      </c>
      <c r="C23" s="122" t="s">
        <v>248</v>
      </c>
      <c r="D23" s="60" t="s">
        <v>304</v>
      </c>
      <c r="E23" s="149" t="s">
        <v>234</v>
      </c>
      <c r="F23" s="57">
        <f>IF(AND(Config4_AllClocksOn,B23),Config4_SMIF_Clk,0)</f>
        <v>0</v>
      </c>
      <c r="G23" s="58" t="s">
        <v>57</v>
      </c>
      <c r="H23" s="112" t="s">
        <v>312</v>
      </c>
      <c r="AB23" s="43"/>
    </row>
    <row r="24" spans="2:28" x14ac:dyDescent="0.25">
      <c r="B24" s="140" t="b">
        <v>0</v>
      </c>
      <c r="C24" s="122" t="s">
        <v>249</v>
      </c>
      <c r="D24" s="60" t="s">
        <v>304</v>
      </c>
      <c r="E24" s="149" t="s">
        <v>234</v>
      </c>
      <c r="F24" s="80"/>
      <c r="G24" s="81"/>
      <c r="H24" s="112" t="s">
        <v>313</v>
      </c>
      <c r="AB24" s="43"/>
    </row>
    <row r="25" spans="2:28" x14ac:dyDescent="0.25">
      <c r="B25" s="140" t="b">
        <v>0</v>
      </c>
      <c r="C25" s="122" t="s">
        <v>250</v>
      </c>
      <c r="D25" s="60" t="s">
        <v>304</v>
      </c>
      <c r="E25" s="149" t="s">
        <v>234</v>
      </c>
      <c r="F25" s="80"/>
      <c r="G25" s="81"/>
      <c r="H25" s="112" t="s">
        <v>314</v>
      </c>
      <c r="AB25" s="43"/>
    </row>
    <row r="26" spans="2:28" x14ac:dyDescent="0.25">
      <c r="B26" s="140" t="b">
        <v>0</v>
      </c>
      <c r="C26" s="122" t="s">
        <v>251</v>
      </c>
      <c r="D26" s="60" t="s">
        <v>304</v>
      </c>
      <c r="E26" s="149" t="s">
        <v>234</v>
      </c>
      <c r="F26" s="80"/>
      <c r="G26" s="81"/>
      <c r="H26" s="112" t="s">
        <v>315</v>
      </c>
      <c r="AB26" s="43"/>
    </row>
    <row r="27" spans="2:28" x14ac:dyDescent="0.25">
      <c r="B27" s="140"/>
      <c r="C27" s="138" t="s">
        <v>252</v>
      </c>
      <c r="D27" s="60">
        <v>50</v>
      </c>
      <c r="E27" s="122" t="s">
        <v>3</v>
      </c>
      <c r="F27" s="57">
        <f ca="1">IF(Config4_AllClocksOn,D27*Config4_Fast_Coef,0)</f>
        <v>26.999999999999968</v>
      </c>
      <c r="G27" s="58" t="s">
        <v>57</v>
      </c>
      <c r="H27" s="112" t="s">
        <v>321</v>
      </c>
      <c r="AB27" s="43"/>
    </row>
    <row r="28" spans="2:28" x14ac:dyDescent="0.25">
      <c r="B28" s="140"/>
      <c r="C28" s="138" t="s">
        <v>253</v>
      </c>
      <c r="D28" s="60">
        <v>50</v>
      </c>
      <c r="E28" s="122" t="s">
        <v>3</v>
      </c>
      <c r="F28" s="57">
        <f ca="1">IF(Config4_AllClocksOn,D28*Config4_Peri_Coef,0)</f>
        <v>312.00000000000006</v>
      </c>
      <c r="G28" s="58" t="s">
        <v>57</v>
      </c>
      <c r="H28" s="112" t="s">
        <v>319</v>
      </c>
      <c r="AB28" s="43"/>
    </row>
    <row r="29" spans="2:28" x14ac:dyDescent="0.25">
      <c r="B29" s="140"/>
      <c r="C29" s="138" t="s">
        <v>254</v>
      </c>
      <c r="D29" s="60">
        <v>25</v>
      </c>
      <c r="E29" s="122" t="s">
        <v>3</v>
      </c>
      <c r="F29" s="57">
        <f ca="1">IF(Config4_AllClocksOn,D29*Config4_Slow_Coef,0)</f>
        <v>286.99999999999994</v>
      </c>
      <c r="G29" s="58" t="s">
        <v>57</v>
      </c>
      <c r="H29" s="112" t="s">
        <v>320</v>
      </c>
      <c r="AB29" s="43"/>
    </row>
    <row r="30" spans="2:28" x14ac:dyDescent="0.25">
      <c r="B30" s="226" t="s">
        <v>245</v>
      </c>
      <c r="C30" s="227"/>
      <c r="D30" s="53"/>
      <c r="E30" s="53"/>
      <c r="F30" s="53"/>
      <c r="G30" s="53"/>
      <c r="H30" s="53"/>
      <c r="AB30" s="41"/>
    </row>
    <row r="31" spans="2:28" x14ac:dyDescent="0.25">
      <c r="B31" s="54"/>
      <c r="C31" s="122" t="s">
        <v>255</v>
      </c>
      <c r="D31" s="141" t="s">
        <v>150</v>
      </c>
      <c r="E31" s="55"/>
      <c r="F31" s="57">
        <f ca="1">IF(Config4_AllClocksOn,Config4_IMO_Ped,0)</f>
        <v>194</v>
      </c>
      <c r="G31" s="58" t="s">
        <v>57</v>
      </c>
      <c r="H31" s="112" t="s">
        <v>256</v>
      </c>
      <c r="AB31" s="41"/>
    </row>
    <row r="32" spans="2:28" x14ac:dyDescent="0.25">
      <c r="B32" s="54"/>
      <c r="C32" s="122" t="s">
        <v>260</v>
      </c>
      <c r="D32" s="60" t="s">
        <v>151</v>
      </c>
      <c r="E32" s="55"/>
      <c r="F32" s="57">
        <f>IF(D32="Enabled",Config4_WCO_Ped,0)</f>
        <v>0</v>
      </c>
      <c r="G32" s="58" t="s">
        <v>57</v>
      </c>
      <c r="H32" s="112" t="s">
        <v>261</v>
      </c>
      <c r="AB32" s="41"/>
    </row>
    <row r="33" spans="2:28" x14ac:dyDescent="0.25">
      <c r="B33" s="54"/>
      <c r="C33" s="55" t="s">
        <v>81</v>
      </c>
      <c r="D33" s="60" t="s">
        <v>151</v>
      </c>
      <c r="E33" s="55"/>
      <c r="F33" s="64">
        <f>IF(D33="Enabled",Config4_ILO_Ped,0)</f>
        <v>0</v>
      </c>
      <c r="G33" s="58" t="s">
        <v>57</v>
      </c>
      <c r="H33" s="112" t="s">
        <v>262</v>
      </c>
      <c r="AB33" s="41"/>
    </row>
    <row r="34" spans="2:28" x14ac:dyDescent="0.25">
      <c r="B34" s="54"/>
      <c r="C34" s="122" t="s">
        <v>259</v>
      </c>
      <c r="D34" s="60" t="s">
        <v>151</v>
      </c>
      <c r="E34" s="55"/>
      <c r="F34" s="64">
        <f>IF(D34="Enabled",Config4_PILO_Ped,0)</f>
        <v>0</v>
      </c>
      <c r="G34" s="58" t="s">
        <v>57</v>
      </c>
      <c r="H34" s="112" t="s">
        <v>263</v>
      </c>
      <c r="AB34" s="41"/>
    </row>
    <row r="35" spans="2:28" x14ac:dyDescent="0.25">
      <c r="B35" s="140" t="b">
        <v>0</v>
      </c>
      <c r="C35" s="122" t="s">
        <v>326</v>
      </c>
      <c r="D35" s="60">
        <v>17.203399999999998</v>
      </c>
      <c r="E35" s="122" t="s">
        <v>3</v>
      </c>
      <c r="F35" s="64">
        <f>IF(AND(Config4_AllClocksOn,B35),Config4_ECO_Coef*D35,0)</f>
        <v>0</v>
      </c>
      <c r="G35" s="58" t="s">
        <v>57</v>
      </c>
      <c r="H35" s="112" t="s">
        <v>327</v>
      </c>
      <c r="AB35" s="41"/>
    </row>
    <row r="36" spans="2:28" s="1" customFormat="1" x14ac:dyDescent="0.25">
      <c r="B36" s="53" t="s">
        <v>152</v>
      </c>
      <c r="C36" s="53"/>
      <c r="D36" s="53"/>
      <c r="E36" s="53"/>
      <c r="F36" s="65">
        <f ca="1">(IF(Config4_SystemMode=SystemDeepSleep,Config4_DeepSleep_Cur,0)+IF(Config4_SystemMode=SystemHibernate,Config4_Hibernate_Cur,0)+SUM(F8:F8,F13:F35))/1000</f>
        <v>1.002</v>
      </c>
      <c r="G36" s="53" t="s">
        <v>316</v>
      </c>
      <c r="H36" s="53"/>
      <c r="AB36" s="41"/>
    </row>
    <row r="37" spans="2:28" x14ac:dyDescent="0.25">
      <c r="D37"/>
      <c r="F37"/>
      <c r="AB37" s="43"/>
    </row>
    <row r="38" spans="2:28" ht="15.6" x14ac:dyDescent="0.3">
      <c r="B38" s="225" t="s">
        <v>138</v>
      </c>
      <c r="C38" s="225"/>
      <c r="D38" s="225"/>
      <c r="E38" s="225"/>
      <c r="F38" s="225"/>
      <c r="G38" s="225"/>
      <c r="H38" s="225"/>
      <c r="AB38" s="43"/>
    </row>
    <row r="39" spans="2:28" ht="15.6" x14ac:dyDescent="0.3">
      <c r="B39" s="228" t="s">
        <v>406</v>
      </c>
      <c r="C39" s="229"/>
      <c r="D39" s="167"/>
      <c r="E39" s="167"/>
      <c r="F39" s="167"/>
      <c r="G39" s="167"/>
      <c r="H39" s="167"/>
      <c r="AB39" s="43"/>
    </row>
    <row r="40" spans="2:28" ht="15.6" customHeight="1" x14ac:dyDescent="0.25">
      <c r="B40" s="239"/>
      <c r="C40" s="54" t="s">
        <v>408</v>
      </c>
      <c r="D40" s="60" t="s">
        <v>151</v>
      </c>
      <c r="E40" s="54"/>
      <c r="F40" s="54"/>
      <c r="G40" s="54"/>
      <c r="H40" s="54" t="s">
        <v>412</v>
      </c>
      <c r="AB40" s="43"/>
    </row>
    <row r="41" spans="2:28" ht="15.6" customHeight="1" x14ac:dyDescent="0.25">
      <c r="B41" s="239"/>
      <c r="C41" s="54" t="s">
        <v>409</v>
      </c>
      <c r="D41" s="169">
        <v>0</v>
      </c>
      <c r="E41" s="54" t="s">
        <v>413</v>
      </c>
      <c r="F41" s="54"/>
      <c r="G41" s="54"/>
      <c r="H41" s="54" t="s">
        <v>414</v>
      </c>
      <c r="AB41" s="43"/>
    </row>
    <row r="42" spans="2:28" ht="15.6" x14ac:dyDescent="0.3">
      <c r="B42" s="240"/>
      <c r="C42" s="54" t="s">
        <v>410</v>
      </c>
      <c r="D42" s="169">
        <v>1</v>
      </c>
      <c r="E42" s="122" t="s">
        <v>415</v>
      </c>
      <c r="F42" s="170"/>
      <c r="G42" s="171"/>
      <c r="H42" s="122" t="s">
        <v>416</v>
      </c>
      <c r="AB42" s="43"/>
    </row>
    <row r="43" spans="2:28" x14ac:dyDescent="0.25">
      <c r="B43" s="53" t="s">
        <v>468</v>
      </c>
      <c r="C43" s="53"/>
      <c r="D43" s="53"/>
      <c r="E43" s="53"/>
      <c r="F43" s="53"/>
      <c r="G43" s="53"/>
      <c r="H43" s="53"/>
      <c r="AB43" s="43"/>
    </row>
    <row r="44" spans="2:28" ht="12.6" customHeight="1" x14ac:dyDescent="0.25">
      <c r="B44" s="233" t="b">
        <v>0</v>
      </c>
      <c r="C44" s="174" t="s">
        <v>33</v>
      </c>
      <c r="D44" t="s">
        <v>419</v>
      </c>
      <c r="E44" s="54"/>
      <c r="F44" s="152"/>
      <c r="G44" s="55"/>
      <c r="H44" s="176" t="s">
        <v>465</v>
      </c>
      <c r="I44">
        <f>IF(Config1_SystemMode &lt;&gt; "System Hibernate",IF(Config1_SystemMode &lt;&gt; "System Deep Sleep",1,0),0)</f>
        <v>1</v>
      </c>
      <c r="AB44" s="43"/>
    </row>
    <row r="45" spans="2:28" ht="12.6" customHeight="1" x14ac:dyDescent="0.25">
      <c r="B45" s="234"/>
      <c r="C45" s="122" t="s">
        <v>381</v>
      </c>
      <c r="D45" s="60" t="s">
        <v>451</v>
      </c>
      <c r="E45" s="54"/>
      <c r="F45" s="152"/>
      <c r="G45" s="55"/>
      <c r="H45" s="112" t="s">
        <v>382</v>
      </c>
      <c r="I45">
        <f>IF(AND(Config1_SystemMode = "System Deep Sleep", SelectedDevice = "PSOC 62 (256KB)"),1,0)</f>
        <v>0</v>
      </c>
      <c r="AB45" s="43"/>
    </row>
    <row r="46" spans="2:28" ht="12.6" customHeight="1" x14ac:dyDescent="0.25">
      <c r="B46" s="234"/>
      <c r="C46" s="122" t="s">
        <v>420</v>
      </c>
      <c r="D46" s="169">
        <v>18000</v>
      </c>
      <c r="E46" s="122" t="s">
        <v>424</v>
      </c>
      <c r="F46" s="152"/>
      <c r="G46" s="55"/>
      <c r="H46" s="112" t="s">
        <v>475</v>
      </c>
      <c r="I46" s="159" t="b">
        <f>IF(SUM(I44:I45)&gt;0,IF(B44=TRUE,TRUE,FALSE),FALSE)</f>
        <v>0</v>
      </c>
      <c r="AB46" s="41"/>
    </row>
    <row r="47" spans="2:28" ht="12.9" customHeight="1" x14ac:dyDescent="0.25">
      <c r="B47" s="234"/>
      <c r="C47" s="122" t="s">
        <v>421</v>
      </c>
      <c r="D47" s="175">
        <v>1</v>
      </c>
      <c r="E47" s="122" t="s">
        <v>425</v>
      </c>
      <c r="F47" s="152"/>
      <c r="G47" s="55"/>
      <c r="H47" s="112" t="s">
        <v>387</v>
      </c>
      <c r="AB47" s="41"/>
    </row>
    <row r="48" spans="2:28" ht="12.9" customHeight="1" x14ac:dyDescent="0.25">
      <c r="B48" s="234"/>
      <c r="C48" s="176" t="s">
        <v>422</v>
      </c>
      <c r="D48" s="169">
        <v>1</v>
      </c>
      <c r="E48" s="54"/>
      <c r="F48" s="152"/>
      <c r="G48" s="55"/>
      <c r="H48" s="112" t="s">
        <v>466</v>
      </c>
      <c r="AB48" s="41"/>
    </row>
    <row r="49" spans="2:28" ht="12.9" customHeight="1" x14ac:dyDescent="0.25">
      <c r="B49" s="234"/>
      <c r="C49" s="122" t="s">
        <v>423</v>
      </c>
      <c r="D49" s="169">
        <v>4</v>
      </c>
      <c r="E49" s="54"/>
      <c r="F49" s="152"/>
      <c r="G49" s="55"/>
      <c r="H49" s="112" t="s">
        <v>467</v>
      </c>
      <c r="AB49" s="41"/>
    </row>
    <row r="50" spans="2:28" ht="38.1" customHeight="1" x14ac:dyDescent="0.25">
      <c r="B50" s="234"/>
      <c r="C50" s="113" t="s">
        <v>426</v>
      </c>
      <c r="D50" s="193" t="str">
        <f>"Acquisition Time (min "&amp;ROUNDUP(ROUNDUP(IF(Summary!F2 = "PSOC 62 (256KB)", 83, 166)*IF(Config1_SystemMode = "System Deep Sleep", 2000, D46)/1000000, 0)/IF(Config1_SystemMode = "System Deep Sleep", 2000, D46)*1000000, 0)&amp;"ns)"</f>
        <v>Acquisition Time (min 167ns)</v>
      </c>
      <c r="E50" s="113" t="s">
        <v>427</v>
      </c>
      <c r="F50" s="194" t="s">
        <v>428</v>
      </c>
      <c r="G50" s="193" t="s">
        <v>429</v>
      </c>
      <c r="H50" s="112"/>
      <c r="AB50" s="41"/>
    </row>
    <row r="51" spans="2:28" ht="12.9" customHeight="1" x14ac:dyDescent="0.25">
      <c r="B51" s="234"/>
      <c r="C51" s="122">
        <v>0</v>
      </c>
      <c r="D51" s="60">
        <v>1000</v>
      </c>
      <c r="E51" s="60" t="s">
        <v>151</v>
      </c>
      <c r="F51" s="177">
        <f>ROUNDDOWN((G51/1000+ (1/IF(Config1_SystemMode = "System Deep Sleep", 2000, D46)*1000)*15)*IF(E51="Enabled", D49, 1),2)</f>
        <v>1.83</v>
      </c>
      <c r="G51" s="112">
        <f>ROUNDUP(ROUND(D51*D46/1000000,0)/D46*1000000,0)</f>
        <v>1000</v>
      </c>
      <c r="H51" s="112" t="s">
        <v>430</v>
      </c>
      <c r="AB51" s="41"/>
    </row>
    <row r="52" spans="2:28" ht="12.9" customHeight="1" x14ac:dyDescent="0.25">
      <c r="B52" s="234"/>
      <c r="C52" s="173">
        <v>1</v>
      </c>
      <c r="D52" s="60">
        <v>1000</v>
      </c>
      <c r="E52" s="60" t="s">
        <v>151</v>
      </c>
      <c r="F52" s="177">
        <f>ROUNDDOWN(IF(D$48 &gt; 1,(G52/1000+ (1/IF(Config1_SystemMode = "System Deep Sleep", 2000, D$46)*1000)*15)*IF(E52="Enabled", D$49, 1),0), 2)</f>
        <v>0</v>
      </c>
      <c r="G52" s="112">
        <f>ROUNDUP(ROUND(D52*D46/1000000,0)/D46*1000000,0)</f>
        <v>1000</v>
      </c>
      <c r="H52" s="112" t="s">
        <v>431</v>
      </c>
      <c r="AB52" s="41"/>
    </row>
    <row r="53" spans="2:28" ht="12.9" customHeight="1" x14ac:dyDescent="0.25">
      <c r="B53" s="234"/>
      <c r="C53" s="173">
        <v>2</v>
      </c>
      <c r="D53" s="60">
        <v>1000</v>
      </c>
      <c r="E53" s="60" t="s">
        <v>151</v>
      </c>
      <c r="F53" s="177">
        <f>ROUNDDOWN(IF(D$48 &gt; 2,(G53/1000+ (1/IF(Config1_SystemMode = "System Deep Sleep", 2000, D$46)*1000)*15)*IF(E53="Enabled", D$49, 1),0), 2)</f>
        <v>0</v>
      </c>
      <c r="G53" s="112">
        <f>ROUNDUP(ROUND(D53*D46/1000000,0)/D46*1000000,0)</f>
        <v>1000</v>
      </c>
      <c r="H53" s="112" t="s">
        <v>432</v>
      </c>
      <c r="AB53" s="41"/>
    </row>
    <row r="54" spans="2:28" ht="12.9" customHeight="1" x14ac:dyDescent="0.25">
      <c r="B54" s="234"/>
      <c r="C54" s="173">
        <v>3</v>
      </c>
      <c r="D54" s="60">
        <v>1000</v>
      </c>
      <c r="E54" s="60" t="s">
        <v>151</v>
      </c>
      <c r="F54" s="177">
        <f>ROUNDDOWN(IF(D$48 &gt;3,(G54/1000+ (1/IF(Config1_SystemMode = "System Deep Sleep", 2000, D$46)*1000)*15)*IF(E54="Enabled", D$49, 1),0), 2)</f>
        <v>0</v>
      </c>
      <c r="G54" s="112">
        <f>ROUNDUP(ROUND(D54*D46/1000000,0)/D46*1000000,0)</f>
        <v>1000</v>
      </c>
      <c r="H54" s="112" t="s">
        <v>433</v>
      </c>
      <c r="AB54" s="41"/>
    </row>
    <row r="55" spans="2:28" ht="12.9" customHeight="1" x14ac:dyDescent="0.25">
      <c r="B55" s="234"/>
      <c r="C55" s="192">
        <v>4</v>
      </c>
      <c r="D55" s="60">
        <v>1000</v>
      </c>
      <c r="E55" s="60" t="s">
        <v>151</v>
      </c>
      <c r="F55" s="177">
        <f>ROUNDDOWN(IF(D$48 &gt;4,(G55/1000+ (1/IF(Config1_SystemMode = "System Deep Sleep", 2000, D$46)*1000)*15)*IF(E55="Enabled", D$49, 1),0), 2)</f>
        <v>0</v>
      </c>
      <c r="G55" s="112">
        <f>ROUNDUP(ROUND(D55*D46/1000000,0)/D46*1000000,0)</f>
        <v>1000</v>
      </c>
      <c r="H55" s="112" t="s">
        <v>434</v>
      </c>
      <c r="AB55" s="41"/>
    </row>
    <row r="56" spans="2:28" ht="12.9" customHeight="1" x14ac:dyDescent="0.25">
      <c r="B56" s="234"/>
      <c r="C56" s="173">
        <v>5</v>
      </c>
      <c r="D56" s="60">
        <v>1000</v>
      </c>
      <c r="E56" s="60" t="s">
        <v>151</v>
      </c>
      <c r="F56" s="177">
        <f>ROUNDDOWN(IF(D$48 &gt; 5,(G56/1000+ (1/IF(Config1_SystemMode = "System Deep Sleep", 2000, D$46)*1000)*15)*IF(E56="Enabled", D$49, 1),0), 2)</f>
        <v>0</v>
      </c>
      <c r="G56" s="112">
        <f>ROUNDUP(ROUND(D56*D46/1000000,0)/D46*1000000,0)</f>
        <v>1000</v>
      </c>
      <c r="H56" s="112" t="s">
        <v>435</v>
      </c>
      <c r="AB56" s="41"/>
    </row>
    <row r="57" spans="2:28" ht="12.9" customHeight="1" x14ac:dyDescent="0.25">
      <c r="B57" s="234"/>
      <c r="C57" s="173">
        <v>6</v>
      </c>
      <c r="D57" s="60">
        <v>1000</v>
      </c>
      <c r="E57" s="60" t="s">
        <v>151</v>
      </c>
      <c r="F57" s="177">
        <f>ROUNDDOWN(IF(D$48 &gt; 6,(G57/1000+ (1/IF(Config1_SystemMode = "System Deep Sleep", 2000, D$46)*1000)*15)*IF(E57="Enabled", D$49, 1),0), 2)</f>
        <v>0</v>
      </c>
      <c r="G57" s="112">
        <f>ROUNDUP(ROUND(D57*D46/1000000,0)/D46*1000000,0)</f>
        <v>1000</v>
      </c>
      <c r="H57" s="112" t="s">
        <v>436</v>
      </c>
      <c r="AB57" s="41"/>
    </row>
    <row r="58" spans="2:28" ht="12.9" customHeight="1" x14ac:dyDescent="0.25">
      <c r="B58" s="234"/>
      <c r="C58" s="173">
        <v>7</v>
      </c>
      <c r="D58" s="60">
        <v>1000</v>
      </c>
      <c r="E58" s="60" t="s">
        <v>151</v>
      </c>
      <c r="F58" s="177">
        <f>ROUNDDOWN(IF(D$48 &gt; 7,(G58/1000+ (1/IF(Config1_SystemMode = "System Deep Sleep", 2000, D$46)*1000)*15)*IF(E58="Enabled", D$49, 1),0), 2)</f>
        <v>0</v>
      </c>
      <c r="G58" s="112">
        <f>ROUNDUP(ROUND(D58*D46/1000000,0)/D46*1000000,0)</f>
        <v>1000</v>
      </c>
      <c r="H58" s="112" t="s">
        <v>437</v>
      </c>
      <c r="AB58" s="41"/>
    </row>
    <row r="59" spans="2:28" ht="12.9" customHeight="1" x14ac:dyDescent="0.25">
      <c r="B59" s="234"/>
      <c r="C59" s="173">
        <v>8</v>
      </c>
      <c r="D59" s="60">
        <v>1000</v>
      </c>
      <c r="E59" s="60" t="s">
        <v>151</v>
      </c>
      <c r="F59" s="177">
        <f>ROUNDDOWN(IF(D$48 &gt; 8,(G59/1000+ (1/IF(Config1_SystemMode = "System Deep Sleep", 2000, D$46)*1000)*15)*IF(E59="Enabled", D$49, 1),0), 2)</f>
        <v>0</v>
      </c>
      <c r="G59" s="112">
        <f>ROUNDUP(ROUND(D59*D46/1000000,0)/D46*1000000,0)</f>
        <v>1000</v>
      </c>
      <c r="H59" s="112" t="s">
        <v>438</v>
      </c>
      <c r="AB59" s="41"/>
    </row>
    <row r="60" spans="2:28" ht="12.9" customHeight="1" x14ac:dyDescent="0.25">
      <c r="B60" s="234"/>
      <c r="C60" s="173">
        <v>9</v>
      </c>
      <c r="D60" s="60">
        <v>1000</v>
      </c>
      <c r="E60" s="60" t="s">
        <v>151</v>
      </c>
      <c r="F60" s="177">
        <f>ROUNDDOWN(IF(D$48 &gt; 9,(G60/1000+ (1/IF(Config1_SystemMode = "System Deep Sleep", 2000, D$46)*1000)*15)*IF(E60="Enabled", D$49, 1),0), 2)</f>
        <v>0</v>
      </c>
      <c r="G60" s="112">
        <f>ROUNDUP(ROUND(D60*D46/1000000,0)/D46*1000000,0)</f>
        <v>1000</v>
      </c>
      <c r="H60" s="112" t="s">
        <v>439</v>
      </c>
      <c r="AB60" s="41"/>
    </row>
    <row r="61" spans="2:28" ht="12.9" customHeight="1" x14ac:dyDescent="0.25">
      <c r="B61" s="234"/>
      <c r="C61" s="173">
        <v>10</v>
      </c>
      <c r="D61" s="60">
        <v>1000</v>
      </c>
      <c r="E61" s="60" t="s">
        <v>151</v>
      </c>
      <c r="F61" s="177">
        <f>ROUNDDOWN(IF(D$48 &gt;10,(G61/1000+ (1/IF(Config1_SystemMode = "System Deep Sleep", 2000, D$46)*1000)*15)*IF(E61="Enabled", D$49, 1),0), 2)</f>
        <v>0</v>
      </c>
      <c r="G61" s="112">
        <f>ROUNDUP(ROUND(D61*D46/1000000,0)/D46*1000000,0)</f>
        <v>1000</v>
      </c>
      <c r="H61" s="112" t="s">
        <v>440</v>
      </c>
      <c r="AB61" s="41"/>
    </row>
    <row r="62" spans="2:28" ht="12.9" customHeight="1" x14ac:dyDescent="0.25">
      <c r="B62" s="234"/>
      <c r="C62" s="173">
        <v>11</v>
      </c>
      <c r="D62" s="60">
        <v>1000</v>
      </c>
      <c r="E62" s="60" t="s">
        <v>151</v>
      </c>
      <c r="F62" s="177">
        <f>ROUNDDOWN(IF(D$48 &gt; 11,(G62/1000+ (1/IF(Config1_SystemMode = "System Deep Sleep", 2000, D$46)*1000)*15)*IF(E62="Enabled", D$49, 1),0), 2)</f>
        <v>0</v>
      </c>
      <c r="G62" s="112">
        <f>ROUNDUP(ROUND(D62*D46/1000000,0)/D46*1000000,0)</f>
        <v>1000</v>
      </c>
      <c r="H62" s="112" t="s">
        <v>441</v>
      </c>
      <c r="AB62" s="41"/>
    </row>
    <row r="63" spans="2:28" ht="12.9" customHeight="1" x14ac:dyDescent="0.25">
      <c r="B63" s="234"/>
      <c r="C63" s="173">
        <v>12</v>
      </c>
      <c r="D63" s="60">
        <v>1000</v>
      </c>
      <c r="E63" s="60" t="s">
        <v>151</v>
      </c>
      <c r="F63" s="177">
        <f>ROUNDDOWN(IF(D$48 &gt; 12,(G63/1000+ (1/IF(Config1_SystemMode = "System Deep Sleep", 2000, D$46)*1000)*15)*IF(E63="Enabled", D$49, 1),0), 2)</f>
        <v>0</v>
      </c>
      <c r="G63" s="112">
        <f>ROUNDUP(ROUND(D63*D46/1000000,0)/D46*1000000,0)</f>
        <v>1000</v>
      </c>
      <c r="H63" s="112" t="s">
        <v>442</v>
      </c>
      <c r="AB63" s="41"/>
    </row>
    <row r="64" spans="2:28" ht="12.9" customHeight="1" x14ac:dyDescent="0.25">
      <c r="B64" s="234"/>
      <c r="C64" s="173">
        <v>13</v>
      </c>
      <c r="D64" s="60">
        <v>1000</v>
      </c>
      <c r="E64" s="60" t="s">
        <v>151</v>
      </c>
      <c r="F64" s="177">
        <f>ROUNDDOWN(IF(D$48 &gt; 13,(G64/1000+ (1/IF(Config1_SystemMode = "System Deep Sleep", 2000, D$46)*1000)*15)*IF(E64="Enabled", D$49, 1),0), 2)</f>
        <v>0</v>
      </c>
      <c r="G64" s="112">
        <f>ROUNDUP(ROUND(D64*D46/1000000,0)/D46*1000000,0)</f>
        <v>1000</v>
      </c>
      <c r="H64" s="112" t="s">
        <v>443</v>
      </c>
      <c r="AB64" s="41"/>
    </row>
    <row r="65" spans="2:28" ht="12.9" customHeight="1" x14ac:dyDescent="0.25">
      <c r="B65" s="234"/>
      <c r="C65" s="173">
        <v>14</v>
      </c>
      <c r="D65" s="60">
        <v>1000</v>
      </c>
      <c r="E65" s="60" t="s">
        <v>151</v>
      </c>
      <c r="F65" s="177">
        <f>ROUNDDOWN(IF(D$48 &gt; 14,(G65/1000+ (1/IF(Config1_SystemMode = "System Deep Sleep", 2000, D$46)*1000)*15)*IF(E65="Enabled", D$49, 1),0), 2)</f>
        <v>0</v>
      </c>
      <c r="G65" s="112">
        <f>ROUNDUP(ROUND(D65*D46/1000000,0)/D46*1000000,0)</f>
        <v>1000</v>
      </c>
      <c r="H65" s="112" t="s">
        <v>444</v>
      </c>
      <c r="AB65" s="41"/>
    </row>
    <row r="66" spans="2:28" ht="12.9" customHeight="1" x14ac:dyDescent="0.25">
      <c r="B66" s="234"/>
      <c r="C66" s="173">
        <v>15</v>
      </c>
      <c r="D66" s="60">
        <v>1000</v>
      </c>
      <c r="E66" s="60" t="s">
        <v>151</v>
      </c>
      <c r="F66" s="177">
        <f>ROUNDDOWN(IF(D$48 &gt; 15,(G66/1000+ (1/IF(Config1_SystemMode = "System Deep Sleep", 2000, D$46)*1000)*15)*IF(E66="Enabled", D$49, 1),0), 2)</f>
        <v>0</v>
      </c>
      <c r="G66" s="112">
        <f>ROUNDUP(ROUND(D66*D46/1000000,0)/D46*1000000,0)</f>
        <v>1000</v>
      </c>
      <c r="H66" s="112" t="s">
        <v>445</v>
      </c>
      <c r="AB66" s="41"/>
    </row>
    <row r="67" spans="2:28" ht="12.9" customHeight="1" x14ac:dyDescent="0.25">
      <c r="B67" s="234"/>
      <c r="C67" s="230" t="s">
        <v>448</v>
      </c>
      <c r="D67" s="231"/>
      <c r="E67" s="232"/>
      <c r="F67" s="178">
        <f>IF(I46=TRUE,SUM(F51:F66),0)</f>
        <v>0</v>
      </c>
      <c r="G67" s="122" t="s">
        <v>413</v>
      </c>
      <c r="H67" s="112"/>
      <c r="AB67" s="41"/>
    </row>
    <row r="68" spans="2:28" ht="12.9" customHeight="1" x14ac:dyDescent="0.25">
      <c r="B68" s="234"/>
      <c r="C68" s="230" t="s">
        <v>446</v>
      </c>
      <c r="D68" s="231"/>
      <c r="E68" s="232"/>
      <c r="F68" s="152">
        <f>(F67*D42+IF(Config1_SystemMode = "System Deep Sleep", D41,0))*IF(NOT(B44), 0, 1)</f>
        <v>0</v>
      </c>
      <c r="G68" s="122" t="s">
        <v>413</v>
      </c>
      <c r="H68" s="112"/>
      <c r="AB68" s="41"/>
    </row>
    <row r="69" spans="2:28" s="195" customFormat="1" ht="12.9" customHeight="1" x14ac:dyDescent="0.25">
      <c r="B69" s="235"/>
      <c r="C69" s="182" t="s">
        <v>447</v>
      </c>
      <c r="D69" s="183"/>
      <c r="E69" s="184"/>
      <c r="F69" s="66">
        <f>IF(I46=FALSE,0,IF(B44, IF(AND(Config1_SystemMode = "System Deep Sleep", SelectedDevice = "PSOC 62 (256KB)"), Config1_SAR_DPSLP * F68*D47/1000, IF(Config1_SystemMode = "System Deep Sleep", 0, (IF(D45="System bandgap",Config1_SAR_Ped_SysGap,0)+IF(D45="Vdda",Config1_SAR_Ped_Vdda,0)+IF(D45="Vdda/2",Config1_SAR_Ped_Vdda2,0)+D46/18*Config1_SAR_Coef))), 0))</f>
        <v>0</v>
      </c>
      <c r="G69" s="198" t="s">
        <v>10</v>
      </c>
      <c r="H69" s="112"/>
      <c r="AB69" s="196"/>
    </row>
    <row r="70" spans="2:28" x14ac:dyDescent="0.25">
      <c r="B70" s="186" t="s">
        <v>469</v>
      </c>
      <c r="C70" s="187"/>
      <c r="D70" s="188"/>
      <c r="E70" s="89"/>
      <c r="F70" s="189"/>
      <c r="G70" s="187"/>
      <c r="H70" s="190"/>
      <c r="AB70" s="41"/>
    </row>
    <row r="71" spans="2:28" ht="12.9" customHeight="1" x14ac:dyDescent="0.25">
      <c r="B71" s="236" t="b">
        <v>0</v>
      </c>
      <c r="C71" s="174" t="s">
        <v>33</v>
      </c>
      <c r="D71" t="s">
        <v>418</v>
      </c>
      <c r="E71" s="54"/>
      <c r="F71" s="152"/>
      <c r="G71" s="55"/>
      <c r="H71" s="176" t="s">
        <v>465</v>
      </c>
      <c r="I71">
        <f>IF(AND(Config1_SystemMode &lt;&gt; "System Hibernate", SelectedDevice = "PSOC 62 (256KB)"),1,0)</f>
        <v>0</v>
      </c>
      <c r="AB71" s="41"/>
    </row>
    <row r="72" spans="2:28" ht="12.9" customHeight="1" x14ac:dyDescent="0.25">
      <c r="B72" s="237"/>
      <c r="C72" s="122" t="s">
        <v>381</v>
      </c>
      <c r="D72" s="60" t="s">
        <v>451</v>
      </c>
      <c r="E72" s="54"/>
      <c r="F72" s="152"/>
      <c r="G72" s="55"/>
      <c r="H72" s="112" t="s">
        <v>382</v>
      </c>
      <c r="I72" s="159" t="b">
        <f>IF(SUM(I71)&gt;0,IF(B71=TRUE,TRUE,FALSE),FALSE)</f>
        <v>0</v>
      </c>
      <c r="AB72" s="41"/>
    </row>
    <row r="73" spans="2:28" ht="12.9" customHeight="1" x14ac:dyDescent="0.25">
      <c r="B73" s="237"/>
      <c r="C73" s="122" t="s">
        <v>420</v>
      </c>
      <c r="D73" s="169">
        <v>18000</v>
      </c>
      <c r="E73" s="122" t="s">
        <v>424</v>
      </c>
      <c r="F73" s="152"/>
      <c r="G73" s="55"/>
      <c r="H73" s="112" t="s">
        <v>475</v>
      </c>
      <c r="AB73" s="41"/>
    </row>
    <row r="74" spans="2:28" ht="12.9" customHeight="1" x14ac:dyDescent="0.25">
      <c r="B74" s="237"/>
      <c r="C74" s="122" t="s">
        <v>421</v>
      </c>
      <c r="D74" s="175">
        <v>1</v>
      </c>
      <c r="E74" s="122" t="s">
        <v>425</v>
      </c>
      <c r="F74" s="152"/>
      <c r="G74" s="55"/>
      <c r="H74" s="112" t="s">
        <v>387</v>
      </c>
      <c r="AB74" s="41"/>
    </row>
    <row r="75" spans="2:28" ht="12.9" customHeight="1" x14ac:dyDescent="0.25">
      <c r="B75" s="237"/>
      <c r="C75" s="176" t="s">
        <v>422</v>
      </c>
      <c r="D75" s="169">
        <v>1</v>
      </c>
      <c r="E75" s="54"/>
      <c r="F75" s="152"/>
      <c r="G75" s="55"/>
      <c r="H75" s="112" t="s">
        <v>466</v>
      </c>
      <c r="AB75" s="41"/>
    </row>
    <row r="76" spans="2:28" ht="12.9" customHeight="1" x14ac:dyDescent="0.25">
      <c r="B76" s="237"/>
      <c r="C76" s="122" t="s">
        <v>423</v>
      </c>
      <c r="D76" s="169">
        <v>4</v>
      </c>
      <c r="E76" s="54"/>
      <c r="F76" s="152"/>
      <c r="G76" s="55"/>
      <c r="H76" s="112" t="s">
        <v>467</v>
      </c>
      <c r="AB76" s="41"/>
    </row>
    <row r="77" spans="2:28" ht="38.1" customHeight="1" x14ac:dyDescent="0.25">
      <c r="B77" s="237"/>
      <c r="C77" s="113" t="s">
        <v>426</v>
      </c>
      <c r="D77" s="193" t="str">
        <f>"Acquisition Time (min "&amp;ROUNDUP(ROUNDUP(IF(Summary!F33 = "PSOC 62 (256KB)", 83, 166)*IF(Config1_SystemMode = "System Deep Sleep", 2000, D73)/1000000, 0)/IF(Config1_SystemMode = "System Deep Sleep", 2000, D73)*1000000, 0)&amp;"ns)"</f>
        <v>Acquisition Time (min 167ns)</v>
      </c>
      <c r="E77" s="113" t="s">
        <v>427</v>
      </c>
      <c r="F77" s="194" t="s">
        <v>428</v>
      </c>
      <c r="G77" s="193" t="s">
        <v>429</v>
      </c>
      <c r="H77" s="112"/>
      <c r="AB77" s="41"/>
    </row>
    <row r="78" spans="2:28" ht="12.9" customHeight="1" x14ac:dyDescent="0.25">
      <c r="B78" s="237"/>
      <c r="C78" s="122">
        <v>0</v>
      </c>
      <c r="D78" s="60">
        <v>1000</v>
      </c>
      <c r="E78" s="60" t="s">
        <v>151</v>
      </c>
      <c r="F78" s="177">
        <f>ROUNDDOWN((G78/1000+ (1/IF(Config1_SystemMode = "System Deep Sleep", 2000, D73)*1000)*15)*IF(E78="Enabled", D76, 1),2)</f>
        <v>1.83</v>
      </c>
      <c r="G78" s="112">
        <f>ROUNDUP(ROUND(D78*D73/1000000,0)/D73*1000000,0)</f>
        <v>1000</v>
      </c>
      <c r="H78" s="112" t="s">
        <v>430</v>
      </c>
      <c r="AB78" s="41"/>
    </row>
    <row r="79" spans="2:28" ht="12.9" customHeight="1" x14ac:dyDescent="0.25">
      <c r="B79" s="237"/>
      <c r="C79" s="173">
        <v>1</v>
      </c>
      <c r="D79" s="60">
        <v>1000</v>
      </c>
      <c r="E79" s="60" t="s">
        <v>151</v>
      </c>
      <c r="F79" s="177">
        <f>ROUNDDOWN(IF(D$75 &gt; 1,(G79/1000+ (1/IF(Config1_SystemMode = "System Deep Sleep", 2000, D$73)*1000)*15)*IF(E79="Enabled", D$76, 1),0), 2)</f>
        <v>0</v>
      </c>
      <c r="G79" s="112">
        <f>ROUNDUP(ROUND(D79*D73/1000000,0)/D73*1000000,0)</f>
        <v>1000</v>
      </c>
      <c r="H79" s="112" t="s">
        <v>431</v>
      </c>
      <c r="AB79" s="41"/>
    </row>
    <row r="80" spans="2:28" ht="12.9" customHeight="1" x14ac:dyDescent="0.25">
      <c r="B80" s="237"/>
      <c r="C80" s="173">
        <v>2</v>
      </c>
      <c r="D80" s="60">
        <v>1000</v>
      </c>
      <c r="E80" s="60" t="s">
        <v>151</v>
      </c>
      <c r="F80" s="177">
        <f>ROUNDDOWN(IF(D$75 &gt; 2,(G79/1000+ (1/IF(Config1_SystemMode = "System Deep Sleep", 2000, D$73)*1000)*15)*IF(E79="Enabled", D$76, 1),0), 2)</f>
        <v>0</v>
      </c>
      <c r="G80" s="112">
        <f>ROUNDUP(ROUND(D80*D73/1000000,0)/D73*1000000,0)</f>
        <v>1000</v>
      </c>
      <c r="H80" s="112" t="s">
        <v>432</v>
      </c>
      <c r="AB80" s="41"/>
    </row>
    <row r="81" spans="2:28" ht="12.9" customHeight="1" x14ac:dyDescent="0.25">
      <c r="B81" s="237"/>
      <c r="C81" s="173">
        <v>3</v>
      </c>
      <c r="D81" s="60">
        <v>1000</v>
      </c>
      <c r="E81" s="60" t="s">
        <v>151</v>
      </c>
      <c r="F81" s="177">
        <f>ROUNDDOWN(IF(D$75 &gt; 2,(G80/1000+ (1/IF(Config1_SystemMode = "System Deep Sleep", 2000, D$73)*1000)*15)*IF(E80="Enabled", D$76, 1),0), 2)</f>
        <v>0</v>
      </c>
      <c r="G81" s="112">
        <f>ROUNDUP(ROUND(D81*D73/1000000,0)/D73*1000000,0)</f>
        <v>1000</v>
      </c>
      <c r="H81" s="112" t="s">
        <v>433</v>
      </c>
      <c r="AB81" s="41"/>
    </row>
    <row r="82" spans="2:28" ht="12.9" customHeight="1" x14ac:dyDescent="0.25">
      <c r="B82" s="237"/>
      <c r="C82" s="173">
        <v>4</v>
      </c>
      <c r="D82" s="60">
        <v>1000</v>
      </c>
      <c r="E82" s="60" t="s">
        <v>151</v>
      </c>
      <c r="F82" s="177">
        <f>ROUNDDOWN(IF(D$75 &gt; 4,(G81/1000+ (1/IF(Config1_SystemMode = "System Deep Sleep", 2000, D$73)*1000)*15)*IF(E81="Enabled", D$76, 1),0), 2)</f>
        <v>0</v>
      </c>
      <c r="G82" s="112">
        <f>ROUNDUP(ROUND(D82*D73/1000000,0)/D73*1000000,0)</f>
        <v>1000</v>
      </c>
      <c r="H82" s="112" t="s">
        <v>434</v>
      </c>
      <c r="AB82" s="41"/>
    </row>
    <row r="83" spans="2:28" ht="12.9" customHeight="1" x14ac:dyDescent="0.25">
      <c r="B83" s="237"/>
      <c r="C83" s="173">
        <v>5</v>
      </c>
      <c r="D83" s="60">
        <v>1000</v>
      </c>
      <c r="E83" s="60" t="s">
        <v>151</v>
      </c>
      <c r="F83" s="177">
        <f>ROUNDDOWN(IF(D$75 &gt; 5,(G82/1000+ (1/IF(Config1_SystemMode = "System Deep Sleep", 2000, D$73)*1000)*15)*IF(E82="Enabled", D$76, 1),0), 2)</f>
        <v>0</v>
      </c>
      <c r="G83" s="112">
        <f>ROUNDUP(ROUND(D83*D73/1000000,0)/D73*1000000,0)</f>
        <v>1000</v>
      </c>
      <c r="H83" s="112" t="s">
        <v>435</v>
      </c>
      <c r="AB83" s="41"/>
    </row>
    <row r="84" spans="2:28" ht="12.9" customHeight="1" x14ac:dyDescent="0.25">
      <c r="B84" s="237"/>
      <c r="C84" s="173">
        <v>6</v>
      </c>
      <c r="D84" s="60">
        <v>1000</v>
      </c>
      <c r="E84" s="60" t="s">
        <v>151</v>
      </c>
      <c r="F84" s="177">
        <f>ROUNDDOWN(IF(D$75 &gt; 6,(G83/1000+ (1/IF(Config1_SystemMode = "System Deep Sleep", 2000, D$73)*1000)*15)*IF(E83="Enabled", D$76, 1),0), 2)</f>
        <v>0</v>
      </c>
      <c r="G84" s="112">
        <f>ROUNDUP(ROUND(D84*D73/1000000,0)/D73*1000000,0)</f>
        <v>1000</v>
      </c>
      <c r="H84" s="112" t="s">
        <v>436</v>
      </c>
      <c r="AB84" s="41"/>
    </row>
    <row r="85" spans="2:28" ht="12.9" customHeight="1" x14ac:dyDescent="0.25">
      <c r="B85" s="237"/>
      <c r="C85" s="173">
        <v>7</v>
      </c>
      <c r="D85" s="60">
        <v>1000</v>
      </c>
      <c r="E85" s="60" t="s">
        <v>151</v>
      </c>
      <c r="F85" s="177">
        <f>ROUNDDOWN(IF(D$75 &gt;7,(G84/1000+ (1/IF(Config1_SystemMode = "System Deep Sleep", 2000, D$73)*1000)*15)*IF(E84="Enabled", D$76, 1),0), 2)</f>
        <v>0</v>
      </c>
      <c r="G85" s="112">
        <f>ROUNDUP(ROUND(D85*D73/1000000,0)/D73*1000000,0)</f>
        <v>1000</v>
      </c>
      <c r="H85" s="112" t="s">
        <v>437</v>
      </c>
      <c r="AB85" s="41"/>
    </row>
    <row r="86" spans="2:28" ht="12.9" customHeight="1" x14ac:dyDescent="0.25">
      <c r="B86" s="237"/>
      <c r="C86" s="173">
        <v>8</v>
      </c>
      <c r="D86" s="60">
        <v>1000</v>
      </c>
      <c r="E86" s="60" t="s">
        <v>151</v>
      </c>
      <c r="F86" s="177">
        <f>ROUNDDOWN(IF(D$75 &gt; 8,(G85/1000+ (1/IF(Config1_SystemMode = "System Deep Sleep", 2000, D$73)*1000)*15)*IF(E85="Enabled", D$76, 1),0), 2)</f>
        <v>0</v>
      </c>
      <c r="G86" s="112">
        <f>ROUNDUP(ROUND(D86*D73/1000000,0)/D73*1000000,0)</f>
        <v>1000</v>
      </c>
      <c r="H86" s="112" t="s">
        <v>438</v>
      </c>
      <c r="AB86" s="41"/>
    </row>
    <row r="87" spans="2:28" ht="12.9" customHeight="1" x14ac:dyDescent="0.25">
      <c r="B87" s="237"/>
      <c r="C87" s="173">
        <v>9</v>
      </c>
      <c r="D87" s="60">
        <v>1000</v>
      </c>
      <c r="E87" s="60" t="s">
        <v>151</v>
      </c>
      <c r="F87" s="177">
        <f>ROUNDDOWN(IF(D$75 &gt; 9,(G86/1000+ (1/IF(Config1_SystemMode = "System Deep Sleep", 2000, D$73)*1000)*15)*IF(E86="Enabled", D$76, 1),0), 2)</f>
        <v>0</v>
      </c>
      <c r="G87" s="112">
        <f>ROUNDUP(ROUND(D87*D73/1000000,0)/D73*1000000,0)</f>
        <v>1000</v>
      </c>
      <c r="H87" s="112" t="s">
        <v>439</v>
      </c>
      <c r="AB87" s="41"/>
    </row>
    <row r="88" spans="2:28" ht="12.9" customHeight="1" x14ac:dyDescent="0.25">
      <c r="B88" s="237"/>
      <c r="C88" s="173">
        <v>10</v>
      </c>
      <c r="D88" s="60">
        <v>1000</v>
      </c>
      <c r="E88" s="60" t="s">
        <v>151</v>
      </c>
      <c r="F88" s="177">
        <f>ROUNDDOWN(IF(D$75 &gt; 10,(G87/1000+ (1/IF(Config1_SystemMode = "System Deep Sleep", 2000, D$73)*1000)*15)*IF(E87="Enabled", D$76, 1),0), 2)</f>
        <v>0</v>
      </c>
      <c r="G88" s="112">
        <f>ROUNDUP(ROUND(D88*D73/1000000,0)/D73*1000000,0)</f>
        <v>1000</v>
      </c>
      <c r="H88" s="112" t="s">
        <v>440</v>
      </c>
      <c r="AB88" s="41"/>
    </row>
    <row r="89" spans="2:28" ht="12.9" customHeight="1" x14ac:dyDescent="0.25">
      <c r="B89" s="237"/>
      <c r="C89" s="173">
        <v>11</v>
      </c>
      <c r="D89" s="60">
        <v>1000</v>
      </c>
      <c r="E89" s="60" t="s">
        <v>151</v>
      </c>
      <c r="F89" s="177">
        <f>ROUNDDOWN(IF(D$75 &gt; 11,(G88/1000+ (1/IF(Config1_SystemMode = "System Deep Sleep", 2000, D$73)*1000)*15)*IF(E88="Enabled", D$76, 1),0), 2)</f>
        <v>0</v>
      </c>
      <c r="G89" s="112">
        <f>ROUNDUP(ROUND(D89*D73/1000000,0)/D73*1000000,0)</f>
        <v>1000</v>
      </c>
      <c r="H89" s="112" t="s">
        <v>441</v>
      </c>
      <c r="AB89" s="41"/>
    </row>
    <row r="90" spans="2:28" ht="12.9" customHeight="1" x14ac:dyDescent="0.25">
      <c r="B90" s="237"/>
      <c r="C90" s="173">
        <v>12</v>
      </c>
      <c r="D90" s="60">
        <v>1000</v>
      </c>
      <c r="E90" s="60" t="s">
        <v>151</v>
      </c>
      <c r="F90" s="177">
        <f>ROUNDDOWN(IF(D$75 &gt; 12,(G89/1000+ (1/IF(Config1_SystemMode = "System Deep Sleep", 2000, D$73)*1000)*15)*IF(E89="Enabled", D$76, 1),0), 2)</f>
        <v>0</v>
      </c>
      <c r="G90" s="112">
        <f>ROUNDUP(ROUND(D90*D73/1000000,0)/D73*1000000,0)</f>
        <v>1000</v>
      </c>
      <c r="H90" s="112" t="s">
        <v>442</v>
      </c>
      <c r="AB90" s="41"/>
    </row>
    <row r="91" spans="2:28" ht="12.9" customHeight="1" x14ac:dyDescent="0.25">
      <c r="B91" s="237"/>
      <c r="C91" s="173">
        <v>13</v>
      </c>
      <c r="D91" s="60">
        <v>1000</v>
      </c>
      <c r="E91" s="60" t="s">
        <v>151</v>
      </c>
      <c r="F91" s="177">
        <f>ROUNDDOWN(IF(D$75 &gt; 13,(G90/1000+ (1/IF(Config1_SystemMode = "System Deep Sleep", 2000, D$73)*1000)*15)*IF(E90="Enabled", D$76, 1),0), 2)</f>
        <v>0</v>
      </c>
      <c r="G91" s="112">
        <f>ROUNDUP(ROUND(D91*D73/1000000,0)/D73*1000000,0)</f>
        <v>1000</v>
      </c>
      <c r="H91" s="112" t="s">
        <v>443</v>
      </c>
      <c r="AB91" s="41"/>
    </row>
    <row r="92" spans="2:28" ht="12.9" customHeight="1" x14ac:dyDescent="0.25">
      <c r="B92" s="237"/>
      <c r="C92" s="173">
        <v>14</v>
      </c>
      <c r="D92" s="60">
        <v>1000</v>
      </c>
      <c r="E92" s="60" t="s">
        <v>151</v>
      </c>
      <c r="F92" s="177">
        <f>ROUNDDOWN(IF(D$75 &gt; 14,(G91/1000+ (1/IF(Config1_SystemMode = "System Deep Sleep", 2000, D$73)*1000)*15)*IF(E91="Enabled", D$76, 1),0), 2)</f>
        <v>0</v>
      </c>
      <c r="G92" s="112">
        <f>ROUNDUP(ROUND(D92*D73/1000000,0)/D73*1000000,0)</f>
        <v>1000</v>
      </c>
      <c r="H92" s="112" t="s">
        <v>444</v>
      </c>
      <c r="AB92" s="41"/>
    </row>
    <row r="93" spans="2:28" ht="12.9" customHeight="1" x14ac:dyDescent="0.25">
      <c r="B93" s="237"/>
      <c r="C93" s="173">
        <v>15</v>
      </c>
      <c r="D93" s="60">
        <v>1000</v>
      </c>
      <c r="E93" s="60" t="s">
        <v>151</v>
      </c>
      <c r="F93" s="177">
        <f>ROUNDDOWN(IF(D$75 &gt; 15,(G92/1000+ (1/IF(Config1_SystemMode = "System Deep Sleep", 2000, D$73)*1000)*15)*IF(E92="Enabled", D$76, 1),0), 2)</f>
        <v>0</v>
      </c>
      <c r="G93" s="112">
        <f>ROUNDUP(ROUND(D93*D73/1000000,0)/D73*1000000,0)</f>
        <v>1000</v>
      </c>
      <c r="H93" s="112" t="s">
        <v>445</v>
      </c>
      <c r="AB93" s="41"/>
    </row>
    <row r="94" spans="2:28" ht="12.9" customHeight="1" x14ac:dyDescent="0.25">
      <c r="B94" s="237"/>
      <c r="C94" s="230" t="s">
        <v>448</v>
      </c>
      <c r="D94" s="231"/>
      <c r="E94" s="232"/>
      <c r="F94" s="178">
        <f>IF(I72=TRUE,SUM(F78:F93),0)</f>
        <v>0</v>
      </c>
      <c r="G94" s="122" t="s">
        <v>413</v>
      </c>
      <c r="H94" s="112"/>
      <c r="AB94" s="41"/>
    </row>
    <row r="95" spans="2:28" ht="12.9" customHeight="1" x14ac:dyDescent="0.25">
      <c r="B95" s="237"/>
      <c r="C95" s="230" t="s">
        <v>446</v>
      </c>
      <c r="D95" s="231"/>
      <c r="E95" s="232"/>
      <c r="F95" s="152">
        <f>(F94*D42+IF(Config1_SystemMode = "System Deep Sleep", D41,0))*IF(NOT(B71), 0, 1)</f>
        <v>0</v>
      </c>
      <c r="G95" s="122" t="s">
        <v>413</v>
      </c>
      <c r="H95" s="112"/>
      <c r="AB95" s="41"/>
    </row>
    <row r="96" spans="2:28" ht="12.9" customHeight="1" x14ac:dyDescent="0.25">
      <c r="B96" s="238"/>
      <c r="C96" s="182" t="s">
        <v>471</v>
      </c>
      <c r="D96" s="179"/>
      <c r="E96" s="180"/>
      <c r="F96" s="66">
        <f>IF(I72=FALSE,0,IF(B71, IF(AND(Config1_SystemMode = "System Deep Sleep", SelectedDevice = "PSOC 62 (256KB)"), Config1_SAR_DPSLP * F95*D74/1000, IF(Config1_SystemMode = "System Deep Sleep", 0, (IF(D72="System bandgap",Config1_SAR_Ped_SysGap,0)+IF(D72="Vdda",Config1_SAR_Ped_Vdda,0)+IF(D72="Vdda/2",Config1_SAR_Ped_Vdda2,0)+D73/18*Config1_SAR_Coef))), 0))</f>
        <v>0</v>
      </c>
      <c r="G96" s="197" t="s">
        <v>10</v>
      </c>
      <c r="H96" s="112"/>
      <c r="AB96" s="41"/>
    </row>
    <row r="97" spans="2:28" x14ac:dyDescent="0.25">
      <c r="B97" s="186" t="s">
        <v>452</v>
      </c>
      <c r="C97" s="188"/>
      <c r="D97" s="188"/>
      <c r="E97" s="188"/>
      <c r="F97" s="191"/>
      <c r="G97" s="190"/>
      <c r="H97" s="190"/>
      <c r="AB97" s="41"/>
    </row>
    <row r="98" spans="2:28" x14ac:dyDescent="0.25">
      <c r="B98" s="168"/>
      <c r="C98" s="122" t="s">
        <v>453</v>
      </c>
      <c r="D98" s="60" t="s">
        <v>457</v>
      </c>
      <c r="E98" s="54"/>
      <c r="F98" s="152"/>
      <c r="G98" s="122"/>
      <c r="H98" s="112"/>
      <c r="AB98" s="41"/>
    </row>
    <row r="99" spans="2:28" x14ac:dyDescent="0.25">
      <c r="B99" s="168"/>
      <c r="C99" s="122" t="s">
        <v>454</v>
      </c>
      <c r="D99" s="146" t="s">
        <v>458</v>
      </c>
      <c r="E99" s="54"/>
      <c r="F99" s="152"/>
      <c r="G99" s="122"/>
      <c r="H99" s="112" t="s">
        <v>456</v>
      </c>
      <c r="AB99" s="41"/>
    </row>
    <row r="100" spans="2:28" x14ac:dyDescent="0.25">
      <c r="B100" s="53" t="s">
        <v>54</v>
      </c>
      <c r="C100" s="53"/>
      <c r="D100" s="53"/>
      <c r="E100" s="53"/>
      <c r="F100" s="53"/>
      <c r="G100" s="53"/>
      <c r="H100" s="53"/>
      <c r="AB100" s="41"/>
    </row>
    <row r="101" spans="2:28" x14ac:dyDescent="0.25">
      <c r="B101" s="54"/>
      <c r="C101" s="54" t="s">
        <v>33</v>
      </c>
      <c r="D101" s="60" t="s">
        <v>28</v>
      </c>
      <c r="E101" s="54"/>
      <c r="F101" s="57">
        <f>IF(D101="Off",0,IF(D101="High",IF(D98="100nA",Config1_OpAmp_High_100nA,Config1_OpAmp_High_1uA),0)+IF(D101="Low",IF(D98="100nA",Config1_OpAmp_Low_100nA,Config1_OpAmp_Low_1uA),0)+IF(D101="Medium",IF(D98="100nA",Config1_OpAmp_Med_100nA,Config1_OpAmp_Med_1uA),0))* IF(AND(D99 = "Deep Sleep Clock", Config1_SystemMode = "System Deep Sleep", OR(IF(F69= 0, FALSE, TRUE), IF(F96 = 0, FALSE, TRUE))), MAX(F68, F95)* IF(B44, D47, (IF(B71, D74, 1)))/1000,1)</f>
        <v>0</v>
      </c>
      <c r="G101" s="185" t="s">
        <v>57</v>
      </c>
      <c r="H101" s="112" t="s">
        <v>73</v>
      </c>
      <c r="AB101" s="41"/>
    </row>
    <row r="102" spans="2:28" x14ac:dyDescent="0.25">
      <c r="B102" s="53" t="s">
        <v>55</v>
      </c>
      <c r="C102" s="53"/>
      <c r="D102" s="53"/>
      <c r="E102" s="53"/>
      <c r="F102" s="53"/>
      <c r="G102" s="53"/>
      <c r="H102" s="53"/>
      <c r="AB102" s="41"/>
    </row>
    <row r="103" spans="2:28" x14ac:dyDescent="0.25">
      <c r="B103" s="54"/>
      <c r="C103" s="54" t="s">
        <v>33</v>
      </c>
      <c r="D103" s="60" t="s">
        <v>28</v>
      </c>
      <c r="E103" s="54"/>
      <c r="F103" s="57">
        <f>IF(D103="Off",0,IF(D103="High",IF(D98="100nA",Config1_OpAmp_High_100nA,Config1_OpAmp_High_1uA),0)+IF(D103="Low",IF(D98="100nA",Config1_OpAmp_Low_100nA,Config1_OpAmp_Low_1uA),0)+IF(D103="Medium",IF(D98="100nA",Config1_OpAmp_Med_100nA,Config1_OpAmp_Med_1uA),0))* IF(AND(D99 = "Deep Sleep Clock", Config1_SystemMode = "System Deep Sleep", OR(IF(F69= 0, FALSE, TRUE), IF(F96 = 0, FALSE, TRUE))), MAX(F68, F95)* IF(B44, D47, (IF(B71, D74, 1)))/1000,1)</f>
        <v>0</v>
      </c>
      <c r="G103" s="185" t="s">
        <v>57</v>
      </c>
      <c r="H103" s="112" t="s">
        <v>72</v>
      </c>
      <c r="AB103" s="43"/>
    </row>
    <row r="104" spans="2:28" x14ac:dyDescent="0.25">
      <c r="B104" s="53" t="s">
        <v>52</v>
      </c>
      <c r="C104" s="53"/>
      <c r="D104" s="53"/>
      <c r="E104" s="53"/>
      <c r="F104" s="53"/>
      <c r="G104" s="53"/>
      <c r="H104" s="53"/>
      <c r="AB104" s="41"/>
    </row>
    <row r="105" spans="2:28" x14ac:dyDescent="0.25">
      <c r="B105" s="54"/>
      <c r="C105" s="54" t="s">
        <v>2</v>
      </c>
      <c r="D105" s="60" t="s">
        <v>28</v>
      </c>
      <c r="E105" s="54"/>
      <c r="F105" s="57">
        <f>IF(D105="Off",0,IF(D105="Fast/Normal",Config1_LP_Fast,IF(D105="Medium/Low Power",Config1_LP_Med,Config1_LP_Slow)))</f>
        <v>0</v>
      </c>
      <c r="G105" s="58" t="s">
        <v>57</v>
      </c>
      <c r="H105" s="59" t="s">
        <v>74</v>
      </c>
      <c r="AB105" s="41"/>
    </row>
    <row r="106" spans="2:28" x14ac:dyDescent="0.25">
      <c r="B106" s="53" t="s">
        <v>53</v>
      </c>
      <c r="C106" s="53"/>
      <c r="D106" s="53"/>
      <c r="E106" s="53"/>
      <c r="F106" s="53"/>
      <c r="G106" s="53"/>
      <c r="H106" s="53"/>
      <c r="AB106" s="41"/>
    </row>
    <row r="107" spans="2:28" x14ac:dyDescent="0.25">
      <c r="B107" s="54"/>
      <c r="C107" s="54" t="s">
        <v>2</v>
      </c>
      <c r="D107" s="60" t="s">
        <v>28</v>
      </c>
      <c r="E107" s="54"/>
      <c r="F107" s="57">
        <f>IF(D107="Off",0,IF(D107="Fast/Normal",Config1_LP_Fast,IF(D107="Medium/Low Power",Config1_LP_Med,Config1_LP_Slow)))</f>
        <v>0</v>
      </c>
      <c r="G107" s="58" t="s">
        <v>57</v>
      </c>
      <c r="H107" s="59" t="s">
        <v>75</v>
      </c>
      <c r="AB107" s="41"/>
    </row>
    <row r="108" spans="2:28" x14ac:dyDescent="0.25">
      <c r="B108" s="53" t="s">
        <v>86</v>
      </c>
      <c r="C108" s="53"/>
      <c r="D108" s="53"/>
      <c r="E108" s="53"/>
      <c r="F108" s="53"/>
      <c r="G108" s="53"/>
      <c r="H108" s="53"/>
      <c r="AB108" s="41"/>
    </row>
    <row r="109" spans="2:28" x14ac:dyDescent="0.25">
      <c r="B109" s="54"/>
      <c r="C109" s="55" t="s">
        <v>156</v>
      </c>
      <c r="D109" s="60">
        <v>0</v>
      </c>
      <c r="E109" s="54"/>
      <c r="F109" s="57">
        <f ca="1">IF(OR(Config1_SystemMode = "System LP", Config1_SystemMode = "System ULP"), D109*Config1_DAC_Ped, 0)</f>
        <v>0</v>
      </c>
      <c r="G109" s="58" t="s">
        <v>57</v>
      </c>
      <c r="H109" s="112" t="s">
        <v>211</v>
      </c>
      <c r="AB109" s="41"/>
    </row>
    <row r="110" spans="2:28" x14ac:dyDescent="0.25">
      <c r="B110" s="53" t="s">
        <v>179</v>
      </c>
      <c r="C110" s="53"/>
      <c r="D110" s="53"/>
      <c r="E110" s="53"/>
      <c r="F110" s="53"/>
      <c r="G110" s="53"/>
      <c r="H110" s="53"/>
      <c r="AB110" s="41"/>
    </row>
    <row r="111" spans="2:28" x14ac:dyDescent="0.25">
      <c r="B111" s="55"/>
      <c r="C111" s="55" t="s">
        <v>56</v>
      </c>
      <c r="D111" s="56">
        <v>0</v>
      </c>
      <c r="E111" s="55" t="s">
        <v>3</v>
      </c>
      <c r="F111" s="57">
        <f ca="1">IF(OR(Config1_SystemMode = "System LP", Config1_SystemMode = "System ULP"), D111*Config1_CapSense_Coef+Config1_CapSense_Ped*D111, 0)</f>
        <v>0</v>
      </c>
      <c r="G111" s="58" t="s">
        <v>57</v>
      </c>
      <c r="H111" s="112" t="s">
        <v>215</v>
      </c>
      <c r="AB111" s="41"/>
    </row>
    <row r="112" spans="2:28" s="1" customFormat="1" x14ac:dyDescent="0.25">
      <c r="B112" s="53" t="s">
        <v>180</v>
      </c>
      <c r="C112" s="53"/>
      <c r="D112" s="53"/>
      <c r="E112" s="53"/>
      <c r="F112" s="53"/>
      <c r="G112" s="53"/>
      <c r="H112" s="53"/>
      <c r="AB112" s="41"/>
    </row>
    <row r="113" spans="2:28" x14ac:dyDescent="0.25">
      <c r="B113" s="55"/>
      <c r="C113" s="55" t="s">
        <v>56</v>
      </c>
      <c r="D113" s="56">
        <v>0</v>
      </c>
      <c r="E113" s="55" t="s">
        <v>3</v>
      </c>
      <c r="F113" s="57">
        <f ca="1">IF(OR(Config1_SystemMode = "System LP", Config1_SystemMode = "System ULP"), D113*Config1_CapSense_Coef+Config1_CapSense_Ped*D113, 0)</f>
        <v>0</v>
      </c>
      <c r="G113" s="58" t="s">
        <v>57</v>
      </c>
      <c r="H113" s="112" t="s">
        <v>215</v>
      </c>
      <c r="AB113" s="41"/>
    </row>
    <row r="114" spans="2:28" s="1" customFormat="1" x14ac:dyDescent="0.25">
      <c r="B114" s="53" t="s">
        <v>152</v>
      </c>
      <c r="C114" s="53"/>
      <c r="D114" s="53"/>
      <c r="E114" s="53"/>
      <c r="F114" s="65">
        <f ca="1">(F69+F96+SUM(F101:F113))/1000</f>
        <v>0</v>
      </c>
      <c r="G114" s="53" t="s">
        <v>316</v>
      </c>
      <c r="H114" s="53"/>
      <c r="AB114" s="41"/>
    </row>
    <row r="115" spans="2:28" s="1" customFormat="1" x14ac:dyDescent="0.25">
      <c r="B115" s="48"/>
      <c r="C115" s="48"/>
      <c r="D115" s="48"/>
      <c r="E115" s="48"/>
      <c r="F115" s="48"/>
      <c r="G115" s="48"/>
      <c r="H115" s="50"/>
      <c r="AB115" s="41"/>
    </row>
    <row r="116" spans="2:28" s="1" customFormat="1" ht="15.6" x14ac:dyDescent="0.3">
      <c r="B116" s="225" t="s">
        <v>139</v>
      </c>
      <c r="C116" s="225"/>
      <c r="D116" s="225"/>
      <c r="E116" s="225"/>
      <c r="F116" s="225"/>
      <c r="G116" s="225"/>
      <c r="H116" s="225"/>
      <c r="AB116" s="41"/>
    </row>
    <row r="117" spans="2:28" s="1" customFormat="1" x14ac:dyDescent="0.25">
      <c r="B117" s="53" t="s">
        <v>68</v>
      </c>
      <c r="C117" s="53"/>
      <c r="D117" s="53"/>
      <c r="E117" s="53"/>
      <c r="F117" s="53"/>
      <c r="G117" s="53"/>
      <c r="H117" s="53"/>
      <c r="AB117" s="41"/>
    </row>
    <row r="118" spans="2:28" s="1" customFormat="1" x14ac:dyDescent="0.25">
      <c r="B118" s="151" t="b">
        <v>0</v>
      </c>
      <c r="C118" s="122" t="s">
        <v>333</v>
      </c>
      <c r="D118" s="149" t="s">
        <v>335</v>
      </c>
      <c r="E118" s="122"/>
      <c r="F118" s="122"/>
      <c r="G118" s="122"/>
      <c r="H118" s="112" t="s">
        <v>337</v>
      </c>
      <c r="AB118" s="41"/>
    </row>
    <row r="119" spans="2:28" x14ac:dyDescent="0.25">
      <c r="B119" s="140"/>
      <c r="C119" s="55" t="s">
        <v>63</v>
      </c>
      <c r="D119" s="56">
        <v>100</v>
      </c>
      <c r="E119" s="54" t="s">
        <v>3</v>
      </c>
      <c r="F119" s="66">
        <f>IF(AND(Config4_AllClocksOn,B118),IF(D118="Disabled",0,Config4_Tcpwm_EnPed*$D$28/100/(2-1/Config4_Tcpwm_Count))+IF(D118="Triggered",D119*IF($D$28=D119,Config4_Tcpwm_TrigPeriCoef,Config4_Tcpwm_TrigCoef),0),0)</f>
        <v>0</v>
      </c>
      <c r="G119" s="58" t="s">
        <v>57</v>
      </c>
      <c r="H119" s="112" t="s">
        <v>212</v>
      </c>
      <c r="AB119" s="41"/>
    </row>
    <row r="120" spans="2:28" x14ac:dyDescent="0.25">
      <c r="B120" s="140" t="b">
        <v>0</v>
      </c>
      <c r="C120" s="122" t="s">
        <v>338</v>
      </c>
      <c r="D120" s="149" t="s">
        <v>335</v>
      </c>
      <c r="E120" s="54"/>
      <c r="F120" s="152"/>
      <c r="G120" s="55"/>
      <c r="H120" s="112" t="s">
        <v>337</v>
      </c>
      <c r="AB120" s="41"/>
    </row>
    <row r="121" spans="2:28" x14ac:dyDescent="0.25">
      <c r="B121" s="140"/>
      <c r="C121" s="122" t="s">
        <v>65</v>
      </c>
      <c r="D121" s="56">
        <v>100</v>
      </c>
      <c r="E121" s="122" t="s">
        <v>3</v>
      </c>
      <c r="F121" s="66">
        <f>IF(AND(Config4_AllClocksOn,B120),IF(D120="Disabled",0,Config4_Tcpwm_EnPed*$D$28/100/(2-1/Config4_Tcpwm_Count))+IF(D120="Triggered",D121*IF($D$28=D121,Config4_Tcpwm_TrigPeriCoef,Config4_Tcpwm_TrigCoef),0),0)</f>
        <v>0</v>
      </c>
      <c r="G121" s="58" t="s">
        <v>57</v>
      </c>
      <c r="H121" s="112" t="s">
        <v>212</v>
      </c>
      <c r="AB121" s="41"/>
    </row>
    <row r="122" spans="2:28" s="1" customFormat="1" x14ac:dyDescent="0.25">
      <c r="B122" s="151" t="b">
        <v>0</v>
      </c>
      <c r="C122" s="122" t="s">
        <v>339</v>
      </c>
      <c r="D122" s="149" t="s">
        <v>335</v>
      </c>
      <c r="E122" s="122"/>
      <c r="F122" s="122"/>
      <c r="G122" s="122"/>
      <c r="H122" s="112" t="s">
        <v>337</v>
      </c>
      <c r="AB122" s="41"/>
    </row>
    <row r="123" spans="2:28" x14ac:dyDescent="0.25">
      <c r="B123" s="140"/>
      <c r="C123" s="122" t="s">
        <v>66</v>
      </c>
      <c r="D123" s="56">
        <v>100</v>
      </c>
      <c r="E123" s="54" t="s">
        <v>3</v>
      </c>
      <c r="F123" s="66">
        <f>IF(AND(Config4_AllClocksOn,B122),IF(D122="Disabled",0,Config4_Tcpwm_EnPed*$D$28/100/(2-1/Config4_Tcpwm_Count))+IF(D122="Triggered",D123*IF($D$28=D123,Config4_Tcpwm_TrigPeriCoef,Config4_Tcpwm_TrigCoef),0),0)</f>
        <v>0</v>
      </c>
      <c r="G123" s="58" t="s">
        <v>57</v>
      </c>
      <c r="H123" s="112" t="s">
        <v>212</v>
      </c>
      <c r="AB123" s="41"/>
    </row>
    <row r="124" spans="2:28" x14ac:dyDescent="0.25">
      <c r="B124" s="140" t="b">
        <v>0</v>
      </c>
      <c r="C124" s="122" t="s">
        <v>340</v>
      </c>
      <c r="D124" s="149" t="s">
        <v>335</v>
      </c>
      <c r="E124" s="54"/>
      <c r="F124" s="152"/>
      <c r="G124" s="55"/>
      <c r="H124" s="112" t="s">
        <v>337</v>
      </c>
      <c r="AB124" s="41"/>
    </row>
    <row r="125" spans="2:28" x14ac:dyDescent="0.25">
      <c r="B125" s="140"/>
      <c r="C125" s="122" t="s">
        <v>67</v>
      </c>
      <c r="D125" s="56">
        <v>100</v>
      </c>
      <c r="E125" s="122" t="s">
        <v>3</v>
      </c>
      <c r="F125" s="66">
        <f>IF(AND(Config4_AllClocksOn,B124),IF(D124="Disabled",0,Config4_Tcpwm_EnPed*$D$28/100/(2-1/Config4_Tcpwm_Count))+IF(D124="Triggered",D125*IF($D$28=D125,Config4_Tcpwm_TrigPeriCoef,Config4_Tcpwm_TrigCoef),0),0)</f>
        <v>0</v>
      </c>
      <c r="G125" s="58" t="s">
        <v>57</v>
      </c>
      <c r="H125" s="112" t="s">
        <v>212</v>
      </c>
      <c r="AB125" s="41"/>
    </row>
    <row r="126" spans="2:28" s="1" customFormat="1" x14ac:dyDescent="0.25">
      <c r="B126" s="151" t="b">
        <v>0</v>
      </c>
      <c r="C126" s="122" t="s">
        <v>341</v>
      </c>
      <c r="D126" s="149" t="s">
        <v>335</v>
      </c>
      <c r="E126" s="122"/>
      <c r="F126" s="122"/>
      <c r="G126" s="122"/>
      <c r="H126" s="112" t="s">
        <v>337</v>
      </c>
      <c r="AB126" s="41"/>
    </row>
    <row r="127" spans="2:28" x14ac:dyDescent="0.25">
      <c r="B127" s="140"/>
      <c r="C127" s="122" t="s">
        <v>145</v>
      </c>
      <c r="D127" s="56">
        <v>100</v>
      </c>
      <c r="E127" s="54" t="s">
        <v>3</v>
      </c>
      <c r="F127" s="66">
        <f>IF(AND(Config4_AllClocksOn,B126),IF(D126="Disabled",0,Config4_Tcpwm_EnPed*$D$28/100/(2-1/Config4_Tcpwm_Count))+IF(D126="Triggered",D127*IF($D$28=D127,Config4_Tcpwm_TrigPeriCoef,Config4_Tcpwm_TrigCoef),0),0)</f>
        <v>0</v>
      </c>
      <c r="G127" s="58" t="s">
        <v>57</v>
      </c>
      <c r="H127" s="112" t="s">
        <v>212</v>
      </c>
      <c r="AB127" s="41"/>
    </row>
    <row r="128" spans="2:28" x14ac:dyDescent="0.25">
      <c r="B128" s="140" t="b">
        <v>0</v>
      </c>
      <c r="C128" s="122" t="s">
        <v>342</v>
      </c>
      <c r="D128" s="149" t="s">
        <v>335</v>
      </c>
      <c r="E128" s="54"/>
      <c r="F128" s="152"/>
      <c r="G128" s="55"/>
      <c r="H128" s="112" t="s">
        <v>337</v>
      </c>
      <c r="AB128" s="41"/>
    </row>
    <row r="129" spans="2:28" x14ac:dyDescent="0.25">
      <c r="B129" s="140"/>
      <c r="C129" s="122" t="s">
        <v>146</v>
      </c>
      <c r="D129" s="56">
        <v>100</v>
      </c>
      <c r="E129" s="122" t="s">
        <v>3</v>
      </c>
      <c r="F129" s="66">
        <f>IF(AND(Config4_AllClocksOn,B128),IF(D128="Disabled",0,Config4_Tcpwm_EnPed*$D$28/100/(2-1/Config4_Tcpwm_Count))+IF(D128="Triggered",D129*IF($D$28=D129,Config4_Tcpwm_TrigPeriCoef,Config4_Tcpwm_TrigCoef),0),0)</f>
        <v>0</v>
      </c>
      <c r="G129" s="58" t="s">
        <v>57</v>
      </c>
      <c r="H129" s="112" t="s">
        <v>212</v>
      </c>
      <c r="AB129" s="41"/>
    </row>
    <row r="130" spans="2:28" s="1" customFormat="1" x14ac:dyDescent="0.25">
      <c r="B130" s="151" t="b">
        <v>0</v>
      </c>
      <c r="C130" s="122" t="s">
        <v>343</v>
      </c>
      <c r="D130" s="149" t="s">
        <v>335</v>
      </c>
      <c r="E130" s="122"/>
      <c r="F130" s="122"/>
      <c r="G130" s="122"/>
      <c r="H130" s="112" t="s">
        <v>337</v>
      </c>
      <c r="AB130" s="41"/>
    </row>
    <row r="131" spans="2:28" x14ac:dyDescent="0.25">
      <c r="B131" s="140"/>
      <c r="C131" s="122" t="s">
        <v>147</v>
      </c>
      <c r="D131" s="56">
        <v>100</v>
      </c>
      <c r="E131" s="54" t="s">
        <v>3</v>
      </c>
      <c r="F131" s="66">
        <f>IF(AND(Config4_AllClocksOn,B130),IF(D130="Disabled",0,Config4_Tcpwm_EnPed*$D$28/100/(2-1/Config4_Tcpwm_Count))+IF(D130="Triggered",D131*IF($D$28=D131,Config4_Tcpwm_TrigPeriCoef,Config4_Tcpwm_TrigCoef),0),0)</f>
        <v>0</v>
      </c>
      <c r="G131" s="58" t="s">
        <v>57</v>
      </c>
      <c r="H131" s="112" t="s">
        <v>212</v>
      </c>
      <c r="AB131" s="41"/>
    </row>
    <row r="132" spans="2:28" x14ac:dyDescent="0.25">
      <c r="B132" s="140" t="b">
        <v>0</v>
      </c>
      <c r="C132" s="122" t="s">
        <v>344</v>
      </c>
      <c r="D132" s="149" t="s">
        <v>335</v>
      </c>
      <c r="E132" s="54"/>
      <c r="F132" s="152"/>
      <c r="G132" s="55"/>
      <c r="H132" s="112" t="s">
        <v>337</v>
      </c>
      <c r="AB132" s="41"/>
    </row>
    <row r="133" spans="2:28" x14ac:dyDescent="0.25">
      <c r="B133" s="140"/>
      <c r="C133" s="122" t="s">
        <v>148</v>
      </c>
      <c r="D133" s="56">
        <v>100</v>
      </c>
      <c r="E133" s="122" t="s">
        <v>3</v>
      </c>
      <c r="F133" s="66">
        <f>IF(AND(Config4_AllClocksOn,B132),IF(D132="Disabled",0,Config4_Tcpwm_EnPed*$D$28/100/(2-1/Config4_Tcpwm_Count))+IF(D132="Triggered",D133*IF($D$28=D133,Config4_Tcpwm_TrigPeriCoef,Config4_Tcpwm_TrigCoef),0),0)</f>
        <v>0</v>
      </c>
      <c r="G133" s="58" t="s">
        <v>57</v>
      </c>
      <c r="H133" s="112" t="s">
        <v>212</v>
      </c>
      <c r="AB133" s="41"/>
    </row>
    <row r="134" spans="2:28" s="1" customFormat="1" hidden="1" outlineLevel="1" x14ac:dyDescent="0.25">
      <c r="B134" s="151" t="b">
        <v>0</v>
      </c>
      <c r="C134" s="122" t="s">
        <v>345</v>
      </c>
      <c r="D134" s="149" t="s">
        <v>335</v>
      </c>
      <c r="E134" s="122"/>
      <c r="F134" s="122"/>
      <c r="G134" s="122"/>
      <c r="H134" s="112" t="s">
        <v>337</v>
      </c>
      <c r="AB134" s="41"/>
    </row>
    <row r="135" spans="2:28" hidden="1" outlineLevel="1" x14ac:dyDescent="0.25">
      <c r="B135" s="140"/>
      <c r="C135" s="122" t="s">
        <v>270</v>
      </c>
      <c r="D135" s="56">
        <v>100</v>
      </c>
      <c r="E135" s="54" t="s">
        <v>3</v>
      </c>
      <c r="F135" s="66">
        <f>IF(AND(Config4_AllClocksOn,B134),IF(D134="Disabled",0,Config4_Tcpwm_EnPed*$D$28/100/(2-1/Config4_Tcpwm_Count))+IF(D134="Triggered",D135*IF($D$28=D135,Config4_Tcpwm_TrigPeriCoef,Config4_Tcpwm_TrigCoef),0),0)</f>
        <v>0</v>
      </c>
      <c r="G135" s="58" t="s">
        <v>57</v>
      </c>
      <c r="H135" s="112" t="s">
        <v>212</v>
      </c>
      <c r="AB135" s="41"/>
    </row>
    <row r="136" spans="2:28" hidden="1" outlineLevel="1" x14ac:dyDescent="0.25">
      <c r="B136" s="140" t="b">
        <v>0</v>
      </c>
      <c r="C136" s="122" t="s">
        <v>346</v>
      </c>
      <c r="D136" s="149" t="s">
        <v>335</v>
      </c>
      <c r="E136" s="54"/>
      <c r="F136" s="152"/>
      <c r="G136" s="55"/>
      <c r="H136" s="112" t="s">
        <v>337</v>
      </c>
      <c r="AB136" s="41"/>
    </row>
    <row r="137" spans="2:28" hidden="1" outlineLevel="1" x14ac:dyDescent="0.25">
      <c r="B137" s="140"/>
      <c r="C137" s="122" t="s">
        <v>271</v>
      </c>
      <c r="D137" s="56">
        <v>100</v>
      </c>
      <c r="E137" s="122" t="s">
        <v>3</v>
      </c>
      <c r="F137" s="66">
        <f>IF(AND(Config4_AllClocksOn,B136),IF(D136="Disabled",0,Config4_Tcpwm_EnPed*$D$28/100/(2-1/Config4_Tcpwm_Count))+IF(D136="Triggered",D137*IF($D$28=D137,Config4_Tcpwm_TrigPeriCoef,Config4_Tcpwm_TrigCoef),0),0)</f>
        <v>0</v>
      </c>
      <c r="G137" s="58" t="s">
        <v>57</v>
      </c>
      <c r="H137" s="112" t="s">
        <v>212</v>
      </c>
      <c r="AB137" s="41"/>
    </row>
    <row r="138" spans="2:28" s="1" customFormat="1" hidden="1" outlineLevel="1" x14ac:dyDescent="0.25">
      <c r="B138" s="151" t="b">
        <v>0</v>
      </c>
      <c r="C138" s="122" t="s">
        <v>347</v>
      </c>
      <c r="D138" s="149" t="s">
        <v>335</v>
      </c>
      <c r="E138" s="122"/>
      <c r="F138" s="122"/>
      <c r="G138" s="122"/>
      <c r="H138" s="112" t="s">
        <v>337</v>
      </c>
      <c r="AB138" s="41"/>
    </row>
    <row r="139" spans="2:28" hidden="1" outlineLevel="1" x14ac:dyDescent="0.25">
      <c r="B139" s="140"/>
      <c r="C139" s="122" t="s">
        <v>272</v>
      </c>
      <c r="D139" s="56">
        <v>100</v>
      </c>
      <c r="E139" s="54" t="s">
        <v>3</v>
      </c>
      <c r="F139" s="66">
        <f>IF(AND(Config4_AllClocksOn,B138),IF(D138="Disabled",0,Config4_Tcpwm_EnPed*$D$28/100/(2-1/Config4_Tcpwm_Count))+IF(D138="Triggered",D139*IF($D$28=D139,Config4_Tcpwm_TrigPeriCoef,Config4_Tcpwm_TrigCoef),0),0)</f>
        <v>0</v>
      </c>
      <c r="G139" s="58" t="s">
        <v>57</v>
      </c>
      <c r="H139" s="112" t="s">
        <v>212</v>
      </c>
      <c r="AB139" s="41"/>
    </row>
    <row r="140" spans="2:28" hidden="1" outlineLevel="1" x14ac:dyDescent="0.25">
      <c r="B140" s="140" t="b">
        <v>0</v>
      </c>
      <c r="C140" s="122" t="s">
        <v>348</v>
      </c>
      <c r="D140" s="149" t="s">
        <v>335</v>
      </c>
      <c r="E140" s="54"/>
      <c r="F140" s="152"/>
      <c r="G140" s="55"/>
      <c r="H140" s="112" t="s">
        <v>337</v>
      </c>
      <c r="AB140" s="41"/>
    </row>
    <row r="141" spans="2:28" hidden="1" outlineLevel="1" x14ac:dyDescent="0.25">
      <c r="B141" s="140"/>
      <c r="C141" s="122" t="s">
        <v>273</v>
      </c>
      <c r="D141" s="56">
        <v>100</v>
      </c>
      <c r="E141" s="122" t="s">
        <v>3</v>
      </c>
      <c r="F141" s="66">
        <f>IF(AND(Config4_AllClocksOn,B140),IF(D140="Disabled",0,Config4_Tcpwm_EnPed*$D$28/100/(2-1/Config4_Tcpwm_Count))+IF(D140="Triggered",D141*IF($D$28=D141,Config4_Tcpwm_TrigPeriCoef,Config4_Tcpwm_TrigCoef),0),0)</f>
        <v>0</v>
      </c>
      <c r="G141" s="58" t="s">
        <v>57</v>
      </c>
      <c r="H141" s="112" t="s">
        <v>212</v>
      </c>
      <c r="AB141" s="41"/>
    </row>
    <row r="142" spans="2:28" s="1" customFormat="1" hidden="1" outlineLevel="1" x14ac:dyDescent="0.25">
      <c r="B142" s="151" t="b">
        <v>0</v>
      </c>
      <c r="C142" s="122" t="s">
        <v>349</v>
      </c>
      <c r="D142" s="149" t="s">
        <v>335</v>
      </c>
      <c r="E142" s="122"/>
      <c r="F142" s="122"/>
      <c r="G142" s="122"/>
      <c r="H142" s="112" t="s">
        <v>337</v>
      </c>
      <c r="AB142" s="41"/>
    </row>
    <row r="143" spans="2:28" hidden="1" outlineLevel="1" x14ac:dyDescent="0.25">
      <c r="B143" s="140"/>
      <c r="C143" s="122" t="s">
        <v>274</v>
      </c>
      <c r="D143" s="56">
        <v>100</v>
      </c>
      <c r="E143" s="54" t="s">
        <v>3</v>
      </c>
      <c r="F143" s="66">
        <f>IF(AND(Config4_AllClocksOn,B142),IF(D142="Disabled",0,Config4_Tcpwm_EnPed*$D$28/100/(2-1/Config4_Tcpwm_Count))+IF(D142="Triggered",D143*IF($D$28=D143,Config4_Tcpwm_TrigPeriCoef,Config4_Tcpwm_TrigCoef),0),0)</f>
        <v>0</v>
      </c>
      <c r="G143" s="58" t="s">
        <v>57</v>
      </c>
      <c r="H143" s="112" t="s">
        <v>212</v>
      </c>
      <c r="AB143" s="41"/>
    </row>
    <row r="144" spans="2:28" hidden="1" outlineLevel="1" x14ac:dyDescent="0.25">
      <c r="B144" s="140" t="b">
        <v>0</v>
      </c>
      <c r="C144" s="122" t="s">
        <v>350</v>
      </c>
      <c r="D144" s="149" t="s">
        <v>335</v>
      </c>
      <c r="E144" s="54"/>
      <c r="F144" s="152"/>
      <c r="G144" s="55"/>
      <c r="H144" s="112" t="s">
        <v>337</v>
      </c>
      <c r="AB144" s="41"/>
    </row>
    <row r="145" spans="2:28" hidden="1" outlineLevel="1" x14ac:dyDescent="0.25">
      <c r="B145" s="140"/>
      <c r="C145" s="122" t="s">
        <v>275</v>
      </c>
      <c r="D145" s="56">
        <v>100</v>
      </c>
      <c r="E145" s="122" t="s">
        <v>3</v>
      </c>
      <c r="F145" s="66">
        <f>IF(AND(Config4_AllClocksOn,B144),IF(D144="Disabled",0,Config4_Tcpwm_EnPed*$D$28/100/(2-1/Config4_Tcpwm_Count))+IF(D144="Triggered",D145*IF($D$28=D145,Config4_Tcpwm_TrigPeriCoef,Config4_Tcpwm_TrigCoef),0),0)</f>
        <v>0</v>
      </c>
      <c r="G145" s="58" t="s">
        <v>57</v>
      </c>
      <c r="H145" s="112" t="s">
        <v>212</v>
      </c>
      <c r="AB145" s="41"/>
    </row>
    <row r="146" spans="2:28" s="1" customFormat="1" hidden="1" outlineLevel="1" x14ac:dyDescent="0.25">
      <c r="B146" s="151" t="b">
        <v>0</v>
      </c>
      <c r="C146" s="122" t="s">
        <v>351</v>
      </c>
      <c r="D146" s="149" t="s">
        <v>335</v>
      </c>
      <c r="E146" s="122"/>
      <c r="F146" s="122"/>
      <c r="G146" s="122"/>
      <c r="H146" s="112" t="s">
        <v>337</v>
      </c>
      <c r="AB146" s="41"/>
    </row>
    <row r="147" spans="2:28" hidden="1" outlineLevel="1" x14ac:dyDescent="0.25">
      <c r="B147" s="140"/>
      <c r="C147" s="122" t="s">
        <v>276</v>
      </c>
      <c r="D147" s="56">
        <v>100</v>
      </c>
      <c r="E147" s="54" t="s">
        <v>3</v>
      </c>
      <c r="F147" s="66">
        <f>IF(AND(Config4_AllClocksOn,B146),IF(D146="Disabled",0,Config4_Tcpwm_EnPed*$D$28/100/(2-1/Config4_Tcpwm_Count))+IF(D146="Triggered",D147*IF($D$28=D147,Config4_Tcpwm_TrigPeriCoef,Config4_Tcpwm_TrigCoef),0),0)</f>
        <v>0</v>
      </c>
      <c r="G147" s="58" t="s">
        <v>57</v>
      </c>
      <c r="H147" s="112" t="s">
        <v>212</v>
      </c>
      <c r="AB147" s="41"/>
    </row>
    <row r="148" spans="2:28" hidden="1" outlineLevel="1" x14ac:dyDescent="0.25">
      <c r="B148" s="140" t="b">
        <v>0</v>
      </c>
      <c r="C148" s="122" t="s">
        <v>352</v>
      </c>
      <c r="D148" s="149" t="s">
        <v>335</v>
      </c>
      <c r="E148" s="54"/>
      <c r="F148" s="152"/>
      <c r="G148" s="55"/>
      <c r="H148" s="112" t="s">
        <v>337</v>
      </c>
      <c r="AB148" s="41"/>
    </row>
    <row r="149" spans="2:28" hidden="1" outlineLevel="1" x14ac:dyDescent="0.25">
      <c r="B149" s="140"/>
      <c r="C149" s="122" t="s">
        <v>277</v>
      </c>
      <c r="D149" s="56">
        <v>100</v>
      </c>
      <c r="E149" s="122" t="s">
        <v>3</v>
      </c>
      <c r="F149" s="66">
        <f>IF(AND(Config4_AllClocksOn,B148),IF(D148="Disabled",0,Config4_Tcpwm_EnPed*$D$28/100/(2-1/Config4_Tcpwm_Count))+IF(D148="Triggered",D149*IF($D$28=D149,Config4_Tcpwm_TrigPeriCoef,Config4_Tcpwm_TrigCoef),0),0)</f>
        <v>0</v>
      </c>
      <c r="G149" s="58" t="s">
        <v>57</v>
      </c>
      <c r="H149" s="112" t="s">
        <v>212</v>
      </c>
      <c r="AB149" s="41"/>
    </row>
    <row r="150" spans="2:28" s="1" customFormat="1" hidden="1" outlineLevel="1" x14ac:dyDescent="0.25">
      <c r="B150" s="151" t="b">
        <v>0</v>
      </c>
      <c r="C150" s="122" t="s">
        <v>353</v>
      </c>
      <c r="D150" s="149" t="s">
        <v>335</v>
      </c>
      <c r="E150" s="122"/>
      <c r="F150" s="122"/>
      <c r="G150" s="122"/>
      <c r="H150" s="112" t="s">
        <v>337</v>
      </c>
      <c r="AB150" s="41"/>
    </row>
    <row r="151" spans="2:28" hidden="1" outlineLevel="1" x14ac:dyDescent="0.25">
      <c r="B151" s="140"/>
      <c r="C151" s="122" t="s">
        <v>278</v>
      </c>
      <c r="D151" s="56">
        <v>100</v>
      </c>
      <c r="E151" s="54" t="s">
        <v>3</v>
      </c>
      <c r="F151" s="66">
        <f>IF(AND(Config4_AllClocksOn,B150),IF(D150="Disabled",0,Config4_Tcpwm_EnPed*$D$28/100/(2-1/Config4_Tcpwm_Count))+IF(D150="Triggered",D151*IF($D$28=D151,Config4_Tcpwm_TrigPeriCoef,Config4_Tcpwm_TrigCoef),0),0)</f>
        <v>0</v>
      </c>
      <c r="G151" s="58" t="s">
        <v>57</v>
      </c>
      <c r="H151" s="112" t="s">
        <v>212</v>
      </c>
      <c r="AB151" s="41"/>
    </row>
    <row r="152" spans="2:28" hidden="1" outlineLevel="1" x14ac:dyDescent="0.25">
      <c r="B152" s="140" t="b">
        <v>0</v>
      </c>
      <c r="C152" s="122" t="s">
        <v>354</v>
      </c>
      <c r="D152" s="149" t="s">
        <v>335</v>
      </c>
      <c r="E152" s="54"/>
      <c r="F152" s="152"/>
      <c r="G152" s="55"/>
      <c r="H152" s="112" t="s">
        <v>337</v>
      </c>
      <c r="AB152" s="41"/>
    </row>
    <row r="153" spans="2:28" hidden="1" outlineLevel="1" x14ac:dyDescent="0.25">
      <c r="B153" s="140"/>
      <c r="C153" s="122" t="s">
        <v>279</v>
      </c>
      <c r="D153" s="56">
        <v>100</v>
      </c>
      <c r="E153" s="122" t="s">
        <v>3</v>
      </c>
      <c r="F153" s="66">
        <f>IF(AND(Config4_AllClocksOn,B152),IF(D152="Disabled",0,Config4_Tcpwm_EnPed*$D$28/100/(2-1/Config4_Tcpwm_Count))+IF(D152="Triggered",D153*IF($D$28=D153,Config4_Tcpwm_TrigPeriCoef,Config4_Tcpwm_TrigCoef),0),0)</f>
        <v>0</v>
      </c>
      <c r="G153" s="58" t="s">
        <v>57</v>
      </c>
      <c r="H153" s="112" t="s">
        <v>212</v>
      </c>
      <c r="AB153" s="41"/>
    </row>
    <row r="154" spans="2:28" s="1" customFormat="1" hidden="1" outlineLevel="1" x14ac:dyDescent="0.25">
      <c r="B154" s="151" t="b">
        <v>0</v>
      </c>
      <c r="C154" s="122" t="s">
        <v>355</v>
      </c>
      <c r="D154" s="149" t="s">
        <v>335</v>
      </c>
      <c r="E154" s="122"/>
      <c r="F154" s="122"/>
      <c r="G154" s="122"/>
      <c r="H154" s="112" t="s">
        <v>337</v>
      </c>
      <c r="AB154" s="41"/>
    </row>
    <row r="155" spans="2:28" hidden="1" outlineLevel="1" x14ac:dyDescent="0.25">
      <c r="B155" s="140"/>
      <c r="C155" s="122" t="s">
        <v>280</v>
      </c>
      <c r="D155" s="56">
        <v>100</v>
      </c>
      <c r="E155" s="54" t="s">
        <v>3</v>
      </c>
      <c r="F155" s="66">
        <f>IF(AND(Config4_AllClocksOn,B154),IF(D154="Disabled",0,Config4_Tcpwm_EnPed*$D$28/100/(2-1/Config4_Tcpwm_Count))+IF(D154="Triggered",D155*IF($D$28=D155,Config4_Tcpwm_TrigPeriCoef,Config4_Tcpwm_TrigCoef),0),0)</f>
        <v>0</v>
      </c>
      <c r="G155" s="58" t="s">
        <v>57</v>
      </c>
      <c r="H155" s="112" t="s">
        <v>212</v>
      </c>
      <c r="AB155" s="41"/>
    </row>
    <row r="156" spans="2:28" hidden="1" outlineLevel="1" x14ac:dyDescent="0.25">
      <c r="B156" s="140" t="b">
        <v>0</v>
      </c>
      <c r="C156" s="122" t="s">
        <v>356</v>
      </c>
      <c r="D156" s="149" t="s">
        <v>335</v>
      </c>
      <c r="E156" s="54"/>
      <c r="F156" s="152"/>
      <c r="G156" s="55"/>
      <c r="H156" s="112" t="s">
        <v>337</v>
      </c>
      <c r="AB156" s="41"/>
    </row>
    <row r="157" spans="2:28" hidden="1" outlineLevel="1" x14ac:dyDescent="0.25">
      <c r="B157" s="140"/>
      <c r="C157" s="122" t="s">
        <v>281</v>
      </c>
      <c r="D157" s="56">
        <v>100</v>
      </c>
      <c r="E157" s="122" t="s">
        <v>3</v>
      </c>
      <c r="F157" s="66">
        <f>IF(AND(Config4_AllClocksOn,B156),IF(D156="Disabled",0,Config4_Tcpwm_EnPed*$D$28/100/(2-1/Config4_Tcpwm_Count))+IF(D156="Triggered",D157*IF($D$28=D157,Config4_Tcpwm_TrigPeriCoef,Config4_Tcpwm_TrigCoef),0),0)</f>
        <v>0</v>
      </c>
      <c r="G157" s="58" t="s">
        <v>57</v>
      </c>
      <c r="H157" s="112" t="s">
        <v>212</v>
      </c>
      <c r="AB157" s="41"/>
    </row>
    <row r="158" spans="2:28" s="1" customFormat="1" hidden="1" outlineLevel="1" x14ac:dyDescent="0.25">
      <c r="B158" s="151" t="b">
        <v>0</v>
      </c>
      <c r="C158" s="122" t="s">
        <v>357</v>
      </c>
      <c r="D158" s="149" t="s">
        <v>335</v>
      </c>
      <c r="E158" s="122"/>
      <c r="F158" s="122"/>
      <c r="G158" s="122"/>
      <c r="H158" s="112" t="s">
        <v>337</v>
      </c>
      <c r="AB158" s="41"/>
    </row>
    <row r="159" spans="2:28" hidden="1" outlineLevel="1" x14ac:dyDescent="0.25">
      <c r="B159" s="140"/>
      <c r="C159" s="122" t="s">
        <v>282</v>
      </c>
      <c r="D159" s="56">
        <v>100</v>
      </c>
      <c r="E159" s="54" t="s">
        <v>3</v>
      </c>
      <c r="F159" s="66">
        <f>IF(AND(Config4_AllClocksOn,B158),IF(D158="Disabled",0,Config4_Tcpwm_EnPed*$D$28/100/(2-1/Config4_Tcpwm_Count))+IF(D158="Triggered",D159*IF($D$28=D159,Config4_Tcpwm_TrigPeriCoef,Config4_Tcpwm_TrigCoef),0),0)</f>
        <v>0</v>
      </c>
      <c r="G159" s="58" t="s">
        <v>57</v>
      </c>
      <c r="H159" s="112" t="s">
        <v>212</v>
      </c>
      <c r="AB159" s="41"/>
    </row>
    <row r="160" spans="2:28" hidden="1" outlineLevel="1" x14ac:dyDescent="0.25">
      <c r="B160" s="140" t="b">
        <v>0</v>
      </c>
      <c r="C160" s="122" t="s">
        <v>358</v>
      </c>
      <c r="D160" s="149" t="s">
        <v>335</v>
      </c>
      <c r="E160" s="54"/>
      <c r="F160" s="152"/>
      <c r="G160" s="55"/>
      <c r="H160" s="112" t="s">
        <v>337</v>
      </c>
      <c r="AB160" s="41"/>
    </row>
    <row r="161" spans="2:28" hidden="1" outlineLevel="1" x14ac:dyDescent="0.25">
      <c r="B161" s="140"/>
      <c r="C161" s="122" t="s">
        <v>283</v>
      </c>
      <c r="D161" s="56">
        <v>100</v>
      </c>
      <c r="E161" s="122" t="s">
        <v>3</v>
      </c>
      <c r="F161" s="66">
        <f>IF(AND(Config4_AllClocksOn,B160),IF(D160="Disabled",0,Config4_Tcpwm_EnPed*$D$28/100/(2-1/Config4_Tcpwm_Count))+IF(D160="Triggered",D161*IF($D$28=D161,Config4_Tcpwm_TrigPeriCoef,Config4_Tcpwm_TrigCoef),0),0)</f>
        <v>0</v>
      </c>
      <c r="G161" s="58" t="s">
        <v>57</v>
      </c>
      <c r="H161" s="112" t="s">
        <v>212</v>
      </c>
      <c r="AB161" s="41"/>
    </row>
    <row r="162" spans="2:28" s="1" customFormat="1" hidden="1" outlineLevel="1" x14ac:dyDescent="0.25">
      <c r="B162" s="151" t="b">
        <v>0</v>
      </c>
      <c r="C162" s="122" t="s">
        <v>359</v>
      </c>
      <c r="D162" s="149" t="s">
        <v>335</v>
      </c>
      <c r="E162" s="122"/>
      <c r="F162" s="122"/>
      <c r="G162" s="122"/>
      <c r="H162" s="112" t="s">
        <v>337</v>
      </c>
      <c r="AB162" s="41"/>
    </row>
    <row r="163" spans="2:28" hidden="1" outlineLevel="1" x14ac:dyDescent="0.25">
      <c r="B163" s="140"/>
      <c r="C163" s="122" t="s">
        <v>284</v>
      </c>
      <c r="D163" s="56">
        <v>100</v>
      </c>
      <c r="E163" s="54" t="s">
        <v>3</v>
      </c>
      <c r="F163" s="66">
        <f>IF(AND(Config4_AllClocksOn,B162),IF(D162="Disabled",0,Config4_Tcpwm_EnPed*$D$28/100/(2-1/Config4_Tcpwm_Count))+IF(D162="Triggered",D163*IF($D$28=D163,Config4_Tcpwm_TrigPeriCoef,Config4_Tcpwm_TrigCoef),0),0)</f>
        <v>0</v>
      </c>
      <c r="G163" s="58" t="s">
        <v>57</v>
      </c>
      <c r="H163" s="112" t="s">
        <v>212</v>
      </c>
      <c r="AB163" s="41"/>
    </row>
    <row r="164" spans="2:28" hidden="1" outlineLevel="1" x14ac:dyDescent="0.25">
      <c r="B164" s="140" t="b">
        <v>0</v>
      </c>
      <c r="C164" s="122" t="s">
        <v>360</v>
      </c>
      <c r="D164" s="149" t="s">
        <v>335</v>
      </c>
      <c r="E164" s="54"/>
      <c r="F164" s="152"/>
      <c r="G164" s="55"/>
      <c r="H164" s="112" t="s">
        <v>337</v>
      </c>
      <c r="AB164" s="41"/>
    </row>
    <row r="165" spans="2:28" hidden="1" outlineLevel="1" x14ac:dyDescent="0.25">
      <c r="B165" s="140"/>
      <c r="C165" s="122" t="s">
        <v>285</v>
      </c>
      <c r="D165" s="56">
        <v>100</v>
      </c>
      <c r="E165" s="122" t="s">
        <v>3</v>
      </c>
      <c r="F165" s="66">
        <f>IF(AND(Config4_AllClocksOn,B164),IF(D164="Disabled",0,Config4_Tcpwm_EnPed*$D$28/100/(2-1/Config4_Tcpwm_Count))+IF(D164="Triggered",D165*IF($D$28=D165,Config4_Tcpwm_TrigPeriCoef,Config4_Tcpwm_TrigCoef),0),0)</f>
        <v>0</v>
      </c>
      <c r="G165" s="58" t="s">
        <v>57</v>
      </c>
      <c r="H165" s="112" t="s">
        <v>212</v>
      </c>
      <c r="AB165" s="41"/>
    </row>
    <row r="166" spans="2:28" s="1" customFormat="1" hidden="1" outlineLevel="1" x14ac:dyDescent="0.25">
      <c r="B166" s="151" t="b">
        <v>0</v>
      </c>
      <c r="C166" s="122" t="s">
        <v>361</v>
      </c>
      <c r="D166" s="149" t="s">
        <v>335</v>
      </c>
      <c r="E166" s="122"/>
      <c r="F166" s="122"/>
      <c r="G166" s="122"/>
      <c r="H166" s="112" t="s">
        <v>337</v>
      </c>
      <c r="AB166" s="41"/>
    </row>
    <row r="167" spans="2:28" hidden="1" outlineLevel="1" x14ac:dyDescent="0.25">
      <c r="B167" s="140"/>
      <c r="C167" s="122" t="s">
        <v>286</v>
      </c>
      <c r="D167" s="56">
        <v>100</v>
      </c>
      <c r="E167" s="54" t="s">
        <v>3</v>
      </c>
      <c r="F167" s="66">
        <f>IF(AND(Config4_AllClocksOn,B166),IF(D166="Disabled",0,Config4_Tcpwm_EnPed*$D$28/100/(2-1/Config4_Tcpwm_Count))+IF(D166="Triggered",D167*IF($D$28=D167,Config4_Tcpwm_TrigPeriCoef,Config4_Tcpwm_TrigCoef),0),0)</f>
        <v>0</v>
      </c>
      <c r="G167" s="58" t="s">
        <v>57</v>
      </c>
      <c r="H167" s="112" t="s">
        <v>212</v>
      </c>
      <c r="AB167" s="41"/>
    </row>
    <row r="168" spans="2:28" hidden="1" outlineLevel="1" x14ac:dyDescent="0.25">
      <c r="B168" s="140" t="b">
        <v>0</v>
      </c>
      <c r="C168" s="122" t="s">
        <v>362</v>
      </c>
      <c r="D168" s="149" t="s">
        <v>335</v>
      </c>
      <c r="E168" s="54"/>
      <c r="F168" s="152"/>
      <c r="G168" s="55"/>
      <c r="H168" s="112" t="s">
        <v>337</v>
      </c>
      <c r="AB168" s="41"/>
    </row>
    <row r="169" spans="2:28" hidden="1" outlineLevel="1" x14ac:dyDescent="0.25">
      <c r="B169" s="140"/>
      <c r="C169" s="122" t="s">
        <v>287</v>
      </c>
      <c r="D169" s="56">
        <v>100</v>
      </c>
      <c r="E169" s="122" t="s">
        <v>3</v>
      </c>
      <c r="F169" s="66">
        <f>IF(AND(Config4_AllClocksOn,B168),IF(D168="Disabled",0,Config4_Tcpwm_EnPed*$D$28/100/(2-1/Config4_Tcpwm_Count))+IF(D168="Triggered",D169*IF($D$28=D169,Config4_Tcpwm_TrigPeriCoef,Config4_Tcpwm_TrigCoef),0),0)</f>
        <v>0</v>
      </c>
      <c r="G169" s="58" t="s">
        <v>57</v>
      </c>
      <c r="H169" s="112" t="s">
        <v>212</v>
      </c>
      <c r="AB169" s="41"/>
    </row>
    <row r="170" spans="2:28" s="1" customFormat="1" hidden="1" outlineLevel="1" x14ac:dyDescent="0.25">
      <c r="B170" s="151" t="b">
        <v>0</v>
      </c>
      <c r="C170" s="122" t="s">
        <v>363</v>
      </c>
      <c r="D170" s="149" t="s">
        <v>335</v>
      </c>
      <c r="E170" s="122"/>
      <c r="F170" s="122"/>
      <c r="G170" s="122"/>
      <c r="H170" s="112" t="s">
        <v>337</v>
      </c>
      <c r="AB170" s="41"/>
    </row>
    <row r="171" spans="2:28" hidden="1" outlineLevel="1" x14ac:dyDescent="0.25">
      <c r="B171" s="140"/>
      <c r="C171" s="122" t="s">
        <v>288</v>
      </c>
      <c r="D171" s="56">
        <v>100</v>
      </c>
      <c r="E171" s="54" t="s">
        <v>3</v>
      </c>
      <c r="F171" s="66">
        <f>IF(AND(Config4_AllClocksOn,B170),IF(D170="Disabled",0,Config4_Tcpwm_EnPed*$D$28/100/(2-1/Config4_Tcpwm_Count))+IF(D170="Triggered",D171*IF($D$28=D171,Config4_Tcpwm_TrigPeriCoef,Config4_Tcpwm_TrigCoef),0),0)</f>
        <v>0</v>
      </c>
      <c r="G171" s="58" t="s">
        <v>57</v>
      </c>
      <c r="H171" s="112" t="s">
        <v>212</v>
      </c>
      <c r="AB171" s="41"/>
    </row>
    <row r="172" spans="2:28" hidden="1" outlineLevel="1" x14ac:dyDescent="0.25">
      <c r="B172" s="140" t="b">
        <v>0</v>
      </c>
      <c r="C172" s="122" t="s">
        <v>364</v>
      </c>
      <c r="D172" s="149" t="s">
        <v>335</v>
      </c>
      <c r="E172" s="54"/>
      <c r="F172" s="152"/>
      <c r="G172" s="55"/>
      <c r="H172" s="112" t="s">
        <v>337</v>
      </c>
      <c r="AB172" s="41"/>
    </row>
    <row r="173" spans="2:28" hidden="1" outlineLevel="1" x14ac:dyDescent="0.25">
      <c r="B173" s="140"/>
      <c r="C173" s="122" t="s">
        <v>289</v>
      </c>
      <c r="D173" s="56">
        <v>100</v>
      </c>
      <c r="E173" s="122" t="s">
        <v>3</v>
      </c>
      <c r="F173" s="66">
        <f>IF(AND(Config4_AllClocksOn,B172),IF(D172="Disabled",0,Config4_Tcpwm_EnPed*$D$28/100/(2-1/Config4_Tcpwm_Count))+IF(D172="Triggered",D173*IF($D$28=D173,Config4_Tcpwm_TrigPeriCoef,Config4_Tcpwm_TrigCoef),0),0)</f>
        <v>0</v>
      </c>
      <c r="G173" s="58" t="s">
        <v>57</v>
      </c>
      <c r="H173" s="112" t="s">
        <v>212</v>
      </c>
      <c r="AB173" s="41"/>
    </row>
    <row r="174" spans="2:28" s="1" customFormat="1" hidden="1" outlineLevel="1" x14ac:dyDescent="0.25">
      <c r="B174" s="151" t="b">
        <v>0</v>
      </c>
      <c r="C174" s="122" t="s">
        <v>365</v>
      </c>
      <c r="D174" s="149" t="s">
        <v>335</v>
      </c>
      <c r="E174" s="122"/>
      <c r="F174" s="122"/>
      <c r="G174" s="122"/>
      <c r="H174" s="112" t="s">
        <v>337</v>
      </c>
      <c r="AB174" s="41"/>
    </row>
    <row r="175" spans="2:28" hidden="1" outlineLevel="1" x14ac:dyDescent="0.25">
      <c r="B175" s="140"/>
      <c r="C175" s="122" t="s">
        <v>290</v>
      </c>
      <c r="D175" s="56">
        <v>100</v>
      </c>
      <c r="E175" s="54" t="s">
        <v>3</v>
      </c>
      <c r="F175" s="66">
        <f>IF(AND(Config4_AllClocksOn,B174),IF(D174="Disabled",0,Config4_Tcpwm_EnPed*$D$28/100/(2-1/Config4_Tcpwm_Count))+IF(D174="Triggered",D175*IF($D$28=D175,Config4_Tcpwm_TrigPeriCoef,Config4_Tcpwm_TrigCoef),0),0)</f>
        <v>0</v>
      </c>
      <c r="G175" s="58" t="s">
        <v>57</v>
      </c>
      <c r="H175" s="112" t="s">
        <v>212</v>
      </c>
      <c r="AB175" s="41"/>
    </row>
    <row r="176" spans="2:28" hidden="1" outlineLevel="1" x14ac:dyDescent="0.25">
      <c r="B176" s="140" t="b">
        <v>0</v>
      </c>
      <c r="C176" s="122" t="s">
        <v>366</v>
      </c>
      <c r="D176" s="149" t="s">
        <v>335</v>
      </c>
      <c r="E176" s="54"/>
      <c r="F176" s="152"/>
      <c r="G176" s="55"/>
      <c r="H176" s="112" t="s">
        <v>337</v>
      </c>
      <c r="AB176" s="41"/>
    </row>
    <row r="177" spans="2:28" hidden="1" outlineLevel="1" x14ac:dyDescent="0.25">
      <c r="B177" s="140"/>
      <c r="C177" s="122" t="s">
        <v>291</v>
      </c>
      <c r="D177" s="56">
        <v>100</v>
      </c>
      <c r="E177" s="122" t="s">
        <v>3</v>
      </c>
      <c r="F177" s="66">
        <f>IF(AND(Config4_AllClocksOn,B176),IF(D176="Disabled",0,Config4_Tcpwm_EnPed*$D$28/100/(2-1/Config4_Tcpwm_Count))+IF(D176="Triggered",D177*IF($D$28=D177,Config4_Tcpwm_TrigPeriCoef,Config4_Tcpwm_TrigCoef),0),0)</f>
        <v>0</v>
      </c>
      <c r="G177" s="58" t="s">
        <v>57</v>
      </c>
      <c r="H177" s="112" t="s">
        <v>212</v>
      </c>
      <c r="AB177" s="41"/>
    </row>
    <row r="178" spans="2:28" s="1" customFormat="1" hidden="1" outlineLevel="1" x14ac:dyDescent="0.25">
      <c r="B178" s="151" t="b">
        <v>0</v>
      </c>
      <c r="C178" s="122" t="s">
        <v>367</v>
      </c>
      <c r="D178" s="149" t="s">
        <v>335</v>
      </c>
      <c r="E178" s="122"/>
      <c r="F178" s="122"/>
      <c r="G178" s="122"/>
      <c r="H178" s="112" t="s">
        <v>337</v>
      </c>
      <c r="AB178" s="41"/>
    </row>
    <row r="179" spans="2:28" hidden="1" outlineLevel="1" x14ac:dyDescent="0.25">
      <c r="B179" s="140"/>
      <c r="C179" s="122" t="s">
        <v>292</v>
      </c>
      <c r="D179" s="56">
        <v>100</v>
      </c>
      <c r="E179" s="54" t="s">
        <v>3</v>
      </c>
      <c r="F179" s="66">
        <f>IF(AND(Config4_AllClocksOn,B178),IF(D178="Disabled",0,Config4_Tcpwm_EnPed*$D$28/100/(2-1/Config4_Tcpwm_Count))+IF(D178="Triggered",D179*IF($D$28=D179,Config4_Tcpwm_TrigPeriCoef,Config4_Tcpwm_TrigCoef),0),0)</f>
        <v>0</v>
      </c>
      <c r="G179" s="58" t="s">
        <v>57</v>
      </c>
      <c r="H179" s="112" t="s">
        <v>212</v>
      </c>
      <c r="AB179" s="41"/>
    </row>
    <row r="180" spans="2:28" hidden="1" outlineLevel="1" x14ac:dyDescent="0.25">
      <c r="B180" s="140" t="b">
        <v>0</v>
      </c>
      <c r="C180" s="122" t="s">
        <v>368</v>
      </c>
      <c r="D180" s="149" t="s">
        <v>335</v>
      </c>
      <c r="E180" s="54"/>
      <c r="F180" s="152"/>
      <c r="G180" s="55"/>
      <c r="H180" s="112" t="s">
        <v>337</v>
      </c>
      <c r="AB180" s="41"/>
    </row>
    <row r="181" spans="2:28" hidden="1" outlineLevel="1" x14ac:dyDescent="0.25">
      <c r="B181" s="140"/>
      <c r="C181" s="122" t="s">
        <v>293</v>
      </c>
      <c r="D181" s="56">
        <v>100</v>
      </c>
      <c r="E181" s="122" t="s">
        <v>3</v>
      </c>
      <c r="F181" s="66">
        <f>IF(AND(Config4_AllClocksOn,B180),IF(D180="Disabled",0,Config4_Tcpwm_EnPed*$D$28/100/(2-1/Config4_Tcpwm_Count))+IF(D180="Triggered",D181*IF($D$28=D181,Config4_Tcpwm_TrigPeriCoef,Config4_Tcpwm_TrigCoef),0),0)</f>
        <v>0</v>
      </c>
      <c r="G181" s="58" t="s">
        <v>57</v>
      </c>
      <c r="H181" s="112" t="s">
        <v>212</v>
      </c>
      <c r="AB181" s="41"/>
    </row>
    <row r="182" spans="2:28" collapsed="1" x14ac:dyDescent="0.25">
      <c r="B182" s="140"/>
      <c r="C182" s="122"/>
      <c r="D182" s="147"/>
      <c r="E182" s="54"/>
      <c r="F182" s="153"/>
      <c r="G182" s="55"/>
      <c r="H182" s="59"/>
      <c r="AB182" s="41"/>
    </row>
    <row r="183" spans="2:28" x14ac:dyDescent="0.25">
      <c r="B183" s="53" t="s">
        <v>69</v>
      </c>
      <c r="C183" s="53"/>
      <c r="D183" s="53"/>
      <c r="E183" s="53"/>
      <c r="F183" s="53"/>
      <c r="G183" s="53"/>
      <c r="H183" s="53"/>
      <c r="AB183" s="41"/>
    </row>
    <row r="184" spans="2:28" x14ac:dyDescent="0.25">
      <c r="B184" s="140" t="b">
        <v>0</v>
      </c>
      <c r="C184" s="55" t="s">
        <v>70</v>
      </c>
      <c r="D184" s="60" t="s">
        <v>195</v>
      </c>
      <c r="E184" s="54"/>
      <c r="F184" s="54"/>
      <c r="G184" s="54"/>
      <c r="H184" s="112" t="s">
        <v>372</v>
      </c>
      <c r="AB184" s="41"/>
    </row>
    <row r="185" spans="2:28" x14ac:dyDescent="0.25">
      <c r="B185" s="140"/>
      <c r="C185" s="122" t="s">
        <v>369</v>
      </c>
      <c r="D185" s="60" t="s">
        <v>371</v>
      </c>
      <c r="E185" s="55"/>
      <c r="F185" s="153"/>
      <c r="G185" s="55"/>
      <c r="H185" s="112" t="s">
        <v>374</v>
      </c>
      <c r="AB185" s="41"/>
    </row>
    <row r="186" spans="2:28" x14ac:dyDescent="0.25">
      <c r="B186" s="140"/>
      <c r="C186" s="55" t="s">
        <v>71</v>
      </c>
      <c r="D186" s="60">
        <v>25000</v>
      </c>
      <c r="E186" s="55" t="s">
        <v>142</v>
      </c>
      <c r="F186" s="57">
        <f>IF(AND(Config4_AllClocksOn,B184),IF(D184="SPI",IF(D185="Transmitting",Config4_SPI_Coef*D186,0)+IF(NOT(D185="Disabled"),Config4_SPI_EnableCoef*D186+Config4_SPI_EnablePeriCoef*$D$28+Config4_SPI_EnablePed,0),IF(D184="I2C",IF(D185="Transmitting",Config4_I2C_Coef*D186+Config4_I2C_RunPed,0)+IF(NOT(D185="Disabled"),Config4_I2C_EnableCoef*D186+Config4_I2C_EnablePed,0),IF(D185="Transmitting",Config4_UART_Coef*D186+Config4_UART_RunPed,0)+IF(NOT(D185="Disabled"),Config4_UART_EnableCoef*D186+Config4_UART_EnablePed,0))),0)</f>
        <v>0</v>
      </c>
      <c r="G186" s="58" t="s">
        <v>57</v>
      </c>
      <c r="H186" s="112" t="s">
        <v>373</v>
      </c>
      <c r="AB186" s="62"/>
    </row>
    <row r="187" spans="2:28" x14ac:dyDescent="0.25">
      <c r="B187" s="140" t="b">
        <v>0</v>
      </c>
      <c r="C187" s="55" t="s">
        <v>70</v>
      </c>
      <c r="D187" s="60" t="s">
        <v>193</v>
      </c>
      <c r="E187" s="54"/>
      <c r="F187" s="54"/>
      <c r="G187" s="54"/>
      <c r="H187" s="112" t="s">
        <v>372</v>
      </c>
      <c r="AB187" s="41"/>
    </row>
    <row r="188" spans="2:28" x14ac:dyDescent="0.25">
      <c r="B188" s="140"/>
      <c r="C188" s="122" t="s">
        <v>369</v>
      </c>
      <c r="D188" s="60" t="s">
        <v>371</v>
      </c>
      <c r="E188" s="55"/>
      <c r="F188" s="153"/>
      <c r="G188" s="55"/>
      <c r="H188" s="112" t="s">
        <v>374</v>
      </c>
      <c r="AB188" s="41"/>
    </row>
    <row r="189" spans="2:28" x14ac:dyDescent="0.25">
      <c r="B189" s="140"/>
      <c r="C189" s="55" t="s">
        <v>71</v>
      </c>
      <c r="D189" s="60">
        <v>100</v>
      </c>
      <c r="E189" s="55" t="s">
        <v>142</v>
      </c>
      <c r="F189" s="57">
        <f>IF(AND(Config4_AllClocksOn,B187),IF(D187="SPI",IF(D188="Transmitting",Config4_SPI_Coef*D189,0)+IF(NOT(D188="Disabled"),Config4_SPI_EnableCoef*D189+Config4_SPI_EnablePeriCoef*$D$28+Config4_SPI_EnablePed,0),IF(D187="I2C",IF(D188="Transmitting",Config4_I2C_Coef*D189+Config4_I2C_RunPed,0)+IF(NOT(D188="Disabled"),Config4_I2C_EnableCoef*D189+Config4_I2C_EnablePed,0),IF(D188="Transmitting",Config4_UART_Coef*D189+Config4_UART_RunPed,0)+IF(NOT(D188="Disabled"),Config4_UART_EnableCoef*D189+Config4_UART_EnablePed,0))),0)</f>
        <v>0</v>
      </c>
      <c r="G189" s="58" t="s">
        <v>57</v>
      </c>
      <c r="H189" s="112" t="s">
        <v>373</v>
      </c>
      <c r="AB189" s="62"/>
    </row>
    <row r="190" spans="2:28" x14ac:dyDescent="0.25">
      <c r="B190" s="140" t="b">
        <v>0</v>
      </c>
      <c r="C190" s="55" t="s">
        <v>70</v>
      </c>
      <c r="D190" s="60" t="s">
        <v>195</v>
      </c>
      <c r="E190" s="54"/>
      <c r="F190" s="54"/>
      <c r="G190" s="54"/>
      <c r="H190" s="112" t="s">
        <v>372</v>
      </c>
      <c r="AB190" s="41"/>
    </row>
    <row r="191" spans="2:28" x14ac:dyDescent="0.25">
      <c r="B191" s="140"/>
      <c r="C191" s="122" t="s">
        <v>369</v>
      </c>
      <c r="D191" s="60" t="s">
        <v>150</v>
      </c>
      <c r="E191" s="55"/>
      <c r="F191" s="153"/>
      <c r="G191" s="55"/>
      <c r="H191" s="112" t="s">
        <v>374</v>
      </c>
      <c r="AB191" s="41"/>
    </row>
    <row r="192" spans="2:28" x14ac:dyDescent="0.25">
      <c r="B192" s="140"/>
      <c r="C192" s="55" t="s">
        <v>71</v>
      </c>
      <c r="D192" s="60">
        <v>100</v>
      </c>
      <c r="E192" s="55" t="s">
        <v>142</v>
      </c>
      <c r="F192" s="57">
        <f>IF(AND(Config4_AllClocksOn,B190),IF(D190="SPI",IF(D191="Transmitting",Config4_SPI_Coef*D192,0)+IF(NOT(D191="Disabled"),Config4_SPI_EnableCoef*D192+Config4_SPI_EnablePeriCoef*$D$28+Config4_SPI_EnablePed,0),IF(D190="I2C",IF(D191="Transmitting",Config4_I2C_Coef*D192+Config4_I2C_RunPed,0)+IF(NOT(D191="Disabled"),Config4_I2C_EnableCoef*D192+Config4_I2C_EnablePed,0),IF(D191="Transmitting",Config4_UART_Coef*D192+Config4_UART_RunPed,0)+IF(NOT(D191="Disabled"),Config4_UART_EnableCoef*D192+Config4_UART_EnablePed,0))),0)</f>
        <v>0</v>
      </c>
      <c r="G192" s="58" t="s">
        <v>57</v>
      </c>
      <c r="H192" s="112" t="s">
        <v>373</v>
      </c>
      <c r="AB192" s="62"/>
    </row>
    <row r="193" spans="2:28" x14ac:dyDescent="0.25">
      <c r="B193" s="140" t="b">
        <v>0</v>
      </c>
      <c r="C193" s="55" t="s">
        <v>70</v>
      </c>
      <c r="D193" s="60" t="s">
        <v>193</v>
      </c>
      <c r="E193" s="54"/>
      <c r="F193" s="54"/>
      <c r="G193" s="54"/>
      <c r="H193" s="112" t="s">
        <v>372</v>
      </c>
      <c r="AB193" s="41"/>
    </row>
    <row r="194" spans="2:28" x14ac:dyDescent="0.25">
      <c r="B194" s="140"/>
      <c r="C194" s="122" t="s">
        <v>369</v>
      </c>
      <c r="D194" s="60" t="s">
        <v>151</v>
      </c>
      <c r="E194" s="55"/>
      <c r="F194" s="153"/>
      <c r="G194" s="55"/>
      <c r="H194" s="112" t="s">
        <v>374</v>
      </c>
      <c r="AB194" s="41"/>
    </row>
    <row r="195" spans="2:28" x14ac:dyDescent="0.25">
      <c r="B195" s="140"/>
      <c r="C195" s="55" t="s">
        <v>71</v>
      </c>
      <c r="D195" s="60">
        <v>100</v>
      </c>
      <c r="E195" s="55" t="s">
        <v>142</v>
      </c>
      <c r="F195" s="57">
        <f>IF(AND(Config4_AllClocksOn,B193),IF(D193="SPI",IF(D194="Transmitting",Config4_SPI_Coef*D195,0)+IF(NOT(D194="Disabled"),Config4_SPI_EnableCoef*D195+Config4_SPI_EnablePeriCoef*$D$28+Config4_SPI_EnablePed,0),IF(D193="I2C",IF(D194="Transmitting",Config4_I2C_Coef*D195+Config4_I2C_RunPed,0)+IF(NOT(D194="Disabled"),Config4_I2C_EnableCoef*D195+Config4_I2C_EnablePed,0),IF(D194="Transmitting",Config4_UART_Coef*D195+Config4_UART_RunPed,0)+IF(NOT(D194="Disabled"),Config4_UART_EnableCoef*D195+Config4_UART_EnablePed,0))),0)</f>
        <v>0</v>
      </c>
      <c r="G195" s="58" t="s">
        <v>57</v>
      </c>
      <c r="H195" s="112" t="s">
        <v>373</v>
      </c>
      <c r="AB195" s="62"/>
    </row>
    <row r="196" spans="2:28" hidden="1" outlineLevel="1" x14ac:dyDescent="0.25">
      <c r="B196" s="140" t="b">
        <v>0</v>
      </c>
      <c r="C196" s="55" t="s">
        <v>70</v>
      </c>
      <c r="D196" s="60" t="s">
        <v>193</v>
      </c>
      <c r="E196" s="54"/>
      <c r="F196" s="54"/>
      <c r="G196" s="54"/>
      <c r="H196" s="112" t="s">
        <v>372</v>
      </c>
      <c r="AB196" s="41"/>
    </row>
    <row r="197" spans="2:28" hidden="1" outlineLevel="1" x14ac:dyDescent="0.25">
      <c r="B197" s="140"/>
      <c r="C197" s="122" t="s">
        <v>369</v>
      </c>
      <c r="D197" s="60" t="s">
        <v>151</v>
      </c>
      <c r="E197" s="55"/>
      <c r="F197" s="153"/>
      <c r="G197" s="55"/>
      <c r="H197" s="112" t="s">
        <v>374</v>
      </c>
      <c r="AB197" s="41"/>
    </row>
    <row r="198" spans="2:28" hidden="1" outlineLevel="1" x14ac:dyDescent="0.25">
      <c r="B198" s="140"/>
      <c r="C198" s="55" t="s">
        <v>71</v>
      </c>
      <c r="D198" s="60">
        <v>100</v>
      </c>
      <c r="E198" s="55" t="s">
        <v>142</v>
      </c>
      <c r="F198" s="57">
        <f>IF(AND(Config4_AllClocksOn,B196),IF(D196="SPI",IF(D197="Transmitting",Config4_SPI_Coef*D198,0)+IF(NOT(D197="Disabled"),Config4_SPI_EnableCoef*D198+Config4_SPI_EnablePeriCoef*$D$28+Config4_SPI_EnablePed,0),IF(D196="I2C",IF(D197="Transmitting",Config4_I2C_Coef*D198+Config4_I2C_RunPed,0)+IF(NOT(D197="Disabled"),Config4_I2C_EnableCoef*D198+Config4_I2C_EnablePed,0),IF(D197="Transmitting",Config4_UART_Coef*D198+Config4_UART_RunPed,0)+IF(NOT(D197="Disabled"),Config4_UART_EnableCoef*D198+Config4_UART_EnablePed,0))),0)</f>
        <v>0</v>
      </c>
      <c r="G198" s="58" t="s">
        <v>57</v>
      </c>
      <c r="H198" s="112" t="s">
        <v>373</v>
      </c>
      <c r="AB198" s="62"/>
    </row>
    <row r="199" spans="2:28" hidden="1" outlineLevel="1" x14ac:dyDescent="0.25">
      <c r="B199" s="140" t="b">
        <v>0</v>
      </c>
      <c r="C199" s="55" t="s">
        <v>70</v>
      </c>
      <c r="D199" s="60" t="s">
        <v>193</v>
      </c>
      <c r="E199" s="54"/>
      <c r="F199" s="54"/>
      <c r="G199" s="54"/>
      <c r="H199" s="112" t="s">
        <v>372</v>
      </c>
      <c r="AB199" s="41"/>
    </row>
    <row r="200" spans="2:28" hidden="1" outlineLevel="1" x14ac:dyDescent="0.25">
      <c r="B200" s="140"/>
      <c r="C200" s="122" t="s">
        <v>369</v>
      </c>
      <c r="D200" s="60" t="s">
        <v>151</v>
      </c>
      <c r="E200" s="55"/>
      <c r="F200" s="153"/>
      <c r="G200" s="55"/>
      <c r="H200" s="112" t="s">
        <v>374</v>
      </c>
      <c r="AB200" s="41"/>
    </row>
    <row r="201" spans="2:28" hidden="1" outlineLevel="1" x14ac:dyDescent="0.25">
      <c r="B201" s="140"/>
      <c r="C201" s="55" t="s">
        <v>71</v>
      </c>
      <c r="D201" s="60">
        <v>100</v>
      </c>
      <c r="E201" s="55" t="s">
        <v>142</v>
      </c>
      <c r="F201" s="57">
        <f>IF(AND(Config4_AllClocksOn,B199),IF(D199="SPI",IF(D200="Transmitting",Config4_SPI_Coef*D201,0)+IF(NOT(D200="Disabled"),Config4_SPI_EnableCoef*D201+Config4_SPI_EnablePeriCoef*$D$28+Config4_SPI_EnablePed,0),IF(D199="I2C",IF(D200="Transmitting",Config4_I2C_Coef*D201+Config4_I2C_RunPed,0)+IF(NOT(D200="Disabled"),Config4_I2C_EnableCoef*D201+Config4_I2C_EnablePed,0),IF(D200="Transmitting",Config4_UART_Coef*D201+Config4_UART_RunPed,0)+IF(NOT(D200="Disabled"),Config4_UART_EnableCoef*D201+Config4_UART_EnablePed,0))),0)</f>
        <v>0</v>
      </c>
      <c r="G201" s="58" t="s">
        <v>57</v>
      </c>
      <c r="H201" s="112" t="s">
        <v>373</v>
      </c>
      <c r="AB201" s="62"/>
    </row>
    <row r="202" spans="2:28" hidden="1" outlineLevel="1" x14ac:dyDescent="0.25">
      <c r="B202" s="140" t="b">
        <v>0</v>
      </c>
      <c r="C202" s="55" t="s">
        <v>70</v>
      </c>
      <c r="D202" s="60" t="s">
        <v>193</v>
      </c>
      <c r="E202" s="54"/>
      <c r="F202" s="54"/>
      <c r="G202" s="54"/>
      <c r="H202" s="112" t="s">
        <v>372</v>
      </c>
      <c r="AB202" s="41"/>
    </row>
    <row r="203" spans="2:28" hidden="1" outlineLevel="1" x14ac:dyDescent="0.25">
      <c r="B203" s="140"/>
      <c r="C203" s="122" t="s">
        <v>369</v>
      </c>
      <c r="D203" s="60" t="s">
        <v>151</v>
      </c>
      <c r="E203" s="55"/>
      <c r="F203" s="153"/>
      <c r="G203" s="55"/>
      <c r="H203" s="112" t="s">
        <v>374</v>
      </c>
      <c r="AB203" s="41"/>
    </row>
    <row r="204" spans="2:28" hidden="1" outlineLevel="1" x14ac:dyDescent="0.25">
      <c r="B204" s="140"/>
      <c r="C204" s="55" t="s">
        <v>71</v>
      </c>
      <c r="D204" s="60">
        <v>100</v>
      </c>
      <c r="E204" s="55" t="s">
        <v>142</v>
      </c>
      <c r="F204" s="57">
        <f>IF(AND(Config4_AllClocksOn,B202),IF(D202="SPI",IF(D203="Transmitting",Config4_SPI_Coef*D204,0)+IF(NOT(D203="Disabled"),Config4_SPI_EnableCoef*D204+Config4_SPI_EnablePeriCoef*$D$28+Config4_SPI_EnablePed,0),IF(D202="I2C",IF(D203="Transmitting",Config4_I2C_Coef*D204+Config4_I2C_RunPed,0)+IF(NOT(D203="Disabled"),Config4_I2C_EnableCoef*D204+Config4_I2C_EnablePed,0),IF(D203="Transmitting",Config4_UART_Coef*D204+Config4_UART_RunPed,0)+IF(NOT(D203="Disabled"),Config4_UART_EnableCoef*D204+Config4_UART_EnablePed,0))),0)</f>
        <v>0</v>
      </c>
      <c r="G204" s="58" t="s">
        <v>57</v>
      </c>
      <c r="H204" s="112" t="s">
        <v>373</v>
      </c>
      <c r="AB204" s="62"/>
    </row>
    <row r="205" spans="2:28" hidden="1" outlineLevel="1" x14ac:dyDescent="0.25">
      <c r="B205" s="140" t="b">
        <v>0</v>
      </c>
      <c r="C205" s="55" t="s">
        <v>70</v>
      </c>
      <c r="D205" s="60" t="s">
        <v>193</v>
      </c>
      <c r="E205" s="54"/>
      <c r="F205" s="54"/>
      <c r="G205" s="54"/>
      <c r="H205" s="112" t="s">
        <v>372</v>
      </c>
      <c r="AB205" s="41"/>
    </row>
    <row r="206" spans="2:28" hidden="1" outlineLevel="1" x14ac:dyDescent="0.25">
      <c r="B206" s="140"/>
      <c r="C206" s="122" t="s">
        <v>369</v>
      </c>
      <c r="D206" s="60" t="s">
        <v>151</v>
      </c>
      <c r="E206" s="55"/>
      <c r="F206" s="153"/>
      <c r="G206" s="55"/>
      <c r="H206" s="112" t="s">
        <v>374</v>
      </c>
      <c r="AB206" s="41"/>
    </row>
    <row r="207" spans="2:28" hidden="1" outlineLevel="1" x14ac:dyDescent="0.25">
      <c r="B207" s="140"/>
      <c r="C207" s="55" t="s">
        <v>71</v>
      </c>
      <c r="D207" s="60">
        <v>100</v>
      </c>
      <c r="E207" s="55" t="s">
        <v>142</v>
      </c>
      <c r="F207" s="57">
        <f>IF(AND(Config4_AllClocksOn,B205),IF(D205="SPI",IF(D206="Transmitting",Config4_SPI_Coef*D207,0)+IF(NOT(D206="Disabled"),Config4_SPI_EnableCoef*D207+Config4_SPI_EnablePeriCoef*$D$28+Config4_SPI_EnablePed,0),IF(D205="I2C",IF(D206="Transmitting",Config4_I2C_Coef*D207+Config4_I2C_RunPed,0)+IF(NOT(D206="Disabled"),Config4_I2C_EnableCoef*D207+Config4_I2C_EnablePed,0),IF(D206="Transmitting",Config4_UART_Coef*D207+Config4_UART_RunPed,0)+IF(NOT(D206="Disabled"),Config4_UART_EnableCoef*D207+Config4_UART_EnablePed,0))),0)</f>
        <v>0</v>
      </c>
      <c r="G207" s="58" t="s">
        <v>57</v>
      </c>
      <c r="H207" s="112" t="s">
        <v>373</v>
      </c>
      <c r="AB207" s="62"/>
    </row>
    <row r="208" spans="2:28" hidden="1" outlineLevel="1" x14ac:dyDescent="0.25">
      <c r="B208" s="140" t="b">
        <v>0</v>
      </c>
      <c r="C208" s="55" t="s">
        <v>149</v>
      </c>
      <c r="D208" s="60" t="s">
        <v>194</v>
      </c>
      <c r="E208" s="54"/>
      <c r="F208" s="54"/>
      <c r="G208" s="54"/>
      <c r="H208" s="59" t="s">
        <v>177</v>
      </c>
    </row>
    <row r="209" spans="2:28" hidden="1" outlineLevel="1" x14ac:dyDescent="0.25">
      <c r="B209" s="140"/>
      <c r="C209" s="122" t="s">
        <v>375</v>
      </c>
      <c r="D209" s="60" t="s">
        <v>151</v>
      </c>
      <c r="E209" s="55"/>
      <c r="F209" s="153"/>
      <c r="G209" s="55"/>
      <c r="H209" s="59" t="s">
        <v>178</v>
      </c>
      <c r="AB209" s="41"/>
    </row>
    <row r="210" spans="2:28" hidden="1" outlineLevel="1" x14ac:dyDescent="0.25">
      <c r="B210" s="140"/>
      <c r="C210" s="55" t="s">
        <v>71</v>
      </c>
      <c r="D210" s="60">
        <v>100</v>
      </c>
      <c r="E210" s="55" t="s">
        <v>142</v>
      </c>
      <c r="F210" s="57">
        <f>IF(AND(Config4_AllClocksOn,B208),IF(D208="SPI",IF(D209="Transmitting",Config4_SPI_Coef*D210,0)+IF(NOT(D209="Disabled"),Config4_SPI_EnableCoef*D210+Config4_SPI_EnablePeriCoef*$D$28+Config4_SPI_EnablePed,0),IF(D208="I2C",IF(D209="Transmitting",Config4_I2C_Coef*D210+Config4_I2C_RunPed,0)+IF(NOT(D209="Disabled"),Config4_I2C_EnableCoef*D210+Config4_I2C_EnablePed,0),IF(D209="Transmitting",Config4_UART_Coef*D210+Config4_UART_RunPed,0)+IF(NOT(D209="Disabled"),Config4_UART_EnableCoef*D210+Config4_UART_EnablePed,0))),0)</f>
        <v>0</v>
      </c>
      <c r="G210" s="58" t="s">
        <v>57</v>
      </c>
      <c r="H210" s="112" t="s">
        <v>373</v>
      </c>
      <c r="AB210" s="62"/>
    </row>
    <row r="211" spans="2:28" collapsed="1" x14ac:dyDescent="0.25">
      <c r="B211" s="140"/>
      <c r="C211" s="55"/>
      <c r="D211" s="156"/>
      <c r="E211" s="54"/>
      <c r="F211" s="54"/>
      <c r="G211" s="54"/>
      <c r="H211" s="59"/>
    </row>
    <row r="212" spans="2:28" x14ac:dyDescent="0.25">
      <c r="B212" s="140"/>
      <c r="C212" s="55"/>
      <c r="D212" s="156"/>
      <c r="E212" s="54"/>
      <c r="F212" s="54"/>
      <c r="G212" s="54"/>
      <c r="H212" s="59"/>
    </row>
    <row r="213" spans="2:28" x14ac:dyDescent="0.25">
      <c r="B213" s="53" t="s">
        <v>392</v>
      </c>
      <c r="C213" s="53"/>
      <c r="D213" s="53"/>
      <c r="E213" s="53"/>
      <c r="F213" s="53"/>
      <c r="G213" s="53"/>
      <c r="H213" s="53"/>
    </row>
    <row r="214" spans="2:28" x14ac:dyDescent="0.25">
      <c r="B214" s="140"/>
      <c r="C214" s="122" t="s">
        <v>396</v>
      </c>
      <c r="D214" s="56" t="s">
        <v>398</v>
      </c>
      <c r="E214" s="54"/>
      <c r="F214" s="80"/>
      <c r="G214" s="81"/>
      <c r="H214" s="112" t="s">
        <v>397</v>
      </c>
    </row>
    <row r="215" spans="2:28" x14ac:dyDescent="0.25">
      <c r="B215" s="140"/>
      <c r="C215" s="122" t="s">
        <v>175</v>
      </c>
      <c r="D215" s="56" t="s">
        <v>151</v>
      </c>
      <c r="E215" s="54"/>
      <c r="F215" s="57">
        <f>IF(OR(Config4_AllClocksOff,NOT(B23)),0,IF(D214="Yes",Config4_SMIF_DMA,0)+IF(D215="Disabled",Config4_SMIF_Dis,Config4_SMIF_En)+IF(D215="Transmitting",Config4_SMIF_Trans))</f>
        <v>0</v>
      </c>
      <c r="G215" s="58" t="s">
        <v>57</v>
      </c>
      <c r="H215" s="112" t="s">
        <v>393</v>
      </c>
    </row>
    <row r="216" spans="2:28" x14ac:dyDescent="0.25">
      <c r="B216" s="53" t="s">
        <v>89</v>
      </c>
      <c r="C216" s="53"/>
      <c r="D216" s="53"/>
      <c r="E216" s="53"/>
      <c r="F216" s="53"/>
      <c r="G216" s="53"/>
      <c r="H216" s="53"/>
    </row>
    <row r="217" spans="2:28" s="1" customFormat="1" collapsed="1" x14ac:dyDescent="0.25">
      <c r="B217" s="55"/>
      <c r="C217" s="55" t="s">
        <v>175</v>
      </c>
      <c r="D217" s="56" t="s">
        <v>28</v>
      </c>
      <c r="E217" s="55"/>
      <c r="F217" s="57">
        <f>IF(OR(Config4_AllClocksOff,D217="Off"),0,IF(D217="Configured Connected",Config4_Usb_ConfigCon,IF(D217="Suspended Connected",Config4_Usb_SuspendCon,Config4_Usb_SuspendDis)))*1000</f>
        <v>0</v>
      </c>
      <c r="G217" s="58" t="s">
        <v>57</v>
      </c>
      <c r="H217" s="59" t="s">
        <v>176</v>
      </c>
      <c r="AB217" s="41"/>
    </row>
    <row r="218" spans="2:28" s="1" customFormat="1" x14ac:dyDescent="0.25">
      <c r="B218" s="53" t="s">
        <v>152</v>
      </c>
      <c r="C218" s="53"/>
      <c r="D218" s="53"/>
      <c r="E218" s="53"/>
      <c r="F218" s="65">
        <f>SUM(F118:F217)/1000</f>
        <v>0</v>
      </c>
      <c r="G218" s="53" t="s">
        <v>316</v>
      </c>
      <c r="H218" s="53"/>
      <c r="AB218" s="41"/>
    </row>
    <row r="219" spans="2:28" s="1" customFormat="1" x14ac:dyDescent="0.25">
      <c r="B219"/>
      <c r="H219" s="49"/>
      <c r="AB219" s="41"/>
    </row>
    <row r="220" spans="2:28" hidden="1" x14ac:dyDescent="0.25">
      <c r="C220" s="1"/>
      <c r="D220" s="1"/>
      <c r="E220" s="1"/>
      <c r="F220" s="1"/>
      <c r="G220" s="1"/>
      <c r="H220" s="49"/>
    </row>
    <row r="221" spans="2:28" ht="15.6" hidden="1" x14ac:dyDescent="0.3">
      <c r="B221" s="225" t="s">
        <v>154</v>
      </c>
      <c r="C221" s="225"/>
      <c r="D221" s="225"/>
      <c r="E221" s="225"/>
      <c r="F221" s="225"/>
      <c r="G221" s="225"/>
      <c r="H221" s="225"/>
    </row>
    <row r="222" spans="2:28" s="1" customFormat="1" collapsed="1" x14ac:dyDescent="0.25">
      <c r="B222" s="67" t="s">
        <v>153</v>
      </c>
      <c r="C222" s="67"/>
      <c r="D222" s="67"/>
      <c r="E222" s="67"/>
      <c r="F222" s="67"/>
      <c r="G222" s="67"/>
      <c r="H222" s="67"/>
      <c r="AB222" s="41"/>
    </row>
    <row r="223" spans="2:28" x14ac:dyDescent="0.25">
      <c r="B223" s="68"/>
      <c r="C223" s="54" t="s">
        <v>11</v>
      </c>
      <c r="D223" s="60">
        <v>0</v>
      </c>
      <c r="E223" s="54" t="s">
        <v>10</v>
      </c>
      <c r="F223" s="69">
        <f t="shared" ref="F223:F230" si="0">D223</f>
        <v>0</v>
      </c>
      <c r="G223" s="58" t="s">
        <v>57</v>
      </c>
      <c r="H223" s="220" t="s">
        <v>49</v>
      </c>
    </row>
    <row r="224" spans="2:28" ht="12.75" customHeight="1" x14ac:dyDescent="0.25">
      <c r="B224" s="54"/>
      <c r="C224" s="54" t="s">
        <v>12</v>
      </c>
      <c r="D224" s="60">
        <v>0</v>
      </c>
      <c r="E224" s="54" t="s">
        <v>10</v>
      </c>
      <c r="F224" s="69">
        <f t="shared" si="0"/>
        <v>0</v>
      </c>
      <c r="G224" s="58" t="s">
        <v>57</v>
      </c>
      <c r="H224" s="221"/>
    </row>
    <row r="225" spans="2:8" ht="12.75" customHeight="1" x14ac:dyDescent="0.25">
      <c r="B225" s="54"/>
      <c r="C225" s="54" t="s">
        <v>13</v>
      </c>
      <c r="D225" s="60">
        <v>0</v>
      </c>
      <c r="E225" s="54" t="s">
        <v>10</v>
      </c>
      <c r="F225" s="69">
        <f t="shared" si="0"/>
        <v>0</v>
      </c>
      <c r="G225" s="58" t="s">
        <v>57</v>
      </c>
      <c r="H225" s="221"/>
    </row>
    <row r="226" spans="2:8" x14ac:dyDescent="0.25">
      <c r="B226" s="54"/>
      <c r="C226" s="54" t="s">
        <v>14</v>
      </c>
      <c r="D226" s="60">
        <v>0</v>
      </c>
      <c r="E226" s="54" t="s">
        <v>10</v>
      </c>
      <c r="F226" s="69">
        <f t="shared" si="0"/>
        <v>0</v>
      </c>
      <c r="G226" s="58" t="s">
        <v>57</v>
      </c>
      <c r="H226" s="221"/>
    </row>
    <row r="227" spans="2:8" x14ac:dyDescent="0.25">
      <c r="B227" s="54"/>
      <c r="C227" s="54" t="s">
        <v>15</v>
      </c>
      <c r="D227" s="60">
        <v>0</v>
      </c>
      <c r="E227" s="54" t="s">
        <v>10</v>
      </c>
      <c r="F227" s="69">
        <f t="shared" si="0"/>
        <v>0</v>
      </c>
      <c r="G227" s="58" t="s">
        <v>57</v>
      </c>
      <c r="H227" s="221"/>
    </row>
    <row r="228" spans="2:8" x14ac:dyDescent="0.25">
      <c r="B228" s="54"/>
      <c r="C228" s="54" t="s">
        <v>16</v>
      </c>
      <c r="D228" s="60">
        <v>0</v>
      </c>
      <c r="E228" s="54" t="s">
        <v>10</v>
      </c>
      <c r="F228" s="69">
        <f t="shared" si="0"/>
        <v>0</v>
      </c>
      <c r="G228" s="58" t="s">
        <v>57</v>
      </c>
      <c r="H228" s="221"/>
    </row>
    <row r="229" spans="2:8" x14ac:dyDescent="0.25">
      <c r="B229" s="54"/>
      <c r="C229" s="54" t="s">
        <v>17</v>
      </c>
      <c r="D229" s="60">
        <v>0</v>
      </c>
      <c r="E229" s="54" t="s">
        <v>10</v>
      </c>
      <c r="F229" s="69">
        <f t="shared" si="0"/>
        <v>0</v>
      </c>
      <c r="G229" s="58" t="s">
        <v>57</v>
      </c>
      <c r="H229" s="221"/>
    </row>
    <row r="230" spans="2:8" x14ac:dyDescent="0.25">
      <c r="B230" s="54"/>
      <c r="C230" s="54" t="s">
        <v>18</v>
      </c>
      <c r="D230" s="60">
        <v>0</v>
      </c>
      <c r="E230" s="54" t="s">
        <v>10</v>
      </c>
      <c r="F230" s="69">
        <f t="shared" si="0"/>
        <v>0</v>
      </c>
      <c r="G230" s="58" t="s">
        <v>57</v>
      </c>
      <c r="H230" s="222"/>
    </row>
    <row r="231" spans="2:8" ht="13.8" thickBot="1" x14ac:dyDescent="0.3">
      <c r="B231" s="70" t="s">
        <v>152</v>
      </c>
      <c r="C231" s="71"/>
      <c r="D231" s="72"/>
      <c r="E231" s="71"/>
      <c r="F231" s="158">
        <f>SUM(F223:F230)/1000</f>
        <v>0</v>
      </c>
      <c r="G231" s="70" t="s">
        <v>316</v>
      </c>
      <c r="H231" s="71"/>
    </row>
    <row r="232" spans="2:8" collapsed="1" x14ac:dyDescent="0.25">
      <c r="B232" s="73"/>
      <c r="C232" s="74"/>
      <c r="D232" s="75"/>
      <c r="E232" s="74"/>
      <c r="F232" s="76"/>
      <c r="G232" s="74"/>
      <c r="H232" s="77"/>
    </row>
    <row r="233" spans="2:8" ht="16.2" thickBot="1" x14ac:dyDescent="0.35">
      <c r="B233" s="3"/>
      <c r="C233" s="5"/>
      <c r="D233" s="24"/>
      <c r="E233" s="27" t="s">
        <v>34</v>
      </c>
      <c r="F233" s="33">
        <f ca="1">SUM(F36,F114,F218,F231)</f>
        <v>1.002</v>
      </c>
      <c r="G233" s="28" t="s">
        <v>316</v>
      </c>
      <c r="H233" s="10"/>
    </row>
    <row r="242" spans="4:4" x14ac:dyDescent="0.25">
      <c r="D242" s="29"/>
    </row>
  </sheetData>
  <dataConsolidate/>
  <mergeCells count="20">
    <mergeCell ref="B71:B96"/>
    <mergeCell ref="C94:E94"/>
    <mergeCell ref="C95:E95"/>
    <mergeCell ref="B221:H221"/>
    <mergeCell ref="H223:H230"/>
    <mergeCell ref="C1:D1"/>
    <mergeCell ref="E1:G1"/>
    <mergeCell ref="B2:E2"/>
    <mergeCell ref="F2:G2"/>
    <mergeCell ref="B3:H3"/>
    <mergeCell ref="B12:C12"/>
    <mergeCell ref="B20:C20"/>
    <mergeCell ref="B30:C30"/>
    <mergeCell ref="B116:H116"/>
    <mergeCell ref="B38:H38"/>
    <mergeCell ref="B39:C39"/>
    <mergeCell ref="B40:B42"/>
    <mergeCell ref="B44:B69"/>
    <mergeCell ref="C67:E67"/>
    <mergeCell ref="C68:E68"/>
  </mergeCells>
  <conditionalFormatting sqref="C9">
    <cfRule type="expression" dxfId="293" priority="267">
      <formula>NUM_CORE=1</formula>
    </cfRule>
  </conditionalFormatting>
  <conditionalFormatting sqref="C17:C19">
    <cfRule type="expression" dxfId="292" priority="259">
      <formula>NUM_PLL=1</formula>
    </cfRule>
  </conditionalFormatting>
  <conditionalFormatting sqref="C26">
    <cfRule type="expression" dxfId="291" priority="251">
      <formula>SelectedDevice&lt;&gt;PSoC62_2M</formula>
    </cfRule>
  </conditionalFormatting>
  <conditionalFormatting sqref="C118:C181">
    <cfRule type="expression" dxfId="290" priority="196">
      <formula>NOT($B$4)</formula>
    </cfRule>
  </conditionalFormatting>
  <conditionalFormatting sqref="D8">
    <cfRule type="expression" dxfId="289" priority="243">
      <formula>AND(Config1_SystemMode=SystemUlp,Config1_VoltageCore=1.1)</formula>
    </cfRule>
  </conditionalFormatting>
  <conditionalFormatting sqref="D9">
    <cfRule type="expression" dxfId="288" priority="266">
      <formula>AND(Config1_SystemMode=SystemDeepSleep,Config1_CM0p_CpuMode&lt;&gt;CpuDeepSleep)</formula>
    </cfRule>
    <cfRule type="expression" dxfId="287" priority="264" stopIfTrue="1">
      <formula>OR(NUM_CORE=1,Config1_SystemMode=SystemHibernate)</formula>
    </cfRule>
  </conditionalFormatting>
  <conditionalFormatting sqref="D10">
    <cfRule type="expression" dxfId="286" priority="265">
      <formula>AND(Config1_SystemMode=SystemDeepSleep,AND(Config1_CM4_CpuMode&lt;&gt;CpuOff,Config1_CM4_CpuMode&lt;&gt;CpuDeepSleep))</formula>
    </cfRule>
    <cfRule type="expression" dxfId="285" priority="263" stopIfTrue="1">
      <formula>Config1_SystemMode=SystemHibernate</formula>
    </cfRule>
  </conditionalFormatting>
  <conditionalFormatting sqref="D22:D26">
    <cfRule type="expression" dxfId="284" priority="248">
      <formula>NOT($B22)</formula>
    </cfRule>
  </conditionalFormatting>
  <conditionalFormatting sqref="D27">
    <cfRule type="expression" dxfId="283" priority="246">
      <formula>FLOOR(MOD(Config1_HFCLK0,$D$27),1)</formula>
    </cfRule>
  </conditionalFormatting>
  <conditionalFormatting sqref="D28">
    <cfRule type="expression" dxfId="282" priority="245">
      <formula>FLOOR(MOD(Config1_HFCLK0,$D$28),1)</formula>
    </cfRule>
  </conditionalFormatting>
  <conditionalFormatting sqref="D29">
    <cfRule type="expression" dxfId="281" priority="244">
      <formula>FLOOR(MOD($D$28,$D$29),1)</formula>
    </cfRule>
  </conditionalFormatting>
  <conditionalFormatting sqref="D40:D42">
    <cfRule type="expression" dxfId="280" priority="158">
      <formula>IF(SelectedDevice = "PSoC 62 (256KB)", FALSE, TRUE)</formula>
    </cfRule>
  </conditionalFormatting>
  <conditionalFormatting sqref="D47 D74">
    <cfRule type="expression" dxfId="279" priority="81">
      <formula>IF(AND($B$43, $D$45="2MHz Deep Sleep Clock", #REF!, $D$105 = "2MHz Deep Sleep Clock", $D$43 = "Triggered Sampling", #REF! = "Triggered Sampling"), IF($D$46 = $D$107, FALSE, TRUE), FALSE)</formula>
    </cfRule>
  </conditionalFormatting>
  <conditionalFormatting sqref="D47">
    <cfRule type="expression" dxfId="278" priority="80">
      <formula>IF($D$44="Triggered Sampling", FALSE, TRUE)</formula>
    </cfRule>
  </conditionalFormatting>
  <conditionalFormatting sqref="D74">
    <cfRule type="expression" dxfId="277" priority="45">
      <formula>IF($D$44="Triggered Sampling", FALSE, TRUE)</formula>
    </cfRule>
  </conditionalFormatting>
  <conditionalFormatting sqref="D13:E13">
    <cfRule type="expression" dxfId="276" priority="262">
      <formula>NOT($B$13)</formula>
    </cfRule>
  </conditionalFormatting>
  <conditionalFormatting sqref="D14:E16">
    <cfRule type="expression" dxfId="275" priority="261">
      <formula>NOT($B$14)</formula>
    </cfRule>
  </conditionalFormatting>
  <conditionalFormatting sqref="D17:E19">
    <cfRule type="expression" dxfId="274" priority="260">
      <formula>NOT($B$17)</formula>
    </cfRule>
    <cfRule type="expression" dxfId="273" priority="258">
      <formula>NUM_PLL=1</formula>
    </cfRule>
  </conditionalFormatting>
  <conditionalFormatting sqref="D21:E21">
    <cfRule type="expression" dxfId="272" priority="257">
      <formula>NOT($B21)</formula>
    </cfRule>
  </conditionalFormatting>
  <conditionalFormatting sqref="D26:E26">
    <cfRule type="expression" dxfId="271" priority="247">
      <formula>SelectedDevice&lt;&gt;PSoC62_2M</formula>
    </cfRule>
  </conditionalFormatting>
  <conditionalFormatting sqref="D35:E35">
    <cfRule type="expression" dxfId="270" priority="242">
      <formula>NOT($B$35)</formula>
    </cfRule>
  </conditionalFormatting>
  <conditionalFormatting sqref="D40:E41">
    <cfRule type="expression" dxfId="269" priority="182">
      <formula>IF(AND($D$8 = "System Deep Sleep", #REF! = "LPOSC"), FALSE, TRUE)</formula>
    </cfRule>
  </conditionalFormatting>
  <conditionalFormatting sqref="D44:E49">
    <cfRule type="expression" dxfId="268" priority="2">
      <formula>IF($I$46=TRUE,FALSE,TRUE)</formula>
    </cfRule>
  </conditionalFormatting>
  <conditionalFormatting sqref="D71:E76">
    <cfRule type="expression" dxfId="267" priority="11">
      <formula>IF($I$72=TRUE,FALSE,TRUE)</formula>
    </cfRule>
  </conditionalFormatting>
  <conditionalFormatting sqref="D118:E119">
    <cfRule type="expression" dxfId="266" priority="249">
      <formula>NOT($B$118)</formula>
    </cfRule>
  </conditionalFormatting>
  <conditionalFormatting sqref="D120:E121">
    <cfRule type="expression" dxfId="265" priority="240">
      <formula>NOT($B$120)</formula>
    </cfRule>
  </conditionalFormatting>
  <conditionalFormatting sqref="D122:E123">
    <cfRule type="expression" dxfId="264" priority="239">
      <formula>NOT($B$122)</formula>
    </cfRule>
  </conditionalFormatting>
  <conditionalFormatting sqref="D124:E125">
    <cfRule type="expression" dxfId="263" priority="237">
      <formula>NOT($B$124)</formula>
    </cfRule>
  </conditionalFormatting>
  <conditionalFormatting sqref="D126:E127">
    <cfRule type="expression" dxfId="262" priority="236">
      <formula>NOT($B$126)</formula>
    </cfRule>
  </conditionalFormatting>
  <conditionalFormatting sqref="D128:E129">
    <cfRule type="expression" dxfId="261" priority="234">
      <formula>NOT($B$128)</formula>
    </cfRule>
  </conditionalFormatting>
  <conditionalFormatting sqref="D130:E131">
    <cfRule type="expression" dxfId="260" priority="233">
      <formula>NOT($B$130)</formula>
    </cfRule>
  </conditionalFormatting>
  <conditionalFormatting sqref="D132:E133">
    <cfRule type="expression" dxfId="259" priority="231">
      <formula>NOT($B$132)</formula>
    </cfRule>
  </conditionalFormatting>
  <conditionalFormatting sqref="D134:E135">
    <cfRule type="expression" dxfId="258" priority="230">
      <formula>NOT($B$134)</formula>
    </cfRule>
  </conditionalFormatting>
  <conditionalFormatting sqref="D136:E137">
    <cfRule type="expression" dxfId="257" priority="228">
      <formula>NOT($B$136)</formula>
    </cfRule>
  </conditionalFormatting>
  <conditionalFormatting sqref="D138:E139">
    <cfRule type="expression" dxfId="256" priority="227">
      <formula>NOT($B$138)</formula>
    </cfRule>
  </conditionalFormatting>
  <conditionalFormatting sqref="D140:E141">
    <cfRule type="expression" dxfId="255" priority="225">
      <formula>NOT($B$140)</formula>
    </cfRule>
  </conditionalFormatting>
  <conditionalFormatting sqref="D142:E143">
    <cfRule type="expression" dxfId="254" priority="224">
      <formula>NOT($B$142)</formula>
    </cfRule>
  </conditionalFormatting>
  <conditionalFormatting sqref="D144:E145">
    <cfRule type="expression" dxfId="253" priority="222">
      <formula>NOT($B$144)</formula>
    </cfRule>
  </conditionalFormatting>
  <conditionalFormatting sqref="D146:E147">
    <cfRule type="expression" dxfId="252" priority="221">
      <formula>NOT($B$146)</formula>
    </cfRule>
  </conditionalFormatting>
  <conditionalFormatting sqref="D148:E149">
    <cfRule type="expression" dxfId="251" priority="219">
      <formula>NOT($B$148)</formula>
    </cfRule>
  </conditionalFormatting>
  <conditionalFormatting sqref="D150:E151">
    <cfRule type="expression" dxfId="250" priority="218">
      <formula>NOT($B$150)</formula>
    </cfRule>
  </conditionalFormatting>
  <conditionalFormatting sqref="D152:E153">
    <cfRule type="expression" dxfId="249" priority="216">
      <formula>NOT($B$152)</formula>
    </cfRule>
  </conditionalFormatting>
  <conditionalFormatting sqref="D154:E155">
    <cfRule type="expression" dxfId="248" priority="215">
      <formula>NOT($B$154)</formula>
    </cfRule>
  </conditionalFormatting>
  <conditionalFormatting sqref="D156:E157">
    <cfRule type="expression" dxfId="247" priority="213">
      <formula>NOT($B$156)</formula>
    </cfRule>
  </conditionalFormatting>
  <conditionalFormatting sqref="D158:E159">
    <cfRule type="expression" dxfId="246" priority="212">
      <formula>NOT($B$158)</formula>
    </cfRule>
  </conditionalFormatting>
  <conditionalFormatting sqref="D160:E161">
    <cfRule type="expression" dxfId="245" priority="210">
      <formula>NOT($B$160)</formula>
    </cfRule>
  </conditionalFormatting>
  <conditionalFormatting sqref="D162:E163">
    <cfRule type="expression" dxfId="244" priority="209">
      <formula>NOT($B$162)</formula>
    </cfRule>
  </conditionalFormatting>
  <conditionalFormatting sqref="D164:E165">
    <cfRule type="expression" dxfId="243" priority="207">
      <formula>NOT($B$164)</formula>
    </cfRule>
  </conditionalFormatting>
  <conditionalFormatting sqref="D166:E167">
    <cfRule type="expression" dxfId="242" priority="206">
      <formula>NOT($B$166)</formula>
    </cfRule>
  </conditionalFormatting>
  <conditionalFormatting sqref="D168:E169">
    <cfRule type="expression" dxfId="241" priority="204">
      <formula>NOT($B$168)</formula>
    </cfRule>
  </conditionalFormatting>
  <conditionalFormatting sqref="D170:E171">
    <cfRule type="expression" dxfId="240" priority="203">
      <formula>NOT($B$170)</formula>
    </cfRule>
  </conditionalFormatting>
  <conditionalFormatting sqref="D172:E173">
    <cfRule type="expression" dxfId="239" priority="201">
      <formula>NOT($B$172)</formula>
    </cfRule>
  </conditionalFormatting>
  <conditionalFormatting sqref="D174:E175">
    <cfRule type="expression" dxfId="238" priority="200">
      <formula>NOT($B$174)</formula>
    </cfRule>
  </conditionalFormatting>
  <conditionalFormatting sqref="D176:E177">
    <cfRule type="expression" dxfId="237" priority="198">
      <formula>NOT($B$176)</formula>
    </cfRule>
  </conditionalFormatting>
  <conditionalFormatting sqref="D178:E179">
    <cfRule type="expression" dxfId="236" priority="197">
      <formula>NOT($B$178)</formula>
    </cfRule>
  </conditionalFormatting>
  <conditionalFormatting sqref="D180:E181">
    <cfRule type="expression" dxfId="235" priority="195">
      <formula>NOT($B$180)</formula>
    </cfRule>
  </conditionalFormatting>
  <conditionalFormatting sqref="D184:E186">
    <cfRule type="expression" dxfId="234" priority="190">
      <formula>NOT($B$184)</formula>
    </cfRule>
  </conditionalFormatting>
  <conditionalFormatting sqref="D187:E189">
    <cfRule type="expression" dxfId="233" priority="188">
      <formula>NOT($B$187)</formula>
    </cfRule>
  </conditionalFormatting>
  <conditionalFormatting sqref="D190:E192">
    <cfRule type="expression" dxfId="232" priority="187">
      <formula>NOT($B$190)</formula>
    </cfRule>
  </conditionalFormatting>
  <conditionalFormatting sqref="D193:E195">
    <cfRule type="expression" dxfId="231" priority="189">
      <formula>NOT($B$193)</formula>
    </cfRule>
  </conditionalFormatting>
  <conditionalFormatting sqref="D196:E198">
    <cfRule type="expression" dxfId="230" priority="194">
      <formula>NOT($B$196)</formula>
    </cfRule>
  </conditionalFormatting>
  <conditionalFormatting sqref="D199:E201">
    <cfRule type="expression" dxfId="229" priority="192">
      <formula>NOT($B$199)</formula>
    </cfRule>
  </conditionalFormatting>
  <conditionalFormatting sqref="D202:E204">
    <cfRule type="expression" dxfId="228" priority="191">
      <formula>NOT($B$202)</formula>
    </cfRule>
  </conditionalFormatting>
  <conditionalFormatting sqref="D205:E207">
    <cfRule type="expression" dxfId="227" priority="193">
      <formula>NOT($B$205)</formula>
    </cfRule>
  </conditionalFormatting>
  <conditionalFormatting sqref="D208:E210">
    <cfRule type="expression" dxfId="226" priority="186">
      <formula>NOT($B$208)</formula>
    </cfRule>
  </conditionalFormatting>
  <conditionalFormatting sqref="D51:G66">
    <cfRule type="expression" dxfId="225" priority="61">
      <formula>IF($D$8 = "System Deep Sleep", IF(SelectedDevice = "PSoC 62 (256KB)", FALSE, TRUE), FALSE)</formula>
    </cfRule>
  </conditionalFormatting>
  <conditionalFormatting sqref="D51:H66 F67:G68">
    <cfRule type="expression" dxfId="224" priority="1">
      <formula>IF($I$46=TRUE,FALSE,TRUE)</formula>
    </cfRule>
  </conditionalFormatting>
  <conditionalFormatting sqref="D52:H52">
    <cfRule type="expression" dxfId="223" priority="59">
      <formula>IF($D$48 &gt;1, FALSE, TRUE)</formula>
    </cfRule>
  </conditionalFormatting>
  <conditionalFormatting sqref="D53:H53">
    <cfRule type="expression" dxfId="222" priority="58">
      <formula>IF($D$48 &gt;2, FALSE, TRUE)</formula>
    </cfRule>
  </conditionalFormatting>
  <conditionalFormatting sqref="D54:H54">
    <cfRule type="expression" dxfId="221" priority="57">
      <formula>IF($D$48 &gt;3, FALSE, TRUE)</formula>
    </cfRule>
  </conditionalFormatting>
  <conditionalFormatting sqref="D55:H55">
    <cfRule type="expression" dxfId="220" priority="65">
      <formula>IF($D$48 &gt;4, FALSE, TRUE)</formula>
    </cfRule>
  </conditionalFormatting>
  <conditionalFormatting sqref="D56:H56">
    <cfRule type="expression" dxfId="219" priority="62">
      <formula>IF($D$48 &gt;5, FALSE, TRUE)</formula>
    </cfRule>
  </conditionalFormatting>
  <conditionalFormatting sqref="D57:H57">
    <cfRule type="expression" dxfId="218" priority="56">
      <formula>IF($D$48 &gt;6, FALSE, TRUE)</formula>
    </cfRule>
  </conditionalFormatting>
  <conditionalFormatting sqref="D58:H58">
    <cfRule type="expression" dxfId="217" priority="55">
      <formula>IF($D$48 &gt;7, FALSE, TRUE)</formula>
    </cfRule>
  </conditionalFormatting>
  <conditionalFormatting sqref="D59:H59">
    <cfRule type="expression" dxfId="216" priority="54">
      <formula>IF($D$48 &gt;8, FALSE, TRUE)</formula>
    </cfRule>
  </conditionalFormatting>
  <conditionalFormatting sqref="D60:H60">
    <cfRule type="expression" dxfId="215" priority="53">
      <formula>IF($D$48 &gt;9, FALSE, TRUE)</formula>
    </cfRule>
  </conditionalFormatting>
  <conditionalFormatting sqref="D61:H61">
    <cfRule type="expression" dxfId="214" priority="52">
      <formula>IF($D$48 &gt;10, FALSE, TRUE)</formula>
    </cfRule>
  </conditionalFormatting>
  <conditionalFormatting sqref="D62:H62">
    <cfRule type="expression" dxfId="213" priority="51">
      <formula>IF($D$48 &gt;11, FALSE, TRUE)</formula>
    </cfRule>
  </conditionalFormatting>
  <conditionalFormatting sqref="D63:H63">
    <cfRule type="expression" dxfId="212" priority="50">
      <formula>IF($D$48 &gt;12, FALSE, TRUE)</formula>
    </cfRule>
  </conditionalFormatting>
  <conditionalFormatting sqref="D64:H64">
    <cfRule type="expression" dxfId="211" priority="49">
      <formula>IF($D$48 &gt;13, FALSE, TRUE)</formula>
    </cfRule>
  </conditionalFormatting>
  <conditionalFormatting sqref="D65:H65">
    <cfRule type="expression" dxfId="210" priority="48">
      <formula>IF($D$48 &gt;14, FALSE, TRUE)</formula>
    </cfRule>
  </conditionalFormatting>
  <conditionalFormatting sqref="D66:H66">
    <cfRule type="expression" dxfId="209" priority="46">
      <formula>IF($D$48 &gt;15, FALSE, TRUE)</formula>
    </cfRule>
  </conditionalFormatting>
  <conditionalFormatting sqref="D78:H93 F94:G95">
    <cfRule type="expression" dxfId="208" priority="27">
      <formula>IF($I$72=TRUE,FALSE,TRUE)</formula>
    </cfRule>
  </conditionalFormatting>
  <conditionalFormatting sqref="D79:H79">
    <cfRule type="expression" dxfId="207" priority="6">
      <formula>IF($D$75 &gt;1, FALSE, TRUE)</formula>
    </cfRule>
  </conditionalFormatting>
  <conditionalFormatting sqref="D80:H80">
    <cfRule type="expression" dxfId="206" priority="24">
      <formula>IF($D$75 &gt;2, FALSE, TRUE)</formula>
    </cfRule>
  </conditionalFormatting>
  <conditionalFormatting sqref="D81:H81">
    <cfRule type="expression" dxfId="205" priority="23">
      <formula>IF($D$75 &gt;3, FALSE, TRUE)</formula>
    </cfRule>
  </conditionalFormatting>
  <conditionalFormatting sqref="D82:H82">
    <cfRule type="expression" dxfId="204" priority="30">
      <formula>IF($D$75 &gt;4, FALSE, TRUE)</formula>
    </cfRule>
  </conditionalFormatting>
  <conditionalFormatting sqref="D83:H83">
    <cfRule type="expression" dxfId="203" priority="28">
      <formula>IF($D$75 &gt;5, FALSE, TRUE)</formula>
    </cfRule>
  </conditionalFormatting>
  <conditionalFormatting sqref="D84:H84">
    <cfRule type="expression" dxfId="202" priority="22">
      <formula>IF($D$75 &gt;6, FALSE, TRUE)</formula>
    </cfRule>
  </conditionalFormatting>
  <conditionalFormatting sqref="D85:H85">
    <cfRule type="expression" dxfId="201" priority="21">
      <formula>IF($D$75 &gt;7, FALSE, TRUE)</formula>
    </cfRule>
  </conditionalFormatting>
  <conditionalFormatting sqref="D86:H86">
    <cfRule type="expression" dxfId="200" priority="20">
      <formula>IF($D$75 &gt;8, FALSE, TRUE)</formula>
    </cfRule>
  </conditionalFormatting>
  <conditionalFormatting sqref="D87:H87">
    <cfRule type="expression" dxfId="199" priority="19">
      <formula>IF($D$75 &gt;9, FALSE, TRUE)</formula>
    </cfRule>
  </conditionalFormatting>
  <conditionalFormatting sqref="D88:H88">
    <cfRule type="expression" dxfId="198" priority="18">
      <formula>IF($D$75 &gt;10, FALSE, TRUE)</formula>
    </cfRule>
  </conditionalFormatting>
  <conditionalFormatting sqref="D89:H89">
    <cfRule type="expression" dxfId="197" priority="17">
      <formula>IF($D$75 &gt;11, FALSE, TRUE)</formula>
    </cfRule>
  </conditionalFormatting>
  <conditionalFormatting sqref="D90:H90">
    <cfRule type="expression" dxfId="196" priority="16">
      <formula>IF($D$75 &gt;12, FALSE, TRUE)</formula>
    </cfRule>
  </conditionalFormatting>
  <conditionalFormatting sqref="D91:H91">
    <cfRule type="expression" dxfId="195" priority="15">
      <formula>IF($D$75 &gt;13, FALSE, TRUE)</formula>
    </cfRule>
  </conditionalFormatting>
  <conditionalFormatting sqref="D92:H92">
    <cfRule type="expression" dxfId="194" priority="14">
      <formula>IF($D$75 &gt;14, FALSE, TRUE)</formula>
    </cfRule>
  </conditionalFormatting>
  <conditionalFormatting sqref="D93:H93">
    <cfRule type="expression" dxfId="193" priority="12">
      <formula>IF($D$75 &gt;15, FALSE, TRUE)</formula>
    </cfRule>
  </conditionalFormatting>
  <conditionalFormatting sqref="E22">
    <cfRule type="expression" dxfId="192" priority="256">
      <formula>NOT($B$22)</formula>
    </cfRule>
  </conditionalFormatting>
  <conditionalFormatting sqref="E23">
    <cfRule type="expression" dxfId="191" priority="255">
      <formula>NOT($B$23)</formula>
    </cfRule>
  </conditionalFormatting>
  <conditionalFormatting sqref="E24">
    <cfRule type="expression" dxfId="190" priority="254">
      <formula>NOT($B$24)</formula>
    </cfRule>
  </conditionalFormatting>
  <conditionalFormatting sqref="E25">
    <cfRule type="expression" dxfId="189" priority="253">
      <formula>NOT($B$25)</formula>
    </cfRule>
  </conditionalFormatting>
  <conditionalFormatting sqref="E26">
    <cfRule type="expression" dxfId="188" priority="252">
      <formula>NOT($B$26)</formula>
    </cfRule>
  </conditionalFormatting>
  <conditionalFormatting sqref="F53:F66">
    <cfRule type="expression" dxfId="187" priority="8">
      <formula>IF($D$48 &gt;1, FALSE, TRUE)</formula>
    </cfRule>
  </conditionalFormatting>
  <conditionalFormatting sqref="F68">
    <cfRule type="expression" dxfId="186" priority="63">
      <formula>IF($F$68 &gt; (1000/$D$47), TRUE, FALSE)</formula>
    </cfRule>
  </conditionalFormatting>
  <conditionalFormatting sqref="F69">
    <cfRule type="expression" dxfId="185" priority="64">
      <formula>IF($F$69&gt;=0, FALSE, TRUE)</formula>
    </cfRule>
  </conditionalFormatting>
  <conditionalFormatting sqref="F79">
    <cfRule type="expression" dxfId="184" priority="7">
      <formula>IF($D$8 = "System Deep Sleep", IF(SelectedDevice = "PSoC 62 (256KB)", FALSE, TRUE), FALSE)</formula>
    </cfRule>
    <cfRule type="expression" dxfId="183" priority="5">
      <formula>OR(NOT($B$71), NOT(SelectedDevice = "PSoC 62 (256KB)"))</formula>
    </cfRule>
  </conditionalFormatting>
  <conditionalFormatting sqref="F81:F93">
    <cfRule type="expression" dxfId="182" priority="4">
      <formula>IF($D$75 &gt;2, FALSE, TRUE)</formula>
    </cfRule>
  </conditionalFormatting>
  <conditionalFormatting sqref="F85">
    <cfRule type="expression" dxfId="181" priority="3">
      <formula>IF($D$75 &gt;6, FALSE, TRUE)</formula>
    </cfRule>
  </conditionalFormatting>
  <conditionalFormatting sqref="F95">
    <cfRule type="expression" dxfId="180" priority="29">
      <formula>IF($F$68 &gt; (1000/$D$47), TRUE, FALSE)</formula>
    </cfRule>
  </conditionalFormatting>
  <conditionalFormatting sqref="F96">
    <cfRule type="expression" dxfId="179" priority="9">
      <formula>IF($F$96&gt;=0, FALSE, TRUE)</formula>
    </cfRule>
  </conditionalFormatting>
  <conditionalFormatting sqref="G51">
    <cfRule type="expression" dxfId="178" priority="60">
      <formula>IF($G$51 = 0, TRUE, FALSE)</formula>
    </cfRule>
  </conditionalFormatting>
  <conditionalFormatting sqref="G52">
    <cfRule type="expression" dxfId="177" priority="79">
      <formula>IF($G$52 = 0, TRUE, FALSE)</formula>
    </cfRule>
  </conditionalFormatting>
  <conditionalFormatting sqref="G53">
    <cfRule type="expression" dxfId="176" priority="78">
      <formula>IF($G$53 = 0, TRUE, FALSE)</formula>
    </cfRule>
  </conditionalFormatting>
  <conditionalFormatting sqref="G54">
    <cfRule type="expression" dxfId="175" priority="77">
      <formula>IF($G$54 = 0, TRUE, FALSE)</formula>
    </cfRule>
  </conditionalFormatting>
  <conditionalFormatting sqref="G55">
    <cfRule type="expression" dxfId="174" priority="76">
      <formula>IF($G$55 = 0, TRUE, FALSE)</formula>
    </cfRule>
  </conditionalFormatting>
  <conditionalFormatting sqref="G56">
    <cfRule type="expression" dxfId="173" priority="75">
      <formula>IF($G$56 = 0, TRUE, FALSE)</formula>
    </cfRule>
  </conditionalFormatting>
  <conditionalFormatting sqref="G57">
    <cfRule type="expression" dxfId="172" priority="74">
      <formula>IF($G$57 = 0, TRUE, FALSE)</formula>
    </cfRule>
  </conditionalFormatting>
  <conditionalFormatting sqref="G58">
    <cfRule type="expression" dxfId="171" priority="73">
      <formula>IF($G$58 = 0, TRUE, FALSE)</formula>
    </cfRule>
  </conditionalFormatting>
  <conditionalFormatting sqref="G59">
    <cfRule type="expression" dxfId="170" priority="72">
      <formula>IF($G$59 = 0, TRUE, FALSE)</formula>
    </cfRule>
  </conditionalFormatting>
  <conditionalFormatting sqref="G60">
    <cfRule type="expression" dxfId="169" priority="71">
      <formula>IF($G$60 = 0, TRUE, FALSE)</formula>
    </cfRule>
  </conditionalFormatting>
  <conditionalFormatting sqref="G61">
    <cfRule type="expression" dxfId="168" priority="70">
      <formula>IF($G$61 = 0, TRUE, FALSE)</formula>
    </cfRule>
  </conditionalFormatting>
  <conditionalFormatting sqref="G62">
    <cfRule type="expression" dxfId="167" priority="69">
      <formula>IF($G$62 = 0, TRUE, FALSE)</formula>
    </cfRule>
  </conditionalFormatting>
  <conditionalFormatting sqref="G63">
    <cfRule type="expression" dxfId="166" priority="68">
      <formula>IF($G$63 = 0, TRUE, FALSE)</formula>
    </cfRule>
  </conditionalFormatting>
  <conditionalFormatting sqref="G64">
    <cfRule type="expression" dxfId="165" priority="67">
      <formula>IF($G$64 = 0, TRUE, FALSE)</formula>
    </cfRule>
  </conditionalFormatting>
  <conditionalFormatting sqref="G65">
    <cfRule type="expression" dxfId="164" priority="66">
      <formula>IF($G$65 = 0, TRUE, FALSE)</formula>
    </cfRule>
  </conditionalFormatting>
  <conditionalFormatting sqref="G66">
    <cfRule type="expression" dxfId="163" priority="47">
      <formula>IF($G$66 = 0, TRUE, FALSE)</formula>
    </cfRule>
  </conditionalFormatting>
  <conditionalFormatting sqref="G78">
    <cfRule type="expression" dxfId="162" priority="26">
      <formula>IF($G$51 = 0, TRUE, FALSE)</formula>
    </cfRule>
  </conditionalFormatting>
  <conditionalFormatting sqref="G79">
    <cfRule type="expression" dxfId="161" priority="44">
      <formula>IF($G$52 = 0, TRUE, FALSE)</formula>
    </cfRule>
  </conditionalFormatting>
  <conditionalFormatting sqref="G80">
    <cfRule type="expression" dxfId="160" priority="43">
      <formula>IF($G$53 = 0, TRUE, FALSE)</formula>
    </cfRule>
  </conditionalFormatting>
  <conditionalFormatting sqref="G81">
    <cfRule type="expression" dxfId="159" priority="42">
      <formula>IF($G$54 = 0, TRUE, FALSE)</formula>
    </cfRule>
  </conditionalFormatting>
  <conditionalFormatting sqref="G82">
    <cfRule type="expression" dxfId="158" priority="41">
      <formula>IF($G$55 = 0, TRUE, FALSE)</formula>
    </cfRule>
  </conditionalFormatting>
  <conditionalFormatting sqref="G83">
    <cfRule type="expression" dxfId="157" priority="40">
      <formula>IF($G$56 = 0, TRUE, FALSE)</formula>
    </cfRule>
  </conditionalFormatting>
  <conditionalFormatting sqref="G84">
    <cfRule type="expression" dxfId="156" priority="39">
      <formula>IF($G$57 = 0, TRUE, FALSE)</formula>
    </cfRule>
  </conditionalFormatting>
  <conditionalFormatting sqref="G85">
    <cfRule type="expression" dxfId="155" priority="38">
      <formula>IF($G$58 = 0, TRUE, FALSE)</formula>
    </cfRule>
  </conditionalFormatting>
  <conditionalFormatting sqref="G86">
    <cfRule type="expression" dxfId="154" priority="37">
      <formula>IF($G$59 = 0, TRUE, FALSE)</formula>
    </cfRule>
  </conditionalFormatting>
  <conditionalFormatting sqref="G87">
    <cfRule type="expression" dxfId="153" priority="36">
      <formula>IF($G$60 = 0, TRUE, FALSE)</formula>
    </cfRule>
  </conditionalFormatting>
  <conditionalFormatting sqref="G88">
    <cfRule type="expression" dxfId="152" priority="35">
      <formula>IF($G$61 = 0, TRUE, FALSE)</formula>
    </cfRule>
  </conditionalFormatting>
  <conditionalFormatting sqref="G89">
    <cfRule type="expression" dxfId="151" priority="34">
      <formula>IF($G$62 = 0, TRUE, FALSE)</formula>
    </cfRule>
  </conditionalFormatting>
  <conditionalFormatting sqref="G90">
    <cfRule type="expression" dxfId="150" priority="33">
      <formula>IF($G$63 = 0, TRUE, FALSE)</formula>
    </cfRule>
  </conditionalFormatting>
  <conditionalFormatting sqref="G91">
    <cfRule type="expression" dxfId="149" priority="32">
      <formula>IF($G$64 = 0, TRUE, FALSE)</formula>
    </cfRule>
  </conditionalFormatting>
  <conditionalFormatting sqref="G92">
    <cfRule type="expression" dxfId="148" priority="31">
      <formula>IF($G$65 = 0, TRUE, FALSE)</formula>
    </cfRule>
  </conditionalFormatting>
  <conditionalFormatting sqref="G93">
    <cfRule type="expression" dxfId="147" priority="13">
      <formula>IF($G$66 = 0, TRUE, FALSE)</formula>
    </cfRule>
  </conditionalFormatting>
  <dataValidations count="24">
    <dataValidation type="decimal" allowBlank="1" showInputMessage="1" showErrorMessage="1" sqref="D109" xr:uid="{1638C46A-BA99-4D67-AA3E-62FBB0078810}">
      <formula1>0</formula1>
      <formula2>4</formula2>
    </dataValidation>
    <dataValidation type="list" allowBlank="1" showInputMessage="1" showErrorMessage="1" sqref="D32:D34" xr:uid="{D16CE74E-7C96-4226-BB0E-E93390B261EC}">
      <formula1>"Enabled,Disabled"</formula1>
    </dataValidation>
    <dataValidation type="decimal" allowBlank="1" showInputMessage="1" showErrorMessage="1" sqref="D182 D37" xr:uid="{46841D2A-FCC4-4D2A-AD56-B1180CFD751D}">
      <formula1>0</formula1>
      <formula2>48</formula2>
    </dataValidation>
    <dataValidation type="decimal" allowBlank="1" showInputMessage="1" showErrorMessage="1" sqref="D218 D36 D216 D213 D111 D113" xr:uid="{0E76AA3D-C793-4074-9A60-5D70DD38298D}">
      <formula1>0</formula1>
      <formula2>24</formula2>
    </dataValidation>
    <dataValidation type="decimal" allowBlank="1" showInputMessage="1" showErrorMessage="1" sqref="D219:D220" xr:uid="{FB991C5C-0A82-4906-9CB8-136B330D344C}">
      <formula1>0</formula1>
      <formula2>8</formula2>
    </dataValidation>
    <dataValidation type="list" allowBlank="1" showInputMessage="1" showErrorMessage="1" sqref="D214" xr:uid="{316CC0D4-B88E-478A-8455-DA0136E79D27}">
      <formula1>"Yes,No"</formula1>
    </dataValidation>
    <dataValidation type="decimal" allowBlank="1" showInputMessage="1" showErrorMessage="1" sqref="C97 C52:C66 C79:C93" xr:uid="{9D62993B-3386-426F-A4C8-24CD1CB6895F}">
      <formula1>0</formula1>
      <formula2>1000</formula2>
    </dataValidation>
    <dataValidation type="list" allowBlank="1" showInputMessage="1" showErrorMessage="1" sqref="D45 D72" xr:uid="{F7D7490D-941A-47DD-8D4B-1A11282DBA98}">
      <formula1>"System bandgap, Vdda, Vdda/2"</formula1>
    </dataValidation>
    <dataValidation type="decimal" allowBlank="1" showInputMessage="1" showErrorMessage="1" sqref="D207 D198 D201 D204 D195 D186 D189 D192 D210" xr:uid="{4776BB2B-6CC4-44A2-8750-1A70BEA455CF}">
      <formula1>0</formula1>
      <formula2>100000</formula2>
    </dataValidation>
    <dataValidation type="decimal" allowBlank="1" showInputMessage="1" showErrorMessage="1" sqref="D35" xr:uid="{3A11D5C8-3654-4321-8496-45DF3C68BFFB}">
      <formula1>4</formula1>
      <formula2>35</formula2>
    </dataValidation>
    <dataValidation type="list" allowBlank="1" showInputMessage="1" showErrorMessage="1" promptTitle="Select the PSoC family." sqref="D7" xr:uid="{0512D26B-FDD2-4A42-86D3-D72C19DCCD7E}">
      <formula1>"0.9,1.1"</formula1>
    </dataValidation>
    <dataValidation type="list" allowBlank="1" showInputMessage="1" showErrorMessage="1" sqref="D21:D26" xr:uid="{1D32C474-A5B0-4BC6-9E1E-1623841A076E}">
      <formula1>Dividers</formula1>
    </dataValidation>
    <dataValidation type="list" allowBlank="1" showInputMessage="1" showErrorMessage="1" sqref="E21:E26" xr:uid="{1F8B7721-1BE8-4996-BA44-D920AA840080}">
      <formula1>"FLL, PLL, IMO, ECO"</formula1>
    </dataValidation>
    <dataValidation type="decimal" allowBlank="1" showInputMessage="1" showErrorMessage="1" promptTitle="Select the PSoC family." sqref="D5" xr:uid="{CBF3DD76-97F8-41D2-BC16-5AB1608A3DBE}">
      <formula1>1.7</formula1>
      <formula2>3.6</formula2>
    </dataValidation>
    <dataValidation type="decimal" allowBlank="1" showInputMessage="1" showErrorMessage="1" sqref="D16 D19" xr:uid="{C523530F-5541-4643-9685-87C47BFE0832}">
      <formula1>1</formula1>
      <formula2>18</formula2>
    </dataValidation>
    <dataValidation type="decimal" allowBlank="1" showInputMessage="1" showErrorMessage="1" sqref="D14 D17 D27" xr:uid="{778D88D2-C9EA-4867-9365-5E800F47F7BF}">
      <formula1>0</formula1>
      <formula2>150</formula2>
    </dataValidation>
    <dataValidation type="decimal" allowBlank="1" showInputMessage="1" showErrorMessage="1" sqref="D15 D18" xr:uid="{AB69A0E7-006B-4DAC-8056-F750DD4BAC08}">
      <formula1>22</formula1>
      <formula2>112</formula2>
    </dataValidation>
    <dataValidation type="decimal" allowBlank="1" showInputMessage="1" showErrorMessage="1" sqref="D13 D28:D29 D119 D121 D123 D125 D127 D129 D131 D133 D135 D137 D139 D141 D143 D145 D147 D149 D151 D153 D155 D157 D159 D161 D163 D165 D167 D169 D171 D173 D175 D177 D179 D181" xr:uid="{F1D0DF8A-5A0F-4E38-8AA5-0E7F8F56D39A}">
      <formula1>0</formula1>
      <formula2>100</formula2>
    </dataValidation>
    <dataValidation type="decimal" allowBlank="1" showInputMessage="1" showErrorMessage="1" sqref="D48 D75" xr:uid="{4B65F9BC-ED47-4684-862A-5756FCE537B5}">
      <formula1>1</formula1>
      <formula2>16</formula2>
    </dataValidation>
    <dataValidation type="list" allowBlank="1" showInputMessage="1" showErrorMessage="1" sqref="D40 E97 E51:E66 E78:E93" xr:uid="{941CF9D2-E9B4-42B4-BD09-7E2FEDE18A1F}">
      <formula1>"Enabled, Disabled"</formula1>
    </dataValidation>
    <dataValidation type="decimal" allowBlank="1" showInputMessage="1" showErrorMessage="1" sqref="D41" xr:uid="{0A3B49DD-93CA-4878-8562-EF58FED53EAE}">
      <formula1>0</formula1>
      <formula2>127.5</formula2>
    </dataValidation>
    <dataValidation type="decimal" allowBlank="1" showInputMessage="1" showErrorMessage="1" sqref="D42" xr:uid="{C3048F9C-FBE4-4989-A22A-6F1552A0FDA3}">
      <formula1>1</formula1>
      <formula2>256</formula2>
    </dataValidation>
    <dataValidation type="list" allowBlank="1" showInputMessage="1" showErrorMessage="1" sqref="D98" xr:uid="{F5ECF28F-591E-4CA7-A581-89B7BAB9F444}">
      <formula1>"100nA, 1uA"</formula1>
    </dataValidation>
    <dataValidation type="list" allowBlank="1" showInputMessage="1" showErrorMessage="1" sqref="D101 D103" xr:uid="{FE556E02-FAA5-4CC8-BE03-9C8308FFD430}">
      <formula1>"High, Medium, Low, Off"</formula1>
    </dataValidation>
  </dataValidations>
  <hyperlinks>
    <hyperlink ref="K2" location="Summary!A1" display="Go Back to Summary Page" xr:uid="{00000000-0004-0000-0500-000000000000}"/>
  </hyperlinks>
  <pageMargins left="0.75" right="0.75" top="1" bottom="1" header="0.5" footer="0.5"/>
  <pageSetup scale="5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locked="0" defaultSize="0" autoFill="0" autoLine="0" autoPict="0">
                <anchor moveWithCells="1">
                  <from>
                    <xdr:col>1</xdr:col>
                    <xdr:colOff>22860</xdr:colOff>
                    <xdr:row>11</xdr:row>
                    <xdr:rowOff>144780</xdr:rowOff>
                  </from>
                  <to>
                    <xdr:col>2</xdr:col>
                    <xdr:colOff>525780</xdr:colOff>
                    <xdr:row>13</xdr:row>
                    <xdr:rowOff>22860</xdr:rowOff>
                  </to>
                </anchor>
              </controlPr>
            </control>
          </mc:Choice>
        </mc:AlternateContent>
        <mc:AlternateContent xmlns:mc="http://schemas.openxmlformats.org/markup-compatibility/2006">
          <mc:Choice Requires="x14">
            <control shapeId="24578" r:id="rId5" name="Check Box 2">
              <controlPr locked="0" defaultSize="0" autoFill="0" autoLine="0" autoPict="0">
                <anchor moveWithCells="1">
                  <from>
                    <xdr:col>1</xdr:col>
                    <xdr:colOff>22860</xdr:colOff>
                    <xdr:row>12</xdr:row>
                    <xdr:rowOff>152400</xdr:rowOff>
                  </from>
                  <to>
                    <xdr:col>2</xdr:col>
                    <xdr:colOff>525780</xdr:colOff>
                    <xdr:row>14</xdr:row>
                    <xdr:rowOff>22860</xdr:rowOff>
                  </to>
                </anchor>
              </controlPr>
            </control>
          </mc:Choice>
        </mc:AlternateContent>
        <mc:AlternateContent xmlns:mc="http://schemas.openxmlformats.org/markup-compatibility/2006">
          <mc:Choice Requires="x14">
            <control shapeId="24579" r:id="rId6" name="Check Box 3">
              <controlPr locked="0" defaultSize="0" autoFill="0" autoLine="0" autoPict="0">
                <anchor moveWithCells="1">
                  <from>
                    <xdr:col>1</xdr:col>
                    <xdr:colOff>22860</xdr:colOff>
                    <xdr:row>15</xdr:row>
                    <xdr:rowOff>144780</xdr:rowOff>
                  </from>
                  <to>
                    <xdr:col>2</xdr:col>
                    <xdr:colOff>525780</xdr:colOff>
                    <xdr:row>16</xdr:row>
                    <xdr:rowOff>152400</xdr:rowOff>
                  </to>
                </anchor>
              </controlPr>
            </control>
          </mc:Choice>
        </mc:AlternateContent>
        <mc:AlternateContent xmlns:mc="http://schemas.openxmlformats.org/markup-compatibility/2006">
          <mc:Choice Requires="x14">
            <control shapeId="24580" r:id="rId7" name="Check Box 4">
              <controlPr locked="0" defaultSize="0" autoFill="0" autoLine="0" autoPict="0">
                <anchor moveWithCells="1">
                  <from>
                    <xdr:col>1</xdr:col>
                    <xdr:colOff>22860</xdr:colOff>
                    <xdr:row>20</xdr:row>
                    <xdr:rowOff>144780</xdr:rowOff>
                  </from>
                  <to>
                    <xdr:col>2</xdr:col>
                    <xdr:colOff>525780</xdr:colOff>
                    <xdr:row>22</xdr:row>
                    <xdr:rowOff>22860</xdr:rowOff>
                  </to>
                </anchor>
              </controlPr>
            </control>
          </mc:Choice>
        </mc:AlternateContent>
        <mc:AlternateContent xmlns:mc="http://schemas.openxmlformats.org/markup-compatibility/2006">
          <mc:Choice Requires="x14">
            <control shapeId="24581" r:id="rId8" name="Check Box 5">
              <controlPr locked="0" defaultSize="0" autoFill="0" autoLine="0" autoPict="0">
                <anchor moveWithCells="1">
                  <from>
                    <xdr:col>1</xdr:col>
                    <xdr:colOff>22860</xdr:colOff>
                    <xdr:row>21</xdr:row>
                    <xdr:rowOff>144780</xdr:rowOff>
                  </from>
                  <to>
                    <xdr:col>2</xdr:col>
                    <xdr:colOff>525780</xdr:colOff>
                    <xdr:row>23</xdr:row>
                    <xdr:rowOff>22860</xdr:rowOff>
                  </to>
                </anchor>
              </controlPr>
            </control>
          </mc:Choice>
        </mc:AlternateContent>
        <mc:AlternateContent xmlns:mc="http://schemas.openxmlformats.org/markup-compatibility/2006">
          <mc:Choice Requires="x14">
            <control shapeId="24582" r:id="rId9" name="Check Box 6">
              <controlPr locked="0" defaultSize="0" autoFill="0" autoLine="0" autoPict="0">
                <anchor moveWithCells="1">
                  <from>
                    <xdr:col>1</xdr:col>
                    <xdr:colOff>22860</xdr:colOff>
                    <xdr:row>22</xdr:row>
                    <xdr:rowOff>144780</xdr:rowOff>
                  </from>
                  <to>
                    <xdr:col>2</xdr:col>
                    <xdr:colOff>525780</xdr:colOff>
                    <xdr:row>24</xdr:row>
                    <xdr:rowOff>22860</xdr:rowOff>
                  </to>
                </anchor>
              </controlPr>
            </control>
          </mc:Choice>
        </mc:AlternateContent>
        <mc:AlternateContent xmlns:mc="http://schemas.openxmlformats.org/markup-compatibility/2006">
          <mc:Choice Requires="x14">
            <control shapeId="24583" r:id="rId10" name="Check Box 7">
              <controlPr locked="0" defaultSize="0" autoFill="0" autoLine="0" autoPict="0">
                <anchor moveWithCells="1">
                  <from>
                    <xdr:col>1</xdr:col>
                    <xdr:colOff>22860</xdr:colOff>
                    <xdr:row>23</xdr:row>
                    <xdr:rowOff>144780</xdr:rowOff>
                  </from>
                  <to>
                    <xdr:col>2</xdr:col>
                    <xdr:colOff>525780</xdr:colOff>
                    <xdr:row>25</xdr:row>
                    <xdr:rowOff>22860</xdr:rowOff>
                  </to>
                </anchor>
              </controlPr>
            </control>
          </mc:Choice>
        </mc:AlternateContent>
        <mc:AlternateContent xmlns:mc="http://schemas.openxmlformats.org/markup-compatibility/2006">
          <mc:Choice Requires="x14">
            <control shapeId="24584" r:id="rId11" name="Check Box 8">
              <controlPr locked="0" defaultSize="0" autoFill="0" autoLine="0" autoPict="0">
                <anchor moveWithCells="1">
                  <from>
                    <xdr:col>1</xdr:col>
                    <xdr:colOff>22860</xdr:colOff>
                    <xdr:row>24</xdr:row>
                    <xdr:rowOff>137160</xdr:rowOff>
                  </from>
                  <to>
                    <xdr:col>1</xdr:col>
                    <xdr:colOff>213360</xdr:colOff>
                    <xdr:row>26</xdr:row>
                    <xdr:rowOff>22860</xdr:rowOff>
                  </to>
                </anchor>
              </controlPr>
            </control>
          </mc:Choice>
        </mc:AlternateContent>
        <mc:AlternateContent xmlns:mc="http://schemas.openxmlformats.org/markup-compatibility/2006">
          <mc:Choice Requires="x14">
            <control shapeId="24585" r:id="rId12" name="Check Box 9">
              <controlPr locked="0" defaultSize="0" autoFill="0" autoLine="0" autoPict="0">
                <anchor moveWithCells="1">
                  <from>
                    <xdr:col>1</xdr:col>
                    <xdr:colOff>22860</xdr:colOff>
                    <xdr:row>116</xdr:row>
                    <xdr:rowOff>152400</xdr:rowOff>
                  </from>
                  <to>
                    <xdr:col>2</xdr:col>
                    <xdr:colOff>525780</xdr:colOff>
                    <xdr:row>118</xdr:row>
                    <xdr:rowOff>22860</xdr:rowOff>
                  </to>
                </anchor>
              </controlPr>
            </control>
          </mc:Choice>
        </mc:AlternateContent>
        <mc:AlternateContent xmlns:mc="http://schemas.openxmlformats.org/markup-compatibility/2006">
          <mc:Choice Requires="x14">
            <control shapeId="24586" r:id="rId13" name="Check Box 10">
              <controlPr locked="0" defaultSize="0" autoFill="0" autoLine="0" autoPict="0">
                <anchor moveWithCells="1">
                  <from>
                    <xdr:col>1</xdr:col>
                    <xdr:colOff>22860</xdr:colOff>
                    <xdr:row>118</xdr:row>
                    <xdr:rowOff>144780</xdr:rowOff>
                  </from>
                  <to>
                    <xdr:col>2</xdr:col>
                    <xdr:colOff>525780</xdr:colOff>
                    <xdr:row>120</xdr:row>
                    <xdr:rowOff>22860</xdr:rowOff>
                  </to>
                </anchor>
              </controlPr>
            </control>
          </mc:Choice>
        </mc:AlternateContent>
        <mc:AlternateContent xmlns:mc="http://schemas.openxmlformats.org/markup-compatibility/2006">
          <mc:Choice Requires="x14">
            <control shapeId="24587" r:id="rId14" name="Check Box 11">
              <controlPr locked="0" defaultSize="0" autoFill="0" autoLine="0" autoPict="0">
                <anchor moveWithCells="1">
                  <from>
                    <xdr:col>1</xdr:col>
                    <xdr:colOff>22860</xdr:colOff>
                    <xdr:row>33</xdr:row>
                    <xdr:rowOff>137160</xdr:rowOff>
                  </from>
                  <to>
                    <xdr:col>2</xdr:col>
                    <xdr:colOff>0</xdr:colOff>
                    <xdr:row>35</xdr:row>
                    <xdr:rowOff>22860</xdr:rowOff>
                  </to>
                </anchor>
              </controlPr>
            </control>
          </mc:Choice>
        </mc:AlternateContent>
        <mc:AlternateContent xmlns:mc="http://schemas.openxmlformats.org/markup-compatibility/2006">
          <mc:Choice Requires="x14">
            <control shapeId="24588" r:id="rId15" name="Check Box 12">
              <controlPr locked="0" defaultSize="0" autoFill="0" autoLine="0" autoPict="0">
                <anchor moveWithCells="1">
                  <from>
                    <xdr:col>1</xdr:col>
                    <xdr:colOff>22860</xdr:colOff>
                    <xdr:row>120</xdr:row>
                    <xdr:rowOff>152400</xdr:rowOff>
                  </from>
                  <to>
                    <xdr:col>2</xdr:col>
                    <xdr:colOff>525780</xdr:colOff>
                    <xdr:row>122</xdr:row>
                    <xdr:rowOff>22860</xdr:rowOff>
                  </to>
                </anchor>
              </controlPr>
            </control>
          </mc:Choice>
        </mc:AlternateContent>
        <mc:AlternateContent xmlns:mc="http://schemas.openxmlformats.org/markup-compatibility/2006">
          <mc:Choice Requires="x14">
            <control shapeId="24589" r:id="rId16" name="Check Box 13">
              <controlPr locked="0" defaultSize="0" autoFill="0" autoLine="0" autoPict="0">
                <anchor moveWithCells="1">
                  <from>
                    <xdr:col>1</xdr:col>
                    <xdr:colOff>22860</xdr:colOff>
                    <xdr:row>122</xdr:row>
                    <xdr:rowOff>144780</xdr:rowOff>
                  </from>
                  <to>
                    <xdr:col>2</xdr:col>
                    <xdr:colOff>525780</xdr:colOff>
                    <xdr:row>124</xdr:row>
                    <xdr:rowOff>22860</xdr:rowOff>
                  </to>
                </anchor>
              </controlPr>
            </control>
          </mc:Choice>
        </mc:AlternateContent>
        <mc:AlternateContent xmlns:mc="http://schemas.openxmlformats.org/markup-compatibility/2006">
          <mc:Choice Requires="x14">
            <control shapeId="24590" r:id="rId17" name="Check Box 14">
              <controlPr locked="0" defaultSize="0" autoFill="0" autoLine="0" autoPict="0">
                <anchor moveWithCells="1">
                  <from>
                    <xdr:col>1</xdr:col>
                    <xdr:colOff>22860</xdr:colOff>
                    <xdr:row>124</xdr:row>
                    <xdr:rowOff>152400</xdr:rowOff>
                  </from>
                  <to>
                    <xdr:col>2</xdr:col>
                    <xdr:colOff>525780</xdr:colOff>
                    <xdr:row>126</xdr:row>
                    <xdr:rowOff>22860</xdr:rowOff>
                  </to>
                </anchor>
              </controlPr>
            </control>
          </mc:Choice>
        </mc:AlternateContent>
        <mc:AlternateContent xmlns:mc="http://schemas.openxmlformats.org/markup-compatibility/2006">
          <mc:Choice Requires="x14">
            <control shapeId="24591" r:id="rId18" name="Check Box 15">
              <controlPr locked="0" defaultSize="0" autoFill="0" autoLine="0" autoPict="0">
                <anchor moveWithCells="1">
                  <from>
                    <xdr:col>1</xdr:col>
                    <xdr:colOff>22860</xdr:colOff>
                    <xdr:row>126</xdr:row>
                    <xdr:rowOff>144780</xdr:rowOff>
                  </from>
                  <to>
                    <xdr:col>2</xdr:col>
                    <xdr:colOff>525780</xdr:colOff>
                    <xdr:row>128</xdr:row>
                    <xdr:rowOff>22860</xdr:rowOff>
                  </to>
                </anchor>
              </controlPr>
            </control>
          </mc:Choice>
        </mc:AlternateContent>
        <mc:AlternateContent xmlns:mc="http://schemas.openxmlformats.org/markup-compatibility/2006">
          <mc:Choice Requires="x14">
            <control shapeId="24592" r:id="rId19" name="Check Box 16">
              <controlPr locked="0" defaultSize="0" autoFill="0" autoLine="0" autoPict="0">
                <anchor moveWithCells="1">
                  <from>
                    <xdr:col>1</xdr:col>
                    <xdr:colOff>22860</xdr:colOff>
                    <xdr:row>128</xdr:row>
                    <xdr:rowOff>152400</xdr:rowOff>
                  </from>
                  <to>
                    <xdr:col>2</xdr:col>
                    <xdr:colOff>525780</xdr:colOff>
                    <xdr:row>130</xdr:row>
                    <xdr:rowOff>22860</xdr:rowOff>
                  </to>
                </anchor>
              </controlPr>
            </control>
          </mc:Choice>
        </mc:AlternateContent>
        <mc:AlternateContent xmlns:mc="http://schemas.openxmlformats.org/markup-compatibility/2006">
          <mc:Choice Requires="x14">
            <control shapeId="24593" r:id="rId20" name="Check Box 17">
              <controlPr locked="0" defaultSize="0" autoFill="0" autoLine="0" autoPict="0">
                <anchor moveWithCells="1">
                  <from>
                    <xdr:col>1</xdr:col>
                    <xdr:colOff>22860</xdr:colOff>
                    <xdr:row>130</xdr:row>
                    <xdr:rowOff>144780</xdr:rowOff>
                  </from>
                  <to>
                    <xdr:col>2</xdr:col>
                    <xdr:colOff>525780</xdr:colOff>
                    <xdr:row>132</xdr:row>
                    <xdr:rowOff>0</xdr:rowOff>
                  </to>
                </anchor>
              </controlPr>
            </control>
          </mc:Choice>
        </mc:AlternateContent>
        <mc:AlternateContent xmlns:mc="http://schemas.openxmlformats.org/markup-compatibility/2006">
          <mc:Choice Requires="x14">
            <control shapeId="24594" r:id="rId21" name="Check Box 18">
              <controlPr locked="0" defaultSize="0" autoFill="0" autoLine="0" autoPict="0">
                <anchor moveWithCells="1">
                  <from>
                    <xdr:col>1</xdr:col>
                    <xdr:colOff>22860</xdr:colOff>
                    <xdr:row>132</xdr:row>
                    <xdr:rowOff>152400</xdr:rowOff>
                  </from>
                  <to>
                    <xdr:col>2</xdr:col>
                    <xdr:colOff>525780</xdr:colOff>
                    <xdr:row>182</xdr:row>
                    <xdr:rowOff>22860</xdr:rowOff>
                  </to>
                </anchor>
              </controlPr>
            </control>
          </mc:Choice>
        </mc:AlternateContent>
        <mc:AlternateContent xmlns:mc="http://schemas.openxmlformats.org/markup-compatibility/2006">
          <mc:Choice Requires="x14">
            <control shapeId="24595" r:id="rId22" name="Check Box 19">
              <controlPr locked="0" defaultSize="0" autoFill="0" autoLine="0" autoPict="0">
                <anchor moveWithCells="1">
                  <from>
                    <xdr:col>1</xdr:col>
                    <xdr:colOff>22860</xdr:colOff>
                    <xdr:row>134</xdr:row>
                    <xdr:rowOff>144780</xdr:rowOff>
                  </from>
                  <to>
                    <xdr:col>2</xdr:col>
                    <xdr:colOff>525780</xdr:colOff>
                    <xdr:row>182</xdr:row>
                    <xdr:rowOff>45720</xdr:rowOff>
                  </to>
                </anchor>
              </controlPr>
            </control>
          </mc:Choice>
        </mc:AlternateContent>
        <mc:AlternateContent xmlns:mc="http://schemas.openxmlformats.org/markup-compatibility/2006">
          <mc:Choice Requires="x14">
            <control shapeId="24596" r:id="rId23" name="Check Box 20">
              <controlPr locked="0" defaultSize="0" autoFill="0" autoLine="0" autoPict="0">
                <anchor moveWithCells="1">
                  <from>
                    <xdr:col>1</xdr:col>
                    <xdr:colOff>22860</xdr:colOff>
                    <xdr:row>136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597" r:id="rId24" name="Check Box 21">
              <controlPr locked="0" defaultSize="0" autoFill="0" autoLine="0" autoPict="0">
                <anchor moveWithCells="1">
                  <from>
                    <xdr:col>1</xdr:col>
                    <xdr:colOff>22860</xdr:colOff>
                    <xdr:row>138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598" r:id="rId25" name="Check Box 22">
              <controlPr locked="0" defaultSize="0" autoFill="0" autoLine="0" autoPict="0">
                <anchor moveWithCells="1">
                  <from>
                    <xdr:col>1</xdr:col>
                    <xdr:colOff>22860</xdr:colOff>
                    <xdr:row>140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599" r:id="rId26" name="Check Box 23">
              <controlPr locked="0" defaultSize="0" autoFill="0" autoLine="0" autoPict="0">
                <anchor moveWithCells="1">
                  <from>
                    <xdr:col>1</xdr:col>
                    <xdr:colOff>22860</xdr:colOff>
                    <xdr:row>142</xdr:row>
                    <xdr:rowOff>144780</xdr:rowOff>
                  </from>
                  <to>
                    <xdr:col>2</xdr:col>
                    <xdr:colOff>525780</xdr:colOff>
                    <xdr:row>182</xdr:row>
                    <xdr:rowOff>22860</xdr:rowOff>
                  </to>
                </anchor>
              </controlPr>
            </control>
          </mc:Choice>
        </mc:AlternateContent>
        <mc:AlternateContent xmlns:mc="http://schemas.openxmlformats.org/markup-compatibility/2006">
          <mc:Choice Requires="x14">
            <control shapeId="24600" r:id="rId27" name="Check Box 24">
              <controlPr locked="0" defaultSize="0" autoFill="0" autoLine="0" autoPict="0">
                <anchor moveWithCells="1">
                  <from>
                    <xdr:col>1</xdr:col>
                    <xdr:colOff>22860</xdr:colOff>
                    <xdr:row>144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01" r:id="rId28" name="Check Box 25">
              <controlPr locked="0" defaultSize="0" autoFill="0" autoLine="0" autoPict="0">
                <anchor moveWithCells="1">
                  <from>
                    <xdr:col>1</xdr:col>
                    <xdr:colOff>22860</xdr:colOff>
                    <xdr:row>146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02" r:id="rId29" name="Check Box 26">
              <controlPr locked="0" defaultSize="0" autoFill="0" autoLine="0" autoPict="0">
                <anchor moveWithCells="1">
                  <from>
                    <xdr:col>1</xdr:col>
                    <xdr:colOff>22860</xdr:colOff>
                    <xdr:row>148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03" r:id="rId30" name="Check Box 27">
              <controlPr locked="0" defaultSize="0" autoFill="0" autoLine="0" autoPict="0">
                <anchor moveWithCells="1">
                  <from>
                    <xdr:col>1</xdr:col>
                    <xdr:colOff>22860</xdr:colOff>
                    <xdr:row>150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04" r:id="rId31" name="Check Box 28">
              <controlPr locked="0" defaultSize="0" autoFill="0" autoLine="0" autoPict="0">
                <anchor moveWithCells="1">
                  <from>
                    <xdr:col>1</xdr:col>
                    <xdr:colOff>22860</xdr:colOff>
                    <xdr:row>152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05" r:id="rId32" name="Check Box 29">
              <controlPr locked="0" defaultSize="0" autoFill="0" autoLine="0" autoPict="0">
                <anchor moveWithCells="1">
                  <from>
                    <xdr:col>1</xdr:col>
                    <xdr:colOff>22860</xdr:colOff>
                    <xdr:row>154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06" r:id="rId33" name="Check Box 30">
              <controlPr locked="0" defaultSize="0" autoFill="0" autoLine="0" autoPict="0">
                <anchor moveWithCells="1">
                  <from>
                    <xdr:col>1</xdr:col>
                    <xdr:colOff>22860</xdr:colOff>
                    <xdr:row>156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07" r:id="rId34" name="Check Box 31">
              <controlPr locked="0" defaultSize="0" autoFill="0" autoLine="0" autoPict="0">
                <anchor moveWithCells="1">
                  <from>
                    <xdr:col>1</xdr:col>
                    <xdr:colOff>22860</xdr:colOff>
                    <xdr:row>158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08" r:id="rId35" name="Check Box 32">
              <controlPr locked="0" defaultSize="0" autoFill="0" autoLine="0" autoPict="0">
                <anchor moveWithCells="1">
                  <from>
                    <xdr:col>1</xdr:col>
                    <xdr:colOff>22860</xdr:colOff>
                    <xdr:row>160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09" r:id="rId36" name="Check Box 33">
              <controlPr locked="0" defaultSize="0" autoFill="0" autoLine="0" autoPict="0">
                <anchor moveWithCells="1">
                  <from>
                    <xdr:col>1</xdr:col>
                    <xdr:colOff>22860</xdr:colOff>
                    <xdr:row>162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10" r:id="rId37" name="Check Box 34">
              <controlPr locked="0" defaultSize="0" autoFill="0" autoLine="0" autoPict="0">
                <anchor moveWithCells="1">
                  <from>
                    <xdr:col>1</xdr:col>
                    <xdr:colOff>22860</xdr:colOff>
                    <xdr:row>164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11" r:id="rId38" name="Check Box 35">
              <controlPr locked="0" defaultSize="0" autoFill="0" autoLine="0" autoPict="0">
                <anchor moveWithCells="1">
                  <from>
                    <xdr:col>1</xdr:col>
                    <xdr:colOff>22860</xdr:colOff>
                    <xdr:row>166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12" r:id="rId39" name="Check Box 36">
              <controlPr locked="0" defaultSize="0" autoFill="0" autoLine="0" autoPict="0">
                <anchor moveWithCells="1">
                  <from>
                    <xdr:col>1</xdr:col>
                    <xdr:colOff>22860</xdr:colOff>
                    <xdr:row>168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13" r:id="rId40" name="Check Box 37">
              <controlPr locked="0" defaultSize="0" autoFill="0" autoLine="0" autoPict="0">
                <anchor moveWithCells="1">
                  <from>
                    <xdr:col>1</xdr:col>
                    <xdr:colOff>22860</xdr:colOff>
                    <xdr:row>170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14" r:id="rId41" name="Check Box 38">
              <controlPr locked="0" defaultSize="0" autoFill="0" autoLine="0" autoPict="0">
                <anchor moveWithCells="1">
                  <from>
                    <xdr:col>1</xdr:col>
                    <xdr:colOff>22860</xdr:colOff>
                    <xdr:row>172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15" r:id="rId42" name="Check Box 39">
              <controlPr locked="0" defaultSize="0" autoFill="0" autoLine="0" autoPict="0">
                <anchor moveWithCells="1">
                  <from>
                    <xdr:col>1</xdr:col>
                    <xdr:colOff>22860</xdr:colOff>
                    <xdr:row>174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16" r:id="rId43" name="Check Box 40">
              <controlPr locked="0" defaultSize="0" autoFill="0" autoLine="0" autoPict="0">
                <anchor moveWithCells="1">
                  <from>
                    <xdr:col>1</xdr:col>
                    <xdr:colOff>22860</xdr:colOff>
                    <xdr:row>176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4617" r:id="rId44" name="Check Box 41">
              <controlPr locked="0" defaultSize="0" autoFill="0" autoLine="0" autoPict="0">
                <anchor moveWithCells="1">
                  <from>
                    <xdr:col>1</xdr:col>
                    <xdr:colOff>22860</xdr:colOff>
                    <xdr:row>178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4618" r:id="rId45" name="Check Box 42">
              <controlPr locked="0" defaultSize="0" autoFill="0" autoLine="0" autoPict="0">
                <anchor moveWithCells="1">
                  <from>
                    <xdr:col>1</xdr:col>
                    <xdr:colOff>22860</xdr:colOff>
                    <xdr:row>182</xdr:row>
                    <xdr:rowOff>152400</xdr:rowOff>
                  </from>
                  <to>
                    <xdr:col>2</xdr:col>
                    <xdr:colOff>525780</xdr:colOff>
                    <xdr:row>184</xdr:row>
                    <xdr:rowOff>22860</xdr:rowOff>
                  </to>
                </anchor>
              </controlPr>
            </control>
          </mc:Choice>
        </mc:AlternateContent>
        <mc:AlternateContent xmlns:mc="http://schemas.openxmlformats.org/markup-compatibility/2006">
          <mc:Choice Requires="x14">
            <control shapeId="24619" r:id="rId46" name="Check Box 43">
              <controlPr locked="0" defaultSize="0" autoFill="0" autoLine="0" autoPict="0">
                <anchor moveWithCells="1">
                  <from>
                    <xdr:col>1</xdr:col>
                    <xdr:colOff>22860</xdr:colOff>
                    <xdr:row>197</xdr:row>
                    <xdr:rowOff>121920</xdr:rowOff>
                  </from>
                  <to>
                    <xdr:col>2</xdr:col>
                    <xdr:colOff>525780</xdr:colOff>
                    <xdr:row>211</xdr:row>
                    <xdr:rowOff>60960</xdr:rowOff>
                  </to>
                </anchor>
              </controlPr>
            </control>
          </mc:Choice>
        </mc:AlternateContent>
        <mc:AlternateContent xmlns:mc="http://schemas.openxmlformats.org/markup-compatibility/2006">
          <mc:Choice Requires="x14">
            <control shapeId="24620" r:id="rId47" name="Check Box 44">
              <controlPr locked="0" defaultSize="0" autoFill="0" autoLine="0" autoPict="0">
                <anchor moveWithCells="1">
                  <from>
                    <xdr:col>1</xdr:col>
                    <xdr:colOff>22860</xdr:colOff>
                    <xdr:row>185</xdr:row>
                    <xdr:rowOff>152400</xdr:rowOff>
                  </from>
                  <to>
                    <xdr:col>2</xdr:col>
                    <xdr:colOff>525780</xdr:colOff>
                    <xdr:row>187</xdr:row>
                    <xdr:rowOff>22860</xdr:rowOff>
                  </to>
                </anchor>
              </controlPr>
            </control>
          </mc:Choice>
        </mc:AlternateContent>
        <mc:AlternateContent xmlns:mc="http://schemas.openxmlformats.org/markup-compatibility/2006">
          <mc:Choice Requires="x14">
            <control shapeId="24621" r:id="rId48" name="Check Box 45">
              <controlPr locked="0" defaultSize="0" autoFill="0" autoLine="0" autoPict="0">
                <anchor moveWithCells="1">
                  <from>
                    <xdr:col>1</xdr:col>
                    <xdr:colOff>22860</xdr:colOff>
                    <xdr:row>188</xdr:row>
                    <xdr:rowOff>144780</xdr:rowOff>
                  </from>
                  <to>
                    <xdr:col>2</xdr:col>
                    <xdr:colOff>525780</xdr:colOff>
                    <xdr:row>190</xdr:row>
                    <xdr:rowOff>22860</xdr:rowOff>
                  </to>
                </anchor>
              </controlPr>
            </control>
          </mc:Choice>
        </mc:AlternateContent>
        <mc:AlternateContent xmlns:mc="http://schemas.openxmlformats.org/markup-compatibility/2006">
          <mc:Choice Requires="x14">
            <control shapeId="24622" r:id="rId49" name="Check Box 46">
              <controlPr locked="0" defaultSize="0" autoFill="0" autoLine="0" autoPict="0">
                <anchor moveWithCells="1">
                  <from>
                    <xdr:col>1</xdr:col>
                    <xdr:colOff>22860</xdr:colOff>
                    <xdr:row>191</xdr:row>
                    <xdr:rowOff>144780</xdr:rowOff>
                  </from>
                  <to>
                    <xdr:col>2</xdr:col>
                    <xdr:colOff>525780</xdr:colOff>
                    <xdr:row>193</xdr:row>
                    <xdr:rowOff>22860</xdr:rowOff>
                  </to>
                </anchor>
              </controlPr>
            </control>
          </mc:Choice>
        </mc:AlternateContent>
        <mc:AlternateContent xmlns:mc="http://schemas.openxmlformats.org/markup-compatibility/2006">
          <mc:Choice Requires="x14">
            <control shapeId="24623" r:id="rId50" name="Check Box 47">
              <controlPr locked="0" defaultSize="0" autoFill="0" autoLine="0" autoPict="0">
                <anchor moveWithCells="1">
                  <from>
                    <xdr:col>1</xdr:col>
                    <xdr:colOff>22860</xdr:colOff>
                    <xdr:row>194</xdr:row>
                    <xdr:rowOff>121920</xdr:rowOff>
                  </from>
                  <to>
                    <xdr:col>2</xdr:col>
                    <xdr:colOff>533400</xdr:colOff>
                    <xdr:row>211</xdr:row>
                    <xdr:rowOff>22860</xdr:rowOff>
                  </to>
                </anchor>
              </controlPr>
            </control>
          </mc:Choice>
        </mc:AlternateContent>
        <mc:AlternateContent xmlns:mc="http://schemas.openxmlformats.org/markup-compatibility/2006">
          <mc:Choice Requires="x14">
            <control shapeId="24624" r:id="rId51" name="Check Box 48">
              <controlPr locked="0" defaultSize="0" autoFill="0" autoLine="0" autoPict="0">
                <anchor moveWithCells="1">
                  <from>
                    <xdr:col>1</xdr:col>
                    <xdr:colOff>7620</xdr:colOff>
                    <xdr:row>206</xdr:row>
                    <xdr:rowOff>121920</xdr:rowOff>
                  </from>
                  <to>
                    <xdr:col>2</xdr:col>
                    <xdr:colOff>525780</xdr:colOff>
                    <xdr:row>211</xdr:row>
                    <xdr:rowOff>60960</xdr:rowOff>
                  </to>
                </anchor>
              </controlPr>
            </control>
          </mc:Choice>
        </mc:AlternateContent>
        <mc:AlternateContent xmlns:mc="http://schemas.openxmlformats.org/markup-compatibility/2006">
          <mc:Choice Requires="x14">
            <control shapeId="24625" r:id="rId52" name="Check Box 49">
              <controlPr locked="0" defaultSize="0" autoFill="0" autoLine="0" autoPict="0">
                <anchor moveWithCells="1">
                  <from>
                    <xdr:col>1</xdr:col>
                    <xdr:colOff>7620</xdr:colOff>
                    <xdr:row>200</xdr:row>
                    <xdr:rowOff>137160</xdr:rowOff>
                  </from>
                  <to>
                    <xdr:col>2</xdr:col>
                    <xdr:colOff>525780</xdr:colOff>
                    <xdr:row>211</xdr:row>
                    <xdr:rowOff>60960</xdr:rowOff>
                  </to>
                </anchor>
              </controlPr>
            </control>
          </mc:Choice>
        </mc:AlternateContent>
        <mc:AlternateContent xmlns:mc="http://schemas.openxmlformats.org/markup-compatibility/2006">
          <mc:Choice Requires="x14">
            <control shapeId="24626" r:id="rId53" name="Check Box 50">
              <controlPr locked="0" defaultSize="0" autoFill="0" autoLine="0" autoPict="0">
                <anchor moveWithCells="1">
                  <from>
                    <xdr:col>1</xdr:col>
                    <xdr:colOff>22860</xdr:colOff>
                    <xdr:row>203</xdr:row>
                    <xdr:rowOff>121920</xdr:rowOff>
                  </from>
                  <to>
                    <xdr:col>2</xdr:col>
                    <xdr:colOff>533400</xdr:colOff>
                    <xdr:row>211</xdr:row>
                    <xdr:rowOff>60960</xdr:rowOff>
                  </to>
                </anchor>
              </controlPr>
            </control>
          </mc:Choice>
        </mc:AlternateContent>
        <mc:AlternateContent xmlns:mc="http://schemas.openxmlformats.org/markup-compatibility/2006">
          <mc:Choice Requires="x14">
            <control shapeId="24630" r:id="rId54" name="Check Box 54">
              <controlPr locked="0" defaultSize="0" autoFill="0" autoLine="0" autoPict="0">
                <anchor moveWithCells="1">
                  <from>
                    <xdr:col>1</xdr:col>
                    <xdr:colOff>22860</xdr:colOff>
                    <xdr:row>42</xdr:row>
                    <xdr:rowOff>152400</xdr:rowOff>
                  </from>
                  <to>
                    <xdr:col>1</xdr:col>
                    <xdr:colOff>213360</xdr:colOff>
                    <xdr:row>44</xdr:row>
                    <xdr:rowOff>22860</xdr:rowOff>
                  </to>
                </anchor>
              </controlPr>
            </control>
          </mc:Choice>
        </mc:AlternateContent>
        <mc:AlternateContent xmlns:mc="http://schemas.openxmlformats.org/markup-compatibility/2006">
          <mc:Choice Requires="x14">
            <control shapeId="24631" r:id="rId55" name="Check Box 55">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mc:AlternateContent xmlns:mc="http://schemas.openxmlformats.org/markup-compatibility/2006">
          <mc:Choice Requires="x14">
            <control shapeId="24635" r:id="rId56" name="Check Box 59">
              <controlPr locked="0" defaultSize="0" autoFill="0" autoLine="0" autoPict="0">
                <anchor moveWithCells="1">
                  <from>
                    <xdr:col>1</xdr:col>
                    <xdr:colOff>22860</xdr:colOff>
                    <xdr:row>42</xdr:row>
                    <xdr:rowOff>144780</xdr:rowOff>
                  </from>
                  <to>
                    <xdr:col>1</xdr:col>
                    <xdr:colOff>213360</xdr:colOff>
                    <xdr:row>44</xdr:row>
                    <xdr:rowOff>30480</xdr:rowOff>
                  </to>
                </anchor>
              </controlPr>
            </control>
          </mc:Choice>
        </mc:AlternateContent>
        <mc:AlternateContent xmlns:mc="http://schemas.openxmlformats.org/markup-compatibility/2006">
          <mc:Choice Requires="x14">
            <control shapeId="24636" r:id="rId57" name="Check Box 60">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6">
        <x14:dataValidation type="list" allowBlank="1" showInputMessage="1" showErrorMessage="1" xr:uid="{151DEED9-EE04-49C1-A74A-E79E4A836DCC}">
          <x14:formula1>
            <xm:f>'Data_3.3V_BUCK=1.1V'!$B$69:$B$71</xm:f>
          </x14:formula1>
          <xm:sqref>D215</xm:sqref>
        </x14:dataValidation>
        <x14:dataValidation type="list" allowBlank="1" showInputMessage="1" showErrorMessage="1" xr:uid="{BE61FEA9-0604-46C3-A620-DD8401557743}">
          <x14:formula1>
            <xm:f>Options!$I$3:$I$5</xm:f>
          </x14:formula1>
          <xm:sqref>D197 D206 D200 D203 D185 D194 D188 D191 D209</xm:sqref>
        </x14:dataValidation>
        <x14:dataValidation type="list" allowBlank="1" showInputMessage="1" showErrorMessage="1" xr:uid="{B0BCE67D-78B5-47BB-BEA4-618DAB2C3A82}">
          <x14:formula1>
            <xm:f>Options!$H$3:$H$5</xm:f>
          </x14:formula1>
          <xm:sqref>D196 D205 D199 D202 D184 D193 D187 D190 D208</xm:sqref>
        </x14:dataValidation>
        <x14:dataValidation type="list" allowBlank="1" showInputMessage="1" showErrorMessage="1" xr:uid="{DEB4DAE3-4030-423C-A748-48DE3125B90E}">
          <x14:formula1>
            <xm:f>Options!$F$3:$F$5</xm:f>
          </x14:formula1>
          <xm:sqref>D118 D120 D122 D124 D126 D128 D130 D132 D134 D136 D138 D140 D142 D144 D146 D148 D150 D152 D154 D156 D158 D160 D162 D164 D166 D168 D170 D172 D174 D176 D178 D180</xm:sqref>
        </x14:dataValidation>
        <x14:dataValidation type="list" allowBlank="1" showInputMessage="1" showErrorMessage="1" xr:uid="{254C0917-56E9-4DA8-A5E0-253BC422750F}">
          <x14:formula1>
            <xm:f>'Data_3.3V_BUCK=1.1V'!$B$63:$B$66</xm:f>
          </x14:formula1>
          <xm:sqref>D217</xm:sqref>
        </x14:dataValidation>
        <x14:dataValidation type="list" allowBlank="1" showInputMessage="1" showErrorMessage="1" xr:uid="{F0D1C76C-425A-4654-8546-8B65EECF7175}">
          <x14:formula1>
            <xm:f>'Data_3.3V_BUCK=1.1V'!$B$42:$B$45</xm:f>
          </x14:formula1>
          <xm:sqref>D105 D107</xm:sqref>
        </x14:dataValidation>
        <x14:dataValidation type="list" allowBlank="1" showInputMessage="1" showErrorMessage="1" promptTitle="Select the PSoC family." xr:uid="{C8210533-7992-465A-942E-31BC3D6FDEED}">
          <x14:formula1>
            <xm:f>Options!$E$3:$E$4</xm:f>
          </x14:formula1>
          <xm:sqref>D6</xm:sqref>
        </x14:dataValidation>
        <x14:dataValidation type="list" errorStyle="warning" allowBlank="1" showInputMessage="1" showErrorMessage="1" errorTitle="Invalid Power Mode" promptTitle="Select the CM0+ CPU Power Mode." xr:uid="{757E7ECD-D5FF-4F5A-81FC-E2778C0CC9D1}">
          <x14:formula1>
            <xm:f>IF(Config4_SystemMode=Options!$C$5,Options!$D$5,Options!$D$3:$D$5)</xm:f>
          </x14:formula1>
          <xm:sqref>D9</xm:sqref>
        </x14:dataValidation>
        <x14:dataValidation type="list" allowBlank="1" showInputMessage="1" showErrorMessage="1" promptTitle="Select the PSoC family." xr:uid="{BA4B6432-268B-4B0F-B4B5-830E0235B5D5}">
          <x14:formula1>
            <xm:f>IF(Config4_SystemMode=SystemDeepSleep,Options!$D$5:$D$6,Options!$D$3:$D$6)</xm:f>
          </x14:formula1>
          <xm:sqref>D10</xm:sqref>
        </x14:dataValidation>
        <x14:dataValidation type="list" allowBlank="1" showInputMessage="1" showErrorMessage="1" promptTitle="Select the PSoC family." xr:uid="{7A22C756-D465-4007-B5C4-037B725A3E42}">
          <x14:formula1>
            <xm:f>Options!$C$3:$C$6</xm:f>
          </x14:formula1>
          <xm:sqref>D8</xm:sqref>
        </x14:dataValidation>
        <x14:dataValidation type="list" allowBlank="1" showInputMessage="1" showErrorMessage="1" xr:uid="{90FC6F40-A6BC-4AB1-8F0F-BC4C8313AE8B}">
          <x14:formula1>
            <xm:f>Options!$W$3:$W$10</xm:f>
          </x14:formula1>
          <xm:sqref>D49 D76</xm:sqref>
        </x14:dataValidation>
        <x14:dataValidation type="list" allowBlank="1" showInputMessage="1" showErrorMessage="1" xr:uid="{34F3D49B-808C-4F73-A710-E06DEE8EBB3B}">
          <x14:formula1>
            <xm:f>IF(Config1_SystemMode = "System Deep Sleep",Options!$V$4, Options!$V$3:$V$4)</xm:f>
          </x14:formula1>
          <xm:sqref>D44 D71</xm:sqref>
        </x14:dataValidation>
        <x14:dataValidation type="list" allowBlank="1" showInputMessage="1" showErrorMessage="1" xr:uid="{090F2A31-031A-4BD8-A5C7-93FA81494F76}">
          <x14:formula1>
            <xm:f>IF(OR((SelectedDevice=PSoC60), (SelectedDevice=PSoC61), (SelectedDevice=PSoC62_1M),(SelectedDevice=PSoC4000S), (SelectedDevice=PSoC4100S), (SelectedDevice=PSoC4100PS)),Options!H3:H3,Options!H3:H6)</xm:f>
          </x14:formula1>
          <xm:sqref>D211:D212</xm:sqref>
        </x14:dataValidation>
        <x14:dataValidation type="list" allowBlank="1" showInputMessage="1" showErrorMessage="1" xr:uid="{6A606938-8AF6-4930-8C91-3912F72E632A}">
          <x14:formula1>
            <xm:f>IF(SelectedDevice = "PSoC 62 (256KB)", Options!X3:X4, Options!X3)</xm:f>
          </x14:formula1>
          <xm:sqref>D99</xm:sqref>
        </x14:dataValidation>
        <x14:dataValidation type="decimal" operator="lessThanOrEqual" allowBlank="1" showInputMessage="1" showErrorMessage="1" xr:uid="{CDC0DDDA-554D-4743-8653-254619F4CC34}">
          <x14:formula1>
            <xm:f>IF(OR(Summary!F33 = "PSoC 62 (256KB)", Summary!F33 = "PSoC 62 (2MB)"), 36000, 18000)</xm:f>
          </x14:formula1>
          <xm:sqref>D73</xm:sqref>
        </x14:dataValidation>
        <x14:dataValidation type="decimal" operator="lessThanOrEqual" allowBlank="1" showInputMessage="1" showErrorMessage="1" xr:uid="{506B6E7A-2549-41C5-B4F9-E0E70C77BC58}">
          <x14:formula1>
            <xm:f>IF(OR(Summary!F2 = "PSoC 62 (256KB)", Summary!F2 = "PSoC 62 (2MB)"), 36000, 18000)</xm:f>
          </x14:formula1>
          <xm:sqref>D46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B242"/>
  <sheetViews>
    <sheetView zoomScale="190" zoomScaleNormal="190" workbookViewId="0">
      <selection activeCell="D10" sqref="D10"/>
    </sheetView>
  </sheetViews>
  <sheetFormatPr defaultRowHeight="13.2" outlineLevelRow="1" x14ac:dyDescent="0.25"/>
  <cols>
    <col min="1" max="1" width="4.6640625" customWidth="1"/>
    <col min="2" max="2" width="3.33203125" customWidth="1"/>
    <col min="3" max="3" width="28.6640625" customWidth="1"/>
    <col min="4" max="4" width="17.6640625" style="23" customWidth="1"/>
    <col min="5" max="5" width="16.6640625" customWidth="1"/>
    <col min="6" max="6" width="11.6640625" style="29" customWidth="1"/>
    <col min="7" max="7" width="10.6640625" customWidth="1"/>
    <col min="8" max="8" width="105.6640625" customWidth="1"/>
  </cols>
  <sheetData>
    <row r="1" spans="2:28" x14ac:dyDescent="0.25">
      <c r="B1" s="1"/>
      <c r="C1" s="223" t="s">
        <v>402</v>
      </c>
      <c r="D1" s="223"/>
      <c r="E1" s="224" t="s">
        <v>197</v>
      </c>
      <c r="F1" s="224"/>
      <c r="G1" s="224"/>
    </row>
    <row r="2" spans="2:28" ht="15.6" x14ac:dyDescent="0.3">
      <c r="B2" s="241" t="s">
        <v>36</v>
      </c>
      <c r="C2" s="219"/>
      <c r="D2" s="219"/>
      <c r="E2" s="219"/>
      <c r="F2" s="219" t="s">
        <v>20</v>
      </c>
      <c r="G2" s="219"/>
      <c r="H2" s="51" t="s">
        <v>35</v>
      </c>
      <c r="K2" s="88" t="s">
        <v>192</v>
      </c>
      <c r="AB2" s="43"/>
    </row>
    <row r="3" spans="2:28" ht="15.6" x14ac:dyDescent="0.3">
      <c r="B3" s="225" t="s">
        <v>155</v>
      </c>
      <c r="C3" s="225"/>
      <c r="D3" s="225"/>
      <c r="E3" s="225"/>
      <c r="F3" s="225"/>
      <c r="G3" s="225"/>
      <c r="H3" s="225"/>
      <c r="AB3" s="43"/>
    </row>
    <row r="4" spans="2:28" x14ac:dyDescent="0.25">
      <c r="B4" s="53" t="s">
        <v>140</v>
      </c>
      <c r="C4" s="53"/>
      <c r="D4" s="53"/>
      <c r="E4" s="53"/>
      <c r="F4" s="53"/>
      <c r="G4" s="53"/>
      <c r="H4" s="53"/>
      <c r="AB4" s="43"/>
    </row>
    <row r="5" spans="2:28" x14ac:dyDescent="0.25">
      <c r="B5" s="54"/>
      <c r="C5" s="122" t="s">
        <v>476</v>
      </c>
      <c r="D5" s="111">
        <v>3.3</v>
      </c>
      <c r="E5" s="122" t="s">
        <v>267</v>
      </c>
      <c r="F5" s="110"/>
      <c r="G5" s="55"/>
      <c r="H5" s="112" t="s">
        <v>268</v>
      </c>
      <c r="AB5" s="43"/>
    </row>
    <row r="6" spans="2:28" x14ac:dyDescent="0.25">
      <c r="B6" s="54"/>
      <c r="C6" s="122" t="s">
        <v>264</v>
      </c>
      <c r="D6" s="111" t="s">
        <v>266</v>
      </c>
      <c r="E6" s="54"/>
      <c r="F6" s="110"/>
      <c r="G6" s="55"/>
      <c r="H6" s="112" t="s">
        <v>269</v>
      </c>
      <c r="AB6" s="43"/>
    </row>
    <row r="7" spans="2:28" x14ac:dyDescent="0.25">
      <c r="B7" s="54"/>
      <c r="C7" s="122" t="s">
        <v>317</v>
      </c>
      <c r="D7" s="111">
        <v>0.9</v>
      </c>
      <c r="E7" s="122" t="s">
        <v>267</v>
      </c>
      <c r="F7" s="110"/>
      <c r="G7" s="55"/>
      <c r="H7" s="112" t="s">
        <v>318</v>
      </c>
      <c r="AB7" s="43"/>
    </row>
    <row r="8" spans="2:28" x14ac:dyDescent="0.25">
      <c r="B8" s="54"/>
      <c r="C8" s="54" t="s">
        <v>219</v>
      </c>
      <c r="D8" s="111" t="s">
        <v>223</v>
      </c>
      <c r="E8" s="54"/>
      <c r="F8" s="110"/>
      <c r="G8" s="55"/>
      <c r="H8" s="112" t="s">
        <v>477</v>
      </c>
      <c r="AB8" s="43"/>
    </row>
    <row r="9" spans="2:28" x14ac:dyDescent="0.25">
      <c r="B9" s="54"/>
      <c r="C9" s="122" t="s">
        <v>231</v>
      </c>
      <c r="D9" s="111" t="s">
        <v>228</v>
      </c>
      <c r="E9" s="54"/>
      <c r="F9" s="110"/>
      <c r="G9" s="55"/>
      <c r="H9" s="112" t="s">
        <v>230</v>
      </c>
      <c r="AB9" s="43"/>
    </row>
    <row r="10" spans="2:28" x14ac:dyDescent="0.25">
      <c r="B10" s="54"/>
      <c r="C10" s="122" t="s">
        <v>232</v>
      </c>
      <c r="D10" s="111" t="s">
        <v>257</v>
      </c>
      <c r="E10" s="54"/>
      <c r="F10" s="110"/>
      <c r="G10" s="55"/>
      <c r="H10" s="112" t="s">
        <v>229</v>
      </c>
      <c r="AB10" s="43"/>
    </row>
    <row r="11" spans="2:28" x14ac:dyDescent="0.25">
      <c r="B11" s="53" t="s">
        <v>115</v>
      </c>
      <c r="C11" s="53"/>
      <c r="D11" s="53"/>
      <c r="E11" s="53"/>
      <c r="F11" s="53"/>
      <c r="G11" s="53"/>
      <c r="H11" s="53"/>
      <c r="AB11" s="41"/>
    </row>
    <row r="12" spans="2:28" x14ac:dyDescent="0.25">
      <c r="B12" s="226" t="s">
        <v>233</v>
      </c>
      <c r="C12" s="227"/>
      <c r="D12" s="53"/>
      <c r="E12" s="53"/>
      <c r="F12" s="53"/>
      <c r="G12" s="53"/>
      <c r="H12" s="53"/>
      <c r="AB12" s="41"/>
    </row>
    <row r="13" spans="2:28" x14ac:dyDescent="0.25">
      <c r="B13" s="140" t="b">
        <v>1</v>
      </c>
      <c r="C13" s="122" t="s">
        <v>234</v>
      </c>
      <c r="D13" s="60">
        <v>50</v>
      </c>
      <c r="E13" s="122" t="s">
        <v>3</v>
      </c>
      <c r="F13" s="57">
        <f ca="1">IF(AND(Config5_AllClocksOn,B13),Config5_FLL_Coef*D13,0)</f>
        <v>182.00000000000006</v>
      </c>
      <c r="G13" s="58" t="s">
        <v>57</v>
      </c>
      <c r="H13" s="112" t="s">
        <v>236</v>
      </c>
      <c r="AB13" s="43"/>
    </row>
    <row r="14" spans="2:28" x14ac:dyDescent="0.25">
      <c r="B14" s="140" t="b">
        <v>0</v>
      </c>
      <c r="C14" s="122" t="s">
        <v>164</v>
      </c>
      <c r="D14" s="123">
        <v>40</v>
      </c>
      <c r="E14" s="122" t="s">
        <v>3</v>
      </c>
      <c r="F14" s="57">
        <f>IF(AND(Config5_AllClocksOn,B14),Config5_PLL_Coef*D14+IF(D15/D16&gt;40,Config5_PLL_Coef_h40*D15/D16+Config5_PLL_Ped_h40,Config5_PLL_Coef_l40*D15/D16+Config5_PLL_Ped_l40),0)</f>
        <v>0</v>
      </c>
      <c r="G14" s="58" t="s">
        <v>57</v>
      </c>
      <c r="H14" s="112" t="s">
        <v>238</v>
      </c>
      <c r="AB14" s="41"/>
    </row>
    <row r="15" spans="2:28" x14ac:dyDescent="0.25">
      <c r="B15" s="54"/>
      <c r="C15" s="122" t="s">
        <v>237</v>
      </c>
      <c r="D15" s="146">
        <v>40</v>
      </c>
      <c r="E15" s="54"/>
      <c r="F15" s="80"/>
      <c r="G15" s="81"/>
      <c r="H15" s="112" t="s">
        <v>240</v>
      </c>
      <c r="AB15" s="41"/>
    </row>
    <row r="16" spans="2:28" x14ac:dyDescent="0.25">
      <c r="B16" s="54"/>
      <c r="C16" s="122" t="s">
        <v>239</v>
      </c>
      <c r="D16" s="60">
        <v>1</v>
      </c>
      <c r="E16" s="54"/>
      <c r="F16" s="80"/>
      <c r="G16" s="81"/>
      <c r="H16" s="112" t="s">
        <v>241</v>
      </c>
      <c r="AB16" s="41"/>
    </row>
    <row r="17" spans="2:28" x14ac:dyDescent="0.25">
      <c r="B17" s="148" t="b">
        <v>0</v>
      </c>
      <c r="C17" s="122" t="s">
        <v>165</v>
      </c>
      <c r="D17" s="56">
        <v>150</v>
      </c>
      <c r="E17" s="122" t="s">
        <v>3</v>
      </c>
      <c r="F17" s="57">
        <f>IF(AND(NUM_PLL&gt;1,AND(Config5_AllClocksOn,B17)),Config5_PLL_Coef*D17+IF(D18/D19&gt;40,Config5_PLL_Coef_h40*D18/D19+Config5_PLL_Ped_h40,Config5_PLL_Coef_l40*D18/D19+Config5_PLL_Ped_l40),0)</f>
        <v>0</v>
      </c>
      <c r="G17" s="58" t="s">
        <v>57</v>
      </c>
      <c r="H17" s="112" t="s">
        <v>242</v>
      </c>
      <c r="AB17" s="41"/>
    </row>
    <row r="18" spans="2:28" x14ac:dyDescent="0.25">
      <c r="B18" s="139"/>
      <c r="C18" s="138" t="s">
        <v>237</v>
      </c>
      <c r="D18" s="60">
        <v>25</v>
      </c>
      <c r="E18" s="55"/>
      <c r="F18" s="80"/>
      <c r="G18" s="81"/>
      <c r="H18" s="112" t="s">
        <v>244</v>
      </c>
      <c r="AB18" s="41"/>
    </row>
    <row r="19" spans="2:28" x14ac:dyDescent="0.25">
      <c r="B19" s="139"/>
      <c r="C19" s="122" t="s">
        <v>239</v>
      </c>
      <c r="D19" s="60">
        <v>1</v>
      </c>
      <c r="E19" s="55"/>
      <c r="F19" s="80"/>
      <c r="G19" s="81"/>
      <c r="H19" s="112" t="s">
        <v>243</v>
      </c>
      <c r="AB19" s="41"/>
    </row>
    <row r="20" spans="2:28" x14ac:dyDescent="0.25">
      <c r="B20" s="226" t="s">
        <v>235</v>
      </c>
      <c r="C20" s="227"/>
      <c r="D20" s="136"/>
      <c r="E20" s="136"/>
      <c r="F20" s="53"/>
      <c r="G20" s="53"/>
      <c r="H20" s="53"/>
      <c r="AB20" s="41"/>
    </row>
    <row r="21" spans="2:28" x14ac:dyDescent="0.25">
      <c r="B21" s="140" t="b">
        <v>1</v>
      </c>
      <c r="C21" s="122" t="s">
        <v>246</v>
      </c>
      <c r="D21" s="60" t="s">
        <v>304</v>
      </c>
      <c r="E21" s="149" t="s">
        <v>234</v>
      </c>
      <c r="F21" s="80"/>
      <c r="G21" s="81"/>
      <c r="H21" s="112" t="s">
        <v>310</v>
      </c>
      <c r="AB21" s="43"/>
    </row>
    <row r="22" spans="2:28" x14ac:dyDescent="0.25">
      <c r="B22" s="140" t="b">
        <v>0</v>
      </c>
      <c r="C22" s="122" t="s">
        <v>247</v>
      </c>
      <c r="D22" s="60" t="s">
        <v>308</v>
      </c>
      <c r="E22" s="149" t="s">
        <v>234</v>
      </c>
      <c r="F22" s="80"/>
      <c r="G22" s="81"/>
      <c r="H22" s="112" t="s">
        <v>311</v>
      </c>
      <c r="AB22" s="43"/>
    </row>
    <row r="23" spans="2:28" x14ac:dyDescent="0.25">
      <c r="B23" s="140" t="b">
        <v>0</v>
      </c>
      <c r="C23" s="122" t="s">
        <v>248</v>
      </c>
      <c r="D23" s="60" t="s">
        <v>304</v>
      </c>
      <c r="E23" s="149" t="s">
        <v>234</v>
      </c>
      <c r="F23" s="57">
        <f>IF(AND(Config5_AllClocksOn,B23),Config5_SMIF_Clk,0)</f>
        <v>0</v>
      </c>
      <c r="G23" s="58" t="s">
        <v>57</v>
      </c>
      <c r="H23" s="112" t="s">
        <v>312</v>
      </c>
      <c r="AB23" s="43"/>
    </row>
    <row r="24" spans="2:28" x14ac:dyDescent="0.25">
      <c r="B24" s="140" t="b">
        <v>0</v>
      </c>
      <c r="C24" s="122" t="s">
        <v>249</v>
      </c>
      <c r="D24" s="60" t="s">
        <v>304</v>
      </c>
      <c r="E24" s="149" t="s">
        <v>234</v>
      </c>
      <c r="F24" s="80"/>
      <c r="G24" s="81"/>
      <c r="H24" s="112" t="s">
        <v>313</v>
      </c>
      <c r="AB24" s="43"/>
    </row>
    <row r="25" spans="2:28" x14ac:dyDescent="0.25">
      <c r="B25" s="140" t="b">
        <v>0</v>
      </c>
      <c r="C25" s="122" t="s">
        <v>250</v>
      </c>
      <c r="D25" s="60" t="s">
        <v>304</v>
      </c>
      <c r="E25" s="149" t="s">
        <v>234</v>
      </c>
      <c r="F25" s="80"/>
      <c r="G25" s="81"/>
      <c r="H25" s="112" t="s">
        <v>314</v>
      </c>
      <c r="AB25" s="43"/>
    </row>
    <row r="26" spans="2:28" x14ac:dyDescent="0.25">
      <c r="B26" s="140" t="b">
        <v>0</v>
      </c>
      <c r="C26" s="122" t="s">
        <v>251</v>
      </c>
      <c r="D26" s="60" t="s">
        <v>304</v>
      </c>
      <c r="E26" s="149" t="s">
        <v>234</v>
      </c>
      <c r="F26" s="80"/>
      <c r="G26" s="81"/>
      <c r="H26" s="112" t="s">
        <v>315</v>
      </c>
      <c r="AB26" s="43"/>
    </row>
    <row r="27" spans="2:28" x14ac:dyDescent="0.25">
      <c r="B27" s="140"/>
      <c r="C27" s="138" t="s">
        <v>252</v>
      </c>
      <c r="D27" s="60">
        <v>50</v>
      </c>
      <c r="E27" s="122" t="s">
        <v>3</v>
      </c>
      <c r="F27" s="57">
        <f ca="1">IF(Config5_AllClocksOn,D27*Config5_Fast_Coef,0)</f>
        <v>26.999999999999968</v>
      </c>
      <c r="G27" s="58" t="s">
        <v>57</v>
      </c>
      <c r="H27" s="112" t="s">
        <v>321</v>
      </c>
      <c r="AB27" s="43"/>
    </row>
    <row r="28" spans="2:28" x14ac:dyDescent="0.25">
      <c r="B28" s="140"/>
      <c r="C28" s="138" t="s">
        <v>253</v>
      </c>
      <c r="D28" s="60">
        <v>50</v>
      </c>
      <c r="E28" s="122" t="s">
        <v>3</v>
      </c>
      <c r="F28" s="57">
        <f ca="1">IF(Config5_AllClocksOn,D28*Config5_Peri_Coef,0)</f>
        <v>312.00000000000006</v>
      </c>
      <c r="G28" s="58" t="s">
        <v>57</v>
      </c>
      <c r="H28" s="112" t="s">
        <v>319</v>
      </c>
      <c r="AB28" s="43"/>
    </row>
    <row r="29" spans="2:28" x14ac:dyDescent="0.25">
      <c r="B29" s="140"/>
      <c r="C29" s="138" t="s">
        <v>254</v>
      </c>
      <c r="D29" s="60">
        <v>25</v>
      </c>
      <c r="E29" s="122" t="s">
        <v>3</v>
      </c>
      <c r="F29" s="57">
        <f ca="1">IF(Config5_AllClocksOn,D29*Config5_Slow_Coef,0)</f>
        <v>286.99999999999994</v>
      </c>
      <c r="G29" s="58" t="s">
        <v>57</v>
      </c>
      <c r="H29" s="112" t="s">
        <v>320</v>
      </c>
      <c r="AB29" s="43"/>
    </row>
    <row r="30" spans="2:28" x14ac:dyDescent="0.25">
      <c r="B30" s="226" t="s">
        <v>245</v>
      </c>
      <c r="C30" s="227"/>
      <c r="D30" s="53"/>
      <c r="E30" s="53"/>
      <c r="F30" s="53"/>
      <c r="G30" s="53"/>
      <c r="H30" s="53"/>
      <c r="AB30" s="41"/>
    </row>
    <row r="31" spans="2:28" x14ac:dyDescent="0.25">
      <c r="B31" s="54"/>
      <c r="C31" s="122" t="s">
        <v>255</v>
      </c>
      <c r="D31" s="141" t="s">
        <v>150</v>
      </c>
      <c r="E31" s="55"/>
      <c r="F31" s="57">
        <f ca="1">IF(Config5_AllClocksOn,Config5_IMO_Ped,0)</f>
        <v>194</v>
      </c>
      <c r="G31" s="58" t="s">
        <v>57</v>
      </c>
      <c r="H31" s="112" t="s">
        <v>256</v>
      </c>
      <c r="AB31" s="41"/>
    </row>
    <row r="32" spans="2:28" x14ac:dyDescent="0.25">
      <c r="B32" s="54"/>
      <c r="C32" s="122" t="s">
        <v>260</v>
      </c>
      <c r="D32" s="60" t="s">
        <v>151</v>
      </c>
      <c r="E32" s="55"/>
      <c r="F32" s="57">
        <f>IF(D32="Enabled",Config5_WCO_Ped,0)</f>
        <v>0</v>
      </c>
      <c r="G32" s="58" t="s">
        <v>57</v>
      </c>
      <c r="H32" s="112" t="s">
        <v>261</v>
      </c>
      <c r="AB32" s="41"/>
    </row>
    <row r="33" spans="2:28" x14ac:dyDescent="0.25">
      <c r="B33" s="54"/>
      <c r="C33" s="55" t="s">
        <v>81</v>
      </c>
      <c r="D33" s="60" t="s">
        <v>151</v>
      </c>
      <c r="E33" s="55"/>
      <c r="F33" s="64">
        <f>IF(D33="Enabled",Config5_ILO_Ped,0)</f>
        <v>0</v>
      </c>
      <c r="G33" s="58" t="s">
        <v>57</v>
      </c>
      <c r="H33" s="112" t="s">
        <v>262</v>
      </c>
      <c r="AB33" s="41"/>
    </row>
    <row r="34" spans="2:28" x14ac:dyDescent="0.25">
      <c r="B34" s="54"/>
      <c r="C34" s="122" t="s">
        <v>259</v>
      </c>
      <c r="D34" s="60" t="s">
        <v>151</v>
      </c>
      <c r="E34" s="55"/>
      <c r="F34" s="64">
        <f>IF(D34="Enabled",Config5_PILO_Ped,0)</f>
        <v>0</v>
      </c>
      <c r="G34" s="58" t="s">
        <v>57</v>
      </c>
      <c r="H34" s="112" t="s">
        <v>263</v>
      </c>
      <c r="AB34" s="41"/>
    </row>
    <row r="35" spans="2:28" x14ac:dyDescent="0.25">
      <c r="B35" s="140" t="b">
        <v>0</v>
      </c>
      <c r="C35" s="122" t="s">
        <v>326</v>
      </c>
      <c r="D35" s="60">
        <v>17.203399999999998</v>
      </c>
      <c r="E35" s="122" t="s">
        <v>3</v>
      </c>
      <c r="F35" s="64">
        <f>IF(AND(Config5_AllClocksOn,B35),Config5_ECO_Coef*D35,0)</f>
        <v>0</v>
      </c>
      <c r="G35" s="58" t="s">
        <v>57</v>
      </c>
      <c r="H35" s="112" t="s">
        <v>327</v>
      </c>
      <c r="AB35" s="41"/>
    </row>
    <row r="36" spans="2:28" s="1" customFormat="1" x14ac:dyDescent="0.25">
      <c r="B36" s="53" t="s">
        <v>152</v>
      </c>
      <c r="C36" s="53"/>
      <c r="D36" s="53"/>
      <c r="E36" s="53"/>
      <c r="F36" s="65">
        <f ca="1">(IF(Config5_SystemMode=SystemDeepSleep,Config5_DeepSleep_Cur,0)+IF(Config5_SystemMode=SystemHibernate,Config5_Hibernate_Cur,0)+SUM(F8:F8,F13:F35))/1000</f>
        <v>1.002</v>
      </c>
      <c r="G36" s="53" t="s">
        <v>316</v>
      </c>
      <c r="H36" s="53"/>
      <c r="AB36" s="41"/>
    </row>
    <row r="37" spans="2:28" x14ac:dyDescent="0.25">
      <c r="D37"/>
      <c r="F37"/>
      <c r="AB37" s="43"/>
    </row>
    <row r="38" spans="2:28" ht="15.6" x14ac:dyDescent="0.3">
      <c r="B38" s="225" t="s">
        <v>138</v>
      </c>
      <c r="C38" s="225"/>
      <c r="D38" s="225"/>
      <c r="E38" s="225"/>
      <c r="F38" s="225"/>
      <c r="G38" s="225"/>
      <c r="H38" s="225"/>
      <c r="AB38" s="43"/>
    </row>
    <row r="39" spans="2:28" ht="15.6" x14ac:dyDescent="0.3">
      <c r="B39" s="228" t="s">
        <v>406</v>
      </c>
      <c r="C39" s="229"/>
      <c r="D39" s="167"/>
      <c r="E39" s="167"/>
      <c r="F39" s="167"/>
      <c r="G39" s="167"/>
      <c r="H39" s="167"/>
      <c r="AB39" s="43"/>
    </row>
    <row r="40" spans="2:28" ht="15.6" customHeight="1" x14ac:dyDescent="0.25">
      <c r="B40" s="239"/>
      <c r="C40" s="54" t="s">
        <v>408</v>
      </c>
      <c r="D40" s="111" t="s">
        <v>151</v>
      </c>
      <c r="E40" s="54"/>
      <c r="F40" s="54"/>
      <c r="G40" s="54"/>
      <c r="H40" s="54" t="s">
        <v>412</v>
      </c>
      <c r="AB40" s="43"/>
    </row>
    <row r="41" spans="2:28" ht="15.6" customHeight="1" x14ac:dyDescent="0.25">
      <c r="B41" s="239"/>
      <c r="C41" s="54" t="s">
        <v>409</v>
      </c>
      <c r="D41" s="169">
        <v>0</v>
      </c>
      <c r="E41" s="54" t="s">
        <v>413</v>
      </c>
      <c r="F41" s="54"/>
      <c r="G41" s="54"/>
      <c r="H41" s="54" t="s">
        <v>414</v>
      </c>
      <c r="AB41" s="43"/>
    </row>
    <row r="42" spans="2:28" ht="15.6" x14ac:dyDescent="0.3">
      <c r="B42" s="240"/>
      <c r="C42" s="54" t="s">
        <v>410</v>
      </c>
      <c r="D42" s="169">
        <v>1</v>
      </c>
      <c r="E42" s="122" t="s">
        <v>415</v>
      </c>
      <c r="F42" s="170"/>
      <c r="G42" s="171"/>
      <c r="H42" s="122" t="s">
        <v>416</v>
      </c>
      <c r="AB42" s="43"/>
    </row>
    <row r="43" spans="2:28" x14ac:dyDescent="0.25">
      <c r="B43" s="53" t="s">
        <v>468</v>
      </c>
      <c r="C43" s="53"/>
      <c r="D43" s="53"/>
      <c r="E43" s="53"/>
      <c r="F43" s="53"/>
      <c r="G43" s="53"/>
      <c r="H43" s="53"/>
      <c r="AB43" s="43"/>
    </row>
    <row r="44" spans="2:28" ht="12.6" customHeight="1" x14ac:dyDescent="0.25">
      <c r="B44" s="233" t="b">
        <v>0</v>
      </c>
      <c r="C44" s="174" t="s">
        <v>33</v>
      </c>
      <c r="D44" t="s">
        <v>419</v>
      </c>
      <c r="E44" s="54"/>
      <c r="F44" s="152"/>
      <c r="G44" s="55"/>
      <c r="H44" s="176" t="s">
        <v>465</v>
      </c>
      <c r="I44">
        <f>IF(Config1_SystemMode &lt;&gt; "System Hibernate",IF(Config1_SystemMode &lt;&gt; "System Deep Sleep",1,0),0)</f>
        <v>1</v>
      </c>
      <c r="AB44" s="43"/>
    </row>
    <row r="45" spans="2:28" ht="12.6" customHeight="1" x14ac:dyDescent="0.25">
      <c r="B45" s="234"/>
      <c r="C45" s="122" t="s">
        <v>381</v>
      </c>
      <c r="D45" s="60" t="s">
        <v>451</v>
      </c>
      <c r="E45" s="54"/>
      <c r="F45" s="152"/>
      <c r="G45" s="55"/>
      <c r="H45" s="112" t="s">
        <v>382</v>
      </c>
      <c r="I45">
        <f>IF(AND(Config1_SystemMode = "System Deep Sleep", SelectedDevice = "PSOC 62 (256KB)"),1,0)</f>
        <v>0</v>
      </c>
      <c r="AB45" s="43"/>
    </row>
    <row r="46" spans="2:28" ht="12.6" customHeight="1" x14ac:dyDescent="0.25">
      <c r="B46" s="234"/>
      <c r="C46" s="122" t="s">
        <v>420</v>
      </c>
      <c r="D46" s="169">
        <v>18000</v>
      </c>
      <c r="E46" s="122" t="s">
        <v>424</v>
      </c>
      <c r="F46" s="152"/>
      <c r="G46" s="55"/>
      <c r="H46" s="112" t="s">
        <v>475</v>
      </c>
      <c r="I46" s="159" t="b">
        <f>IF(SUM(I44:I45)&gt;0,IF(B44=TRUE,TRUE,FALSE),FALSE)</f>
        <v>0</v>
      </c>
      <c r="AB46" s="41"/>
    </row>
    <row r="47" spans="2:28" ht="12.9" customHeight="1" x14ac:dyDescent="0.25">
      <c r="B47" s="234"/>
      <c r="C47" s="122" t="s">
        <v>421</v>
      </c>
      <c r="D47" s="175">
        <v>1</v>
      </c>
      <c r="E47" s="122" t="s">
        <v>425</v>
      </c>
      <c r="F47" s="152"/>
      <c r="G47" s="55"/>
      <c r="H47" s="112" t="s">
        <v>387</v>
      </c>
      <c r="AB47" s="41"/>
    </row>
    <row r="48" spans="2:28" ht="12.9" customHeight="1" x14ac:dyDescent="0.25">
      <c r="B48" s="234"/>
      <c r="C48" s="176" t="s">
        <v>422</v>
      </c>
      <c r="D48" s="169">
        <v>1</v>
      </c>
      <c r="E48" s="54"/>
      <c r="F48" s="152"/>
      <c r="G48" s="55"/>
      <c r="H48" s="112" t="s">
        <v>466</v>
      </c>
      <c r="AB48" s="41"/>
    </row>
    <row r="49" spans="2:28" ht="12.9" customHeight="1" x14ac:dyDescent="0.25">
      <c r="B49" s="234"/>
      <c r="C49" s="122" t="s">
        <v>423</v>
      </c>
      <c r="D49" s="169">
        <v>4</v>
      </c>
      <c r="E49" s="54"/>
      <c r="F49" s="152"/>
      <c r="G49" s="55"/>
      <c r="H49" s="112" t="s">
        <v>467</v>
      </c>
      <c r="AB49" s="41"/>
    </row>
    <row r="50" spans="2:28" ht="38.1" customHeight="1" x14ac:dyDescent="0.25">
      <c r="B50" s="234"/>
      <c r="C50" s="113" t="s">
        <v>426</v>
      </c>
      <c r="D50" s="193" t="str">
        <f>"Acquisition Time (min "&amp;ROUNDUP(ROUNDUP(IF(Summary!F2 = "PSOC 62 (256KB)", 83, 166)*IF(Config1_SystemMode = "System Deep Sleep", 2000, D46)/1000000, 0)/IF(Config1_SystemMode = "System Deep Sleep", 2000, D46)*1000000, 0)&amp;"ns)"</f>
        <v>Acquisition Time (min 167ns)</v>
      </c>
      <c r="E50" s="113" t="s">
        <v>427</v>
      </c>
      <c r="F50" s="194" t="s">
        <v>428</v>
      </c>
      <c r="G50" s="193" t="s">
        <v>429</v>
      </c>
      <c r="H50" s="112"/>
      <c r="AB50" s="41"/>
    </row>
    <row r="51" spans="2:28" ht="12.9" customHeight="1" x14ac:dyDescent="0.25">
      <c r="B51" s="234"/>
      <c r="C51" s="122">
        <v>0</v>
      </c>
      <c r="D51" s="60">
        <v>1000</v>
      </c>
      <c r="E51" s="60" t="s">
        <v>151</v>
      </c>
      <c r="F51" s="177">
        <f>ROUNDDOWN((G51/1000+ (1/IF(Config1_SystemMode = "System Deep Sleep", 2000, D46)*1000)*15)*IF(E51="Enabled", D49, 1),2)</f>
        <v>1.83</v>
      </c>
      <c r="G51" s="112">
        <f>ROUNDUP(ROUND(D51*D46/1000000,0)/D46*1000000,0)</f>
        <v>1000</v>
      </c>
      <c r="H51" s="112" t="s">
        <v>430</v>
      </c>
      <c r="AB51" s="41"/>
    </row>
    <row r="52" spans="2:28" ht="12.9" customHeight="1" x14ac:dyDescent="0.25">
      <c r="B52" s="234"/>
      <c r="C52" s="173">
        <v>1</v>
      </c>
      <c r="D52" s="60">
        <v>1000</v>
      </c>
      <c r="E52" s="60" t="s">
        <v>151</v>
      </c>
      <c r="F52" s="177">
        <f>ROUNDDOWN(IF(D$48 &gt; 1,(G52/1000+ (1/IF(Config1_SystemMode = "System Deep Sleep", 2000, D$46)*1000)*15)*IF(E52="Enabled", D$49, 1),0), 2)</f>
        <v>0</v>
      </c>
      <c r="G52" s="112">
        <f>ROUNDUP(ROUND(D52*D46/1000000,0)/D46*1000000,0)</f>
        <v>1000</v>
      </c>
      <c r="H52" s="112" t="s">
        <v>431</v>
      </c>
      <c r="AB52" s="41"/>
    </row>
    <row r="53" spans="2:28" ht="12.9" customHeight="1" x14ac:dyDescent="0.25">
      <c r="B53" s="234"/>
      <c r="C53" s="173">
        <v>2</v>
      </c>
      <c r="D53" s="60">
        <v>1000</v>
      </c>
      <c r="E53" s="60" t="s">
        <v>151</v>
      </c>
      <c r="F53" s="177">
        <f>ROUNDDOWN(IF(D$48 &gt; 2,(G53/1000+ (1/IF(Config1_SystemMode = "System Deep Sleep", 2000, D$46)*1000)*15)*IF(E53="Enabled", D$49, 1),0), 2)</f>
        <v>0</v>
      </c>
      <c r="G53" s="112">
        <f>ROUNDUP(ROUND(D53*D46/1000000,0)/D46*1000000,0)</f>
        <v>1000</v>
      </c>
      <c r="H53" s="112" t="s">
        <v>432</v>
      </c>
      <c r="AB53" s="41"/>
    </row>
    <row r="54" spans="2:28" ht="12.9" customHeight="1" x14ac:dyDescent="0.25">
      <c r="B54" s="234"/>
      <c r="C54" s="173">
        <v>3</v>
      </c>
      <c r="D54" s="60">
        <v>1000</v>
      </c>
      <c r="E54" s="60" t="s">
        <v>151</v>
      </c>
      <c r="F54" s="177">
        <f>ROUNDDOWN(IF(D$48 &gt;3,(G54/1000+ (1/IF(Config1_SystemMode = "System Deep Sleep", 2000, D$46)*1000)*15)*IF(E54="Enabled", D$49, 1),0), 2)</f>
        <v>0</v>
      </c>
      <c r="G54" s="112">
        <f>ROUNDUP(ROUND(D54*D46/1000000,0)/D46*1000000,0)</f>
        <v>1000</v>
      </c>
      <c r="H54" s="112" t="s">
        <v>433</v>
      </c>
      <c r="AB54" s="41"/>
    </row>
    <row r="55" spans="2:28" ht="12.9" customHeight="1" x14ac:dyDescent="0.25">
      <c r="B55" s="234"/>
      <c r="C55" s="192">
        <v>4</v>
      </c>
      <c r="D55" s="60">
        <v>1000</v>
      </c>
      <c r="E55" s="60" t="s">
        <v>151</v>
      </c>
      <c r="F55" s="177">
        <f>ROUNDDOWN(IF(D$48 &gt;4,(G55/1000+ (1/IF(Config1_SystemMode = "System Deep Sleep", 2000, D$46)*1000)*15)*IF(E55="Enabled", D$49, 1),0), 2)</f>
        <v>0</v>
      </c>
      <c r="G55" s="112">
        <f>ROUNDUP(ROUND(D55*D46/1000000,0)/D46*1000000,0)</f>
        <v>1000</v>
      </c>
      <c r="H55" s="112" t="s">
        <v>434</v>
      </c>
      <c r="AB55" s="41"/>
    </row>
    <row r="56" spans="2:28" ht="12.9" customHeight="1" x14ac:dyDescent="0.25">
      <c r="B56" s="234"/>
      <c r="C56" s="173">
        <v>5</v>
      </c>
      <c r="D56" s="60">
        <v>1000</v>
      </c>
      <c r="E56" s="60" t="s">
        <v>151</v>
      </c>
      <c r="F56" s="177">
        <f>ROUNDDOWN(IF(D$48 &gt; 5,(G56/1000+ (1/IF(Config1_SystemMode = "System Deep Sleep", 2000, D$46)*1000)*15)*IF(E56="Enabled", D$49, 1),0), 2)</f>
        <v>0</v>
      </c>
      <c r="G56" s="112">
        <f>ROUNDUP(ROUND(D56*D46/1000000,0)/D46*1000000,0)</f>
        <v>1000</v>
      </c>
      <c r="H56" s="112" t="s">
        <v>435</v>
      </c>
      <c r="AB56" s="41"/>
    </row>
    <row r="57" spans="2:28" ht="12.9" customHeight="1" x14ac:dyDescent="0.25">
      <c r="B57" s="234"/>
      <c r="C57" s="173">
        <v>6</v>
      </c>
      <c r="D57" s="60">
        <v>1000</v>
      </c>
      <c r="E57" s="60" t="s">
        <v>151</v>
      </c>
      <c r="F57" s="177">
        <f>ROUNDDOWN(IF(D$48 &gt; 6,(G57/1000+ (1/IF(Config1_SystemMode = "System Deep Sleep", 2000, D$46)*1000)*15)*IF(E57="Enabled", D$49, 1),0), 2)</f>
        <v>0</v>
      </c>
      <c r="G57" s="112">
        <f>ROUNDUP(ROUND(D57*D46/1000000,0)/D46*1000000,0)</f>
        <v>1000</v>
      </c>
      <c r="H57" s="112" t="s">
        <v>436</v>
      </c>
      <c r="AB57" s="41"/>
    </row>
    <row r="58" spans="2:28" ht="12.9" customHeight="1" x14ac:dyDescent="0.25">
      <c r="B58" s="234"/>
      <c r="C58" s="173">
        <v>7</v>
      </c>
      <c r="D58" s="60">
        <v>1000</v>
      </c>
      <c r="E58" s="60" t="s">
        <v>151</v>
      </c>
      <c r="F58" s="177">
        <f>ROUNDDOWN(IF(D$48 &gt; 7,(G58/1000+ (1/IF(Config1_SystemMode = "System Deep Sleep", 2000, D$46)*1000)*15)*IF(E58="Enabled", D$49, 1),0), 2)</f>
        <v>0</v>
      </c>
      <c r="G58" s="112">
        <f>ROUNDUP(ROUND(D58*D46/1000000,0)/D46*1000000,0)</f>
        <v>1000</v>
      </c>
      <c r="H58" s="112" t="s">
        <v>437</v>
      </c>
      <c r="AB58" s="41"/>
    </row>
    <row r="59" spans="2:28" ht="12.9" customHeight="1" x14ac:dyDescent="0.25">
      <c r="B59" s="234"/>
      <c r="C59" s="173">
        <v>8</v>
      </c>
      <c r="D59" s="60">
        <v>1000</v>
      </c>
      <c r="E59" s="60" t="s">
        <v>151</v>
      </c>
      <c r="F59" s="177">
        <f>ROUNDDOWN(IF(D$48 &gt; 8,(G59/1000+ (1/IF(Config1_SystemMode = "System Deep Sleep", 2000, D$46)*1000)*15)*IF(E59="Enabled", D$49, 1),0), 2)</f>
        <v>0</v>
      </c>
      <c r="G59" s="112">
        <f>ROUNDUP(ROUND(D59*D46/1000000,0)/D46*1000000,0)</f>
        <v>1000</v>
      </c>
      <c r="H59" s="112" t="s">
        <v>438</v>
      </c>
      <c r="AB59" s="41"/>
    </row>
    <row r="60" spans="2:28" ht="12.9" customHeight="1" x14ac:dyDescent="0.25">
      <c r="B60" s="234"/>
      <c r="C60" s="173">
        <v>9</v>
      </c>
      <c r="D60" s="60">
        <v>1000</v>
      </c>
      <c r="E60" s="60" t="s">
        <v>151</v>
      </c>
      <c r="F60" s="177">
        <f>ROUNDDOWN(IF(D$48 &gt; 9,(G60/1000+ (1/IF(Config1_SystemMode = "System Deep Sleep", 2000, D$46)*1000)*15)*IF(E60="Enabled", D$49, 1),0), 2)</f>
        <v>0</v>
      </c>
      <c r="G60" s="112">
        <f>ROUNDUP(ROUND(D60*D46/1000000,0)/D46*1000000,0)</f>
        <v>1000</v>
      </c>
      <c r="H60" s="112" t="s">
        <v>439</v>
      </c>
      <c r="AB60" s="41"/>
    </row>
    <row r="61" spans="2:28" ht="12.9" customHeight="1" x14ac:dyDescent="0.25">
      <c r="B61" s="234"/>
      <c r="C61" s="173">
        <v>10</v>
      </c>
      <c r="D61" s="60">
        <v>1000</v>
      </c>
      <c r="E61" s="60" t="s">
        <v>151</v>
      </c>
      <c r="F61" s="177">
        <f>ROUNDDOWN(IF(D$48 &gt;10,(G61/1000+ (1/IF(Config1_SystemMode = "System Deep Sleep", 2000, D$46)*1000)*15)*IF(E61="Enabled", D$49, 1),0), 2)</f>
        <v>0</v>
      </c>
      <c r="G61" s="112">
        <f>ROUNDUP(ROUND(D61*D46/1000000,0)/D46*1000000,0)</f>
        <v>1000</v>
      </c>
      <c r="H61" s="112" t="s">
        <v>440</v>
      </c>
      <c r="AB61" s="41"/>
    </row>
    <row r="62" spans="2:28" ht="12.9" customHeight="1" x14ac:dyDescent="0.25">
      <c r="B62" s="234"/>
      <c r="C62" s="173">
        <v>11</v>
      </c>
      <c r="D62" s="60">
        <v>1000</v>
      </c>
      <c r="E62" s="60" t="s">
        <v>151</v>
      </c>
      <c r="F62" s="177">
        <f>ROUNDDOWN(IF(D$48 &gt; 11,(G62/1000+ (1/IF(Config1_SystemMode = "System Deep Sleep", 2000, D$46)*1000)*15)*IF(E62="Enabled", D$49, 1),0), 2)</f>
        <v>0</v>
      </c>
      <c r="G62" s="112">
        <f>ROUNDUP(ROUND(D62*D46/1000000,0)/D46*1000000,0)</f>
        <v>1000</v>
      </c>
      <c r="H62" s="112" t="s">
        <v>441</v>
      </c>
      <c r="AB62" s="41"/>
    </row>
    <row r="63" spans="2:28" ht="12.9" customHeight="1" x14ac:dyDescent="0.25">
      <c r="B63" s="234"/>
      <c r="C63" s="173">
        <v>12</v>
      </c>
      <c r="D63" s="60">
        <v>1000</v>
      </c>
      <c r="E63" s="60" t="s">
        <v>151</v>
      </c>
      <c r="F63" s="177">
        <f>ROUNDDOWN(IF(D$48 &gt; 12,(G63/1000+ (1/IF(Config1_SystemMode = "System Deep Sleep", 2000, D$46)*1000)*15)*IF(E63="Enabled", D$49, 1),0), 2)</f>
        <v>0</v>
      </c>
      <c r="G63" s="112">
        <f>ROUNDUP(ROUND(D63*D46/1000000,0)/D46*1000000,0)</f>
        <v>1000</v>
      </c>
      <c r="H63" s="112" t="s">
        <v>442</v>
      </c>
      <c r="AB63" s="41"/>
    </row>
    <row r="64" spans="2:28" ht="12.9" customHeight="1" x14ac:dyDescent="0.25">
      <c r="B64" s="234"/>
      <c r="C64" s="173">
        <v>13</v>
      </c>
      <c r="D64" s="60">
        <v>1000</v>
      </c>
      <c r="E64" s="60" t="s">
        <v>151</v>
      </c>
      <c r="F64" s="177">
        <f>ROUNDDOWN(IF(D$48 &gt; 13,(G64/1000+ (1/IF(Config1_SystemMode = "System Deep Sleep", 2000, D$46)*1000)*15)*IF(E64="Enabled", D$49, 1),0), 2)</f>
        <v>0</v>
      </c>
      <c r="G64" s="112">
        <f>ROUNDUP(ROUND(D64*D46/1000000,0)/D46*1000000,0)</f>
        <v>1000</v>
      </c>
      <c r="H64" s="112" t="s">
        <v>443</v>
      </c>
      <c r="AB64" s="41"/>
    </row>
    <row r="65" spans="2:28" ht="12.9" customHeight="1" x14ac:dyDescent="0.25">
      <c r="B65" s="234"/>
      <c r="C65" s="173">
        <v>14</v>
      </c>
      <c r="D65" s="60">
        <v>1000</v>
      </c>
      <c r="E65" s="60" t="s">
        <v>151</v>
      </c>
      <c r="F65" s="177">
        <f>ROUNDDOWN(IF(D$48 &gt; 14,(G65/1000+ (1/IF(Config1_SystemMode = "System Deep Sleep", 2000, D$46)*1000)*15)*IF(E65="Enabled", D$49, 1),0), 2)</f>
        <v>0</v>
      </c>
      <c r="G65" s="112">
        <f>ROUNDUP(ROUND(D65*D46/1000000,0)/D46*1000000,0)</f>
        <v>1000</v>
      </c>
      <c r="H65" s="112" t="s">
        <v>444</v>
      </c>
      <c r="AB65" s="41"/>
    </row>
    <row r="66" spans="2:28" ht="12.9" customHeight="1" x14ac:dyDescent="0.25">
      <c r="B66" s="234"/>
      <c r="C66" s="173">
        <v>15</v>
      </c>
      <c r="D66" s="60">
        <v>1000</v>
      </c>
      <c r="E66" s="60" t="s">
        <v>151</v>
      </c>
      <c r="F66" s="177">
        <f>ROUNDDOWN(IF(D$48 &gt; 15,(G66/1000+ (1/IF(Config1_SystemMode = "System Deep Sleep", 2000, D$46)*1000)*15)*IF(E66="Enabled", D$49, 1),0), 2)</f>
        <v>0</v>
      </c>
      <c r="G66" s="112">
        <f>ROUNDUP(ROUND(D66*D46/1000000,0)/D46*1000000,0)</f>
        <v>1000</v>
      </c>
      <c r="H66" s="112" t="s">
        <v>445</v>
      </c>
      <c r="AB66" s="41"/>
    </row>
    <row r="67" spans="2:28" ht="12.9" customHeight="1" x14ac:dyDescent="0.25">
      <c r="B67" s="234"/>
      <c r="C67" s="230" t="s">
        <v>448</v>
      </c>
      <c r="D67" s="231"/>
      <c r="E67" s="232"/>
      <c r="F67" s="178">
        <f>IF(I46=TRUE,SUM(F51:F66),0)</f>
        <v>0</v>
      </c>
      <c r="G67" s="122" t="s">
        <v>413</v>
      </c>
      <c r="H67" s="112"/>
      <c r="AB67" s="41"/>
    </row>
    <row r="68" spans="2:28" ht="12.9" customHeight="1" x14ac:dyDescent="0.25">
      <c r="B68" s="234"/>
      <c r="C68" s="230" t="s">
        <v>446</v>
      </c>
      <c r="D68" s="231"/>
      <c r="E68" s="232"/>
      <c r="F68" s="152">
        <f>(F67*D42+IF(Config1_SystemMode = "System Deep Sleep", D41,0))*IF(NOT(B44), 0, 1)</f>
        <v>0</v>
      </c>
      <c r="G68" s="122" t="s">
        <v>413</v>
      </c>
      <c r="H68" s="112"/>
      <c r="AB68" s="41"/>
    </row>
    <row r="69" spans="2:28" s="195" customFormat="1" ht="12.9" customHeight="1" x14ac:dyDescent="0.25">
      <c r="B69" s="235"/>
      <c r="C69" s="182" t="s">
        <v>447</v>
      </c>
      <c r="D69" s="183"/>
      <c r="E69" s="184"/>
      <c r="F69" s="66">
        <f>IF(I46=FALSE,0,IF(B44, IF(AND(Config1_SystemMode = "System Deep Sleep", SelectedDevice = "PSOC 62 (256KB)"), Config1_SAR_DPSLP * F68*D47/1000, IF(Config1_SystemMode = "System Deep Sleep", 0, (IF(D45="System bandgap",Config1_SAR_Ped_SysGap,0)+IF(D45="Vdda",Config1_SAR_Ped_Vdda,0)+IF(D45="Vdda/2",Config1_SAR_Ped_Vdda2,0)+D46/18*Config1_SAR_Coef))), 0))</f>
        <v>0</v>
      </c>
      <c r="G69" s="198" t="s">
        <v>10</v>
      </c>
      <c r="H69" s="112"/>
      <c r="AB69" s="196"/>
    </row>
    <row r="70" spans="2:28" x14ac:dyDescent="0.25">
      <c r="B70" s="186" t="s">
        <v>469</v>
      </c>
      <c r="C70" s="187"/>
      <c r="D70" s="188"/>
      <c r="E70" s="89"/>
      <c r="F70" s="189"/>
      <c r="G70" s="187"/>
      <c r="H70" s="190"/>
      <c r="AB70" s="41"/>
    </row>
    <row r="71" spans="2:28" ht="12.9" customHeight="1" x14ac:dyDescent="0.25">
      <c r="B71" s="236" t="b">
        <v>0</v>
      </c>
      <c r="C71" s="174" t="s">
        <v>33</v>
      </c>
      <c r="D71" t="s">
        <v>418</v>
      </c>
      <c r="E71" s="54"/>
      <c r="F71" s="152"/>
      <c r="G71" s="55"/>
      <c r="H71" s="176" t="s">
        <v>465</v>
      </c>
      <c r="I71">
        <f>IF(AND(Config1_SystemMode &lt;&gt; "System Hibernate", SelectedDevice = "PSOC 62 (256KB)"),1,0)</f>
        <v>0</v>
      </c>
      <c r="AB71" s="41"/>
    </row>
    <row r="72" spans="2:28" ht="12.9" customHeight="1" x14ac:dyDescent="0.25">
      <c r="B72" s="237"/>
      <c r="C72" s="122" t="s">
        <v>381</v>
      </c>
      <c r="D72" s="60" t="s">
        <v>451</v>
      </c>
      <c r="E72" s="54"/>
      <c r="F72" s="152"/>
      <c r="G72" s="55"/>
      <c r="H72" s="112" t="s">
        <v>382</v>
      </c>
      <c r="I72" s="159" t="b">
        <f>IF(SUM(I71)&gt;0,IF(B71=TRUE,TRUE,FALSE),FALSE)</f>
        <v>0</v>
      </c>
      <c r="AB72" s="41"/>
    </row>
    <row r="73" spans="2:28" ht="12.9" customHeight="1" x14ac:dyDescent="0.25">
      <c r="B73" s="237"/>
      <c r="C73" s="122" t="s">
        <v>420</v>
      </c>
      <c r="D73" s="169">
        <v>18000</v>
      </c>
      <c r="E73" s="122" t="s">
        <v>424</v>
      </c>
      <c r="F73" s="152"/>
      <c r="G73" s="55"/>
      <c r="H73" s="112" t="s">
        <v>475</v>
      </c>
      <c r="AB73" s="41"/>
    </row>
    <row r="74" spans="2:28" ht="12.9" customHeight="1" x14ac:dyDescent="0.25">
      <c r="B74" s="237"/>
      <c r="C74" s="122" t="s">
        <v>421</v>
      </c>
      <c r="D74" s="175">
        <v>1</v>
      </c>
      <c r="E74" s="122" t="s">
        <v>425</v>
      </c>
      <c r="F74" s="152"/>
      <c r="G74" s="55"/>
      <c r="H74" s="112" t="s">
        <v>387</v>
      </c>
      <c r="AB74" s="41"/>
    </row>
    <row r="75" spans="2:28" ht="12.9" customHeight="1" x14ac:dyDescent="0.25">
      <c r="B75" s="237"/>
      <c r="C75" s="176" t="s">
        <v>422</v>
      </c>
      <c r="D75" s="169">
        <v>1</v>
      </c>
      <c r="E75" s="54"/>
      <c r="F75" s="152"/>
      <c r="G75" s="55"/>
      <c r="H75" s="112" t="s">
        <v>466</v>
      </c>
      <c r="AB75" s="41"/>
    </row>
    <row r="76" spans="2:28" ht="12.9" customHeight="1" x14ac:dyDescent="0.25">
      <c r="B76" s="237"/>
      <c r="C76" s="122" t="s">
        <v>423</v>
      </c>
      <c r="D76" s="169">
        <v>4</v>
      </c>
      <c r="E76" s="54"/>
      <c r="F76" s="152"/>
      <c r="G76" s="55"/>
      <c r="H76" s="112" t="s">
        <v>467</v>
      </c>
      <c r="AB76" s="41"/>
    </row>
    <row r="77" spans="2:28" ht="38.1" customHeight="1" x14ac:dyDescent="0.25">
      <c r="B77" s="237"/>
      <c r="C77" s="113" t="s">
        <v>426</v>
      </c>
      <c r="D77" s="193" t="str">
        <f>"Acquisition Time (min "&amp;ROUNDUP(ROUNDUP(IF(Summary!F33 = "PSOC 62 (256KB)", 83, 166)*IF(Config1_SystemMode = "System Deep Sleep", 2000, D73)/1000000, 0)/IF(Config1_SystemMode = "System Deep Sleep", 2000, D73)*1000000, 0)&amp;"ns)"</f>
        <v>Acquisition Time (min 167ns)</v>
      </c>
      <c r="E77" s="113" t="s">
        <v>427</v>
      </c>
      <c r="F77" s="194" t="s">
        <v>428</v>
      </c>
      <c r="G77" s="193" t="s">
        <v>429</v>
      </c>
      <c r="H77" s="112"/>
      <c r="AB77" s="41"/>
    </row>
    <row r="78" spans="2:28" ht="12.9" customHeight="1" x14ac:dyDescent="0.25">
      <c r="B78" s="237"/>
      <c r="C78" s="122">
        <v>0</v>
      </c>
      <c r="D78" s="60">
        <v>1000</v>
      </c>
      <c r="E78" s="60" t="s">
        <v>151</v>
      </c>
      <c r="F78" s="177">
        <f>ROUNDDOWN((G78/1000+ (1/IF(Config1_SystemMode = "System Deep Sleep", 2000, D73)*1000)*15)*IF(E78="Enabled", D76, 1),2)</f>
        <v>1.83</v>
      </c>
      <c r="G78" s="112">
        <f>ROUNDUP(ROUND(D78*D73/1000000,0)/D73*1000000,0)</f>
        <v>1000</v>
      </c>
      <c r="H78" s="112" t="s">
        <v>430</v>
      </c>
      <c r="AB78" s="41"/>
    </row>
    <row r="79" spans="2:28" ht="12.9" customHeight="1" x14ac:dyDescent="0.25">
      <c r="B79" s="237"/>
      <c r="C79" s="173">
        <v>1</v>
      </c>
      <c r="D79" s="60">
        <v>1000</v>
      </c>
      <c r="E79" s="60" t="s">
        <v>151</v>
      </c>
      <c r="F79" s="177">
        <f>ROUNDDOWN(IF(D$75 &gt; 1,(G79/1000+ (1/IF(Config1_SystemMode = "System Deep Sleep", 2000, D$73)*1000)*15)*IF(E79="Enabled", D$76, 1),0), 2)</f>
        <v>0</v>
      </c>
      <c r="G79" s="112">
        <f>ROUNDUP(ROUND(D79*D73/1000000,0)/D73*1000000,0)</f>
        <v>1000</v>
      </c>
      <c r="H79" s="112" t="s">
        <v>431</v>
      </c>
      <c r="AB79" s="41"/>
    </row>
    <row r="80" spans="2:28" ht="12.9" customHeight="1" x14ac:dyDescent="0.25">
      <c r="B80" s="237"/>
      <c r="C80" s="173">
        <v>2</v>
      </c>
      <c r="D80" s="60">
        <v>1000</v>
      </c>
      <c r="E80" s="60" t="s">
        <v>151</v>
      </c>
      <c r="F80" s="177">
        <f>ROUNDDOWN(IF(D$75 &gt; 2,(G79/1000+ (1/IF(Config1_SystemMode = "System Deep Sleep", 2000, D$73)*1000)*15)*IF(E79="Enabled", D$76, 1),0), 2)</f>
        <v>0</v>
      </c>
      <c r="G80" s="112">
        <f>ROUNDUP(ROUND(D80*D73/1000000,0)/D73*1000000,0)</f>
        <v>1000</v>
      </c>
      <c r="H80" s="112" t="s">
        <v>432</v>
      </c>
      <c r="AB80" s="41"/>
    </row>
    <row r="81" spans="2:28" ht="12.9" customHeight="1" x14ac:dyDescent="0.25">
      <c r="B81" s="237"/>
      <c r="C81" s="173">
        <v>3</v>
      </c>
      <c r="D81" s="60">
        <v>1000</v>
      </c>
      <c r="E81" s="60" t="s">
        <v>151</v>
      </c>
      <c r="F81" s="177">
        <f>ROUNDDOWN(IF(D$75 &gt; 2,(G80/1000+ (1/IF(Config1_SystemMode = "System Deep Sleep", 2000, D$73)*1000)*15)*IF(E80="Enabled", D$76, 1),0), 2)</f>
        <v>0</v>
      </c>
      <c r="G81" s="112">
        <f>ROUNDUP(ROUND(D81*D73/1000000,0)/D73*1000000,0)</f>
        <v>1000</v>
      </c>
      <c r="H81" s="112" t="s">
        <v>433</v>
      </c>
      <c r="AB81" s="41"/>
    </row>
    <row r="82" spans="2:28" ht="12.9" customHeight="1" x14ac:dyDescent="0.25">
      <c r="B82" s="237"/>
      <c r="C82" s="173">
        <v>4</v>
      </c>
      <c r="D82" s="60">
        <v>1000</v>
      </c>
      <c r="E82" s="60" t="s">
        <v>151</v>
      </c>
      <c r="F82" s="177">
        <f>ROUNDDOWN(IF(D$75 &gt; 4,(G81/1000+ (1/IF(Config1_SystemMode = "System Deep Sleep", 2000, D$73)*1000)*15)*IF(E81="Enabled", D$76, 1),0), 2)</f>
        <v>0</v>
      </c>
      <c r="G82" s="112">
        <f>ROUNDUP(ROUND(D82*D73/1000000,0)/D73*1000000,0)</f>
        <v>1000</v>
      </c>
      <c r="H82" s="112" t="s">
        <v>434</v>
      </c>
      <c r="AB82" s="41"/>
    </row>
    <row r="83" spans="2:28" ht="12.9" customHeight="1" x14ac:dyDescent="0.25">
      <c r="B83" s="237"/>
      <c r="C83" s="173">
        <v>5</v>
      </c>
      <c r="D83" s="60">
        <v>1000</v>
      </c>
      <c r="E83" s="60" t="s">
        <v>151</v>
      </c>
      <c r="F83" s="177">
        <f>ROUNDDOWN(IF(D$75 &gt; 5,(G82/1000+ (1/IF(Config1_SystemMode = "System Deep Sleep", 2000, D$73)*1000)*15)*IF(E82="Enabled", D$76, 1),0), 2)</f>
        <v>0</v>
      </c>
      <c r="G83" s="112">
        <f>ROUNDUP(ROUND(D83*D73/1000000,0)/D73*1000000,0)</f>
        <v>1000</v>
      </c>
      <c r="H83" s="112" t="s">
        <v>435</v>
      </c>
      <c r="AB83" s="41"/>
    </row>
    <row r="84" spans="2:28" ht="12.9" customHeight="1" x14ac:dyDescent="0.25">
      <c r="B84" s="237"/>
      <c r="C84" s="173">
        <v>6</v>
      </c>
      <c r="D84" s="60">
        <v>1000</v>
      </c>
      <c r="E84" s="60" t="s">
        <v>151</v>
      </c>
      <c r="F84" s="177">
        <f>ROUNDDOWN(IF(D$75 &gt; 6,(G83/1000+ (1/IF(Config1_SystemMode = "System Deep Sleep", 2000, D$73)*1000)*15)*IF(E83="Enabled", D$76, 1),0), 2)</f>
        <v>0</v>
      </c>
      <c r="G84" s="112">
        <f>ROUNDUP(ROUND(D84*D73/1000000,0)/D73*1000000,0)</f>
        <v>1000</v>
      </c>
      <c r="H84" s="112" t="s">
        <v>436</v>
      </c>
      <c r="AB84" s="41"/>
    </row>
    <row r="85" spans="2:28" ht="12.9" customHeight="1" x14ac:dyDescent="0.25">
      <c r="B85" s="237"/>
      <c r="C85" s="173">
        <v>7</v>
      </c>
      <c r="D85" s="60">
        <v>1000</v>
      </c>
      <c r="E85" s="60" t="s">
        <v>151</v>
      </c>
      <c r="F85" s="177">
        <f>ROUNDDOWN(IF(D$75 &gt;7,(G84/1000+ (1/IF(Config1_SystemMode = "System Deep Sleep", 2000, D$73)*1000)*15)*IF(E84="Enabled", D$76, 1),0), 2)</f>
        <v>0</v>
      </c>
      <c r="G85" s="112">
        <f>ROUNDUP(ROUND(D85*D73/1000000,0)/D73*1000000,0)</f>
        <v>1000</v>
      </c>
      <c r="H85" s="112" t="s">
        <v>437</v>
      </c>
      <c r="AB85" s="41"/>
    </row>
    <row r="86" spans="2:28" ht="12.9" customHeight="1" x14ac:dyDescent="0.25">
      <c r="B86" s="237"/>
      <c r="C86" s="173">
        <v>8</v>
      </c>
      <c r="D86" s="60">
        <v>1000</v>
      </c>
      <c r="E86" s="60" t="s">
        <v>151</v>
      </c>
      <c r="F86" s="177">
        <f>ROUNDDOWN(IF(D$75 &gt; 8,(G85/1000+ (1/IF(Config1_SystemMode = "System Deep Sleep", 2000, D$73)*1000)*15)*IF(E85="Enabled", D$76, 1),0), 2)</f>
        <v>0</v>
      </c>
      <c r="G86" s="112">
        <f>ROUNDUP(ROUND(D86*D73/1000000,0)/D73*1000000,0)</f>
        <v>1000</v>
      </c>
      <c r="H86" s="112" t="s">
        <v>438</v>
      </c>
      <c r="AB86" s="41"/>
    </row>
    <row r="87" spans="2:28" ht="12.9" customHeight="1" x14ac:dyDescent="0.25">
      <c r="B87" s="237"/>
      <c r="C87" s="173">
        <v>9</v>
      </c>
      <c r="D87" s="60">
        <v>1000</v>
      </c>
      <c r="E87" s="60" t="s">
        <v>151</v>
      </c>
      <c r="F87" s="177">
        <f>ROUNDDOWN(IF(D$75 &gt; 9,(G86/1000+ (1/IF(Config1_SystemMode = "System Deep Sleep", 2000, D$73)*1000)*15)*IF(E86="Enabled", D$76, 1),0), 2)</f>
        <v>0</v>
      </c>
      <c r="G87" s="112">
        <f>ROUNDUP(ROUND(D87*D73/1000000,0)/D73*1000000,0)</f>
        <v>1000</v>
      </c>
      <c r="H87" s="112" t="s">
        <v>439</v>
      </c>
      <c r="AB87" s="41"/>
    </row>
    <row r="88" spans="2:28" ht="12.9" customHeight="1" x14ac:dyDescent="0.25">
      <c r="B88" s="237"/>
      <c r="C88" s="173">
        <v>10</v>
      </c>
      <c r="D88" s="60">
        <v>1000</v>
      </c>
      <c r="E88" s="60" t="s">
        <v>151</v>
      </c>
      <c r="F88" s="177">
        <f>ROUNDDOWN(IF(D$75 &gt; 10,(G87/1000+ (1/IF(Config1_SystemMode = "System Deep Sleep", 2000, D$73)*1000)*15)*IF(E87="Enabled", D$76, 1),0), 2)</f>
        <v>0</v>
      </c>
      <c r="G88" s="112">
        <f>ROUNDUP(ROUND(D88*D73/1000000,0)/D73*1000000,0)</f>
        <v>1000</v>
      </c>
      <c r="H88" s="112" t="s">
        <v>440</v>
      </c>
      <c r="AB88" s="41"/>
    </row>
    <row r="89" spans="2:28" ht="12.9" customHeight="1" x14ac:dyDescent="0.25">
      <c r="B89" s="237"/>
      <c r="C89" s="173">
        <v>11</v>
      </c>
      <c r="D89" s="60">
        <v>1000</v>
      </c>
      <c r="E89" s="60" t="s">
        <v>151</v>
      </c>
      <c r="F89" s="177">
        <f>ROUNDDOWN(IF(D$75 &gt; 11,(G88/1000+ (1/IF(Config1_SystemMode = "System Deep Sleep", 2000, D$73)*1000)*15)*IF(E88="Enabled", D$76, 1),0), 2)</f>
        <v>0</v>
      </c>
      <c r="G89" s="112">
        <f>ROUNDUP(ROUND(D89*D73/1000000,0)/D73*1000000,0)</f>
        <v>1000</v>
      </c>
      <c r="H89" s="112" t="s">
        <v>441</v>
      </c>
      <c r="AB89" s="41"/>
    </row>
    <row r="90" spans="2:28" ht="12.9" customHeight="1" x14ac:dyDescent="0.25">
      <c r="B90" s="237"/>
      <c r="C90" s="173">
        <v>12</v>
      </c>
      <c r="D90" s="60">
        <v>1000</v>
      </c>
      <c r="E90" s="60" t="s">
        <v>151</v>
      </c>
      <c r="F90" s="177">
        <f>ROUNDDOWN(IF(D$75 &gt; 12,(G89/1000+ (1/IF(Config1_SystemMode = "System Deep Sleep", 2000, D$73)*1000)*15)*IF(E89="Enabled", D$76, 1),0), 2)</f>
        <v>0</v>
      </c>
      <c r="G90" s="112">
        <f>ROUNDUP(ROUND(D90*D73/1000000,0)/D73*1000000,0)</f>
        <v>1000</v>
      </c>
      <c r="H90" s="112" t="s">
        <v>442</v>
      </c>
      <c r="AB90" s="41"/>
    </row>
    <row r="91" spans="2:28" ht="12.9" customHeight="1" x14ac:dyDescent="0.25">
      <c r="B91" s="237"/>
      <c r="C91" s="173">
        <v>13</v>
      </c>
      <c r="D91" s="60">
        <v>1000</v>
      </c>
      <c r="E91" s="60" t="s">
        <v>151</v>
      </c>
      <c r="F91" s="177">
        <f>ROUNDDOWN(IF(D$75 &gt; 13,(G90/1000+ (1/IF(Config1_SystemMode = "System Deep Sleep", 2000, D$73)*1000)*15)*IF(E90="Enabled", D$76, 1),0), 2)</f>
        <v>0</v>
      </c>
      <c r="G91" s="112">
        <f>ROUNDUP(ROUND(D91*D73/1000000,0)/D73*1000000,0)</f>
        <v>1000</v>
      </c>
      <c r="H91" s="112" t="s">
        <v>443</v>
      </c>
      <c r="AB91" s="41"/>
    </row>
    <row r="92" spans="2:28" ht="12.9" customHeight="1" x14ac:dyDescent="0.25">
      <c r="B92" s="237"/>
      <c r="C92" s="173">
        <v>14</v>
      </c>
      <c r="D92" s="60">
        <v>1000</v>
      </c>
      <c r="E92" s="60" t="s">
        <v>151</v>
      </c>
      <c r="F92" s="177">
        <f>ROUNDDOWN(IF(D$75 &gt; 14,(G91/1000+ (1/IF(Config1_SystemMode = "System Deep Sleep", 2000, D$73)*1000)*15)*IF(E91="Enabled", D$76, 1),0), 2)</f>
        <v>0</v>
      </c>
      <c r="G92" s="112">
        <f>ROUNDUP(ROUND(D92*D73/1000000,0)/D73*1000000,0)</f>
        <v>1000</v>
      </c>
      <c r="H92" s="112" t="s">
        <v>444</v>
      </c>
      <c r="AB92" s="41"/>
    </row>
    <row r="93" spans="2:28" ht="12.9" customHeight="1" x14ac:dyDescent="0.25">
      <c r="B93" s="237"/>
      <c r="C93" s="173">
        <v>15</v>
      </c>
      <c r="D93" s="60">
        <v>1000</v>
      </c>
      <c r="E93" s="60" t="s">
        <v>151</v>
      </c>
      <c r="F93" s="177">
        <f>ROUNDDOWN(IF(D$75 &gt; 15,(G92/1000+ (1/IF(Config1_SystemMode = "System Deep Sleep", 2000, D$73)*1000)*15)*IF(E92="Enabled", D$76, 1),0), 2)</f>
        <v>0</v>
      </c>
      <c r="G93" s="112">
        <f>ROUNDUP(ROUND(D93*D73/1000000,0)/D73*1000000,0)</f>
        <v>1000</v>
      </c>
      <c r="H93" s="112" t="s">
        <v>445</v>
      </c>
      <c r="AB93" s="41"/>
    </row>
    <row r="94" spans="2:28" ht="12.9" customHeight="1" x14ac:dyDescent="0.25">
      <c r="B94" s="237"/>
      <c r="C94" s="230" t="s">
        <v>448</v>
      </c>
      <c r="D94" s="231"/>
      <c r="E94" s="232"/>
      <c r="F94" s="178">
        <f>IF(I72=TRUE,SUM(F78:F93),0)</f>
        <v>0</v>
      </c>
      <c r="G94" s="122" t="s">
        <v>413</v>
      </c>
      <c r="H94" s="112"/>
      <c r="AB94" s="41"/>
    </row>
    <row r="95" spans="2:28" ht="12.9" customHeight="1" x14ac:dyDescent="0.25">
      <c r="B95" s="237"/>
      <c r="C95" s="230" t="s">
        <v>446</v>
      </c>
      <c r="D95" s="231"/>
      <c r="E95" s="232"/>
      <c r="F95" s="152">
        <f>(F94*D42+IF(Config1_SystemMode = "System Deep Sleep", D41,0))*IF(NOT(B71), 0, 1)</f>
        <v>0</v>
      </c>
      <c r="G95" s="122" t="s">
        <v>413</v>
      </c>
      <c r="H95" s="112"/>
      <c r="AB95" s="41"/>
    </row>
    <row r="96" spans="2:28" ht="12.9" customHeight="1" x14ac:dyDescent="0.25">
      <c r="B96" s="238"/>
      <c r="C96" s="182" t="s">
        <v>471</v>
      </c>
      <c r="D96" s="179"/>
      <c r="E96" s="180"/>
      <c r="F96" s="66">
        <f>IF(I72=FALSE,0,IF(B71, IF(AND(Config1_SystemMode = "System Deep Sleep", SelectedDevice = "PSOC 62 (256KB)"), Config1_SAR_DPSLP * F95*D74/1000, IF(Config1_SystemMode = "System Deep Sleep", 0, (IF(D72="System bandgap",Config1_SAR_Ped_SysGap,0)+IF(D72="Vdda",Config1_SAR_Ped_Vdda,0)+IF(D72="Vdda/2",Config1_SAR_Ped_Vdda2,0)+D73/18*Config1_SAR_Coef))), 0))</f>
        <v>0</v>
      </c>
      <c r="G96" s="197" t="s">
        <v>10</v>
      </c>
      <c r="H96" s="112"/>
      <c r="AB96" s="41"/>
    </row>
    <row r="97" spans="2:28" x14ac:dyDescent="0.25">
      <c r="B97" s="186" t="s">
        <v>452</v>
      </c>
      <c r="C97" s="188"/>
      <c r="D97" s="188"/>
      <c r="E97" s="188"/>
      <c r="F97" s="191"/>
      <c r="G97" s="190"/>
      <c r="H97" s="190"/>
      <c r="AB97" s="41"/>
    </row>
    <row r="98" spans="2:28" x14ac:dyDescent="0.25">
      <c r="B98" s="168"/>
      <c r="C98" s="122" t="s">
        <v>453</v>
      </c>
      <c r="D98" s="60" t="s">
        <v>472</v>
      </c>
      <c r="E98" s="54"/>
      <c r="F98" s="152"/>
      <c r="G98" s="122"/>
      <c r="H98" s="112"/>
      <c r="AB98" s="41"/>
    </row>
    <row r="99" spans="2:28" x14ac:dyDescent="0.25">
      <c r="B99" s="168"/>
      <c r="C99" s="122" t="s">
        <v>454</v>
      </c>
      <c r="D99" s="146" t="s">
        <v>458</v>
      </c>
      <c r="E99" s="54"/>
      <c r="F99" s="152"/>
      <c r="G99" s="122"/>
      <c r="H99" s="112" t="s">
        <v>456</v>
      </c>
      <c r="AB99" s="41"/>
    </row>
    <row r="100" spans="2:28" x14ac:dyDescent="0.25">
      <c r="B100" s="53" t="s">
        <v>54</v>
      </c>
      <c r="C100" s="53"/>
      <c r="D100" s="53"/>
      <c r="E100" s="53"/>
      <c r="F100" s="53"/>
      <c r="G100" s="53"/>
      <c r="H100" s="53"/>
      <c r="AB100" s="41"/>
    </row>
    <row r="101" spans="2:28" x14ac:dyDescent="0.25">
      <c r="B101" s="54"/>
      <c r="C101" s="54" t="s">
        <v>33</v>
      </c>
      <c r="D101" s="60" t="s">
        <v>28</v>
      </c>
      <c r="E101" s="54"/>
      <c r="F101" s="57">
        <f>IF(D101="Off",0,IF(D101="High",IF(D98="100nA",Config1_OpAmp_High_100nA,Config1_OpAmp_High_1uA),0)+IF(D101="Low",IF(D98="100nA",Config1_OpAmp_Low_100nA,Config1_OpAmp_Low_1uA),0)+IF(D101="Medium",IF(D98="100nA",Config1_OpAmp_Med_100nA,Config1_OpAmp_Med_1uA),0))* IF(AND(D99 = "Deep Sleep Clock", Config1_SystemMode = "System Deep Sleep", OR(IF(F69= 0, FALSE, TRUE), IF(F96 = 0, FALSE, TRUE))), MAX(F68, F95)* IF(B44, D47, (IF(B71, D74, 1)))/1000,1)</f>
        <v>0</v>
      </c>
      <c r="G101" s="185" t="s">
        <v>57</v>
      </c>
      <c r="H101" s="112" t="s">
        <v>73</v>
      </c>
      <c r="AB101" s="41"/>
    </row>
    <row r="102" spans="2:28" x14ac:dyDescent="0.25">
      <c r="B102" s="53" t="s">
        <v>55</v>
      </c>
      <c r="C102" s="53"/>
      <c r="D102" s="53"/>
      <c r="E102" s="53"/>
      <c r="F102" s="53"/>
      <c r="G102" s="53"/>
      <c r="H102" s="53"/>
      <c r="AB102" s="41"/>
    </row>
    <row r="103" spans="2:28" x14ac:dyDescent="0.25">
      <c r="B103" s="54"/>
      <c r="C103" s="54" t="s">
        <v>33</v>
      </c>
      <c r="D103" s="60" t="s">
        <v>28</v>
      </c>
      <c r="E103" s="54"/>
      <c r="F103" s="57">
        <f>IF(D103="Off",0,IF(D103="High",IF(D98="100nA",Config1_OpAmp_High_100nA,Config1_OpAmp_High_1uA),0)+IF(D103="Low",IF(D98="100nA",Config1_OpAmp_Low_100nA,Config1_OpAmp_Low_1uA),0)+IF(D103="Medium",IF(D98="100nA",Config1_OpAmp_Med_100nA,Config1_OpAmp_Med_1uA),0))* IF(AND(D99 = "Deep Sleep Clock", Config1_SystemMode = "System Deep Sleep", OR(IF(F69= 0, FALSE, TRUE), IF(F96 = 0, FALSE, TRUE))), MAX(F68, F95)* IF(B44, D47, (IF(B71, D74, 1)))/1000,1)</f>
        <v>0</v>
      </c>
      <c r="G103" s="185" t="s">
        <v>57</v>
      </c>
      <c r="H103" s="112" t="s">
        <v>72</v>
      </c>
      <c r="AB103" s="43"/>
    </row>
    <row r="104" spans="2:28" x14ac:dyDescent="0.25">
      <c r="B104" s="53" t="s">
        <v>52</v>
      </c>
      <c r="C104" s="53"/>
      <c r="D104" s="53"/>
      <c r="E104" s="53"/>
      <c r="F104" s="53"/>
      <c r="G104" s="53"/>
      <c r="H104" s="53"/>
      <c r="AB104" s="41"/>
    </row>
    <row r="105" spans="2:28" x14ac:dyDescent="0.25">
      <c r="B105" s="54"/>
      <c r="C105" s="54" t="s">
        <v>2</v>
      </c>
      <c r="D105" s="60" t="s">
        <v>28</v>
      </c>
      <c r="E105" s="54"/>
      <c r="F105" s="57">
        <f>IF(D105="Off",0,IF(D105="Fast/Normal",Config1_LP_Fast,IF(D105="Medium/Low Power",Config1_LP_Med,Config1_LP_Slow)))</f>
        <v>0</v>
      </c>
      <c r="G105" s="58" t="s">
        <v>57</v>
      </c>
      <c r="H105" s="59" t="s">
        <v>74</v>
      </c>
      <c r="AB105" s="41"/>
    </row>
    <row r="106" spans="2:28" x14ac:dyDescent="0.25">
      <c r="B106" s="53" t="s">
        <v>53</v>
      </c>
      <c r="C106" s="53"/>
      <c r="D106" s="53"/>
      <c r="E106" s="53"/>
      <c r="F106" s="53"/>
      <c r="G106" s="53"/>
      <c r="H106" s="53"/>
      <c r="AB106" s="41"/>
    </row>
    <row r="107" spans="2:28" x14ac:dyDescent="0.25">
      <c r="B107" s="54"/>
      <c r="C107" s="54" t="s">
        <v>2</v>
      </c>
      <c r="D107" s="60" t="s">
        <v>28</v>
      </c>
      <c r="E107" s="54"/>
      <c r="F107" s="57">
        <f>IF(D107="Off",0,IF(D107="Fast/Normal",Config1_LP_Fast,IF(D107="Medium/Low Power",Config1_LP_Med,Config1_LP_Slow)))</f>
        <v>0</v>
      </c>
      <c r="G107" s="58" t="s">
        <v>57</v>
      </c>
      <c r="H107" s="59" t="s">
        <v>75</v>
      </c>
      <c r="AB107" s="41"/>
    </row>
    <row r="108" spans="2:28" x14ac:dyDescent="0.25">
      <c r="B108" s="53" t="s">
        <v>86</v>
      </c>
      <c r="C108" s="53"/>
      <c r="D108" s="53"/>
      <c r="E108" s="53"/>
      <c r="F108" s="53"/>
      <c r="G108" s="53"/>
      <c r="H108" s="53"/>
      <c r="AB108" s="41"/>
    </row>
    <row r="109" spans="2:28" x14ac:dyDescent="0.25">
      <c r="B109" s="54"/>
      <c r="C109" s="55" t="s">
        <v>156</v>
      </c>
      <c r="D109" s="60">
        <v>0</v>
      </c>
      <c r="E109" s="54"/>
      <c r="F109" s="57">
        <f ca="1">IF(OR(Config1_SystemMode = "System LP", Config1_SystemMode = "System ULP"), D109*Config1_DAC_Ped, 0)</f>
        <v>0</v>
      </c>
      <c r="G109" s="58" t="s">
        <v>57</v>
      </c>
      <c r="H109" s="112" t="s">
        <v>211</v>
      </c>
      <c r="AB109" s="41"/>
    </row>
    <row r="110" spans="2:28" x14ac:dyDescent="0.25">
      <c r="B110" s="53" t="s">
        <v>179</v>
      </c>
      <c r="C110" s="53"/>
      <c r="D110" s="53"/>
      <c r="E110" s="53"/>
      <c r="F110" s="53"/>
      <c r="G110" s="53"/>
      <c r="H110" s="53"/>
      <c r="AB110" s="41"/>
    </row>
    <row r="111" spans="2:28" x14ac:dyDescent="0.25">
      <c r="B111" s="55"/>
      <c r="C111" s="55" t="s">
        <v>56</v>
      </c>
      <c r="D111" s="56">
        <v>0</v>
      </c>
      <c r="E111" s="55" t="s">
        <v>3</v>
      </c>
      <c r="F111" s="57">
        <f ca="1">IF(OR(Config1_SystemMode = "System LP", Config1_SystemMode = "System ULP"), D111*Config1_CapSense_Coef+Config1_CapSense_Ped*D111, 0)</f>
        <v>0</v>
      </c>
      <c r="G111" s="58" t="s">
        <v>57</v>
      </c>
      <c r="H111" s="112" t="s">
        <v>215</v>
      </c>
      <c r="AB111" s="41"/>
    </row>
    <row r="112" spans="2:28" s="1" customFormat="1" x14ac:dyDescent="0.25">
      <c r="B112" s="53" t="s">
        <v>180</v>
      </c>
      <c r="C112" s="53"/>
      <c r="D112" s="53"/>
      <c r="E112" s="53"/>
      <c r="F112" s="53"/>
      <c r="G112" s="53"/>
      <c r="H112" s="53"/>
      <c r="AB112" s="41"/>
    </row>
    <row r="113" spans="2:28" x14ac:dyDescent="0.25">
      <c r="B113" s="55"/>
      <c r="C113" s="55" t="s">
        <v>56</v>
      </c>
      <c r="D113" s="56">
        <v>0</v>
      </c>
      <c r="E113" s="55" t="s">
        <v>3</v>
      </c>
      <c r="F113" s="57">
        <f ca="1">IF(OR(Config1_SystemMode = "System LP", Config1_SystemMode = "System ULP"), D113*Config1_CapSense_Coef+Config1_CapSense_Ped*D113, 0)</f>
        <v>0</v>
      </c>
      <c r="G113" s="58" t="s">
        <v>57</v>
      </c>
      <c r="H113" s="112" t="s">
        <v>215</v>
      </c>
      <c r="AB113" s="41"/>
    </row>
    <row r="114" spans="2:28" s="1" customFormat="1" x14ac:dyDescent="0.25">
      <c r="B114" s="53" t="s">
        <v>152</v>
      </c>
      <c r="C114" s="53"/>
      <c r="D114" s="53"/>
      <c r="E114" s="53"/>
      <c r="F114" s="65">
        <f ca="1">(F69+F96+SUM(F101:F113))/1000</f>
        <v>0</v>
      </c>
      <c r="G114" s="53" t="s">
        <v>316</v>
      </c>
      <c r="H114" s="53"/>
      <c r="AB114" s="41"/>
    </row>
    <row r="115" spans="2:28" s="1" customFormat="1" x14ac:dyDescent="0.25">
      <c r="B115" s="48"/>
      <c r="C115" s="48"/>
      <c r="D115" s="48"/>
      <c r="E115" s="48"/>
      <c r="F115" s="48"/>
      <c r="G115" s="48"/>
      <c r="H115" s="50"/>
      <c r="AB115" s="41"/>
    </row>
    <row r="116" spans="2:28" s="1" customFormat="1" ht="15.6" x14ac:dyDescent="0.3">
      <c r="B116" s="225" t="s">
        <v>139</v>
      </c>
      <c r="C116" s="225"/>
      <c r="D116" s="225"/>
      <c r="E116" s="225"/>
      <c r="F116" s="225"/>
      <c r="G116" s="225"/>
      <c r="H116" s="225"/>
      <c r="AB116" s="41"/>
    </row>
    <row r="117" spans="2:28" s="1" customFormat="1" x14ac:dyDescent="0.25">
      <c r="B117" s="53" t="s">
        <v>68</v>
      </c>
      <c r="C117" s="53"/>
      <c r="D117" s="53"/>
      <c r="E117" s="53"/>
      <c r="F117" s="53"/>
      <c r="G117" s="53"/>
      <c r="H117" s="53"/>
      <c r="AB117" s="41"/>
    </row>
    <row r="118" spans="2:28" s="1" customFormat="1" x14ac:dyDescent="0.25">
      <c r="B118" s="151" t="b">
        <v>0</v>
      </c>
      <c r="C118" s="122" t="s">
        <v>333</v>
      </c>
      <c r="D118" s="149" t="s">
        <v>150</v>
      </c>
      <c r="E118" s="122"/>
      <c r="F118" s="122"/>
      <c r="G118" s="122"/>
      <c r="H118" s="112" t="s">
        <v>337</v>
      </c>
      <c r="AB118" s="41"/>
    </row>
    <row r="119" spans="2:28" x14ac:dyDescent="0.25">
      <c r="B119" s="140"/>
      <c r="C119" s="55" t="s">
        <v>63</v>
      </c>
      <c r="D119" s="56">
        <v>100</v>
      </c>
      <c r="E119" s="54" t="s">
        <v>3</v>
      </c>
      <c r="F119" s="66">
        <f>IF(AND(Config5_AllClocksOn,B118),IF(D118="Disabled",0,Config5_Tcpwm_EnPed*$D$28/100/(2-1/Config5_Tcpwm_Count))+IF(D118="Triggered",D119*IF($D$28=D119,Config5_Tcpwm_TrigPeriCoef,Config5_Tcpwm_TrigCoef),0),0)</f>
        <v>0</v>
      </c>
      <c r="G119" s="58" t="s">
        <v>57</v>
      </c>
      <c r="H119" s="112" t="s">
        <v>212</v>
      </c>
      <c r="AB119" s="41"/>
    </row>
    <row r="120" spans="2:28" x14ac:dyDescent="0.25">
      <c r="B120" s="140" t="b">
        <v>0</v>
      </c>
      <c r="C120" s="122" t="s">
        <v>338</v>
      </c>
      <c r="D120" s="149" t="s">
        <v>151</v>
      </c>
      <c r="E120" s="54"/>
      <c r="F120" s="152"/>
      <c r="G120" s="55"/>
      <c r="H120" s="112" t="s">
        <v>337</v>
      </c>
      <c r="AB120" s="41"/>
    </row>
    <row r="121" spans="2:28" x14ac:dyDescent="0.25">
      <c r="B121" s="140"/>
      <c r="C121" s="122" t="s">
        <v>65</v>
      </c>
      <c r="D121" s="56">
        <v>100</v>
      </c>
      <c r="E121" s="122" t="s">
        <v>3</v>
      </c>
      <c r="F121" s="66">
        <f>IF(AND(Config5_AllClocksOn,B120),IF(D120="Disabled",0,Config5_Tcpwm_EnPed*$D$28/100/(2-1/Config5_Tcpwm_Count))+IF(D120="Triggered",D121*IF($D$28=D121,Config5_Tcpwm_TrigPeriCoef,Config5_Tcpwm_TrigCoef),0),0)</f>
        <v>0</v>
      </c>
      <c r="G121" s="58" t="s">
        <v>57</v>
      </c>
      <c r="H121" s="112" t="s">
        <v>212</v>
      </c>
      <c r="AB121" s="41"/>
    </row>
    <row r="122" spans="2:28" s="1" customFormat="1" x14ac:dyDescent="0.25">
      <c r="B122" s="151" t="b">
        <v>0</v>
      </c>
      <c r="C122" s="122" t="s">
        <v>339</v>
      </c>
      <c r="D122" s="149" t="s">
        <v>335</v>
      </c>
      <c r="E122" s="122"/>
      <c r="F122" s="122"/>
      <c r="G122" s="122"/>
      <c r="H122" s="112" t="s">
        <v>337</v>
      </c>
      <c r="AB122" s="41"/>
    </row>
    <row r="123" spans="2:28" x14ac:dyDescent="0.25">
      <c r="B123" s="140"/>
      <c r="C123" s="122" t="s">
        <v>66</v>
      </c>
      <c r="D123" s="56">
        <v>100</v>
      </c>
      <c r="E123" s="54" t="s">
        <v>3</v>
      </c>
      <c r="F123" s="66">
        <f>IF(AND(Config5_AllClocksOn,B122),IF(D122="Disabled",0,Config5_Tcpwm_EnPed*$D$28/100/(2-1/Config5_Tcpwm_Count))+IF(D122="Triggered",D123*IF($D$28=D123,Config5_Tcpwm_TrigPeriCoef,Config5_Tcpwm_TrigCoef),0),0)</f>
        <v>0</v>
      </c>
      <c r="G123" s="58" t="s">
        <v>57</v>
      </c>
      <c r="H123" s="112" t="s">
        <v>212</v>
      </c>
      <c r="AB123" s="41"/>
    </row>
    <row r="124" spans="2:28" x14ac:dyDescent="0.25">
      <c r="B124" s="140" t="b">
        <v>0</v>
      </c>
      <c r="C124" s="122" t="s">
        <v>340</v>
      </c>
      <c r="D124" s="149" t="s">
        <v>335</v>
      </c>
      <c r="E124" s="54"/>
      <c r="F124" s="152"/>
      <c r="G124" s="55"/>
      <c r="H124" s="112" t="s">
        <v>337</v>
      </c>
      <c r="AB124" s="41"/>
    </row>
    <row r="125" spans="2:28" x14ac:dyDescent="0.25">
      <c r="B125" s="140"/>
      <c r="C125" s="122" t="s">
        <v>67</v>
      </c>
      <c r="D125" s="56">
        <v>100</v>
      </c>
      <c r="E125" s="122" t="s">
        <v>3</v>
      </c>
      <c r="F125" s="66">
        <f>IF(AND(Config5_AllClocksOn,B124),IF(D124="Disabled",0,Config5_Tcpwm_EnPed*$D$28/100/(2-1/Config5_Tcpwm_Count))+IF(D124="Triggered",D125*IF($D$28=D125,Config5_Tcpwm_TrigPeriCoef,Config5_Tcpwm_TrigCoef),0),0)</f>
        <v>0</v>
      </c>
      <c r="G125" s="58" t="s">
        <v>57</v>
      </c>
      <c r="H125" s="112" t="s">
        <v>212</v>
      </c>
      <c r="AB125" s="41"/>
    </row>
    <row r="126" spans="2:28" s="1" customFormat="1" x14ac:dyDescent="0.25">
      <c r="B126" s="151" t="b">
        <v>0</v>
      </c>
      <c r="C126" s="122" t="s">
        <v>341</v>
      </c>
      <c r="D126" s="149" t="s">
        <v>335</v>
      </c>
      <c r="E126" s="122"/>
      <c r="F126" s="122"/>
      <c r="G126" s="122"/>
      <c r="H126" s="112" t="s">
        <v>337</v>
      </c>
      <c r="AB126" s="41"/>
    </row>
    <row r="127" spans="2:28" x14ac:dyDescent="0.25">
      <c r="B127" s="140"/>
      <c r="C127" s="122" t="s">
        <v>145</v>
      </c>
      <c r="D127" s="56">
        <v>100</v>
      </c>
      <c r="E127" s="54" t="s">
        <v>3</v>
      </c>
      <c r="F127" s="66">
        <f>IF(AND(Config5_AllClocksOn,B126),IF(D126="Disabled",0,Config5_Tcpwm_EnPed*$D$28/100/(2-1/Config5_Tcpwm_Count))+IF(D126="Triggered",D127*IF($D$28=D127,Config5_Tcpwm_TrigPeriCoef,Config5_Tcpwm_TrigCoef),0),0)</f>
        <v>0</v>
      </c>
      <c r="G127" s="58" t="s">
        <v>57</v>
      </c>
      <c r="H127" s="112" t="s">
        <v>212</v>
      </c>
      <c r="AB127" s="41"/>
    </row>
    <row r="128" spans="2:28" x14ac:dyDescent="0.25">
      <c r="B128" s="140" t="b">
        <v>0</v>
      </c>
      <c r="C128" s="122" t="s">
        <v>342</v>
      </c>
      <c r="D128" s="149" t="s">
        <v>335</v>
      </c>
      <c r="E128" s="54"/>
      <c r="F128" s="152"/>
      <c r="G128" s="55"/>
      <c r="H128" s="112" t="s">
        <v>337</v>
      </c>
      <c r="AB128" s="41"/>
    </row>
    <row r="129" spans="2:28" x14ac:dyDescent="0.25">
      <c r="B129" s="140"/>
      <c r="C129" s="122" t="s">
        <v>146</v>
      </c>
      <c r="D129" s="56">
        <v>100</v>
      </c>
      <c r="E129" s="122" t="s">
        <v>3</v>
      </c>
      <c r="F129" s="66">
        <f>IF(AND(Config5_AllClocksOn,B128),IF(D128="Disabled",0,Config5_Tcpwm_EnPed*$D$28/100/(2-1/Config5_Tcpwm_Count))+IF(D128="Triggered",D129*IF($D$28=D129,Config5_Tcpwm_TrigPeriCoef,Config5_Tcpwm_TrigCoef),0),0)</f>
        <v>0</v>
      </c>
      <c r="G129" s="58" t="s">
        <v>57</v>
      </c>
      <c r="H129" s="112" t="s">
        <v>212</v>
      </c>
      <c r="AB129" s="41"/>
    </row>
    <row r="130" spans="2:28" s="1" customFormat="1" x14ac:dyDescent="0.25">
      <c r="B130" s="151" t="b">
        <v>0</v>
      </c>
      <c r="C130" s="122" t="s">
        <v>343</v>
      </c>
      <c r="D130" s="149" t="s">
        <v>335</v>
      </c>
      <c r="E130" s="122"/>
      <c r="F130" s="122"/>
      <c r="G130" s="122"/>
      <c r="H130" s="112" t="s">
        <v>337</v>
      </c>
      <c r="AB130" s="41"/>
    </row>
    <row r="131" spans="2:28" x14ac:dyDescent="0.25">
      <c r="B131" s="140"/>
      <c r="C131" s="122" t="s">
        <v>147</v>
      </c>
      <c r="D131" s="56">
        <v>100</v>
      </c>
      <c r="E131" s="54" t="s">
        <v>3</v>
      </c>
      <c r="F131" s="66">
        <f>IF(AND(Config5_AllClocksOn,B130),IF(D130="Disabled",0,Config5_Tcpwm_EnPed*$D$28/100/(2-1/Config5_Tcpwm_Count))+IF(D130="Triggered",D131*IF($D$28=D131,Config5_Tcpwm_TrigPeriCoef,Config5_Tcpwm_TrigCoef),0),0)</f>
        <v>0</v>
      </c>
      <c r="G131" s="58" t="s">
        <v>57</v>
      </c>
      <c r="H131" s="112" t="s">
        <v>212</v>
      </c>
      <c r="AB131" s="41"/>
    </row>
    <row r="132" spans="2:28" x14ac:dyDescent="0.25">
      <c r="B132" s="140" t="b">
        <v>0</v>
      </c>
      <c r="C132" s="122" t="s">
        <v>344</v>
      </c>
      <c r="D132" s="149" t="s">
        <v>335</v>
      </c>
      <c r="E132" s="54"/>
      <c r="F132" s="152"/>
      <c r="G132" s="55"/>
      <c r="H132" s="112" t="s">
        <v>337</v>
      </c>
      <c r="AB132" s="41"/>
    </row>
    <row r="133" spans="2:28" x14ac:dyDescent="0.25">
      <c r="B133" s="140"/>
      <c r="C133" s="122" t="s">
        <v>148</v>
      </c>
      <c r="D133" s="56">
        <v>100</v>
      </c>
      <c r="E133" s="122" t="s">
        <v>3</v>
      </c>
      <c r="F133" s="66">
        <f>IF(AND(Config5_AllClocksOn,B132),IF(D132="Disabled",0,Config5_Tcpwm_EnPed*$D$28/100/(2-1/Config5_Tcpwm_Count))+IF(D132="Triggered",D133*IF($D$28=D133,Config5_Tcpwm_TrigPeriCoef,Config5_Tcpwm_TrigCoef),0),0)</f>
        <v>0</v>
      </c>
      <c r="G133" s="58" t="s">
        <v>57</v>
      </c>
      <c r="H133" s="112" t="s">
        <v>212</v>
      </c>
      <c r="AB133" s="41"/>
    </row>
    <row r="134" spans="2:28" s="1" customFormat="1" hidden="1" outlineLevel="1" x14ac:dyDescent="0.25">
      <c r="B134" s="151" t="b">
        <v>0</v>
      </c>
      <c r="C134" s="122" t="s">
        <v>345</v>
      </c>
      <c r="D134" s="149" t="s">
        <v>335</v>
      </c>
      <c r="E134" s="122"/>
      <c r="F134" s="122"/>
      <c r="G134" s="122"/>
      <c r="H134" s="112" t="s">
        <v>337</v>
      </c>
      <c r="AB134" s="41"/>
    </row>
    <row r="135" spans="2:28" hidden="1" outlineLevel="1" x14ac:dyDescent="0.25">
      <c r="B135" s="140"/>
      <c r="C135" s="122" t="s">
        <v>270</v>
      </c>
      <c r="D135" s="56">
        <v>100</v>
      </c>
      <c r="E135" s="54" t="s">
        <v>3</v>
      </c>
      <c r="F135" s="66">
        <f>IF(AND(Config5_AllClocksOn,B134),IF(D134="Disabled",0,Config5_Tcpwm_EnPed*$D$28/100/(2-1/Config5_Tcpwm_Count))+IF(D134="Triggered",D135*IF($D$28=D135,Config5_Tcpwm_TrigPeriCoef,Config5_Tcpwm_TrigCoef),0),0)</f>
        <v>0</v>
      </c>
      <c r="G135" s="58" t="s">
        <v>57</v>
      </c>
      <c r="H135" s="112" t="s">
        <v>212</v>
      </c>
      <c r="AB135" s="41"/>
    </row>
    <row r="136" spans="2:28" hidden="1" outlineLevel="1" x14ac:dyDescent="0.25">
      <c r="B136" s="140" t="b">
        <v>0</v>
      </c>
      <c r="C136" s="122" t="s">
        <v>346</v>
      </c>
      <c r="D136" s="149" t="s">
        <v>335</v>
      </c>
      <c r="E136" s="54"/>
      <c r="F136" s="152"/>
      <c r="G136" s="55"/>
      <c r="H136" s="112" t="s">
        <v>337</v>
      </c>
      <c r="AB136" s="41"/>
    </row>
    <row r="137" spans="2:28" hidden="1" outlineLevel="1" x14ac:dyDescent="0.25">
      <c r="B137" s="140"/>
      <c r="C137" s="122" t="s">
        <v>271</v>
      </c>
      <c r="D137" s="56">
        <v>100</v>
      </c>
      <c r="E137" s="122" t="s">
        <v>3</v>
      </c>
      <c r="F137" s="66">
        <f>IF(AND(Config5_AllClocksOn,B136),IF(D136="Disabled",0,Config5_Tcpwm_EnPed*$D$28/100/(2-1/Config5_Tcpwm_Count))+IF(D136="Triggered",D137*IF($D$28=D137,Config5_Tcpwm_TrigPeriCoef,Config5_Tcpwm_TrigCoef),0),0)</f>
        <v>0</v>
      </c>
      <c r="G137" s="58" t="s">
        <v>57</v>
      </c>
      <c r="H137" s="112" t="s">
        <v>212</v>
      </c>
      <c r="AB137" s="41"/>
    </row>
    <row r="138" spans="2:28" s="1" customFormat="1" hidden="1" outlineLevel="1" x14ac:dyDescent="0.25">
      <c r="B138" s="151" t="b">
        <v>0</v>
      </c>
      <c r="C138" s="122" t="s">
        <v>347</v>
      </c>
      <c r="D138" s="149" t="s">
        <v>335</v>
      </c>
      <c r="E138" s="122"/>
      <c r="F138" s="122"/>
      <c r="G138" s="122"/>
      <c r="H138" s="112" t="s">
        <v>337</v>
      </c>
      <c r="AB138" s="41"/>
    </row>
    <row r="139" spans="2:28" hidden="1" outlineLevel="1" x14ac:dyDescent="0.25">
      <c r="B139" s="140"/>
      <c r="C139" s="122" t="s">
        <v>272</v>
      </c>
      <c r="D139" s="56">
        <v>100</v>
      </c>
      <c r="E139" s="54" t="s">
        <v>3</v>
      </c>
      <c r="F139" s="66">
        <f>IF(AND(Config5_AllClocksOn,B138),IF(D138="Disabled",0,Config5_Tcpwm_EnPed*$D$28/100/(2-1/Config5_Tcpwm_Count))+IF(D138="Triggered",D139*IF($D$28=D139,Config5_Tcpwm_TrigPeriCoef,Config5_Tcpwm_TrigCoef),0),0)</f>
        <v>0</v>
      </c>
      <c r="G139" s="58" t="s">
        <v>57</v>
      </c>
      <c r="H139" s="112" t="s">
        <v>212</v>
      </c>
      <c r="AB139" s="41"/>
    </row>
    <row r="140" spans="2:28" hidden="1" outlineLevel="1" x14ac:dyDescent="0.25">
      <c r="B140" s="140" t="b">
        <v>0</v>
      </c>
      <c r="C140" s="122" t="s">
        <v>348</v>
      </c>
      <c r="D140" s="149" t="s">
        <v>335</v>
      </c>
      <c r="E140" s="54"/>
      <c r="F140" s="152"/>
      <c r="G140" s="55"/>
      <c r="H140" s="112" t="s">
        <v>337</v>
      </c>
      <c r="AB140" s="41"/>
    </row>
    <row r="141" spans="2:28" hidden="1" outlineLevel="1" x14ac:dyDescent="0.25">
      <c r="B141" s="140"/>
      <c r="C141" s="122" t="s">
        <v>273</v>
      </c>
      <c r="D141" s="56">
        <v>100</v>
      </c>
      <c r="E141" s="122" t="s">
        <v>3</v>
      </c>
      <c r="F141" s="66">
        <f>IF(AND(Config5_AllClocksOn,B140),IF(D140="Disabled",0,Config5_Tcpwm_EnPed*$D$28/100/(2-1/Config5_Tcpwm_Count))+IF(D140="Triggered",D141*IF($D$28=D141,Config5_Tcpwm_TrigPeriCoef,Config5_Tcpwm_TrigCoef),0),0)</f>
        <v>0</v>
      </c>
      <c r="G141" s="58" t="s">
        <v>57</v>
      </c>
      <c r="H141" s="112" t="s">
        <v>212</v>
      </c>
      <c r="AB141" s="41"/>
    </row>
    <row r="142" spans="2:28" s="1" customFormat="1" hidden="1" outlineLevel="1" x14ac:dyDescent="0.25">
      <c r="B142" s="151" t="b">
        <v>0</v>
      </c>
      <c r="C142" s="122" t="s">
        <v>349</v>
      </c>
      <c r="D142" s="149" t="s">
        <v>335</v>
      </c>
      <c r="E142" s="122"/>
      <c r="F142" s="122"/>
      <c r="G142" s="122"/>
      <c r="H142" s="112" t="s">
        <v>337</v>
      </c>
      <c r="AB142" s="41"/>
    </row>
    <row r="143" spans="2:28" hidden="1" outlineLevel="1" x14ac:dyDescent="0.25">
      <c r="B143" s="140"/>
      <c r="C143" s="122" t="s">
        <v>274</v>
      </c>
      <c r="D143" s="56">
        <v>100</v>
      </c>
      <c r="E143" s="54" t="s">
        <v>3</v>
      </c>
      <c r="F143" s="66">
        <f>IF(AND(Config5_AllClocksOn,B142),IF(D142="Disabled",0,Config5_Tcpwm_EnPed*$D$28/100/(2-1/Config5_Tcpwm_Count))+IF(D142="Triggered",D143*IF($D$28=D143,Config5_Tcpwm_TrigPeriCoef,Config5_Tcpwm_TrigCoef),0),0)</f>
        <v>0</v>
      </c>
      <c r="G143" s="58" t="s">
        <v>57</v>
      </c>
      <c r="H143" s="112" t="s">
        <v>212</v>
      </c>
      <c r="AB143" s="41"/>
    </row>
    <row r="144" spans="2:28" hidden="1" outlineLevel="1" x14ac:dyDescent="0.25">
      <c r="B144" s="140" t="b">
        <v>0</v>
      </c>
      <c r="C144" s="122" t="s">
        <v>350</v>
      </c>
      <c r="D144" s="149" t="s">
        <v>335</v>
      </c>
      <c r="E144" s="54"/>
      <c r="F144" s="152"/>
      <c r="G144" s="55"/>
      <c r="H144" s="112" t="s">
        <v>337</v>
      </c>
      <c r="AB144" s="41"/>
    </row>
    <row r="145" spans="2:28" hidden="1" outlineLevel="1" x14ac:dyDescent="0.25">
      <c r="B145" s="140"/>
      <c r="C145" s="122" t="s">
        <v>275</v>
      </c>
      <c r="D145" s="56">
        <v>100</v>
      </c>
      <c r="E145" s="122" t="s">
        <v>3</v>
      </c>
      <c r="F145" s="66">
        <f>IF(AND(Config5_AllClocksOn,B144),IF(D144="Disabled",0,Config5_Tcpwm_EnPed*$D$28/100/(2-1/Config5_Tcpwm_Count))+IF(D144="Triggered",D145*IF($D$28=D145,Config5_Tcpwm_TrigPeriCoef,Config5_Tcpwm_TrigCoef),0),0)</f>
        <v>0</v>
      </c>
      <c r="G145" s="58" t="s">
        <v>57</v>
      </c>
      <c r="H145" s="112" t="s">
        <v>212</v>
      </c>
      <c r="AB145" s="41"/>
    </row>
    <row r="146" spans="2:28" s="1" customFormat="1" hidden="1" outlineLevel="1" x14ac:dyDescent="0.25">
      <c r="B146" s="151" t="b">
        <v>0</v>
      </c>
      <c r="C146" s="122" t="s">
        <v>351</v>
      </c>
      <c r="D146" s="149" t="s">
        <v>335</v>
      </c>
      <c r="E146" s="122"/>
      <c r="F146" s="122"/>
      <c r="G146" s="122"/>
      <c r="H146" s="112" t="s">
        <v>337</v>
      </c>
      <c r="AB146" s="41"/>
    </row>
    <row r="147" spans="2:28" hidden="1" outlineLevel="1" x14ac:dyDescent="0.25">
      <c r="B147" s="140"/>
      <c r="C147" s="122" t="s">
        <v>276</v>
      </c>
      <c r="D147" s="56">
        <v>100</v>
      </c>
      <c r="E147" s="54" t="s">
        <v>3</v>
      </c>
      <c r="F147" s="66">
        <f>IF(AND(Config5_AllClocksOn,B146),IF(D146="Disabled",0,Config5_Tcpwm_EnPed*$D$28/100/(2-1/Config5_Tcpwm_Count))+IF(D146="Triggered",D147*IF($D$28=D147,Config5_Tcpwm_TrigPeriCoef,Config5_Tcpwm_TrigCoef),0),0)</f>
        <v>0</v>
      </c>
      <c r="G147" s="58" t="s">
        <v>57</v>
      </c>
      <c r="H147" s="112" t="s">
        <v>212</v>
      </c>
      <c r="AB147" s="41"/>
    </row>
    <row r="148" spans="2:28" hidden="1" outlineLevel="1" x14ac:dyDescent="0.25">
      <c r="B148" s="140" t="b">
        <v>0</v>
      </c>
      <c r="C148" s="122" t="s">
        <v>352</v>
      </c>
      <c r="D148" s="149" t="s">
        <v>335</v>
      </c>
      <c r="E148" s="54"/>
      <c r="F148" s="152"/>
      <c r="G148" s="55"/>
      <c r="H148" s="112" t="s">
        <v>337</v>
      </c>
      <c r="AB148" s="41"/>
    </row>
    <row r="149" spans="2:28" hidden="1" outlineLevel="1" x14ac:dyDescent="0.25">
      <c r="B149" s="140"/>
      <c r="C149" s="122" t="s">
        <v>277</v>
      </c>
      <c r="D149" s="56">
        <v>100</v>
      </c>
      <c r="E149" s="122" t="s">
        <v>3</v>
      </c>
      <c r="F149" s="66">
        <f>IF(AND(Config5_AllClocksOn,B148),IF(D148="Disabled",0,Config5_Tcpwm_EnPed*$D$28/100/(2-1/Config5_Tcpwm_Count))+IF(D148="Triggered",D149*IF($D$28=D149,Config5_Tcpwm_TrigPeriCoef,Config5_Tcpwm_TrigCoef),0),0)</f>
        <v>0</v>
      </c>
      <c r="G149" s="58" t="s">
        <v>57</v>
      </c>
      <c r="H149" s="112" t="s">
        <v>212</v>
      </c>
      <c r="AB149" s="41"/>
    </row>
    <row r="150" spans="2:28" s="1" customFormat="1" hidden="1" outlineLevel="1" x14ac:dyDescent="0.25">
      <c r="B150" s="151" t="b">
        <v>0</v>
      </c>
      <c r="C150" s="122" t="s">
        <v>353</v>
      </c>
      <c r="D150" s="149" t="s">
        <v>335</v>
      </c>
      <c r="E150" s="122"/>
      <c r="F150" s="122"/>
      <c r="G150" s="122"/>
      <c r="H150" s="112" t="s">
        <v>337</v>
      </c>
      <c r="AB150" s="41"/>
    </row>
    <row r="151" spans="2:28" hidden="1" outlineLevel="1" x14ac:dyDescent="0.25">
      <c r="B151" s="140"/>
      <c r="C151" s="122" t="s">
        <v>278</v>
      </c>
      <c r="D151" s="56">
        <v>100</v>
      </c>
      <c r="E151" s="54" t="s">
        <v>3</v>
      </c>
      <c r="F151" s="66">
        <f>IF(AND(Config5_AllClocksOn,B150),IF(D150="Disabled",0,Config5_Tcpwm_EnPed*$D$28/100/(2-1/Config5_Tcpwm_Count))+IF(D150="Triggered",D151*IF($D$28=D151,Config5_Tcpwm_TrigPeriCoef,Config5_Tcpwm_TrigCoef),0),0)</f>
        <v>0</v>
      </c>
      <c r="G151" s="58" t="s">
        <v>57</v>
      </c>
      <c r="H151" s="112" t="s">
        <v>212</v>
      </c>
      <c r="AB151" s="41"/>
    </row>
    <row r="152" spans="2:28" hidden="1" outlineLevel="1" x14ac:dyDescent="0.25">
      <c r="B152" s="140" t="b">
        <v>0</v>
      </c>
      <c r="C152" s="122" t="s">
        <v>354</v>
      </c>
      <c r="D152" s="149" t="s">
        <v>335</v>
      </c>
      <c r="E152" s="54"/>
      <c r="F152" s="152"/>
      <c r="G152" s="55"/>
      <c r="H152" s="112" t="s">
        <v>337</v>
      </c>
      <c r="AB152" s="41"/>
    </row>
    <row r="153" spans="2:28" hidden="1" outlineLevel="1" x14ac:dyDescent="0.25">
      <c r="B153" s="140"/>
      <c r="C153" s="122" t="s">
        <v>279</v>
      </c>
      <c r="D153" s="56">
        <v>100</v>
      </c>
      <c r="E153" s="122" t="s">
        <v>3</v>
      </c>
      <c r="F153" s="66">
        <f>IF(AND(Config5_AllClocksOn,B152),IF(D152="Disabled",0,Config5_Tcpwm_EnPed*$D$28/100/(2-1/Config5_Tcpwm_Count))+IF(D152="Triggered",D153*IF($D$28=D153,Config5_Tcpwm_TrigPeriCoef,Config5_Tcpwm_TrigCoef),0),0)</f>
        <v>0</v>
      </c>
      <c r="G153" s="58" t="s">
        <v>57</v>
      </c>
      <c r="H153" s="112" t="s">
        <v>212</v>
      </c>
      <c r="AB153" s="41"/>
    </row>
    <row r="154" spans="2:28" s="1" customFormat="1" hidden="1" outlineLevel="1" x14ac:dyDescent="0.25">
      <c r="B154" s="151" t="b">
        <v>0</v>
      </c>
      <c r="C154" s="122" t="s">
        <v>355</v>
      </c>
      <c r="D154" s="149" t="s">
        <v>335</v>
      </c>
      <c r="E154" s="122"/>
      <c r="F154" s="122"/>
      <c r="G154" s="122"/>
      <c r="H154" s="112" t="s">
        <v>337</v>
      </c>
      <c r="AB154" s="41"/>
    </row>
    <row r="155" spans="2:28" hidden="1" outlineLevel="1" x14ac:dyDescent="0.25">
      <c r="B155" s="140"/>
      <c r="C155" s="122" t="s">
        <v>280</v>
      </c>
      <c r="D155" s="56">
        <v>100</v>
      </c>
      <c r="E155" s="54" t="s">
        <v>3</v>
      </c>
      <c r="F155" s="66">
        <f>IF(AND(Config5_AllClocksOn,B154),IF(D154="Disabled",0,Config5_Tcpwm_EnPed*$D$28/100/(2-1/Config5_Tcpwm_Count))+IF(D154="Triggered",D155*IF($D$28=D155,Config5_Tcpwm_TrigPeriCoef,Config5_Tcpwm_TrigCoef),0),0)</f>
        <v>0</v>
      </c>
      <c r="G155" s="58" t="s">
        <v>57</v>
      </c>
      <c r="H155" s="112" t="s">
        <v>212</v>
      </c>
      <c r="AB155" s="41"/>
    </row>
    <row r="156" spans="2:28" hidden="1" outlineLevel="1" x14ac:dyDescent="0.25">
      <c r="B156" s="140" t="b">
        <v>0</v>
      </c>
      <c r="C156" s="122" t="s">
        <v>356</v>
      </c>
      <c r="D156" s="149" t="s">
        <v>335</v>
      </c>
      <c r="E156" s="54"/>
      <c r="F156" s="152"/>
      <c r="G156" s="55"/>
      <c r="H156" s="112" t="s">
        <v>337</v>
      </c>
      <c r="AB156" s="41"/>
    </row>
    <row r="157" spans="2:28" hidden="1" outlineLevel="1" x14ac:dyDescent="0.25">
      <c r="B157" s="140"/>
      <c r="C157" s="122" t="s">
        <v>281</v>
      </c>
      <c r="D157" s="56">
        <v>100</v>
      </c>
      <c r="E157" s="122" t="s">
        <v>3</v>
      </c>
      <c r="F157" s="66">
        <f>IF(AND(Config5_AllClocksOn,B156),IF(D156="Disabled",0,Config5_Tcpwm_EnPed*$D$28/100/(2-1/Config5_Tcpwm_Count))+IF(D156="Triggered",D157*IF($D$28=D157,Config5_Tcpwm_TrigPeriCoef,Config5_Tcpwm_TrigCoef),0),0)</f>
        <v>0</v>
      </c>
      <c r="G157" s="58" t="s">
        <v>57</v>
      </c>
      <c r="H157" s="112" t="s">
        <v>212</v>
      </c>
      <c r="AB157" s="41"/>
    </row>
    <row r="158" spans="2:28" s="1" customFormat="1" hidden="1" outlineLevel="1" x14ac:dyDescent="0.25">
      <c r="B158" s="151" t="b">
        <v>0</v>
      </c>
      <c r="C158" s="122" t="s">
        <v>357</v>
      </c>
      <c r="D158" s="149" t="s">
        <v>335</v>
      </c>
      <c r="E158" s="122"/>
      <c r="F158" s="122"/>
      <c r="G158" s="122"/>
      <c r="H158" s="112" t="s">
        <v>337</v>
      </c>
      <c r="AB158" s="41"/>
    </row>
    <row r="159" spans="2:28" hidden="1" outlineLevel="1" x14ac:dyDescent="0.25">
      <c r="B159" s="140"/>
      <c r="C159" s="122" t="s">
        <v>282</v>
      </c>
      <c r="D159" s="56">
        <v>100</v>
      </c>
      <c r="E159" s="54" t="s">
        <v>3</v>
      </c>
      <c r="F159" s="66">
        <f>IF(AND(Config5_AllClocksOn,B158),IF(D158="Disabled",0,Config5_Tcpwm_EnPed*$D$28/100/(2-1/Config5_Tcpwm_Count))+IF(D158="Triggered",D159*IF($D$28=D159,Config5_Tcpwm_TrigPeriCoef,Config5_Tcpwm_TrigCoef),0),0)</f>
        <v>0</v>
      </c>
      <c r="G159" s="58" t="s">
        <v>57</v>
      </c>
      <c r="H159" s="112" t="s">
        <v>212</v>
      </c>
      <c r="AB159" s="41"/>
    </row>
    <row r="160" spans="2:28" hidden="1" outlineLevel="1" x14ac:dyDescent="0.25">
      <c r="B160" s="140" t="b">
        <v>0</v>
      </c>
      <c r="C160" s="122" t="s">
        <v>358</v>
      </c>
      <c r="D160" s="149" t="s">
        <v>335</v>
      </c>
      <c r="E160" s="54"/>
      <c r="F160" s="152"/>
      <c r="G160" s="55"/>
      <c r="H160" s="112" t="s">
        <v>337</v>
      </c>
      <c r="AB160" s="41"/>
    </row>
    <row r="161" spans="2:28" hidden="1" outlineLevel="1" x14ac:dyDescent="0.25">
      <c r="B161" s="140"/>
      <c r="C161" s="122" t="s">
        <v>283</v>
      </c>
      <c r="D161" s="56">
        <v>100</v>
      </c>
      <c r="E161" s="122" t="s">
        <v>3</v>
      </c>
      <c r="F161" s="66">
        <f>IF(AND(Config5_AllClocksOn,B160),IF(D160="Disabled",0,Config5_Tcpwm_EnPed*$D$28/100/(2-1/Config5_Tcpwm_Count))+IF(D160="Triggered",D161*IF($D$28=D161,Config5_Tcpwm_TrigPeriCoef,Config5_Tcpwm_TrigCoef),0),0)</f>
        <v>0</v>
      </c>
      <c r="G161" s="58" t="s">
        <v>57</v>
      </c>
      <c r="H161" s="112" t="s">
        <v>212</v>
      </c>
      <c r="AB161" s="41"/>
    </row>
    <row r="162" spans="2:28" s="1" customFormat="1" hidden="1" outlineLevel="1" x14ac:dyDescent="0.25">
      <c r="B162" s="151" t="b">
        <v>0</v>
      </c>
      <c r="C162" s="122" t="s">
        <v>359</v>
      </c>
      <c r="D162" s="149" t="s">
        <v>335</v>
      </c>
      <c r="E162" s="122"/>
      <c r="F162" s="122"/>
      <c r="G162" s="122"/>
      <c r="H162" s="112" t="s">
        <v>337</v>
      </c>
      <c r="AB162" s="41"/>
    </row>
    <row r="163" spans="2:28" hidden="1" outlineLevel="1" x14ac:dyDescent="0.25">
      <c r="B163" s="140"/>
      <c r="C163" s="122" t="s">
        <v>284</v>
      </c>
      <c r="D163" s="56">
        <v>100</v>
      </c>
      <c r="E163" s="54" t="s">
        <v>3</v>
      </c>
      <c r="F163" s="66">
        <f>IF(AND(Config5_AllClocksOn,B162),IF(D162="Disabled",0,Config5_Tcpwm_EnPed*$D$28/100/(2-1/Config5_Tcpwm_Count))+IF(D162="Triggered",D163*IF($D$28=D163,Config5_Tcpwm_TrigPeriCoef,Config5_Tcpwm_TrigCoef),0),0)</f>
        <v>0</v>
      </c>
      <c r="G163" s="58" t="s">
        <v>57</v>
      </c>
      <c r="H163" s="112" t="s">
        <v>212</v>
      </c>
      <c r="AB163" s="41"/>
    </row>
    <row r="164" spans="2:28" hidden="1" outlineLevel="1" x14ac:dyDescent="0.25">
      <c r="B164" s="140" t="b">
        <v>0</v>
      </c>
      <c r="C164" s="122" t="s">
        <v>360</v>
      </c>
      <c r="D164" s="149" t="s">
        <v>335</v>
      </c>
      <c r="E164" s="54"/>
      <c r="F164" s="152"/>
      <c r="G164" s="55"/>
      <c r="H164" s="112" t="s">
        <v>337</v>
      </c>
      <c r="AB164" s="41"/>
    </row>
    <row r="165" spans="2:28" hidden="1" outlineLevel="1" x14ac:dyDescent="0.25">
      <c r="B165" s="140"/>
      <c r="C165" s="122" t="s">
        <v>285</v>
      </c>
      <c r="D165" s="56">
        <v>100</v>
      </c>
      <c r="E165" s="122" t="s">
        <v>3</v>
      </c>
      <c r="F165" s="66">
        <f>IF(AND(Config5_AllClocksOn,B164),IF(D164="Disabled",0,Config5_Tcpwm_EnPed*$D$28/100/(2-1/Config5_Tcpwm_Count))+IF(D164="Triggered",D165*IF($D$28=D165,Config5_Tcpwm_TrigPeriCoef,Config5_Tcpwm_TrigCoef),0),0)</f>
        <v>0</v>
      </c>
      <c r="G165" s="58" t="s">
        <v>57</v>
      </c>
      <c r="H165" s="112" t="s">
        <v>212</v>
      </c>
      <c r="AB165" s="41"/>
    </row>
    <row r="166" spans="2:28" s="1" customFormat="1" hidden="1" outlineLevel="1" x14ac:dyDescent="0.25">
      <c r="B166" s="151" t="b">
        <v>0</v>
      </c>
      <c r="C166" s="122" t="s">
        <v>361</v>
      </c>
      <c r="D166" s="149" t="s">
        <v>335</v>
      </c>
      <c r="E166" s="122"/>
      <c r="F166" s="122"/>
      <c r="G166" s="122"/>
      <c r="H166" s="112" t="s">
        <v>337</v>
      </c>
      <c r="AB166" s="41"/>
    </row>
    <row r="167" spans="2:28" hidden="1" outlineLevel="1" x14ac:dyDescent="0.25">
      <c r="B167" s="140"/>
      <c r="C167" s="122" t="s">
        <v>286</v>
      </c>
      <c r="D167" s="56">
        <v>100</v>
      </c>
      <c r="E167" s="54" t="s">
        <v>3</v>
      </c>
      <c r="F167" s="66">
        <f>IF(AND(Config5_AllClocksOn,B166),IF(D166="Disabled",0,Config5_Tcpwm_EnPed*$D$28/100/(2-1/Config5_Tcpwm_Count))+IF(D166="Triggered",D167*IF($D$28=D167,Config5_Tcpwm_TrigPeriCoef,Config5_Tcpwm_TrigCoef),0),0)</f>
        <v>0</v>
      </c>
      <c r="G167" s="58" t="s">
        <v>57</v>
      </c>
      <c r="H167" s="112" t="s">
        <v>212</v>
      </c>
      <c r="AB167" s="41"/>
    </row>
    <row r="168" spans="2:28" hidden="1" outlineLevel="1" x14ac:dyDescent="0.25">
      <c r="B168" s="140" t="b">
        <v>0</v>
      </c>
      <c r="C168" s="122" t="s">
        <v>362</v>
      </c>
      <c r="D168" s="149" t="s">
        <v>335</v>
      </c>
      <c r="E168" s="54"/>
      <c r="F168" s="152"/>
      <c r="G168" s="55"/>
      <c r="H168" s="112" t="s">
        <v>337</v>
      </c>
      <c r="AB168" s="41"/>
    </row>
    <row r="169" spans="2:28" hidden="1" outlineLevel="1" x14ac:dyDescent="0.25">
      <c r="B169" s="140"/>
      <c r="C169" s="122" t="s">
        <v>287</v>
      </c>
      <c r="D169" s="56">
        <v>100</v>
      </c>
      <c r="E169" s="122" t="s">
        <v>3</v>
      </c>
      <c r="F169" s="66">
        <f>IF(AND(Config5_AllClocksOn,B168),IF(D168="Disabled",0,Config5_Tcpwm_EnPed*$D$28/100/(2-1/Config5_Tcpwm_Count))+IF(D168="Triggered",D169*IF($D$28=D169,Config5_Tcpwm_TrigPeriCoef,Config5_Tcpwm_TrigCoef),0),0)</f>
        <v>0</v>
      </c>
      <c r="G169" s="58" t="s">
        <v>57</v>
      </c>
      <c r="H169" s="112" t="s">
        <v>212</v>
      </c>
      <c r="AB169" s="41"/>
    </row>
    <row r="170" spans="2:28" s="1" customFormat="1" hidden="1" outlineLevel="1" x14ac:dyDescent="0.25">
      <c r="B170" s="151" t="b">
        <v>0</v>
      </c>
      <c r="C170" s="122" t="s">
        <v>363</v>
      </c>
      <c r="D170" s="149" t="s">
        <v>335</v>
      </c>
      <c r="E170" s="122"/>
      <c r="F170" s="122"/>
      <c r="G170" s="122"/>
      <c r="H170" s="112" t="s">
        <v>337</v>
      </c>
      <c r="AB170" s="41"/>
    </row>
    <row r="171" spans="2:28" hidden="1" outlineLevel="1" x14ac:dyDescent="0.25">
      <c r="B171" s="140"/>
      <c r="C171" s="122" t="s">
        <v>288</v>
      </c>
      <c r="D171" s="56">
        <v>100</v>
      </c>
      <c r="E171" s="54" t="s">
        <v>3</v>
      </c>
      <c r="F171" s="66">
        <f>IF(AND(Config5_AllClocksOn,B170),IF(D170="Disabled",0,Config5_Tcpwm_EnPed*$D$28/100/(2-1/Config5_Tcpwm_Count))+IF(D170="Triggered",D171*IF($D$28=D171,Config5_Tcpwm_TrigPeriCoef,Config5_Tcpwm_TrigCoef),0),0)</f>
        <v>0</v>
      </c>
      <c r="G171" s="58" t="s">
        <v>57</v>
      </c>
      <c r="H171" s="112" t="s">
        <v>212</v>
      </c>
      <c r="AB171" s="41"/>
    </row>
    <row r="172" spans="2:28" hidden="1" outlineLevel="1" x14ac:dyDescent="0.25">
      <c r="B172" s="140" t="b">
        <v>0</v>
      </c>
      <c r="C172" s="122" t="s">
        <v>364</v>
      </c>
      <c r="D172" s="149" t="s">
        <v>335</v>
      </c>
      <c r="E172" s="54"/>
      <c r="F172" s="152"/>
      <c r="G172" s="55"/>
      <c r="H172" s="112" t="s">
        <v>337</v>
      </c>
      <c r="AB172" s="41"/>
    </row>
    <row r="173" spans="2:28" hidden="1" outlineLevel="1" x14ac:dyDescent="0.25">
      <c r="B173" s="140"/>
      <c r="C173" s="122" t="s">
        <v>289</v>
      </c>
      <c r="D173" s="56">
        <v>100</v>
      </c>
      <c r="E173" s="122" t="s">
        <v>3</v>
      </c>
      <c r="F173" s="66">
        <f>IF(AND(Config5_AllClocksOn,B172),IF(D172="Disabled",0,Config5_Tcpwm_EnPed*$D$28/100/(2-1/Config5_Tcpwm_Count))+IF(D172="Triggered",D173*IF($D$28=D173,Config5_Tcpwm_TrigPeriCoef,Config5_Tcpwm_TrigCoef),0),0)</f>
        <v>0</v>
      </c>
      <c r="G173" s="58" t="s">
        <v>57</v>
      </c>
      <c r="H173" s="112" t="s">
        <v>212</v>
      </c>
      <c r="AB173" s="41"/>
    </row>
    <row r="174" spans="2:28" s="1" customFormat="1" hidden="1" outlineLevel="1" x14ac:dyDescent="0.25">
      <c r="B174" s="151" t="b">
        <v>0</v>
      </c>
      <c r="C174" s="122" t="s">
        <v>365</v>
      </c>
      <c r="D174" s="149" t="s">
        <v>335</v>
      </c>
      <c r="E174" s="122"/>
      <c r="F174" s="122"/>
      <c r="G174" s="122"/>
      <c r="H174" s="112" t="s">
        <v>337</v>
      </c>
      <c r="AB174" s="41"/>
    </row>
    <row r="175" spans="2:28" hidden="1" outlineLevel="1" x14ac:dyDescent="0.25">
      <c r="B175" s="140"/>
      <c r="C175" s="122" t="s">
        <v>290</v>
      </c>
      <c r="D175" s="56">
        <v>100</v>
      </c>
      <c r="E175" s="54" t="s">
        <v>3</v>
      </c>
      <c r="F175" s="66">
        <f>IF(AND(Config5_AllClocksOn,B174),IF(D174="Disabled",0,Config5_Tcpwm_EnPed*$D$28/100/(2-1/Config5_Tcpwm_Count))+IF(D174="Triggered",D175*IF($D$28=D175,Config5_Tcpwm_TrigPeriCoef,Config5_Tcpwm_TrigCoef),0),0)</f>
        <v>0</v>
      </c>
      <c r="G175" s="58" t="s">
        <v>57</v>
      </c>
      <c r="H175" s="112" t="s">
        <v>212</v>
      </c>
      <c r="AB175" s="41"/>
    </row>
    <row r="176" spans="2:28" hidden="1" outlineLevel="1" x14ac:dyDescent="0.25">
      <c r="B176" s="140" t="b">
        <v>0</v>
      </c>
      <c r="C176" s="122" t="s">
        <v>366</v>
      </c>
      <c r="D176" s="149" t="s">
        <v>335</v>
      </c>
      <c r="E176" s="54"/>
      <c r="F176" s="152"/>
      <c r="G176" s="55"/>
      <c r="H176" s="112" t="s">
        <v>337</v>
      </c>
      <c r="AB176" s="41"/>
    </row>
    <row r="177" spans="2:28" hidden="1" outlineLevel="1" x14ac:dyDescent="0.25">
      <c r="B177" s="140"/>
      <c r="C177" s="122" t="s">
        <v>291</v>
      </c>
      <c r="D177" s="56">
        <v>100</v>
      </c>
      <c r="E177" s="122" t="s">
        <v>3</v>
      </c>
      <c r="F177" s="66">
        <f>IF(AND(Config5_AllClocksOn,B176),IF(D176="Disabled",0,Config5_Tcpwm_EnPed*$D$28/100/(2-1/Config5_Tcpwm_Count))+IF(D176="Triggered",D177*IF($D$28=D177,Config5_Tcpwm_TrigPeriCoef,Config5_Tcpwm_TrigCoef),0),0)</f>
        <v>0</v>
      </c>
      <c r="G177" s="58" t="s">
        <v>57</v>
      </c>
      <c r="H177" s="112" t="s">
        <v>212</v>
      </c>
      <c r="AB177" s="41"/>
    </row>
    <row r="178" spans="2:28" s="1" customFormat="1" hidden="1" outlineLevel="1" x14ac:dyDescent="0.25">
      <c r="B178" s="151" t="b">
        <v>0</v>
      </c>
      <c r="C178" s="122" t="s">
        <v>367</v>
      </c>
      <c r="D178" s="149" t="s">
        <v>335</v>
      </c>
      <c r="E178" s="122"/>
      <c r="F178" s="122"/>
      <c r="G178" s="122"/>
      <c r="H178" s="112" t="s">
        <v>337</v>
      </c>
      <c r="AB178" s="41"/>
    </row>
    <row r="179" spans="2:28" hidden="1" outlineLevel="1" x14ac:dyDescent="0.25">
      <c r="B179" s="140"/>
      <c r="C179" s="122" t="s">
        <v>292</v>
      </c>
      <c r="D179" s="56">
        <v>100</v>
      </c>
      <c r="E179" s="54" t="s">
        <v>3</v>
      </c>
      <c r="F179" s="66">
        <f>IF(AND(Config5_AllClocksOn,B178),IF(D178="Disabled",0,Config5_Tcpwm_EnPed*$D$28/100/(2-1/Config5_Tcpwm_Count))+IF(D178="Triggered",D179*IF($D$28=D179,Config5_Tcpwm_TrigPeriCoef,Config5_Tcpwm_TrigCoef),0),0)</f>
        <v>0</v>
      </c>
      <c r="G179" s="58" t="s">
        <v>57</v>
      </c>
      <c r="H179" s="112" t="s">
        <v>212</v>
      </c>
      <c r="AB179" s="41"/>
    </row>
    <row r="180" spans="2:28" hidden="1" outlineLevel="1" x14ac:dyDescent="0.25">
      <c r="B180" s="140" t="b">
        <v>0</v>
      </c>
      <c r="C180" s="122" t="s">
        <v>368</v>
      </c>
      <c r="D180" s="149" t="s">
        <v>335</v>
      </c>
      <c r="E180" s="54"/>
      <c r="F180" s="152"/>
      <c r="G180" s="55"/>
      <c r="H180" s="112" t="s">
        <v>337</v>
      </c>
      <c r="AB180" s="41"/>
    </row>
    <row r="181" spans="2:28" hidden="1" outlineLevel="1" x14ac:dyDescent="0.25">
      <c r="B181" s="140"/>
      <c r="C181" s="122" t="s">
        <v>293</v>
      </c>
      <c r="D181" s="56">
        <v>100</v>
      </c>
      <c r="E181" s="122" t="s">
        <v>3</v>
      </c>
      <c r="F181" s="66">
        <f>IF(AND(Config5_AllClocksOn,B180),IF(D180="Disabled",0,Config5_Tcpwm_EnPed*$D$28/100/(2-1/Config5_Tcpwm_Count))+IF(D180="Triggered",D181*IF($D$28=D181,Config5_Tcpwm_TrigPeriCoef,Config5_Tcpwm_TrigCoef),0),0)</f>
        <v>0</v>
      </c>
      <c r="G181" s="58" t="s">
        <v>57</v>
      </c>
      <c r="H181" s="112" t="s">
        <v>212</v>
      </c>
      <c r="AB181" s="41"/>
    </row>
    <row r="182" spans="2:28" collapsed="1" x14ac:dyDescent="0.25">
      <c r="B182" s="140"/>
      <c r="C182" s="122"/>
      <c r="D182" s="147"/>
      <c r="E182" s="54"/>
      <c r="F182" s="153"/>
      <c r="G182" s="55"/>
      <c r="H182" s="59"/>
      <c r="AB182" s="41"/>
    </row>
    <row r="183" spans="2:28" x14ac:dyDescent="0.25">
      <c r="B183" s="53" t="s">
        <v>69</v>
      </c>
      <c r="C183" s="53"/>
      <c r="D183" s="53"/>
      <c r="E183" s="53"/>
      <c r="F183" s="53"/>
      <c r="G183" s="53"/>
      <c r="H183" s="53"/>
      <c r="AB183" s="41"/>
    </row>
    <row r="184" spans="2:28" x14ac:dyDescent="0.25">
      <c r="B184" s="140" t="b">
        <v>0</v>
      </c>
      <c r="C184" s="55" t="s">
        <v>70</v>
      </c>
      <c r="D184" s="60" t="s">
        <v>193</v>
      </c>
      <c r="E184" s="54"/>
      <c r="F184" s="54"/>
      <c r="G184" s="54"/>
      <c r="H184" s="112" t="s">
        <v>372</v>
      </c>
      <c r="AB184" s="41"/>
    </row>
    <row r="185" spans="2:28" x14ac:dyDescent="0.25">
      <c r="B185" s="140"/>
      <c r="C185" s="122" t="s">
        <v>369</v>
      </c>
      <c r="D185" s="60" t="s">
        <v>371</v>
      </c>
      <c r="E185" s="55"/>
      <c r="F185" s="153"/>
      <c r="G185" s="55"/>
      <c r="H185" s="112" t="s">
        <v>374</v>
      </c>
      <c r="AB185" s="41"/>
    </row>
    <row r="186" spans="2:28" x14ac:dyDescent="0.25">
      <c r="B186" s="140"/>
      <c r="C186" s="55" t="s">
        <v>71</v>
      </c>
      <c r="D186" s="60">
        <v>1250</v>
      </c>
      <c r="E186" s="55" t="s">
        <v>142</v>
      </c>
      <c r="F186" s="57">
        <f>IF(AND(Config5_AllClocksOn,B184),IF(D184="SPI",IF(D185="Transmitting",Config5_SPI_Coef*D186,0)+IF(NOT(D185="Disabled"),Config5_SPI_EnableCoef*D186+Config5_SPI_EnablePeriCoef*$D$28+Config5_SPI_EnablePed,0),IF(D184="I2C",IF(D185="Transmitting",Config5_I2C_Coef*D186+Config5_I2C_RunPed,0)+IF(NOT(D185="Disabled"),Config5_I2C_EnableCoef*D186+Config5_I2C_EnablePed,0),IF(D185="Transmitting",Config5_UART_Coef*D186+Config5_UART_RunPed,0)+IF(NOT(D185="Disabled"),Config5_UART_EnableCoef*D186+Config5_UART_EnablePed,0))),0)</f>
        <v>0</v>
      </c>
      <c r="G186" s="58" t="s">
        <v>57</v>
      </c>
      <c r="H186" s="112" t="s">
        <v>373</v>
      </c>
      <c r="AB186" s="62"/>
    </row>
    <row r="187" spans="2:28" x14ac:dyDescent="0.25">
      <c r="B187" s="140" t="b">
        <v>0</v>
      </c>
      <c r="C187" s="55" t="s">
        <v>70</v>
      </c>
      <c r="D187" s="60" t="s">
        <v>193</v>
      </c>
      <c r="E187" s="54"/>
      <c r="F187" s="54"/>
      <c r="G187" s="54"/>
      <c r="H187" s="112" t="s">
        <v>372</v>
      </c>
      <c r="AB187" s="41"/>
    </row>
    <row r="188" spans="2:28" x14ac:dyDescent="0.25">
      <c r="B188" s="140"/>
      <c r="C188" s="122" t="s">
        <v>369</v>
      </c>
      <c r="D188" s="60" t="s">
        <v>371</v>
      </c>
      <c r="E188" s="55"/>
      <c r="F188" s="153"/>
      <c r="G188" s="55"/>
      <c r="H188" s="112" t="s">
        <v>374</v>
      </c>
      <c r="AB188" s="41"/>
    </row>
    <row r="189" spans="2:28" x14ac:dyDescent="0.25">
      <c r="B189" s="140"/>
      <c r="C189" s="55" t="s">
        <v>71</v>
      </c>
      <c r="D189" s="60">
        <v>100</v>
      </c>
      <c r="E189" s="55" t="s">
        <v>142</v>
      </c>
      <c r="F189" s="57">
        <f>IF(AND(Config5_AllClocksOn,B187),IF(D187="SPI",IF(D188="Transmitting",Config5_SPI_Coef*D189,0)+IF(NOT(D188="Disabled"),Config5_SPI_EnableCoef*D189+Config5_SPI_EnablePeriCoef*$D$28+Config5_SPI_EnablePed,0),IF(D187="I2C",IF(D188="Transmitting",Config5_I2C_Coef*D189+Config5_I2C_RunPed,0)+IF(NOT(D188="Disabled"),Config5_I2C_EnableCoef*D189+Config5_I2C_EnablePed,0),IF(D188="Transmitting",Config5_UART_Coef*D189+Config5_UART_RunPed,0)+IF(NOT(D188="Disabled"),Config5_UART_EnableCoef*D189+Config5_UART_EnablePed,0))),0)</f>
        <v>0</v>
      </c>
      <c r="G189" s="58" t="s">
        <v>57</v>
      </c>
      <c r="H189" s="112" t="s">
        <v>373</v>
      </c>
      <c r="AB189" s="62"/>
    </row>
    <row r="190" spans="2:28" x14ac:dyDescent="0.25">
      <c r="B190" s="140" t="b">
        <v>0</v>
      </c>
      <c r="C190" s="55" t="s">
        <v>70</v>
      </c>
      <c r="D190" s="60" t="s">
        <v>195</v>
      </c>
      <c r="E190" s="54"/>
      <c r="F190" s="54"/>
      <c r="G190" s="54"/>
      <c r="H190" s="112" t="s">
        <v>372</v>
      </c>
      <c r="AB190" s="41"/>
    </row>
    <row r="191" spans="2:28" x14ac:dyDescent="0.25">
      <c r="B191" s="140"/>
      <c r="C191" s="122" t="s">
        <v>369</v>
      </c>
      <c r="D191" s="60" t="s">
        <v>150</v>
      </c>
      <c r="E191" s="55"/>
      <c r="F191" s="153"/>
      <c r="G191" s="55"/>
      <c r="H191" s="112" t="s">
        <v>374</v>
      </c>
      <c r="AB191" s="41"/>
    </row>
    <row r="192" spans="2:28" x14ac:dyDescent="0.25">
      <c r="B192" s="140"/>
      <c r="C192" s="55" t="s">
        <v>71</v>
      </c>
      <c r="D192" s="60">
        <v>100</v>
      </c>
      <c r="E192" s="55" t="s">
        <v>142</v>
      </c>
      <c r="F192" s="57">
        <f>IF(AND(Config5_AllClocksOn,B190),IF(D190="SPI",IF(D191="Transmitting",Config5_SPI_Coef*D192,0)+IF(NOT(D191="Disabled"),Config5_SPI_EnableCoef*D192+Config5_SPI_EnablePeriCoef*$D$28+Config5_SPI_EnablePed,0),IF(D190="I2C",IF(D191="Transmitting",Config5_I2C_Coef*D192+Config5_I2C_RunPed,0)+IF(NOT(D191="Disabled"),Config5_I2C_EnableCoef*D192+Config5_I2C_EnablePed,0),IF(D191="Transmitting",Config5_UART_Coef*D192+Config5_UART_RunPed,0)+IF(NOT(D191="Disabled"),Config5_UART_EnableCoef*D192+Config5_UART_EnablePed,0))),0)</f>
        <v>0</v>
      </c>
      <c r="G192" s="58" t="s">
        <v>57</v>
      </c>
      <c r="H192" s="112" t="s">
        <v>373</v>
      </c>
      <c r="AB192" s="62"/>
    </row>
    <row r="193" spans="2:28" x14ac:dyDescent="0.25">
      <c r="B193" s="140" t="b">
        <v>0</v>
      </c>
      <c r="C193" s="55" t="s">
        <v>70</v>
      </c>
      <c r="D193" s="60" t="s">
        <v>193</v>
      </c>
      <c r="E193" s="54"/>
      <c r="F193" s="54"/>
      <c r="G193" s="54"/>
      <c r="H193" s="112" t="s">
        <v>372</v>
      </c>
      <c r="AB193" s="41"/>
    </row>
    <row r="194" spans="2:28" x14ac:dyDescent="0.25">
      <c r="B194" s="140"/>
      <c r="C194" s="122" t="s">
        <v>369</v>
      </c>
      <c r="D194" s="60" t="s">
        <v>151</v>
      </c>
      <c r="E194" s="55"/>
      <c r="F194" s="153"/>
      <c r="G194" s="55"/>
      <c r="H194" s="112" t="s">
        <v>374</v>
      </c>
      <c r="AB194" s="41"/>
    </row>
    <row r="195" spans="2:28" x14ac:dyDescent="0.25">
      <c r="B195" s="140"/>
      <c r="C195" s="55" t="s">
        <v>71</v>
      </c>
      <c r="D195" s="60">
        <v>100</v>
      </c>
      <c r="E195" s="55" t="s">
        <v>142</v>
      </c>
      <c r="F195" s="57">
        <f>IF(AND(Config5_AllClocksOn,B193),IF(D193="SPI",IF(D194="Transmitting",Config5_SPI_Coef*D195,0)+IF(NOT(D194="Disabled"),Config5_SPI_EnableCoef*D195+Config5_SPI_EnablePeriCoef*$D$28+Config5_SPI_EnablePed,0),IF(D193="I2C",IF(D194="Transmitting",Config5_I2C_Coef*D195+Config5_I2C_RunPed,0)+IF(NOT(D194="Disabled"),Config5_I2C_EnableCoef*D195+Config5_I2C_EnablePed,0),IF(D194="Transmitting",Config5_UART_Coef*D195+Config5_UART_RunPed,0)+IF(NOT(D194="Disabled"),Config5_UART_EnableCoef*D195+Config5_UART_EnablePed,0))),0)</f>
        <v>0</v>
      </c>
      <c r="G195" s="58" t="s">
        <v>57</v>
      </c>
      <c r="H195" s="112" t="s">
        <v>373</v>
      </c>
      <c r="AB195" s="62"/>
    </row>
    <row r="196" spans="2:28" hidden="1" outlineLevel="1" x14ac:dyDescent="0.25">
      <c r="B196" s="140" t="b">
        <v>0</v>
      </c>
      <c r="C196" s="55" t="s">
        <v>70</v>
      </c>
      <c r="D196" s="60" t="s">
        <v>193</v>
      </c>
      <c r="E196" s="54"/>
      <c r="F196" s="54"/>
      <c r="G196" s="54"/>
      <c r="H196" s="112" t="s">
        <v>372</v>
      </c>
      <c r="AB196" s="41"/>
    </row>
    <row r="197" spans="2:28" hidden="1" outlineLevel="1" x14ac:dyDescent="0.25">
      <c r="B197" s="140"/>
      <c r="C197" s="122" t="s">
        <v>369</v>
      </c>
      <c r="D197" s="60" t="s">
        <v>151</v>
      </c>
      <c r="E197" s="55"/>
      <c r="F197" s="153"/>
      <c r="G197" s="55"/>
      <c r="H197" s="112" t="s">
        <v>374</v>
      </c>
      <c r="AB197" s="41"/>
    </row>
    <row r="198" spans="2:28" hidden="1" outlineLevel="1" x14ac:dyDescent="0.25">
      <c r="B198" s="140"/>
      <c r="C198" s="55" t="s">
        <v>71</v>
      </c>
      <c r="D198" s="60">
        <v>100</v>
      </c>
      <c r="E198" s="55" t="s">
        <v>142</v>
      </c>
      <c r="F198" s="57">
        <f>IF(AND(Config5_AllClocksOn,B196),IF(D196="SPI",IF(D197="Transmitting",Config5_SPI_Coef*D198,0)+IF(NOT(D197="Disabled"),Config5_SPI_EnableCoef*D198+Config5_SPI_EnablePeriCoef*$D$28+Config5_SPI_EnablePed,0),IF(D196="I2C",IF(D197="Transmitting",Config5_I2C_Coef*D198+Config5_I2C_RunPed,0)+IF(NOT(D197="Disabled"),Config5_I2C_EnableCoef*D198+Config5_I2C_EnablePed,0),IF(D197="Transmitting",Config5_UART_Coef*D198+Config5_UART_RunPed,0)+IF(NOT(D197="Disabled"),Config5_UART_EnableCoef*D198+Config5_UART_EnablePed,0))),0)</f>
        <v>0</v>
      </c>
      <c r="G198" s="58" t="s">
        <v>57</v>
      </c>
      <c r="H198" s="112" t="s">
        <v>373</v>
      </c>
      <c r="AB198" s="62"/>
    </row>
    <row r="199" spans="2:28" hidden="1" outlineLevel="1" x14ac:dyDescent="0.25">
      <c r="B199" s="140" t="b">
        <v>0</v>
      </c>
      <c r="C199" s="55" t="s">
        <v>70</v>
      </c>
      <c r="D199" s="60" t="s">
        <v>193</v>
      </c>
      <c r="E199" s="54"/>
      <c r="F199" s="54"/>
      <c r="G199" s="54"/>
      <c r="H199" s="112" t="s">
        <v>372</v>
      </c>
      <c r="AB199" s="41"/>
    </row>
    <row r="200" spans="2:28" hidden="1" outlineLevel="1" x14ac:dyDescent="0.25">
      <c r="B200" s="140"/>
      <c r="C200" s="122" t="s">
        <v>369</v>
      </c>
      <c r="D200" s="60" t="s">
        <v>151</v>
      </c>
      <c r="E200" s="55"/>
      <c r="F200" s="153"/>
      <c r="G200" s="55"/>
      <c r="H200" s="112" t="s">
        <v>374</v>
      </c>
      <c r="AB200" s="41"/>
    </row>
    <row r="201" spans="2:28" hidden="1" outlineLevel="1" x14ac:dyDescent="0.25">
      <c r="B201" s="140"/>
      <c r="C201" s="55" t="s">
        <v>71</v>
      </c>
      <c r="D201" s="60">
        <v>100</v>
      </c>
      <c r="E201" s="55" t="s">
        <v>142</v>
      </c>
      <c r="F201" s="57">
        <f>IF(AND(Config5_AllClocksOn,B199),IF(D199="SPI",IF(D200="Transmitting",Config5_SPI_Coef*D201,0)+IF(NOT(D200="Disabled"),Config5_SPI_EnableCoef*D201+Config5_SPI_EnablePeriCoef*$D$28+Config5_SPI_EnablePed,0),IF(D199="I2C",IF(D200="Transmitting",Config5_I2C_Coef*D201+Config5_I2C_RunPed,0)+IF(NOT(D200="Disabled"),Config5_I2C_EnableCoef*D201+Config5_I2C_EnablePed,0),IF(D200="Transmitting",Config5_UART_Coef*D201+Config5_UART_RunPed,0)+IF(NOT(D200="Disabled"),Config5_UART_EnableCoef*D201+Config5_UART_EnablePed,0))),0)</f>
        <v>0</v>
      </c>
      <c r="G201" s="58" t="s">
        <v>57</v>
      </c>
      <c r="H201" s="112" t="s">
        <v>373</v>
      </c>
      <c r="AB201" s="62"/>
    </row>
    <row r="202" spans="2:28" hidden="1" outlineLevel="1" x14ac:dyDescent="0.25">
      <c r="B202" s="140" t="b">
        <v>0</v>
      </c>
      <c r="C202" s="55" t="s">
        <v>70</v>
      </c>
      <c r="D202" s="60" t="s">
        <v>193</v>
      </c>
      <c r="E202" s="54"/>
      <c r="F202" s="54"/>
      <c r="G202" s="54"/>
      <c r="H202" s="112" t="s">
        <v>372</v>
      </c>
      <c r="AB202" s="41"/>
    </row>
    <row r="203" spans="2:28" hidden="1" outlineLevel="1" x14ac:dyDescent="0.25">
      <c r="B203" s="140"/>
      <c r="C203" s="122" t="s">
        <v>369</v>
      </c>
      <c r="D203" s="60" t="s">
        <v>151</v>
      </c>
      <c r="E203" s="55"/>
      <c r="F203" s="153"/>
      <c r="G203" s="55"/>
      <c r="H203" s="112" t="s">
        <v>374</v>
      </c>
      <c r="AB203" s="41"/>
    </row>
    <row r="204" spans="2:28" hidden="1" outlineLevel="1" x14ac:dyDescent="0.25">
      <c r="B204" s="140"/>
      <c r="C204" s="55" t="s">
        <v>71</v>
      </c>
      <c r="D204" s="60">
        <v>100</v>
      </c>
      <c r="E204" s="55" t="s">
        <v>142</v>
      </c>
      <c r="F204" s="57">
        <f>IF(AND(Config5_AllClocksOn,B202),IF(D202="SPI",IF(D203="Transmitting",Config5_SPI_Coef*D204,0)+IF(NOT(D203="Disabled"),Config5_SPI_EnableCoef*D204+Config5_SPI_EnablePeriCoef*$D$28+Config5_SPI_EnablePed,0),IF(D202="I2C",IF(D203="Transmitting",Config5_I2C_Coef*D204+Config5_I2C_RunPed,0)+IF(NOT(D203="Disabled"),Config5_I2C_EnableCoef*D204+Config5_I2C_EnablePed,0),IF(D203="Transmitting",Config5_UART_Coef*D204+Config5_UART_RunPed,0)+IF(NOT(D203="Disabled"),Config5_UART_EnableCoef*D204+Config5_UART_EnablePed,0))),0)</f>
        <v>0</v>
      </c>
      <c r="G204" s="58" t="s">
        <v>57</v>
      </c>
      <c r="H204" s="112" t="s">
        <v>373</v>
      </c>
      <c r="AB204" s="62"/>
    </row>
    <row r="205" spans="2:28" hidden="1" outlineLevel="1" x14ac:dyDescent="0.25">
      <c r="B205" s="140" t="b">
        <v>0</v>
      </c>
      <c r="C205" s="55" t="s">
        <v>70</v>
      </c>
      <c r="D205" s="60" t="s">
        <v>193</v>
      </c>
      <c r="E205" s="54"/>
      <c r="F205" s="54"/>
      <c r="G205" s="54"/>
      <c r="H205" s="112" t="s">
        <v>372</v>
      </c>
      <c r="AB205" s="41"/>
    </row>
    <row r="206" spans="2:28" hidden="1" outlineLevel="1" x14ac:dyDescent="0.25">
      <c r="B206" s="140"/>
      <c r="C206" s="122" t="s">
        <v>369</v>
      </c>
      <c r="D206" s="60" t="s">
        <v>151</v>
      </c>
      <c r="E206" s="55"/>
      <c r="F206" s="153"/>
      <c r="G206" s="55"/>
      <c r="H206" s="112" t="s">
        <v>374</v>
      </c>
      <c r="AB206" s="41"/>
    </row>
    <row r="207" spans="2:28" hidden="1" outlineLevel="1" x14ac:dyDescent="0.25">
      <c r="B207" s="140"/>
      <c r="C207" s="55" t="s">
        <v>71</v>
      </c>
      <c r="D207" s="60">
        <v>100</v>
      </c>
      <c r="E207" s="55" t="s">
        <v>142</v>
      </c>
      <c r="F207" s="57">
        <f>IF(AND(Config5_AllClocksOn,B205),IF(D205="SPI",IF(D206="Transmitting",Config5_SPI_Coef*D207,0)+IF(NOT(D206="Disabled"),Config5_SPI_EnableCoef*D207+Config5_SPI_EnablePeriCoef*$D$28+Config5_SPI_EnablePed,0),IF(D205="I2C",IF(D206="Transmitting",Config5_I2C_Coef*D207+Config5_I2C_RunPed,0)+IF(NOT(D206="Disabled"),Config5_I2C_EnableCoef*D207+Config5_I2C_EnablePed,0),IF(D206="Transmitting",Config5_UART_Coef*D207+Config5_UART_RunPed,0)+IF(NOT(D206="Disabled"),Config5_UART_EnableCoef*D207+Config5_UART_EnablePed,0))),0)</f>
        <v>0</v>
      </c>
      <c r="G207" s="58" t="s">
        <v>57</v>
      </c>
      <c r="H207" s="112" t="s">
        <v>373</v>
      </c>
      <c r="AB207" s="62"/>
    </row>
    <row r="208" spans="2:28" hidden="1" outlineLevel="1" x14ac:dyDescent="0.25">
      <c r="B208" s="140" t="b">
        <v>0</v>
      </c>
      <c r="C208" s="55" t="s">
        <v>149</v>
      </c>
      <c r="D208" s="60" t="s">
        <v>194</v>
      </c>
      <c r="E208" s="54"/>
      <c r="F208" s="54"/>
      <c r="G208" s="54"/>
      <c r="H208" s="59" t="s">
        <v>177</v>
      </c>
    </row>
    <row r="209" spans="2:28" hidden="1" outlineLevel="1" x14ac:dyDescent="0.25">
      <c r="B209" s="140"/>
      <c r="C209" s="122" t="s">
        <v>375</v>
      </c>
      <c r="D209" s="60" t="s">
        <v>151</v>
      </c>
      <c r="E209" s="55"/>
      <c r="F209" s="153"/>
      <c r="G209" s="55"/>
      <c r="H209" s="59" t="s">
        <v>178</v>
      </c>
      <c r="AB209" s="41"/>
    </row>
    <row r="210" spans="2:28" hidden="1" outlineLevel="1" x14ac:dyDescent="0.25">
      <c r="B210" s="140"/>
      <c r="C210" s="55" t="s">
        <v>71</v>
      </c>
      <c r="D210" s="60">
        <v>100</v>
      </c>
      <c r="E210" s="55" t="s">
        <v>142</v>
      </c>
      <c r="F210" s="57">
        <f>IF(AND(Config5_AllClocksOn,B208),IF(D208="SPI",IF(D209="Transmitting",Config5_SPI_Coef*D210,0)+IF(NOT(D209="Disabled"),Config5_SPI_EnableCoef*D210+Config5_SPI_EnablePeriCoef*$D$28+Config5_SPI_EnablePed,0),IF(D208="I2C",IF(D209="Transmitting",Config5_I2C_Coef*D210+Config5_I2C_RunPed,0)+IF(NOT(D209="Disabled"),Config5_I2C_EnableCoef*D210+Config5_I2C_EnablePed,0),IF(D209="Transmitting",Config5_UART_Coef*D210+Config5_UART_RunPed,0)+IF(NOT(D209="Disabled"),Config5_UART_EnableCoef*D210+Config5_UART_EnablePed,0))),0)</f>
        <v>0</v>
      </c>
      <c r="G210" s="58" t="s">
        <v>57</v>
      </c>
      <c r="H210" s="112" t="s">
        <v>373</v>
      </c>
      <c r="AB210" s="62"/>
    </row>
    <row r="211" spans="2:28" collapsed="1" x14ac:dyDescent="0.25">
      <c r="B211" s="140"/>
      <c r="C211" s="55"/>
      <c r="D211" s="156"/>
      <c r="E211" s="54"/>
      <c r="F211" s="54"/>
      <c r="G211" s="54"/>
      <c r="H211" s="59"/>
    </row>
    <row r="212" spans="2:28" x14ac:dyDescent="0.25">
      <c r="B212" s="140"/>
      <c r="C212" s="55"/>
      <c r="D212" s="156"/>
      <c r="E212" s="54"/>
      <c r="F212" s="54"/>
      <c r="G212" s="54"/>
      <c r="H212" s="59"/>
    </row>
    <row r="213" spans="2:28" x14ac:dyDescent="0.25">
      <c r="B213" s="53" t="s">
        <v>392</v>
      </c>
      <c r="C213" s="53"/>
      <c r="D213" s="53"/>
      <c r="E213" s="53"/>
      <c r="F213" s="53"/>
      <c r="G213" s="53"/>
      <c r="H213" s="53"/>
    </row>
    <row r="214" spans="2:28" x14ac:dyDescent="0.25">
      <c r="B214" s="140"/>
      <c r="C214" s="122" t="s">
        <v>396</v>
      </c>
      <c r="D214" s="56" t="s">
        <v>398</v>
      </c>
      <c r="E214" s="54"/>
      <c r="F214" s="80"/>
      <c r="G214" s="81"/>
      <c r="H214" s="112" t="s">
        <v>397</v>
      </c>
    </row>
    <row r="215" spans="2:28" x14ac:dyDescent="0.25">
      <c r="B215" s="140"/>
      <c r="C215" s="122" t="s">
        <v>175</v>
      </c>
      <c r="D215" s="56" t="s">
        <v>151</v>
      </c>
      <c r="E215" s="54"/>
      <c r="F215" s="57">
        <f>IF(OR(Config5_AllClocksOff,NOT(B23)),0,IF(D214="Yes",Config5_SMIF_DMA,0)+IF(D215="Disabled",Config5_SMIF_Dis,Config5_SMIF_En)+IF(D215="Transmitting",Config5_SMIF_Trans))</f>
        <v>0</v>
      </c>
      <c r="G215" s="58" t="s">
        <v>57</v>
      </c>
      <c r="H215" s="112" t="s">
        <v>393</v>
      </c>
    </row>
    <row r="216" spans="2:28" x14ac:dyDescent="0.25">
      <c r="B216" s="53" t="s">
        <v>89</v>
      </c>
      <c r="C216" s="53"/>
      <c r="D216" s="53"/>
      <c r="E216" s="53"/>
      <c r="F216" s="53"/>
      <c r="G216" s="53"/>
      <c r="H216" s="53"/>
    </row>
    <row r="217" spans="2:28" s="1" customFormat="1" collapsed="1" x14ac:dyDescent="0.25">
      <c r="B217" s="55"/>
      <c r="C217" s="55" t="s">
        <v>175</v>
      </c>
      <c r="D217" s="56" t="s">
        <v>28</v>
      </c>
      <c r="E217" s="55"/>
      <c r="F217" s="57">
        <f>IF(OR(Config5_AllClocksOff,D217="Off"),0,IF(D217="Configured Connected",Config5_Usb_ConfigCon,IF(D217="Suspended Connected",Config5_Usb_SuspendCon,Config5_Usb_SuspendDis)))*1000</f>
        <v>0</v>
      </c>
      <c r="G217" s="58" t="s">
        <v>57</v>
      </c>
      <c r="H217" s="59" t="s">
        <v>176</v>
      </c>
      <c r="AB217" s="41"/>
    </row>
    <row r="218" spans="2:28" s="1" customFormat="1" x14ac:dyDescent="0.25">
      <c r="B218" s="53" t="s">
        <v>152</v>
      </c>
      <c r="C218" s="53"/>
      <c r="D218" s="53"/>
      <c r="E218" s="53"/>
      <c r="F218" s="65">
        <f>SUM(F118:F217)/1000</f>
        <v>0</v>
      </c>
      <c r="G218" s="53" t="s">
        <v>316</v>
      </c>
      <c r="H218" s="53"/>
      <c r="AB218" s="41"/>
    </row>
    <row r="219" spans="2:28" s="1" customFormat="1" x14ac:dyDescent="0.25">
      <c r="B219"/>
      <c r="H219" s="49"/>
      <c r="AB219" s="41"/>
    </row>
    <row r="220" spans="2:28" hidden="1" x14ac:dyDescent="0.25">
      <c r="C220" s="1"/>
      <c r="D220" s="1"/>
      <c r="E220" s="1"/>
      <c r="F220" s="1"/>
      <c r="G220" s="1"/>
      <c r="H220" s="49"/>
    </row>
    <row r="221" spans="2:28" ht="15.6" hidden="1" x14ac:dyDescent="0.3">
      <c r="B221" s="225" t="s">
        <v>154</v>
      </c>
      <c r="C221" s="225"/>
      <c r="D221" s="225"/>
      <c r="E221" s="225"/>
      <c r="F221" s="225"/>
      <c r="G221" s="225"/>
      <c r="H221" s="225"/>
    </row>
    <row r="222" spans="2:28" s="1" customFormat="1" collapsed="1" x14ac:dyDescent="0.25">
      <c r="B222" s="67" t="s">
        <v>153</v>
      </c>
      <c r="C222" s="67"/>
      <c r="D222" s="67"/>
      <c r="E222" s="67"/>
      <c r="F222" s="67"/>
      <c r="G222" s="67"/>
      <c r="H222" s="67"/>
      <c r="AB222" s="41"/>
    </row>
    <row r="223" spans="2:28" x14ac:dyDescent="0.25">
      <c r="B223" s="68"/>
      <c r="C223" s="54" t="s">
        <v>11</v>
      </c>
      <c r="D223" s="60">
        <v>0</v>
      </c>
      <c r="E223" s="54" t="s">
        <v>10</v>
      </c>
      <c r="F223" s="69">
        <f t="shared" ref="F223:F230" si="0">D223</f>
        <v>0</v>
      </c>
      <c r="G223" s="58" t="s">
        <v>57</v>
      </c>
      <c r="H223" s="220" t="s">
        <v>49</v>
      </c>
    </row>
    <row r="224" spans="2:28" ht="12.75" customHeight="1" x14ac:dyDescent="0.25">
      <c r="B224" s="54"/>
      <c r="C224" s="54" t="s">
        <v>12</v>
      </c>
      <c r="D224" s="60">
        <v>0</v>
      </c>
      <c r="E224" s="54" t="s">
        <v>10</v>
      </c>
      <c r="F224" s="69">
        <f t="shared" si="0"/>
        <v>0</v>
      </c>
      <c r="G224" s="58" t="s">
        <v>57</v>
      </c>
      <c r="H224" s="221"/>
    </row>
    <row r="225" spans="2:8" ht="12.75" customHeight="1" x14ac:dyDescent="0.25">
      <c r="B225" s="54"/>
      <c r="C225" s="54" t="s">
        <v>13</v>
      </c>
      <c r="D225" s="60">
        <v>0</v>
      </c>
      <c r="E225" s="54" t="s">
        <v>10</v>
      </c>
      <c r="F225" s="69">
        <f t="shared" si="0"/>
        <v>0</v>
      </c>
      <c r="G225" s="58" t="s">
        <v>57</v>
      </c>
      <c r="H225" s="221"/>
    </row>
    <row r="226" spans="2:8" x14ac:dyDescent="0.25">
      <c r="B226" s="54"/>
      <c r="C226" s="54" t="s">
        <v>14</v>
      </c>
      <c r="D226" s="60">
        <v>0</v>
      </c>
      <c r="E226" s="54" t="s">
        <v>10</v>
      </c>
      <c r="F226" s="69">
        <f t="shared" si="0"/>
        <v>0</v>
      </c>
      <c r="G226" s="58" t="s">
        <v>57</v>
      </c>
      <c r="H226" s="221"/>
    </row>
    <row r="227" spans="2:8" x14ac:dyDescent="0.25">
      <c r="B227" s="54"/>
      <c r="C227" s="54" t="s">
        <v>15</v>
      </c>
      <c r="D227" s="60">
        <v>0</v>
      </c>
      <c r="E227" s="54" t="s">
        <v>10</v>
      </c>
      <c r="F227" s="69">
        <f t="shared" si="0"/>
        <v>0</v>
      </c>
      <c r="G227" s="58" t="s">
        <v>57</v>
      </c>
      <c r="H227" s="221"/>
    </row>
    <row r="228" spans="2:8" x14ac:dyDescent="0.25">
      <c r="B228" s="54"/>
      <c r="C228" s="54" t="s">
        <v>16</v>
      </c>
      <c r="D228" s="60">
        <v>0</v>
      </c>
      <c r="E228" s="54" t="s">
        <v>10</v>
      </c>
      <c r="F228" s="69">
        <f t="shared" si="0"/>
        <v>0</v>
      </c>
      <c r="G228" s="58" t="s">
        <v>57</v>
      </c>
      <c r="H228" s="221"/>
    </row>
    <row r="229" spans="2:8" x14ac:dyDescent="0.25">
      <c r="B229" s="54"/>
      <c r="C229" s="54" t="s">
        <v>17</v>
      </c>
      <c r="D229" s="60">
        <v>0</v>
      </c>
      <c r="E229" s="54" t="s">
        <v>10</v>
      </c>
      <c r="F229" s="69">
        <f t="shared" si="0"/>
        <v>0</v>
      </c>
      <c r="G229" s="58" t="s">
        <v>57</v>
      </c>
      <c r="H229" s="221"/>
    </row>
    <row r="230" spans="2:8" x14ac:dyDescent="0.25">
      <c r="B230" s="54"/>
      <c r="C230" s="54" t="s">
        <v>18</v>
      </c>
      <c r="D230" s="60">
        <v>0</v>
      </c>
      <c r="E230" s="54" t="s">
        <v>10</v>
      </c>
      <c r="F230" s="69">
        <f t="shared" si="0"/>
        <v>0</v>
      </c>
      <c r="G230" s="58" t="s">
        <v>57</v>
      </c>
      <c r="H230" s="222"/>
    </row>
    <row r="231" spans="2:8" ht="13.8" thickBot="1" x14ac:dyDescent="0.3">
      <c r="B231" s="70" t="s">
        <v>152</v>
      </c>
      <c r="C231" s="71"/>
      <c r="D231" s="72"/>
      <c r="E231" s="71"/>
      <c r="F231" s="158">
        <f>SUM(F223:F230)/1000</f>
        <v>0</v>
      </c>
      <c r="G231" s="70" t="s">
        <v>316</v>
      </c>
      <c r="H231" s="71"/>
    </row>
    <row r="232" spans="2:8" collapsed="1" x14ac:dyDescent="0.25">
      <c r="B232" s="73"/>
      <c r="C232" s="74"/>
      <c r="D232" s="75"/>
      <c r="E232" s="74"/>
      <c r="F232" s="76"/>
      <c r="G232" s="74"/>
      <c r="H232" s="77"/>
    </row>
    <row r="233" spans="2:8" ht="16.2" thickBot="1" x14ac:dyDescent="0.35">
      <c r="B233" s="3"/>
      <c r="C233" s="5"/>
      <c r="D233" s="24"/>
      <c r="E233" s="27" t="s">
        <v>34</v>
      </c>
      <c r="F233" s="33">
        <f ca="1">SUM(F36,F114,F218,F231)</f>
        <v>1.002</v>
      </c>
      <c r="G233" s="28" t="s">
        <v>316</v>
      </c>
      <c r="H233" s="10"/>
    </row>
    <row r="242" spans="4:4" x14ac:dyDescent="0.25">
      <c r="D242" s="29"/>
    </row>
  </sheetData>
  <dataConsolidate/>
  <mergeCells count="20">
    <mergeCell ref="B71:B96"/>
    <mergeCell ref="C94:E94"/>
    <mergeCell ref="C95:E95"/>
    <mergeCell ref="B221:H221"/>
    <mergeCell ref="H223:H230"/>
    <mergeCell ref="C1:D1"/>
    <mergeCell ref="E1:G1"/>
    <mergeCell ref="B2:E2"/>
    <mergeCell ref="F2:G2"/>
    <mergeCell ref="B3:H3"/>
    <mergeCell ref="B12:C12"/>
    <mergeCell ref="B20:C20"/>
    <mergeCell ref="B30:C30"/>
    <mergeCell ref="B116:H116"/>
    <mergeCell ref="B38:H38"/>
    <mergeCell ref="B39:C39"/>
    <mergeCell ref="B40:B42"/>
    <mergeCell ref="B44:B69"/>
    <mergeCell ref="C67:E67"/>
    <mergeCell ref="C68:E68"/>
  </mergeCells>
  <conditionalFormatting sqref="C9">
    <cfRule type="expression" dxfId="146" priority="266">
      <formula>NUM_CORE=1</formula>
    </cfRule>
  </conditionalFormatting>
  <conditionalFormatting sqref="C17:C19">
    <cfRule type="expression" dxfId="145" priority="258">
      <formula>NUM_PLL=1</formula>
    </cfRule>
  </conditionalFormatting>
  <conditionalFormatting sqref="C26">
    <cfRule type="expression" dxfId="144" priority="250">
      <formula>SelectedDevice&lt;&gt;PSoC62_2M</formula>
    </cfRule>
  </conditionalFormatting>
  <conditionalFormatting sqref="C118:C181">
    <cfRule type="expression" dxfId="143" priority="195">
      <formula>NOT($B$4)</formula>
    </cfRule>
  </conditionalFormatting>
  <conditionalFormatting sqref="D8">
    <cfRule type="expression" dxfId="142" priority="242">
      <formula>AND(Config1_SystemMode=SystemUlp,Config1_VoltageCore=1.1)</formula>
    </cfRule>
  </conditionalFormatting>
  <conditionalFormatting sqref="D9">
    <cfRule type="expression" dxfId="141" priority="265">
      <formula>AND(Config1_SystemMode=SystemDeepSleep,Config1_CM0p_CpuMode&lt;&gt;CpuDeepSleep)</formula>
    </cfRule>
    <cfRule type="expression" dxfId="140" priority="263" stopIfTrue="1">
      <formula>OR(NUM_CORE=1,Config1_SystemMode=SystemHibernate)</formula>
    </cfRule>
  </conditionalFormatting>
  <conditionalFormatting sqref="D10">
    <cfRule type="expression" dxfId="139" priority="264">
      <formula>AND(Config1_SystemMode=SystemDeepSleep,AND(Config1_CM4_CpuMode&lt;&gt;CpuOff,Config1_CM4_CpuMode&lt;&gt;CpuDeepSleep))</formula>
    </cfRule>
    <cfRule type="expression" dxfId="138" priority="262" stopIfTrue="1">
      <formula>Config1_SystemMode=SystemHibernate</formula>
    </cfRule>
  </conditionalFormatting>
  <conditionalFormatting sqref="D22:D26">
    <cfRule type="expression" dxfId="137" priority="247">
      <formula>NOT($B22)</formula>
    </cfRule>
  </conditionalFormatting>
  <conditionalFormatting sqref="D27">
    <cfRule type="expression" dxfId="136" priority="245">
      <formula>FLOOR(MOD(Config1_HFCLK0,$D$27),1)</formula>
    </cfRule>
  </conditionalFormatting>
  <conditionalFormatting sqref="D28">
    <cfRule type="expression" dxfId="135" priority="244">
      <formula>FLOOR(MOD(Config1_HFCLK0,$D$28),1)</formula>
    </cfRule>
  </conditionalFormatting>
  <conditionalFormatting sqref="D29">
    <cfRule type="expression" dxfId="134" priority="243">
      <formula>FLOOR(MOD($D$28,$D$29),1)</formula>
    </cfRule>
  </conditionalFormatting>
  <conditionalFormatting sqref="D40:D42">
    <cfRule type="expression" dxfId="133" priority="157">
      <formula>IF(SelectedDevice = "PSoC 62 (256KB)", FALSE, TRUE)</formula>
    </cfRule>
  </conditionalFormatting>
  <conditionalFormatting sqref="D47 D74">
    <cfRule type="expression" dxfId="132" priority="81">
      <formula>IF(AND($B$43, $D$45="2MHz Deep Sleep Clock", #REF!, $D$105 = "2MHz Deep Sleep Clock", $D$43 = "Triggered Sampling", #REF! = "Triggered Sampling"), IF($D$46 = $D$107, FALSE, TRUE), FALSE)</formula>
    </cfRule>
  </conditionalFormatting>
  <conditionalFormatting sqref="D47">
    <cfRule type="expression" dxfId="131" priority="80">
      <formula>IF($D$44="Triggered Sampling", FALSE, TRUE)</formula>
    </cfRule>
  </conditionalFormatting>
  <conditionalFormatting sqref="D74">
    <cfRule type="expression" dxfId="130" priority="45">
      <formula>IF($D$44="Triggered Sampling", FALSE, TRUE)</formula>
    </cfRule>
  </conditionalFormatting>
  <conditionalFormatting sqref="D13:E13">
    <cfRule type="expression" dxfId="129" priority="261">
      <formula>NOT($B$13)</formula>
    </cfRule>
  </conditionalFormatting>
  <conditionalFormatting sqref="D14:E16">
    <cfRule type="expression" dxfId="128" priority="260">
      <formula>NOT($B$14)</formula>
    </cfRule>
  </conditionalFormatting>
  <conditionalFormatting sqref="D17:E19">
    <cfRule type="expression" dxfId="127" priority="259">
      <formula>NOT($B$17)</formula>
    </cfRule>
    <cfRule type="expression" dxfId="126" priority="257">
      <formula>NUM_PLL=1</formula>
    </cfRule>
  </conditionalFormatting>
  <conditionalFormatting sqref="D21:E21">
    <cfRule type="expression" dxfId="125" priority="256">
      <formula>NOT($B21)</formula>
    </cfRule>
  </conditionalFormatting>
  <conditionalFormatting sqref="D26:E26">
    <cfRule type="expression" dxfId="124" priority="246">
      <formula>SelectedDevice&lt;&gt;PSoC62_2M</formula>
    </cfRule>
  </conditionalFormatting>
  <conditionalFormatting sqref="D35:E35">
    <cfRule type="expression" dxfId="123" priority="241">
      <formula>NOT($B$35)</formula>
    </cfRule>
  </conditionalFormatting>
  <conditionalFormatting sqref="D40:E41">
    <cfRule type="expression" dxfId="122" priority="181">
      <formula>IF(AND($D$8 = "System Deep Sleep", #REF! = "LPOSC"), FALSE, TRUE)</formula>
    </cfRule>
  </conditionalFormatting>
  <conditionalFormatting sqref="D44:E49">
    <cfRule type="expression" dxfId="121" priority="2">
      <formula>IF($I$46=TRUE,FALSE,TRUE)</formula>
    </cfRule>
  </conditionalFormatting>
  <conditionalFormatting sqref="D71:E76">
    <cfRule type="expression" dxfId="120" priority="11">
      <formula>IF($I$72=TRUE,FALSE,TRUE)</formula>
    </cfRule>
  </conditionalFormatting>
  <conditionalFormatting sqref="D118:E119">
    <cfRule type="expression" dxfId="119" priority="248">
      <formula>NOT($B$118)</formula>
    </cfRule>
  </conditionalFormatting>
  <conditionalFormatting sqref="D120:E121">
    <cfRule type="expression" dxfId="118" priority="239">
      <formula>NOT($B$120)</formula>
    </cfRule>
  </conditionalFormatting>
  <conditionalFormatting sqref="D122:E123">
    <cfRule type="expression" dxfId="117" priority="238">
      <formula>NOT($B$122)</formula>
    </cfRule>
  </conditionalFormatting>
  <conditionalFormatting sqref="D124:E125">
    <cfRule type="expression" dxfId="116" priority="236">
      <formula>NOT($B$124)</formula>
    </cfRule>
  </conditionalFormatting>
  <conditionalFormatting sqref="D126:E127">
    <cfRule type="expression" dxfId="115" priority="235">
      <formula>NOT($B$126)</formula>
    </cfRule>
  </conditionalFormatting>
  <conditionalFormatting sqref="D128:E129">
    <cfRule type="expression" dxfId="114" priority="233">
      <formula>NOT($B$128)</formula>
    </cfRule>
  </conditionalFormatting>
  <conditionalFormatting sqref="D130:E131">
    <cfRule type="expression" dxfId="113" priority="232">
      <formula>NOT($B$130)</formula>
    </cfRule>
  </conditionalFormatting>
  <conditionalFormatting sqref="D132:E133">
    <cfRule type="expression" dxfId="112" priority="230">
      <formula>NOT($B$132)</formula>
    </cfRule>
  </conditionalFormatting>
  <conditionalFormatting sqref="D134:E135">
    <cfRule type="expression" dxfId="111" priority="229">
      <formula>NOT($B$134)</formula>
    </cfRule>
  </conditionalFormatting>
  <conditionalFormatting sqref="D136:E137">
    <cfRule type="expression" dxfId="110" priority="227">
      <formula>NOT($B$136)</formula>
    </cfRule>
  </conditionalFormatting>
  <conditionalFormatting sqref="D138:E139">
    <cfRule type="expression" dxfId="109" priority="226">
      <formula>NOT($B$138)</formula>
    </cfRule>
  </conditionalFormatting>
  <conditionalFormatting sqref="D140:E141">
    <cfRule type="expression" dxfId="108" priority="224">
      <formula>NOT($B$140)</formula>
    </cfRule>
  </conditionalFormatting>
  <conditionalFormatting sqref="D142:E143">
    <cfRule type="expression" dxfId="107" priority="223">
      <formula>NOT($B$142)</formula>
    </cfRule>
  </conditionalFormatting>
  <conditionalFormatting sqref="D144:E145">
    <cfRule type="expression" dxfId="106" priority="221">
      <formula>NOT($B$144)</formula>
    </cfRule>
  </conditionalFormatting>
  <conditionalFormatting sqref="D146:E147">
    <cfRule type="expression" dxfId="105" priority="220">
      <formula>NOT($B$146)</formula>
    </cfRule>
  </conditionalFormatting>
  <conditionalFormatting sqref="D148:E149">
    <cfRule type="expression" dxfId="104" priority="218">
      <formula>NOT($B$148)</formula>
    </cfRule>
  </conditionalFormatting>
  <conditionalFormatting sqref="D150:E151">
    <cfRule type="expression" dxfId="103" priority="217">
      <formula>NOT($B$150)</formula>
    </cfRule>
  </conditionalFormatting>
  <conditionalFormatting sqref="D152:E153">
    <cfRule type="expression" dxfId="102" priority="215">
      <formula>NOT($B$152)</formula>
    </cfRule>
  </conditionalFormatting>
  <conditionalFormatting sqref="D154:E155">
    <cfRule type="expression" dxfId="101" priority="214">
      <formula>NOT($B$154)</formula>
    </cfRule>
  </conditionalFormatting>
  <conditionalFormatting sqref="D156:E157">
    <cfRule type="expression" dxfId="100" priority="212">
      <formula>NOT($B$156)</formula>
    </cfRule>
  </conditionalFormatting>
  <conditionalFormatting sqref="D158:E159">
    <cfRule type="expression" dxfId="99" priority="211">
      <formula>NOT($B$158)</formula>
    </cfRule>
  </conditionalFormatting>
  <conditionalFormatting sqref="D160:E161">
    <cfRule type="expression" dxfId="98" priority="209">
      <formula>NOT($B$160)</formula>
    </cfRule>
  </conditionalFormatting>
  <conditionalFormatting sqref="D162:E163">
    <cfRule type="expression" dxfId="97" priority="208">
      <formula>NOT($B$162)</formula>
    </cfRule>
  </conditionalFormatting>
  <conditionalFormatting sqref="D164:E165">
    <cfRule type="expression" dxfId="96" priority="206">
      <formula>NOT($B$164)</formula>
    </cfRule>
  </conditionalFormatting>
  <conditionalFormatting sqref="D166:E167">
    <cfRule type="expression" dxfId="95" priority="205">
      <formula>NOT($B$166)</formula>
    </cfRule>
  </conditionalFormatting>
  <conditionalFormatting sqref="D168:E169">
    <cfRule type="expression" dxfId="94" priority="203">
      <formula>NOT($B$168)</formula>
    </cfRule>
  </conditionalFormatting>
  <conditionalFormatting sqref="D170:E171">
    <cfRule type="expression" dxfId="93" priority="202">
      <formula>NOT($B$170)</formula>
    </cfRule>
  </conditionalFormatting>
  <conditionalFormatting sqref="D172:E173">
    <cfRule type="expression" dxfId="92" priority="200">
      <formula>NOT($B$172)</formula>
    </cfRule>
  </conditionalFormatting>
  <conditionalFormatting sqref="D174:E175">
    <cfRule type="expression" dxfId="91" priority="199">
      <formula>NOT($B$174)</formula>
    </cfRule>
  </conditionalFormatting>
  <conditionalFormatting sqref="D176:E177">
    <cfRule type="expression" dxfId="90" priority="197">
      <formula>NOT($B$176)</formula>
    </cfRule>
  </conditionalFormatting>
  <conditionalFormatting sqref="D178:E179">
    <cfRule type="expression" dxfId="89" priority="196">
      <formula>NOT($B$178)</formula>
    </cfRule>
  </conditionalFormatting>
  <conditionalFormatting sqref="D180:E181">
    <cfRule type="expression" dxfId="88" priority="194">
      <formula>NOT($B$180)</formula>
    </cfRule>
  </conditionalFormatting>
  <conditionalFormatting sqref="D184:E186">
    <cfRule type="expression" dxfId="87" priority="189">
      <formula>NOT($B$184)</formula>
    </cfRule>
  </conditionalFormatting>
  <conditionalFormatting sqref="D187:E189">
    <cfRule type="expression" dxfId="86" priority="187">
      <formula>NOT($B$187)</formula>
    </cfRule>
  </conditionalFormatting>
  <conditionalFormatting sqref="D190:E192">
    <cfRule type="expression" dxfId="85" priority="186">
      <formula>NOT($B$190)</formula>
    </cfRule>
  </conditionalFormatting>
  <conditionalFormatting sqref="D193:E195">
    <cfRule type="expression" dxfId="84" priority="188">
      <formula>NOT($B$193)</formula>
    </cfRule>
  </conditionalFormatting>
  <conditionalFormatting sqref="D196:E198">
    <cfRule type="expression" dxfId="83" priority="193">
      <formula>NOT($B$196)</formula>
    </cfRule>
  </conditionalFormatting>
  <conditionalFormatting sqref="D199:E201">
    <cfRule type="expression" dxfId="82" priority="191">
      <formula>NOT($B$199)</formula>
    </cfRule>
  </conditionalFormatting>
  <conditionalFormatting sqref="D202:E204">
    <cfRule type="expression" dxfId="81" priority="190">
      <formula>NOT($B$202)</formula>
    </cfRule>
  </conditionalFormatting>
  <conditionalFormatting sqref="D205:E207">
    <cfRule type="expression" dxfId="80" priority="192">
      <formula>NOT($B$205)</formula>
    </cfRule>
  </conditionalFormatting>
  <conditionalFormatting sqref="D208:E210">
    <cfRule type="expression" dxfId="79" priority="185">
      <formula>NOT($B$208)</formula>
    </cfRule>
  </conditionalFormatting>
  <conditionalFormatting sqref="D51:G66">
    <cfRule type="expression" dxfId="78" priority="61">
      <formula>IF($D$8 = "System Deep Sleep", IF(SelectedDevice = "PSoC 62 (256KB)", FALSE, TRUE), FALSE)</formula>
    </cfRule>
  </conditionalFormatting>
  <conditionalFormatting sqref="D51:H66 F67:G68">
    <cfRule type="expression" dxfId="77" priority="1">
      <formula>IF($I$46=TRUE,FALSE,TRUE)</formula>
    </cfRule>
  </conditionalFormatting>
  <conditionalFormatting sqref="D52:H52">
    <cfRule type="expression" dxfId="76" priority="59">
      <formula>IF($D$48 &gt;1, FALSE, TRUE)</formula>
    </cfRule>
  </conditionalFormatting>
  <conditionalFormatting sqref="D53:H53">
    <cfRule type="expression" dxfId="75" priority="58">
      <formula>IF($D$48 &gt;2, FALSE, TRUE)</formula>
    </cfRule>
  </conditionalFormatting>
  <conditionalFormatting sqref="D54:H54">
    <cfRule type="expression" dxfId="74" priority="57">
      <formula>IF($D$48 &gt;3, FALSE, TRUE)</formula>
    </cfRule>
  </conditionalFormatting>
  <conditionalFormatting sqref="D55:H55">
    <cfRule type="expression" dxfId="73" priority="65">
      <formula>IF($D$48 &gt;4, FALSE, TRUE)</formula>
    </cfRule>
  </conditionalFormatting>
  <conditionalFormatting sqref="D56:H56">
    <cfRule type="expression" dxfId="72" priority="62">
      <formula>IF($D$48 &gt;5, FALSE, TRUE)</formula>
    </cfRule>
  </conditionalFormatting>
  <conditionalFormatting sqref="D57:H57">
    <cfRule type="expression" dxfId="71" priority="56">
      <formula>IF($D$48 &gt;6, FALSE, TRUE)</formula>
    </cfRule>
  </conditionalFormatting>
  <conditionalFormatting sqref="D58:H58">
    <cfRule type="expression" dxfId="70" priority="55">
      <formula>IF($D$48 &gt;7, FALSE, TRUE)</formula>
    </cfRule>
  </conditionalFormatting>
  <conditionalFormatting sqref="D59:H59">
    <cfRule type="expression" dxfId="69" priority="54">
      <formula>IF($D$48 &gt;8, FALSE, TRUE)</formula>
    </cfRule>
  </conditionalFormatting>
  <conditionalFormatting sqref="D60:H60">
    <cfRule type="expression" dxfId="68" priority="53">
      <formula>IF($D$48 &gt;9, FALSE, TRUE)</formula>
    </cfRule>
  </conditionalFormatting>
  <conditionalFormatting sqref="D61:H61">
    <cfRule type="expression" dxfId="67" priority="52">
      <formula>IF($D$48 &gt;10, FALSE, TRUE)</formula>
    </cfRule>
  </conditionalFormatting>
  <conditionalFormatting sqref="D62:H62">
    <cfRule type="expression" dxfId="66" priority="51">
      <formula>IF($D$48 &gt;11, FALSE, TRUE)</formula>
    </cfRule>
  </conditionalFormatting>
  <conditionalFormatting sqref="D63:H63">
    <cfRule type="expression" dxfId="65" priority="50">
      <formula>IF($D$48 &gt;12, FALSE, TRUE)</formula>
    </cfRule>
  </conditionalFormatting>
  <conditionalFormatting sqref="D64:H64">
    <cfRule type="expression" dxfId="64" priority="49">
      <formula>IF($D$48 &gt;13, FALSE, TRUE)</formula>
    </cfRule>
  </conditionalFormatting>
  <conditionalFormatting sqref="D65:H65">
    <cfRule type="expression" dxfId="63" priority="48">
      <formula>IF($D$48 &gt;14, FALSE, TRUE)</formula>
    </cfRule>
  </conditionalFormatting>
  <conditionalFormatting sqref="D66:H66">
    <cfRule type="expression" dxfId="62" priority="46">
      <formula>IF($D$48 &gt;15, FALSE, TRUE)</formula>
    </cfRule>
  </conditionalFormatting>
  <conditionalFormatting sqref="D78:H93 F94:G95">
    <cfRule type="expression" dxfId="61" priority="27">
      <formula>IF($I$72=TRUE,FALSE,TRUE)</formula>
    </cfRule>
  </conditionalFormatting>
  <conditionalFormatting sqref="D79:H79">
    <cfRule type="expression" dxfId="60" priority="6">
      <formula>IF($D$75 &gt;1, FALSE, TRUE)</formula>
    </cfRule>
  </conditionalFormatting>
  <conditionalFormatting sqref="D80:H80">
    <cfRule type="expression" dxfId="59" priority="24">
      <formula>IF($D$75 &gt;2, FALSE, TRUE)</formula>
    </cfRule>
  </conditionalFormatting>
  <conditionalFormatting sqref="D81:H81">
    <cfRule type="expression" dxfId="58" priority="23">
      <formula>IF($D$75 &gt;3, FALSE, TRUE)</formula>
    </cfRule>
  </conditionalFormatting>
  <conditionalFormatting sqref="D82:H82">
    <cfRule type="expression" dxfId="57" priority="30">
      <formula>IF($D$75 &gt;4, FALSE, TRUE)</formula>
    </cfRule>
  </conditionalFormatting>
  <conditionalFormatting sqref="D83:H83">
    <cfRule type="expression" dxfId="56" priority="28">
      <formula>IF($D$75 &gt;5, FALSE, TRUE)</formula>
    </cfRule>
  </conditionalFormatting>
  <conditionalFormatting sqref="D84:H84">
    <cfRule type="expression" dxfId="55" priority="22">
      <formula>IF($D$75 &gt;6, FALSE, TRUE)</formula>
    </cfRule>
  </conditionalFormatting>
  <conditionalFormatting sqref="D85:H85">
    <cfRule type="expression" dxfId="54" priority="21">
      <formula>IF($D$75 &gt;7, FALSE, TRUE)</formula>
    </cfRule>
  </conditionalFormatting>
  <conditionalFormatting sqref="D86:H86">
    <cfRule type="expression" dxfId="53" priority="20">
      <formula>IF($D$75 &gt;8, FALSE, TRUE)</formula>
    </cfRule>
  </conditionalFormatting>
  <conditionalFormatting sqref="D87:H87">
    <cfRule type="expression" dxfId="52" priority="19">
      <formula>IF($D$75 &gt;9, FALSE, TRUE)</formula>
    </cfRule>
  </conditionalFormatting>
  <conditionalFormatting sqref="D88:H88">
    <cfRule type="expression" dxfId="51" priority="18">
      <formula>IF($D$75 &gt;10, FALSE, TRUE)</formula>
    </cfRule>
  </conditionalFormatting>
  <conditionalFormatting sqref="D89:H89">
    <cfRule type="expression" dxfId="50" priority="17">
      <formula>IF($D$75 &gt;11, FALSE, TRUE)</formula>
    </cfRule>
  </conditionalFormatting>
  <conditionalFormatting sqref="D90:H90">
    <cfRule type="expression" dxfId="49" priority="16">
      <formula>IF($D$75 &gt;12, FALSE, TRUE)</formula>
    </cfRule>
  </conditionalFormatting>
  <conditionalFormatting sqref="D91:H91">
    <cfRule type="expression" dxfId="48" priority="15">
      <formula>IF($D$75 &gt;13, FALSE, TRUE)</formula>
    </cfRule>
  </conditionalFormatting>
  <conditionalFormatting sqref="D92:H92">
    <cfRule type="expression" dxfId="47" priority="14">
      <formula>IF($D$75 &gt;14, FALSE, TRUE)</formula>
    </cfRule>
  </conditionalFormatting>
  <conditionalFormatting sqref="D93:H93">
    <cfRule type="expression" dxfId="46" priority="12">
      <formula>IF($D$75 &gt;15, FALSE, TRUE)</formula>
    </cfRule>
  </conditionalFormatting>
  <conditionalFormatting sqref="E22">
    <cfRule type="expression" dxfId="45" priority="255">
      <formula>NOT($B$22)</formula>
    </cfRule>
  </conditionalFormatting>
  <conditionalFormatting sqref="E23">
    <cfRule type="expression" dxfId="44" priority="254">
      <formula>NOT($B$23)</formula>
    </cfRule>
  </conditionalFormatting>
  <conditionalFormatting sqref="E24">
    <cfRule type="expression" dxfId="43" priority="253">
      <formula>NOT($B$24)</formula>
    </cfRule>
  </conditionalFormatting>
  <conditionalFormatting sqref="E25">
    <cfRule type="expression" dxfId="42" priority="252">
      <formula>NOT($B$25)</formula>
    </cfRule>
  </conditionalFormatting>
  <conditionalFormatting sqref="E26">
    <cfRule type="expression" dxfId="41" priority="251">
      <formula>NOT($B$26)</formula>
    </cfRule>
  </conditionalFormatting>
  <conditionalFormatting sqref="F53:F66">
    <cfRule type="expression" dxfId="40" priority="8">
      <formula>IF($D$48 &gt;1, FALSE, TRUE)</formula>
    </cfRule>
  </conditionalFormatting>
  <conditionalFormatting sqref="F68">
    <cfRule type="expression" dxfId="39" priority="63">
      <formula>IF($F$68 &gt; (1000/$D$47), TRUE, FALSE)</formula>
    </cfRule>
  </conditionalFormatting>
  <conditionalFormatting sqref="F69">
    <cfRule type="expression" dxfId="38" priority="64">
      <formula>IF($F$69&gt;=0, FALSE, TRUE)</formula>
    </cfRule>
  </conditionalFormatting>
  <conditionalFormatting sqref="F79">
    <cfRule type="expression" dxfId="37" priority="7">
      <formula>IF($D$8 = "System Deep Sleep", IF(SelectedDevice = "PSoC 62 (256KB)", FALSE, TRUE), FALSE)</formula>
    </cfRule>
    <cfRule type="expression" dxfId="36" priority="5">
      <formula>OR(NOT($B$71), NOT(SelectedDevice = "PSoC 62 (256KB)"))</formula>
    </cfRule>
  </conditionalFormatting>
  <conditionalFormatting sqref="F81:F93">
    <cfRule type="expression" dxfId="35" priority="4">
      <formula>IF($D$75 &gt;2, FALSE, TRUE)</formula>
    </cfRule>
  </conditionalFormatting>
  <conditionalFormatting sqref="F85">
    <cfRule type="expression" dxfId="34" priority="3">
      <formula>IF($D$75 &gt;6, FALSE, TRUE)</formula>
    </cfRule>
  </conditionalFormatting>
  <conditionalFormatting sqref="F95">
    <cfRule type="expression" dxfId="33" priority="29">
      <formula>IF($F$68 &gt; (1000/$D$47), TRUE, FALSE)</formula>
    </cfRule>
  </conditionalFormatting>
  <conditionalFormatting sqref="F96">
    <cfRule type="expression" dxfId="32" priority="9">
      <formula>IF($F$96&gt;=0, FALSE, TRUE)</formula>
    </cfRule>
  </conditionalFormatting>
  <conditionalFormatting sqref="G51">
    <cfRule type="expression" dxfId="31" priority="60">
      <formula>IF($G$51 = 0, TRUE, FALSE)</formula>
    </cfRule>
  </conditionalFormatting>
  <conditionalFormatting sqref="G52">
    <cfRule type="expression" dxfId="30" priority="79">
      <formula>IF($G$52 = 0, TRUE, FALSE)</formula>
    </cfRule>
  </conditionalFormatting>
  <conditionalFormatting sqref="G53">
    <cfRule type="expression" dxfId="29" priority="78">
      <formula>IF($G$53 = 0, TRUE, FALSE)</formula>
    </cfRule>
  </conditionalFormatting>
  <conditionalFormatting sqref="G54">
    <cfRule type="expression" dxfId="28" priority="77">
      <formula>IF($G$54 = 0, TRUE, FALSE)</formula>
    </cfRule>
  </conditionalFormatting>
  <conditionalFormatting sqref="G55">
    <cfRule type="expression" dxfId="27" priority="76">
      <formula>IF($G$55 = 0, TRUE, FALSE)</formula>
    </cfRule>
  </conditionalFormatting>
  <conditionalFormatting sqref="G56">
    <cfRule type="expression" dxfId="26" priority="75">
      <formula>IF($G$56 = 0, TRUE, FALSE)</formula>
    </cfRule>
  </conditionalFormatting>
  <conditionalFormatting sqref="G57">
    <cfRule type="expression" dxfId="25" priority="74">
      <formula>IF($G$57 = 0, TRUE, FALSE)</formula>
    </cfRule>
  </conditionalFormatting>
  <conditionalFormatting sqref="G58">
    <cfRule type="expression" dxfId="24" priority="73">
      <formula>IF($G$58 = 0, TRUE, FALSE)</formula>
    </cfRule>
  </conditionalFormatting>
  <conditionalFormatting sqref="G59">
    <cfRule type="expression" dxfId="23" priority="72">
      <formula>IF($G$59 = 0, TRUE, FALSE)</formula>
    </cfRule>
  </conditionalFormatting>
  <conditionalFormatting sqref="G60">
    <cfRule type="expression" dxfId="22" priority="71">
      <formula>IF($G$60 = 0, TRUE, FALSE)</formula>
    </cfRule>
  </conditionalFormatting>
  <conditionalFormatting sqref="G61">
    <cfRule type="expression" dxfId="21" priority="70">
      <formula>IF($G$61 = 0, TRUE, FALSE)</formula>
    </cfRule>
  </conditionalFormatting>
  <conditionalFormatting sqref="G62">
    <cfRule type="expression" dxfId="20" priority="69">
      <formula>IF($G$62 = 0, TRUE, FALSE)</formula>
    </cfRule>
  </conditionalFormatting>
  <conditionalFormatting sqref="G63">
    <cfRule type="expression" dxfId="19" priority="68">
      <formula>IF($G$63 = 0, TRUE, FALSE)</formula>
    </cfRule>
  </conditionalFormatting>
  <conditionalFormatting sqref="G64">
    <cfRule type="expression" dxfId="18" priority="67">
      <formula>IF($G$64 = 0, TRUE, FALSE)</formula>
    </cfRule>
  </conditionalFormatting>
  <conditionalFormatting sqref="G65">
    <cfRule type="expression" dxfId="17" priority="66">
      <formula>IF($G$65 = 0, TRUE, FALSE)</formula>
    </cfRule>
  </conditionalFormatting>
  <conditionalFormatting sqref="G66">
    <cfRule type="expression" dxfId="16" priority="47">
      <formula>IF($G$66 = 0, TRUE, FALSE)</formula>
    </cfRule>
  </conditionalFormatting>
  <conditionalFormatting sqref="G78">
    <cfRule type="expression" dxfId="15" priority="26">
      <formula>IF($G$51 = 0, TRUE, FALSE)</formula>
    </cfRule>
  </conditionalFormatting>
  <conditionalFormatting sqref="G79">
    <cfRule type="expression" dxfId="14" priority="44">
      <formula>IF($G$52 = 0, TRUE, FALSE)</formula>
    </cfRule>
  </conditionalFormatting>
  <conditionalFormatting sqref="G80">
    <cfRule type="expression" dxfId="13" priority="43">
      <formula>IF($G$53 = 0, TRUE, FALSE)</formula>
    </cfRule>
  </conditionalFormatting>
  <conditionalFormatting sqref="G81">
    <cfRule type="expression" dxfId="12" priority="42">
      <formula>IF($G$54 = 0, TRUE, FALSE)</formula>
    </cfRule>
  </conditionalFormatting>
  <conditionalFormatting sqref="G82">
    <cfRule type="expression" dxfId="11" priority="41">
      <formula>IF($G$55 = 0, TRUE, FALSE)</formula>
    </cfRule>
  </conditionalFormatting>
  <conditionalFormatting sqref="G83">
    <cfRule type="expression" dxfId="10" priority="40">
      <formula>IF($G$56 = 0, TRUE, FALSE)</formula>
    </cfRule>
  </conditionalFormatting>
  <conditionalFormatting sqref="G84">
    <cfRule type="expression" dxfId="9" priority="39">
      <formula>IF($G$57 = 0, TRUE, FALSE)</formula>
    </cfRule>
  </conditionalFormatting>
  <conditionalFormatting sqref="G85">
    <cfRule type="expression" dxfId="8" priority="38">
      <formula>IF($G$58 = 0, TRUE, FALSE)</formula>
    </cfRule>
  </conditionalFormatting>
  <conditionalFormatting sqref="G86">
    <cfRule type="expression" dxfId="7" priority="37">
      <formula>IF($G$59 = 0, TRUE, FALSE)</formula>
    </cfRule>
  </conditionalFormatting>
  <conditionalFormatting sqref="G87">
    <cfRule type="expression" dxfId="6" priority="36">
      <formula>IF($G$60 = 0, TRUE, FALSE)</formula>
    </cfRule>
  </conditionalFormatting>
  <conditionalFormatting sqref="G88">
    <cfRule type="expression" dxfId="5" priority="35">
      <formula>IF($G$61 = 0, TRUE, FALSE)</formula>
    </cfRule>
  </conditionalFormatting>
  <conditionalFormatting sqref="G89">
    <cfRule type="expression" dxfId="4" priority="34">
      <formula>IF($G$62 = 0, TRUE, FALSE)</formula>
    </cfRule>
  </conditionalFormatting>
  <conditionalFormatting sqref="G90">
    <cfRule type="expression" dxfId="3" priority="33">
      <formula>IF($G$63 = 0, TRUE, FALSE)</formula>
    </cfRule>
  </conditionalFormatting>
  <conditionalFormatting sqref="G91">
    <cfRule type="expression" dxfId="2" priority="32">
      <formula>IF($G$64 = 0, TRUE, FALSE)</formula>
    </cfRule>
  </conditionalFormatting>
  <conditionalFormatting sqref="G92">
    <cfRule type="expression" dxfId="1" priority="31">
      <formula>IF($G$65 = 0, TRUE, FALSE)</formula>
    </cfRule>
  </conditionalFormatting>
  <conditionalFormatting sqref="G93">
    <cfRule type="expression" dxfId="0" priority="13">
      <formula>IF($G$66 = 0, TRUE, FALSE)</formula>
    </cfRule>
  </conditionalFormatting>
  <dataValidations count="24">
    <dataValidation type="decimal" allowBlank="1" showInputMessage="1" showErrorMessage="1" sqref="D219:D220" xr:uid="{52338664-4AFD-44D8-9CA7-F1CACD81FA01}">
      <formula1>0</formula1>
      <formula2>8</formula2>
    </dataValidation>
    <dataValidation type="decimal" allowBlank="1" showInputMessage="1" showErrorMessage="1" sqref="D218 D36 D216 D213 D111 D113" xr:uid="{1927CE74-C49F-4827-A8F3-45DB4FC3B1B4}">
      <formula1>0</formula1>
      <formula2>24</formula2>
    </dataValidation>
    <dataValidation type="decimal" allowBlank="1" showInputMessage="1" showErrorMessage="1" sqref="D182 D37" xr:uid="{BFAD8099-79D8-46F3-9C82-7A949CDE1849}">
      <formula1>0</formula1>
      <formula2>48</formula2>
    </dataValidation>
    <dataValidation type="list" allowBlank="1" showInputMessage="1" showErrorMessage="1" sqref="D32:D34" xr:uid="{1541F638-A4A1-4A73-B589-DCDD993DB77B}">
      <formula1>"Enabled,Disabled"</formula1>
    </dataValidation>
    <dataValidation type="decimal" allowBlank="1" showInputMessage="1" showErrorMessage="1" sqref="D109" xr:uid="{DAC76409-C98D-470F-8EFF-F36F95B6FDA8}">
      <formula1>0</formula1>
      <formula2>4</formula2>
    </dataValidation>
    <dataValidation type="list" allowBlank="1" showInputMessage="1" showErrorMessage="1" sqref="D214" xr:uid="{B1EF7F62-7772-4038-B5DF-3649B7E5BE50}">
      <formula1>"Yes,No"</formula1>
    </dataValidation>
    <dataValidation type="decimal" allowBlank="1" showInputMessage="1" showErrorMessage="1" sqref="C97 C52:C66 C79:C93" xr:uid="{7F3A36DE-17D6-4DF3-8E1A-C364CDA15724}">
      <formula1>0</formula1>
      <formula2>1000</formula2>
    </dataValidation>
    <dataValidation type="list" allowBlank="1" showInputMessage="1" showErrorMessage="1" sqref="D45 D72" xr:uid="{10A63F4F-02F2-4B7C-A50B-6F41626267AB}">
      <formula1>"System bandgap, Vdda, Vdda/2"</formula1>
    </dataValidation>
    <dataValidation type="decimal" allowBlank="1" showInputMessage="1" showErrorMessage="1" sqref="D207 D198 D201 D204 D195 D186 D189 D192 D210" xr:uid="{D2BA23B4-81BC-4136-A568-4E0BE600B346}">
      <formula1>0</formula1>
      <formula2>100000</formula2>
    </dataValidation>
    <dataValidation type="decimal" allowBlank="1" showInputMessage="1" showErrorMessage="1" sqref="D35" xr:uid="{D436561A-CF10-46C0-8928-8C7F9FDF682A}">
      <formula1>4</formula1>
      <formula2>35</formula2>
    </dataValidation>
    <dataValidation type="list" allowBlank="1" showInputMessage="1" showErrorMessage="1" promptTitle="Select the PSoC family." sqref="D7" xr:uid="{F48D6535-828B-4802-97CF-72BA401EA81E}">
      <formula1>"0.9,1.1"</formula1>
    </dataValidation>
    <dataValidation type="list" allowBlank="1" showInputMessage="1" showErrorMessage="1" sqref="D21:D26" xr:uid="{F922E450-8BA4-43F2-9F26-271A58949E7A}">
      <formula1>Dividers</formula1>
    </dataValidation>
    <dataValidation type="list" allowBlank="1" showInputMessage="1" showErrorMessage="1" sqref="E21:E26" xr:uid="{24D02472-FE55-44B6-861F-46ADAA7E1971}">
      <formula1>"FLL, PLL, IMO, ECO"</formula1>
    </dataValidation>
    <dataValidation type="decimal" allowBlank="1" showInputMessage="1" showErrorMessage="1" promptTitle="Select the PSoC family." sqref="D5" xr:uid="{0B874892-2A5C-484A-A08C-2AECABAACBF1}">
      <formula1>1.7</formula1>
      <formula2>3.6</formula2>
    </dataValidation>
    <dataValidation type="decimal" allowBlank="1" showInputMessage="1" showErrorMessage="1" sqref="D16 D19" xr:uid="{8F74A25C-E14E-4BB2-8685-6736F3893AE4}">
      <formula1>1</formula1>
      <formula2>18</formula2>
    </dataValidation>
    <dataValidation type="decimal" allowBlank="1" showInputMessage="1" showErrorMessage="1" sqref="D14 D17 D27" xr:uid="{188433DB-D698-44B7-9CBC-6F539FBE740C}">
      <formula1>0</formula1>
      <formula2>150</formula2>
    </dataValidation>
    <dataValidation type="decimal" allowBlank="1" showInputMessage="1" showErrorMessage="1" sqref="D15 D18" xr:uid="{E44FA971-3E2D-4E12-9AA7-C271A7F2D7C5}">
      <formula1>22</formula1>
      <formula2>112</formula2>
    </dataValidation>
    <dataValidation type="decimal" allowBlank="1" showInputMessage="1" showErrorMessage="1" sqref="D13 D28:D29 D119 D121 D123 D125 D127 D129 D131 D133 D135 D137 D139 D141 D143 D145 D147 D149 D151 D153 D155 D157 D159 D161 D163 D165 D167 D169 D171 D173 D175 D177 D179 D181" xr:uid="{88915441-89DE-4B1A-8BF5-910FB97E6753}">
      <formula1>0</formula1>
      <formula2>100</formula2>
    </dataValidation>
    <dataValidation type="decimal" allowBlank="1" showInputMessage="1" showErrorMessage="1" sqref="D48 D75" xr:uid="{55393BE9-F1B4-49BD-A0C5-6BA3403F565D}">
      <formula1>1</formula1>
      <formula2>16</formula2>
    </dataValidation>
    <dataValidation type="list" allowBlank="1" showInputMessage="1" showErrorMessage="1" sqref="D40 E97 E51:E66 E78:E93" xr:uid="{5E924C30-3CF3-49AA-B708-E96968EC0C35}">
      <formula1>"Enabled, Disabled"</formula1>
    </dataValidation>
    <dataValidation type="decimal" allowBlank="1" showInputMessage="1" showErrorMessage="1" sqref="D41" xr:uid="{83639C59-901E-4DA6-9A39-AB67948C7543}">
      <formula1>0</formula1>
      <formula2>127.5</formula2>
    </dataValidation>
    <dataValidation type="decimal" allowBlank="1" showInputMessage="1" showErrorMessage="1" sqref="D42" xr:uid="{66D6EC53-AD01-464E-A84D-C27C166189B9}">
      <formula1>1</formula1>
      <formula2>256</formula2>
    </dataValidation>
    <dataValidation type="list" allowBlank="1" showInputMessage="1" showErrorMessage="1" sqref="D98" xr:uid="{16720186-AD59-440D-ADE0-EF55C6D7C388}">
      <formula1>"100nA, 1uA"</formula1>
    </dataValidation>
    <dataValidation type="list" allowBlank="1" showInputMessage="1" showErrorMessage="1" sqref="D101 D103" xr:uid="{81BAA62F-285A-4AD4-8B4B-87CDD3C88777}">
      <formula1>"High, Medium, Low, Off"</formula1>
    </dataValidation>
  </dataValidations>
  <hyperlinks>
    <hyperlink ref="K2" location="Summary!A1" display="Go Back to Summary Page" xr:uid="{00000000-0004-0000-0600-000000000000}"/>
  </hyperlinks>
  <pageMargins left="0.75" right="0.75" top="1" bottom="1" header="0.5" footer="0.5"/>
  <pageSetup scale="5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5602" r:id="rId4" name="Check Box 2">
              <controlPr locked="0" defaultSize="0" autoFill="0" autoLine="0" autoPict="0">
                <anchor moveWithCells="1">
                  <from>
                    <xdr:col>1</xdr:col>
                    <xdr:colOff>22860</xdr:colOff>
                    <xdr:row>11</xdr:row>
                    <xdr:rowOff>144780</xdr:rowOff>
                  </from>
                  <to>
                    <xdr:col>2</xdr:col>
                    <xdr:colOff>525780</xdr:colOff>
                    <xdr:row>13</xdr:row>
                    <xdr:rowOff>22860</xdr:rowOff>
                  </to>
                </anchor>
              </controlPr>
            </control>
          </mc:Choice>
        </mc:AlternateContent>
        <mc:AlternateContent xmlns:mc="http://schemas.openxmlformats.org/markup-compatibility/2006">
          <mc:Choice Requires="x14">
            <control shapeId="25603" r:id="rId5" name="Check Box 3">
              <controlPr locked="0" defaultSize="0" autoFill="0" autoLine="0" autoPict="0">
                <anchor moveWithCells="1">
                  <from>
                    <xdr:col>1</xdr:col>
                    <xdr:colOff>22860</xdr:colOff>
                    <xdr:row>12</xdr:row>
                    <xdr:rowOff>152400</xdr:rowOff>
                  </from>
                  <to>
                    <xdr:col>2</xdr:col>
                    <xdr:colOff>525780</xdr:colOff>
                    <xdr:row>14</xdr:row>
                    <xdr:rowOff>22860</xdr:rowOff>
                  </to>
                </anchor>
              </controlPr>
            </control>
          </mc:Choice>
        </mc:AlternateContent>
        <mc:AlternateContent xmlns:mc="http://schemas.openxmlformats.org/markup-compatibility/2006">
          <mc:Choice Requires="x14">
            <control shapeId="25604" r:id="rId6" name="Check Box 4">
              <controlPr locked="0" defaultSize="0" autoFill="0" autoLine="0" autoPict="0">
                <anchor moveWithCells="1">
                  <from>
                    <xdr:col>1</xdr:col>
                    <xdr:colOff>22860</xdr:colOff>
                    <xdr:row>15</xdr:row>
                    <xdr:rowOff>144780</xdr:rowOff>
                  </from>
                  <to>
                    <xdr:col>2</xdr:col>
                    <xdr:colOff>525780</xdr:colOff>
                    <xdr:row>16</xdr:row>
                    <xdr:rowOff>152400</xdr:rowOff>
                  </to>
                </anchor>
              </controlPr>
            </control>
          </mc:Choice>
        </mc:AlternateContent>
        <mc:AlternateContent xmlns:mc="http://schemas.openxmlformats.org/markup-compatibility/2006">
          <mc:Choice Requires="x14">
            <control shapeId="25605" r:id="rId7" name="Check Box 5">
              <controlPr locked="0" defaultSize="0" autoFill="0" autoLine="0" autoPict="0">
                <anchor moveWithCells="1">
                  <from>
                    <xdr:col>1</xdr:col>
                    <xdr:colOff>22860</xdr:colOff>
                    <xdr:row>20</xdr:row>
                    <xdr:rowOff>144780</xdr:rowOff>
                  </from>
                  <to>
                    <xdr:col>2</xdr:col>
                    <xdr:colOff>525780</xdr:colOff>
                    <xdr:row>22</xdr:row>
                    <xdr:rowOff>22860</xdr:rowOff>
                  </to>
                </anchor>
              </controlPr>
            </control>
          </mc:Choice>
        </mc:AlternateContent>
        <mc:AlternateContent xmlns:mc="http://schemas.openxmlformats.org/markup-compatibility/2006">
          <mc:Choice Requires="x14">
            <control shapeId="25606" r:id="rId8" name="Check Box 6">
              <controlPr locked="0" defaultSize="0" autoFill="0" autoLine="0" autoPict="0">
                <anchor moveWithCells="1">
                  <from>
                    <xdr:col>1</xdr:col>
                    <xdr:colOff>22860</xdr:colOff>
                    <xdr:row>21</xdr:row>
                    <xdr:rowOff>144780</xdr:rowOff>
                  </from>
                  <to>
                    <xdr:col>2</xdr:col>
                    <xdr:colOff>525780</xdr:colOff>
                    <xdr:row>23</xdr:row>
                    <xdr:rowOff>22860</xdr:rowOff>
                  </to>
                </anchor>
              </controlPr>
            </control>
          </mc:Choice>
        </mc:AlternateContent>
        <mc:AlternateContent xmlns:mc="http://schemas.openxmlformats.org/markup-compatibility/2006">
          <mc:Choice Requires="x14">
            <control shapeId="25607" r:id="rId9" name="Check Box 7">
              <controlPr locked="0" defaultSize="0" autoFill="0" autoLine="0" autoPict="0">
                <anchor moveWithCells="1">
                  <from>
                    <xdr:col>1</xdr:col>
                    <xdr:colOff>22860</xdr:colOff>
                    <xdr:row>22</xdr:row>
                    <xdr:rowOff>144780</xdr:rowOff>
                  </from>
                  <to>
                    <xdr:col>2</xdr:col>
                    <xdr:colOff>525780</xdr:colOff>
                    <xdr:row>24</xdr:row>
                    <xdr:rowOff>22860</xdr:rowOff>
                  </to>
                </anchor>
              </controlPr>
            </control>
          </mc:Choice>
        </mc:AlternateContent>
        <mc:AlternateContent xmlns:mc="http://schemas.openxmlformats.org/markup-compatibility/2006">
          <mc:Choice Requires="x14">
            <control shapeId="25608" r:id="rId10" name="Check Box 8">
              <controlPr locked="0" defaultSize="0" autoFill="0" autoLine="0" autoPict="0">
                <anchor moveWithCells="1">
                  <from>
                    <xdr:col>1</xdr:col>
                    <xdr:colOff>22860</xdr:colOff>
                    <xdr:row>23</xdr:row>
                    <xdr:rowOff>144780</xdr:rowOff>
                  </from>
                  <to>
                    <xdr:col>2</xdr:col>
                    <xdr:colOff>525780</xdr:colOff>
                    <xdr:row>25</xdr:row>
                    <xdr:rowOff>22860</xdr:rowOff>
                  </to>
                </anchor>
              </controlPr>
            </control>
          </mc:Choice>
        </mc:AlternateContent>
        <mc:AlternateContent xmlns:mc="http://schemas.openxmlformats.org/markup-compatibility/2006">
          <mc:Choice Requires="x14">
            <control shapeId="25609" r:id="rId11" name="Check Box 9">
              <controlPr locked="0" defaultSize="0" autoFill="0" autoLine="0" autoPict="0">
                <anchor moveWithCells="1">
                  <from>
                    <xdr:col>1</xdr:col>
                    <xdr:colOff>22860</xdr:colOff>
                    <xdr:row>24</xdr:row>
                    <xdr:rowOff>137160</xdr:rowOff>
                  </from>
                  <to>
                    <xdr:col>1</xdr:col>
                    <xdr:colOff>213360</xdr:colOff>
                    <xdr:row>26</xdr:row>
                    <xdr:rowOff>22860</xdr:rowOff>
                  </to>
                </anchor>
              </controlPr>
            </control>
          </mc:Choice>
        </mc:AlternateContent>
        <mc:AlternateContent xmlns:mc="http://schemas.openxmlformats.org/markup-compatibility/2006">
          <mc:Choice Requires="x14">
            <control shapeId="25610" r:id="rId12" name="Check Box 10">
              <controlPr locked="0" defaultSize="0" autoFill="0" autoLine="0" autoPict="0">
                <anchor moveWithCells="1">
                  <from>
                    <xdr:col>1</xdr:col>
                    <xdr:colOff>22860</xdr:colOff>
                    <xdr:row>116</xdr:row>
                    <xdr:rowOff>152400</xdr:rowOff>
                  </from>
                  <to>
                    <xdr:col>2</xdr:col>
                    <xdr:colOff>525780</xdr:colOff>
                    <xdr:row>118</xdr:row>
                    <xdr:rowOff>22860</xdr:rowOff>
                  </to>
                </anchor>
              </controlPr>
            </control>
          </mc:Choice>
        </mc:AlternateContent>
        <mc:AlternateContent xmlns:mc="http://schemas.openxmlformats.org/markup-compatibility/2006">
          <mc:Choice Requires="x14">
            <control shapeId="25611" r:id="rId13" name="Check Box 11">
              <controlPr locked="0" defaultSize="0" autoFill="0" autoLine="0" autoPict="0">
                <anchor moveWithCells="1">
                  <from>
                    <xdr:col>1</xdr:col>
                    <xdr:colOff>22860</xdr:colOff>
                    <xdr:row>118</xdr:row>
                    <xdr:rowOff>144780</xdr:rowOff>
                  </from>
                  <to>
                    <xdr:col>2</xdr:col>
                    <xdr:colOff>525780</xdr:colOff>
                    <xdr:row>120</xdr:row>
                    <xdr:rowOff>22860</xdr:rowOff>
                  </to>
                </anchor>
              </controlPr>
            </control>
          </mc:Choice>
        </mc:AlternateContent>
        <mc:AlternateContent xmlns:mc="http://schemas.openxmlformats.org/markup-compatibility/2006">
          <mc:Choice Requires="x14">
            <control shapeId="25612" r:id="rId14" name="Check Box 12">
              <controlPr locked="0" defaultSize="0" autoFill="0" autoLine="0" autoPict="0">
                <anchor moveWithCells="1">
                  <from>
                    <xdr:col>1</xdr:col>
                    <xdr:colOff>22860</xdr:colOff>
                    <xdr:row>33</xdr:row>
                    <xdr:rowOff>137160</xdr:rowOff>
                  </from>
                  <to>
                    <xdr:col>2</xdr:col>
                    <xdr:colOff>0</xdr:colOff>
                    <xdr:row>35</xdr:row>
                    <xdr:rowOff>22860</xdr:rowOff>
                  </to>
                </anchor>
              </controlPr>
            </control>
          </mc:Choice>
        </mc:AlternateContent>
        <mc:AlternateContent xmlns:mc="http://schemas.openxmlformats.org/markup-compatibility/2006">
          <mc:Choice Requires="x14">
            <control shapeId="25613" r:id="rId15" name="Check Box 13">
              <controlPr locked="0" defaultSize="0" autoFill="0" autoLine="0" autoPict="0">
                <anchor moveWithCells="1">
                  <from>
                    <xdr:col>1</xdr:col>
                    <xdr:colOff>22860</xdr:colOff>
                    <xdr:row>120</xdr:row>
                    <xdr:rowOff>152400</xdr:rowOff>
                  </from>
                  <to>
                    <xdr:col>2</xdr:col>
                    <xdr:colOff>525780</xdr:colOff>
                    <xdr:row>122</xdr:row>
                    <xdr:rowOff>22860</xdr:rowOff>
                  </to>
                </anchor>
              </controlPr>
            </control>
          </mc:Choice>
        </mc:AlternateContent>
        <mc:AlternateContent xmlns:mc="http://schemas.openxmlformats.org/markup-compatibility/2006">
          <mc:Choice Requires="x14">
            <control shapeId="25614" r:id="rId16" name="Check Box 14">
              <controlPr locked="0" defaultSize="0" autoFill="0" autoLine="0" autoPict="0">
                <anchor moveWithCells="1">
                  <from>
                    <xdr:col>1</xdr:col>
                    <xdr:colOff>22860</xdr:colOff>
                    <xdr:row>122</xdr:row>
                    <xdr:rowOff>144780</xdr:rowOff>
                  </from>
                  <to>
                    <xdr:col>2</xdr:col>
                    <xdr:colOff>525780</xdr:colOff>
                    <xdr:row>124</xdr:row>
                    <xdr:rowOff>22860</xdr:rowOff>
                  </to>
                </anchor>
              </controlPr>
            </control>
          </mc:Choice>
        </mc:AlternateContent>
        <mc:AlternateContent xmlns:mc="http://schemas.openxmlformats.org/markup-compatibility/2006">
          <mc:Choice Requires="x14">
            <control shapeId="25615" r:id="rId17" name="Check Box 15">
              <controlPr locked="0" defaultSize="0" autoFill="0" autoLine="0" autoPict="0">
                <anchor moveWithCells="1">
                  <from>
                    <xdr:col>1</xdr:col>
                    <xdr:colOff>22860</xdr:colOff>
                    <xdr:row>124</xdr:row>
                    <xdr:rowOff>152400</xdr:rowOff>
                  </from>
                  <to>
                    <xdr:col>2</xdr:col>
                    <xdr:colOff>525780</xdr:colOff>
                    <xdr:row>126</xdr:row>
                    <xdr:rowOff>22860</xdr:rowOff>
                  </to>
                </anchor>
              </controlPr>
            </control>
          </mc:Choice>
        </mc:AlternateContent>
        <mc:AlternateContent xmlns:mc="http://schemas.openxmlformats.org/markup-compatibility/2006">
          <mc:Choice Requires="x14">
            <control shapeId="25616" r:id="rId18" name="Check Box 16">
              <controlPr locked="0" defaultSize="0" autoFill="0" autoLine="0" autoPict="0">
                <anchor moveWithCells="1">
                  <from>
                    <xdr:col>1</xdr:col>
                    <xdr:colOff>22860</xdr:colOff>
                    <xdr:row>126</xdr:row>
                    <xdr:rowOff>144780</xdr:rowOff>
                  </from>
                  <to>
                    <xdr:col>2</xdr:col>
                    <xdr:colOff>525780</xdr:colOff>
                    <xdr:row>128</xdr:row>
                    <xdr:rowOff>22860</xdr:rowOff>
                  </to>
                </anchor>
              </controlPr>
            </control>
          </mc:Choice>
        </mc:AlternateContent>
        <mc:AlternateContent xmlns:mc="http://schemas.openxmlformats.org/markup-compatibility/2006">
          <mc:Choice Requires="x14">
            <control shapeId="25617" r:id="rId19" name="Check Box 17">
              <controlPr locked="0" defaultSize="0" autoFill="0" autoLine="0" autoPict="0">
                <anchor moveWithCells="1">
                  <from>
                    <xdr:col>1</xdr:col>
                    <xdr:colOff>22860</xdr:colOff>
                    <xdr:row>128</xdr:row>
                    <xdr:rowOff>152400</xdr:rowOff>
                  </from>
                  <to>
                    <xdr:col>2</xdr:col>
                    <xdr:colOff>525780</xdr:colOff>
                    <xdr:row>130</xdr:row>
                    <xdr:rowOff>22860</xdr:rowOff>
                  </to>
                </anchor>
              </controlPr>
            </control>
          </mc:Choice>
        </mc:AlternateContent>
        <mc:AlternateContent xmlns:mc="http://schemas.openxmlformats.org/markup-compatibility/2006">
          <mc:Choice Requires="x14">
            <control shapeId="25618" r:id="rId20" name="Check Box 18">
              <controlPr locked="0" defaultSize="0" autoFill="0" autoLine="0" autoPict="0">
                <anchor moveWithCells="1">
                  <from>
                    <xdr:col>1</xdr:col>
                    <xdr:colOff>22860</xdr:colOff>
                    <xdr:row>130</xdr:row>
                    <xdr:rowOff>144780</xdr:rowOff>
                  </from>
                  <to>
                    <xdr:col>2</xdr:col>
                    <xdr:colOff>525780</xdr:colOff>
                    <xdr:row>132</xdr:row>
                    <xdr:rowOff>0</xdr:rowOff>
                  </to>
                </anchor>
              </controlPr>
            </control>
          </mc:Choice>
        </mc:AlternateContent>
        <mc:AlternateContent xmlns:mc="http://schemas.openxmlformats.org/markup-compatibility/2006">
          <mc:Choice Requires="x14">
            <control shapeId="25619" r:id="rId21" name="Check Box 19">
              <controlPr locked="0" defaultSize="0" autoFill="0" autoLine="0" autoPict="0">
                <anchor moveWithCells="1">
                  <from>
                    <xdr:col>1</xdr:col>
                    <xdr:colOff>22860</xdr:colOff>
                    <xdr:row>132</xdr:row>
                    <xdr:rowOff>152400</xdr:rowOff>
                  </from>
                  <to>
                    <xdr:col>2</xdr:col>
                    <xdr:colOff>525780</xdr:colOff>
                    <xdr:row>182</xdr:row>
                    <xdr:rowOff>22860</xdr:rowOff>
                  </to>
                </anchor>
              </controlPr>
            </control>
          </mc:Choice>
        </mc:AlternateContent>
        <mc:AlternateContent xmlns:mc="http://schemas.openxmlformats.org/markup-compatibility/2006">
          <mc:Choice Requires="x14">
            <control shapeId="25620" r:id="rId22" name="Check Box 20">
              <controlPr locked="0" defaultSize="0" autoFill="0" autoLine="0" autoPict="0">
                <anchor moveWithCells="1">
                  <from>
                    <xdr:col>1</xdr:col>
                    <xdr:colOff>22860</xdr:colOff>
                    <xdr:row>134</xdr:row>
                    <xdr:rowOff>144780</xdr:rowOff>
                  </from>
                  <to>
                    <xdr:col>2</xdr:col>
                    <xdr:colOff>525780</xdr:colOff>
                    <xdr:row>182</xdr:row>
                    <xdr:rowOff>45720</xdr:rowOff>
                  </to>
                </anchor>
              </controlPr>
            </control>
          </mc:Choice>
        </mc:AlternateContent>
        <mc:AlternateContent xmlns:mc="http://schemas.openxmlformats.org/markup-compatibility/2006">
          <mc:Choice Requires="x14">
            <control shapeId="25621" r:id="rId23" name="Check Box 21">
              <controlPr locked="0" defaultSize="0" autoFill="0" autoLine="0" autoPict="0">
                <anchor moveWithCells="1">
                  <from>
                    <xdr:col>1</xdr:col>
                    <xdr:colOff>22860</xdr:colOff>
                    <xdr:row>136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22" r:id="rId24" name="Check Box 22">
              <controlPr locked="0" defaultSize="0" autoFill="0" autoLine="0" autoPict="0">
                <anchor moveWithCells="1">
                  <from>
                    <xdr:col>1</xdr:col>
                    <xdr:colOff>22860</xdr:colOff>
                    <xdr:row>138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23" r:id="rId25" name="Check Box 23">
              <controlPr locked="0" defaultSize="0" autoFill="0" autoLine="0" autoPict="0">
                <anchor moveWithCells="1">
                  <from>
                    <xdr:col>1</xdr:col>
                    <xdr:colOff>22860</xdr:colOff>
                    <xdr:row>140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24" r:id="rId26" name="Check Box 24">
              <controlPr locked="0" defaultSize="0" autoFill="0" autoLine="0" autoPict="0">
                <anchor moveWithCells="1">
                  <from>
                    <xdr:col>1</xdr:col>
                    <xdr:colOff>22860</xdr:colOff>
                    <xdr:row>142</xdr:row>
                    <xdr:rowOff>144780</xdr:rowOff>
                  </from>
                  <to>
                    <xdr:col>2</xdr:col>
                    <xdr:colOff>525780</xdr:colOff>
                    <xdr:row>182</xdr:row>
                    <xdr:rowOff>22860</xdr:rowOff>
                  </to>
                </anchor>
              </controlPr>
            </control>
          </mc:Choice>
        </mc:AlternateContent>
        <mc:AlternateContent xmlns:mc="http://schemas.openxmlformats.org/markup-compatibility/2006">
          <mc:Choice Requires="x14">
            <control shapeId="25625" r:id="rId27" name="Check Box 25">
              <controlPr locked="0" defaultSize="0" autoFill="0" autoLine="0" autoPict="0">
                <anchor moveWithCells="1">
                  <from>
                    <xdr:col>1</xdr:col>
                    <xdr:colOff>22860</xdr:colOff>
                    <xdr:row>144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26" r:id="rId28" name="Check Box 26">
              <controlPr locked="0" defaultSize="0" autoFill="0" autoLine="0" autoPict="0">
                <anchor moveWithCells="1">
                  <from>
                    <xdr:col>1</xdr:col>
                    <xdr:colOff>22860</xdr:colOff>
                    <xdr:row>146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27" r:id="rId29" name="Check Box 27">
              <controlPr locked="0" defaultSize="0" autoFill="0" autoLine="0" autoPict="0">
                <anchor moveWithCells="1">
                  <from>
                    <xdr:col>1</xdr:col>
                    <xdr:colOff>22860</xdr:colOff>
                    <xdr:row>148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28" r:id="rId30" name="Check Box 28">
              <controlPr locked="0" defaultSize="0" autoFill="0" autoLine="0" autoPict="0">
                <anchor moveWithCells="1">
                  <from>
                    <xdr:col>1</xdr:col>
                    <xdr:colOff>22860</xdr:colOff>
                    <xdr:row>150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29" r:id="rId31" name="Check Box 29">
              <controlPr locked="0" defaultSize="0" autoFill="0" autoLine="0" autoPict="0">
                <anchor moveWithCells="1">
                  <from>
                    <xdr:col>1</xdr:col>
                    <xdr:colOff>22860</xdr:colOff>
                    <xdr:row>152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30" r:id="rId32" name="Check Box 30">
              <controlPr locked="0" defaultSize="0" autoFill="0" autoLine="0" autoPict="0">
                <anchor moveWithCells="1">
                  <from>
                    <xdr:col>1</xdr:col>
                    <xdr:colOff>22860</xdr:colOff>
                    <xdr:row>154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31" r:id="rId33" name="Check Box 31">
              <controlPr locked="0" defaultSize="0" autoFill="0" autoLine="0" autoPict="0">
                <anchor moveWithCells="1">
                  <from>
                    <xdr:col>1</xdr:col>
                    <xdr:colOff>22860</xdr:colOff>
                    <xdr:row>156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32" r:id="rId34" name="Check Box 32">
              <controlPr locked="0" defaultSize="0" autoFill="0" autoLine="0" autoPict="0">
                <anchor moveWithCells="1">
                  <from>
                    <xdr:col>1</xdr:col>
                    <xdr:colOff>22860</xdr:colOff>
                    <xdr:row>158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33" r:id="rId35" name="Check Box 33">
              <controlPr locked="0" defaultSize="0" autoFill="0" autoLine="0" autoPict="0">
                <anchor moveWithCells="1">
                  <from>
                    <xdr:col>1</xdr:col>
                    <xdr:colOff>22860</xdr:colOff>
                    <xdr:row>160</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34" r:id="rId36" name="Check Box 34">
              <controlPr locked="0" defaultSize="0" autoFill="0" autoLine="0" autoPict="0">
                <anchor moveWithCells="1">
                  <from>
                    <xdr:col>1</xdr:col>
                    <xdr:colOff>22860</xdr:colOff>
                    <xdr:row>162</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35" r:id="rId37" name="Check Box 35">
              <controlPr locked="0" defaultSize="0" autoFill="0" autoLine="0" autoPict="0">
                <anchor moveWithCells="1">
                  <from>
                    <xdr:col>1</xdr:col>
                    <xdr:colOff>22860</xdr:colOff>
                    <xdr:row>164</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36" r:id="rId38" name="Check Box 36">
              <controlPr locked="0" defaultSize="0" autoFill="0" autoLine="0" autoPict="0">
                <anchor moveWithCells="1">
                  <from>
                    <xdr:col>1</xdr:col>
                    <xdr:colOff>22860</xdr:colOff>
                    <xdr:row>166</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37" r:id="rId39" name="Check Box 37">
              <controlPr locked="0" defaultSize="0" autoFill="0" autoLine="0" autoPict="0">
                <anchor moveWithCells="1">
                  <from>
                    <xdr:col>1</xdr:col>
                    <xdr:colOff>22860</xdr:colOff>
                    <xdr:row>168</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38" r:id="rId40" name="Check Box 38">
              <controlPr locked="0" defaultSize="0" autoFill="0" autoLine="0" autoPict="0">
                <anchor moveWithCells="1">
                  <from>
                    <xdr:col>1</xdr:col>
                    <xdr:colOff>22860</xdr:colOff>
                    <xdr:row>170</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39" r:id="rId41" name="Check Box 39">
              <controlPr locked="0" defaultSize="0" autoFill="0" autoLine="0" autoPict="0">
                <anchor moveWithCells="1">
                  <from>
                    <xdr:col>1</xdr:col>
                    <xdr:colOff>22860</xdr:colOff>
                    <xdr:row>172</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40" r:id="rId42" name="Check Box 40">
              <controlPr locked="0" defaultSize="0" autoFill="0" autoLine="0" autoPict="0">
                <anchor moveWithCells="1">
                  <from>
                    <xdr:col>1</xdr:col>
                    <xdr:colOff>22860</xdr:colOff>
                    <xdr:row>174</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41" r:id="rId43" name="Check Box 41">
              <controlPr locked="0" defaultSize="0" autoFill="0" autoLine="0" autoPict="0">
                <anchor moveWithCells="1">
                  <from>
                    <xdr:col>1</xdr:col>
                    <xdr:colOff>22860</xdr:colOff>
                    <xdr:row>176</xdr:row>
                    <xdr:rowOff>152400</xdr:rowOff>
                  </from>
                  <to>
                    <xdr:col>2</xdr:col>
                    <xdr:colOff>525780</xdr:colOff>
                    <xdr:row>182</xdr:row>
                    <xdr:rowOff>30480</xdr:rowOff>
                  </to>
                </anchor>
              </controlPr>
            </control>
          </mc:Choice>
        </mc:AlternateContent>
        <mc:AlternateContent xmlns:mc="http://schemas.openxmlformats.org/markup-compatibility/2006">
          <mc:Choice Requires="x14">
            <control shapeId="25642" r:id="rId44" name="Check Box 42">
              <controlPr locked="0" defaultSize="0" autoFill="0" autoLine="0" autoPict="0">
                <anchor moveWithCells="1">
                  <from>
                    <xdr:col>1</xdr:col>
                    <xdr:colOff>22860</xdr:colOff>
                    <xdr:row>178</xdr:row>
                    <xdr:rowOff>144780</xdr:rowOff>
                  </from>
                  <to>
                    <xdr:col>2</xdr:col>
                    <xdr:colOff>525780</xdr:colOff>
                    <xdr:row>182</xdr:row>
                    <xdr:rowOff>38100</xdr:rowOff>
                  </to>
                </anchor>
              </controlPr>
            </control>
          </mc:Choice>
        </mc:AlternateContent>
        <mc:AlternateContent xmlns:mc="http://schemas.openxmlformats.org/markup-compatibility/2006">
          <mc:Choice Requires="x14">
            <control shapeId="25643" r:id="rId45" name="Check Box 43">
              <controlPr locked="0" defaultSize="0" autoFill="0" autoLine="0" autoPict="0">
                <anchor moveWithCells="1">
                  <from>
                    <xdr:col>1</xdr:col>
                    <xdr:colOff>22860</xdr:colOff>
                    <xdr:row>182</xdr:row>
                    <xdr:rowOff>152400</xdr:rowOff>
                  </from>
                  <to>
                    <xdr:col>2</xdr:col>
                    <xdr:colOff>525780</xdr:colOff>
                    <xdr:row>184</xdr:row>
                    <xdr:rowOff>22860</xdr:rowOff>
                  </to>
                </anchor>
              </controlPr>
            </control>
          </mc:Choice>
        </mc:AlternateContent>
        <mc:AlternateContent xmlns:mc="http://schemas.openxmlformats.org/markup-compatibility/2006">
          <mc:Choice Requires="x14">
            <control shapeId="25644" r:id="rId46" name="Check Box 44">
              <controlPr locked="0" defaultSize="0" autoFill="0" autoLine="0" autoPict="0">
                <anchor moveWithCells="1">
                  <from>
                    <xdr:col>1</xdr:col>
                    <xdr:colOff>7620</xdr:colOff>
                    <xdr:row>197</xdr:row>
                    <xdr:rowOff>121920</xdr:rowOff>
                  </from>
                  <to>
                    <xdr:col>2</xdr:col>
                    <xdr:colOff>518160</xdr:colOff>
                    <xdr:row>211</xdr:row>
                    <xdr:rowOff>60960</xdr:rowOff>
                  </to>
                </anchor>
              </controlPr>
            </control>
          </mc:Choice>
        </mc:AlternateContent>
        <mc:AlternateContent xmlns:mc="http://schemas.openxmlformats.org/markup-compatibility/2006">
          <mc:Choice Requires="x14">
            <control shapeId="25645" r:id="rId47" name="Check Box 45">
              <controlPr locked="0" defaultSize="0" autoFill="0" autoLine="0" autoPict="0">
                <anchor moveWithCells="1">
                  <from>
                    <xdr:col>1</xdr:col>
                    <xdr:colOff>22860</xdr:colOff>
                    <xdr:row>185</xdr:row>
                    <xdr:rowOff>152400</xdr:rowOff>
                  </from>
                  <to>
                    <xdr:col>2</xdr:col>
                    <xdr:colOff>525780</xdr:colOff>
                    <xdr:row>187</xdr:row>
                    <xdr:rowOff>22860</xdr:rowOff>
                  </to>
                </anchor>
              </controlPr>
            </control>
          </mc:Choice>
        </mc:AlternateContent>
        <mc:AlternateContent xmlns:mc="http://schemas.openxmlformats.org/markup-compatibility/2006">
          <mc:Choice Requires="x14">
            <control shapeId="25646" r:id="rId48" name="Check Box 46">
              <controlPr locked="0" defaultSize="0" autoFill="0" autoLine="0" autoPict="0">
                <anchor moveWithCells="1">
                  <from>
                    <xdr:col>1</xdr:col>
                    <xdr:colOff>22860</xdr:colOff>
                    <xdr:row>188</xdr:row>
                    <xdr:rowOff>144780</xdr:rowOff>
                  </from>
                  <to>
                    <xdr:col>2</xdr:col>
                    <xdr:colOff>525780</xdr:colOff>
                    <xdr:row>190</xdr:row>
                    <xdr:rowOff>22860</xdr:rowOff>
                  </to>
                </anchor>
              </controlPr>
            </control>
          </mc:Choice>
        </mc:AlternateContent>
        <mc:AlternateContent xmlns:mc="http://schemas.openxmlformats.org/markup-compatibility/2006">
          <mc:Choice Requires="x14">
            <control shapeId="25647" r:id="rId49" name="Check Box 47">
              <controlPr locked="0" defaultSize="0" autoFill="0" autoLine="0" autoPict="0">
                <anchor moveWithCells="1">
                  <from>
                    <xdr:col>1</xdr:col>
                    <xdr:colOff>22860</xdr:colOff>
                    <xdr:row>191</xdr:row>
                    <xdr:rowOff>144780</xdr:rowOff>
                  </from>
                  <to>
                    <xdr:col>2</xdr:col>
                    <xdr:colOff>525780</xdr:colOff>
                    <xdr:row>193</xdr:row>
                    <xdr:rowOff>22860</xdr:rowOff>
                  </to>
                </anchor>
              </controlPr>
            </control>
          </mc:Choice>
        </mc:AlternateContent>
        <mc:AlternateContent xmlns:mc="http://schemas.openxmlformats.org/markup-compatibility/2006">
          <mc:Choice Requires="x14">
            <control shapeId="25648" r:id="rId50" name="Check Box 48">
              <controlPr locked="0" defaultSize="0" autoFill="0" autoLine="0" autoPict="0">
                <anchor moveWithCells="1">
                  <from>
                    <xdr:col>1</xdr:col>
                    <xdr:colOff>22860</xdr:colOff>
                    <xdr:row>194</xdr:row>
                    <xdr:rowOff>137160</xdr:rowOff>
                  </from>
                  <to>
                    <xdr:col>2</xdr:col>
                    <xdr:colOff>533400</xdr:colOff>
                    <xdr:row>211</xdr:row>
                    <xdr:rowOff>30480</xdr:rowOff>
                  </to>
                </anchor>
              </controlPr>
            </control>
          </mc:Choice>
        </mc:AlternateContent>
        <mc:AlternateContent xmlns:mc="http://schemas.openxmlformats.org/markup-compatibility/2006">
          <mc:Choice Requires="x14">
            <control shapeId="25649" r:id="rId51" name="Check Box 49">
              <controlPr locked="0" defaultSize="0" autoFill="0" autoLine="0" autoPict="0">
                <anchor moveWithCells="1">
                  <from>
                    <xdr:col>1</xdr:col>
                    <xdr:colOff>22860</xdr:colOff>
                    <xdr:row>206</xdr:row>
                    <xdr:rowOff>121920</xdr:rowOff>
                  </from>
                  <to>
                    <xdr:col>2</xdr:col>
                    <xdr:colOff>533400</xdr:colOff>
                    <xdr:row>211</xdr:row>
                    <xdr:rowOff>60960</xdr:rowOff>
                  </to>
                </anchor>
              </controlPr>
            </control>
          </mc:Choice>
        </mc:AlternateContent>
        <mc:AlternateContent xmlns:mc="http://schemas.openxmlformats.org/markup-compatibility/2006">
          <mc:Choice Requires="x14">
            <control shapeId="25650" r:id="rId52" name="Check Box 50">
              <controlPr locked="0" defaultSize="0" autoFill="0" autoLine="0" autoPict="0">
                <anchor moveWithCells="1">
                  <from>
                    <xdr:col>1</xdr:col>
                    <xdr:colOff>7620</xdr:colOff>
                    <xdr:row>200</xdr:row>
                    <xdr:rowOff>121920</xdr:rowOff>
                  </from>
                  <to>
                    <xdr:col>2</xdr:col>
                    <xdr:colOff>525780</xdr:colOff>
                    <xdr:row>211</xdr:row>
                    <xdr:rowOff>60960</xdr:rowOff>
                  </to>
                </anchor>
              </controlPr>
            </control>
          </mc:Choice>
        </mc:AlternateContent>
        <mc:AlternateContent xmlns:mc="http://schemas.openxmlformats.org/markup-compatibility/2006">
          <mc:Choice Requires="x14">
            <control shapeId="25651" r:id="rId53" name="Check Box 51">
              <controlPr locked="0" defaultSize="0" autoFill="0" autoLine="0" autoPict="0">
                <anchor moveWithCells="1">
                  <from>
                    <xdr:col>1</xdr:col>
                    <xdr:colOff>22860</xdr:colOff>
                    <xdr:row>203</xdr:row>
                    <xdr:rowOff>121920</xdr:rowOff>
                  </from>
                  <to>
                    <xdr:col>2</xdr:col>
                    <xdr:colOff>533400</xdr:colOff>
                    <xdr:row>211</xdr:row>
                    <xdr:rowOff>60960</xdr:rowOff>
                  </to>
                </anchor>
              </controlPr>
            </control>
          </mc:Choice>
        </mc:AlternateContent>
        <mc:AlternateContent xmlns:mc="http://schemas.openxmlformats.org/markup-compatibility/2006">
          <mc:Choice Requires="x14">
            <control shapeId="25655" r:id="rId54" name="Check Box 55">
              <controlPr locked="0" defaultSize="0" autoFill="0" autoLine="0" autoPict="0">
                <anchor moveWithCells="1">
                  <from>
                    <xdr:col>1</xdr:col>
                    <xdr:colOff>7620</xdr:colOff>
                    <xdr:row>42</xdr:row>
                    <xdr:rowOff>152400</xdr:rowOff>
                  </from>
                  <to>
                    <xdr:col>1</xdr:col>
                    <xdr:colOff>198120</xdr:colOff>
                    <xdr:row>44</xdr:row>
                    <xdr:rowOff>22860</xdr:rowOff>
                  </to>
                </anchor>
              </controlPr>
            </control>
          </mc:Choice>
        </mc:AlternateContent>
        <mc:AlternateContent xmlns:mc="http://schemas.openxmlformats.org/markup-compatibility/2006">
          <mc:Choice Requires="x14">
            <control shapeId="25656" r:id="rId55" name="Check Box 56">
              <controlPr locked="0" defaultSize="0" autoFill="0" autoLine="0" autoPict="0">
                <anchor moveWithCells="1">
                  <from>
                    <xdr:col>1</xdr:col>
                    <xdr:colOff>7620</xdr:colOff>
                    <xdr:row>69</xdr:row>
                    <xdr:rowOff>144780</xdr:rowOff>
                  </from>
                  <to>
                    <xdr:col>1</xdr:col>
                    <xdr:colOff>198120</xdr:colOff>
                    <xdr:row>71</xdr:row>
                    <xdr:rowOff>30480</xdr:rowOff>
                  </to>
                </anchor>
              </controlPr>
            </control>
          </mc:Choice>
        </mc:AlternateContent>
        <mc:AlternateContent xmlns:mc="http://schemas.openxmlformats.org/markup-compatibility/2006">
          <mc:Choice Requires="x14">
            <control shapeId="25659" r:id="rId56" name="Check Box 59">
              <controlPr locked="0" defaultSize="0" autoFill="0" autoLine="0" autoPict="0">
                <anchor moveWithCells="1">
                  <from>
                    <xdr:col>1</xdr:col>
                    <xdr:colOff>22860</xdr:colOff>
                    <xdr:row>42</xdr:row>
                    <xdr:rowOff>144780</xdr:rowOff>
                  </from>
                  <to>
                    <xdr:col>1</xdr:col>
                    <xdr:colOff>213360</xdr:colOff>
                    <xdr:row>44</xdr:row>
                    <xdr:rowOff>30480</xdr:rowOff>
                  </to>
                </anchor>
              </controlPr>
            </control>
          </mc:Choice>
        </mc:AlternateContent>
        <mc:AlternateContent xmlns:mc="http://schemas.openxmlformats.org/markup-compatibility/2006">
          <mc:Choice Requires="x14">
            <control shapeId="25660" r:id="rId57" name="Check Box 60">
              <controlPr locked="0" defaultSize="0" autoFill="0" autoLine="0" autoPict="0">
                <anchor moveWithCells="1">
                  <from>
                    <xdr:col>1</xdr:col>
                    <xdr:colOff>7620</xdr:colOff>
                    <xdr:row>69</xdr:row>
                    <xdr:rowOff>152400</xdr:rowOff>
                  </from>
                  <to>
                    <xdr:col>1</xdr:col>
                    <xdr:colOff>198120</xdr:colOff>
                    <xdr:row>71</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6">
        <x14:dataValidation type="list" allowBlank="1" showInputMessage="1" showErrorMessage="1" xr:uid="{736A44A7-A139-4D87-B0FC-B4492383AA62}">
          <x14:formula1>
            <xm:f>'Data_3.3V_BUCK=1.1V'!$B$69:$B$71</xm:f>
          </x14:formula1>
          <xm:sqref>D215</xm:sqref>
        </x14:dataValidation>
        <x14:dataValidation type="list" allowBlank="1" showInputMessage="1" showErrorMessage="1" xr:uid="{52877A14-9E5A-4D51-B6B8-94A2B61008DA}">
          <x14:formula1>
            <xm:f>Options!$I$3:$I$5</xm:f>
          </x14:formula1>
          <xm:sqref>D197 D206 D200 D203 D185 D194 D188 D191 D209</xm:sqref>
        </x14:dataValidation>
        <x14:dataValidation type="list" allowBlank="1" showInputMessage="1" showErrorMessage="1" xr:uid="{9C0B054E-1F61-48C3-88A0-6D7AEAA34504}">
          <x14:formula1>
            <xm:f>Options!$H$3:$H$5</xm:f>
          </x14:formula1>
          <xm:sqref>D196 D205 D199 D202 D184 D193 D187 D190 D208</xm:sqref>
        </x14:dataValidation>
        <x14:dataValidation type="list" allowBlank="1" showInputMessage="1" showErrorMessage="1" xr:uid="{675164FC-68B0-4B57-BB46-F063E72FDC0E}">
          <x14:formula1>
            <xm:f>Options!$F$3:$F$5</xm:f>
          </x14:formula1>
          <xm:sqref>D118 D120 D122 D124 D126 D128 D130 D132 D134 D136 D138 D140 D142 D144 D146 D148 D150 D152 D154 D156 D158 D160 D162 D164 D166 D168 D170 D172 D174 D176 D178 D180</xm:sqref>
        </x14:dataValidation>
        <x14:dataValidation type="list" allowBlank="1" showInputMessage="1" showErrorMessage="1" xr:uid="{96E61174-FEEA-428B-A2A4-F4C8DF5BE430}">
          <x14:formula1>
            <xm:f>'Data_3.3V_BUCK=1.1V'!$B$63:$B$66</xm:f>
          </x14:formula1>
          <xm:sqref>D217</xm:sqref>
        </x14:dataValidation>
        <x14:dataValidation type="list" allowBlank="1" showInputMessage="1" showErrorMessage="1" xr:uid="{C5520290-ED45-43A1-AB63-0DD95026F6A7}">
          <x14:formula1>
            <xm:f>'Data_3.3V_BUCK=1.1V'!$B$42:$B$45</xm:f>
          </x14:formula1>
          <xm:sqref>D105 D107</xm:sqref>
        </x14:dataValidation>
        <x14:dataValidation type="list" allowBlank="1" showInputMessage="1" showErrorMessage="1" promptTitle="Select the PSoC family." xr:uid="{D9CA2D66-C613-4726-AECC-80E6F45741C7}">
          <x14:formula1>
            <xm:f>Options!$E$3:$E$4</xm:f>
          </x14:formula1>
          <xm:sqref>D6</xm:sqref>
        </x14:dataValidation>
        <x14:dataValidation type="list" errorStyle="warning" allowBlank="1" showInputMessage="1" showErrorMessage="1" errorTitle="Invalid Power Mode" promptTitle="Select the CM0+ CPU Power Mode." xr:uid="{37739224-3353-4517-9317-6FACC9F61067}">
          <x14:formula1>
            <xm:f>IF(Config5_SystemMode=Options!$C$5,Options!$D$5,Options!$D$3:$D$5)</xm:f>
          </x14:formula1>
          <xm:sqref>D9</xm:sqref>
        </x14:dataValidation>
        <x14:dataValidation type="list" allowBlank="1" showInputMessage="1" showErrorMessage="1" promptTitle="Select the PSoC family." xr:uid="{C7EC4DCD-E7D7-4C56-8BCE-8C6D6162F652}">
          <x14:formula1>
            <xm:f>IF(Config5_SystemMode=SystemDeepSleep,Options!$D$5:$D$6,Options!$D$3:$D$6)</xm:f>
          </x14:formula1>
          <xm:sqref>D10</xm:sqref>
        </x14:dataValidation>
        <x14:dataValidation type="list" allowBlank="1" showInputMessage="1" showErrorMessage="1" promptTitle="Select the PSoC family." xr:uid="{A420FE7E-C01D-4C13-B50F-E5C6D00DF83F}">
          <x14:formula1>
            <xm:f>Options!$C$3:$C$6</xm:f>
          </x14:formula1>
          <xm:sqref>D8</xm:sqref>
        </x14:dataValidation>
        <x14:dataValidation type="list" allowBlank="1" showInputMessage="1" showErrorMessage="1" xr:uid="{89BDA60A-483F-49F1-AD56-79EFBD2C06EF}">
          <x14:formula1>
            <xm:f>Options!$W$3:$W$10</xm:f>
          </x14:formula1>
          <xm:sqref>D49 D76</xm:sqref>
        </x14:dataValidation>
        <x14:dataValidation type="list" allowBlank="1" showInputMessage="1" showErrorMessage="1" xr:uid="{1A11530D-345F-4079-9BBD-0ABA7F49F6D0}">
          <x14:formula1>
            <xm:f>IF(Config1_SystemMode = "System Deep Sleep",Options!$V$4, Options!$V$3:$V$4)</xm:f>
          </x14:formula1>
          <xm:sqref>D44 D71</xm:sqref>
        </x14:dataValidation>
        <x14:dataValidation type="list" allowBlank="1" showInputMessage="1" showErrorMessage="1" xr:uid="{F1F6B27C-61BA-40F6-8431-D7DFADE9F421}">
          <x14:formula1>
            <xm:f>IF(OR((SelectedDevice=PSoC60), (SelectedDevice=PSoC61), (SelectedDevice=PSoC62_1M),(SelectedDevice=PSoC4000S), (SelectedDevice=PSoC4100S), (SelectedDevice=PSoC4100PS)),Options!H3:H3,Options!H3:H6)</xm:f>
          </x14:formula1>
          <xm:sqref>D211:D212</xm:sqref>
        </x14:dataValidation>
        <x14:dataValidation type="list" allowBlank="1" showInputMessage="1" showErrorMessage="1" xr:uid="{E3EC5FA0-AB33-4B57-A14C-170BB9C9FE12}">
          <x14:formula1>
            <xm:f>IF(SelectedDevice = "PSoC 62 (256KB)", Options!X3:X4, Options!X3)</xm:f>
          </x14:formula1>
          <xm:sqref>D99</xm:sqref>
        </x14:dataValidation>
        <x14:dataValidation type="decimal" operator="lessThanOrEqual" allowBlank="1" showInputMessage="1" showErrorMessage="1" xr:uid="{30440A75-5A6A-461B-8534-102D5B546657}">
          <x14:formula1>
            <xm:f>IF(OR(Summary!F33 = "PSoC 62 (256KB)", Summary!F33 = "PSoC 62 (2MB)"), 36000, 18000)</xm:f>
          </x14:formula1>
          <xm:sqref>D73</xm:sqref>
        </x14:dataValidation>
        <x14:dataValidation type="decimal" operator="lessThanOrEqual" allowBlank="1" showInputMessage="1" showErrorMessage="1" xr:uid="{827AF08B-C21A-443B-A877-4CEAD029C4E3}">
          <x14:formula1>
            <xm:f>IF(OR(Summary!F2 = "PSoC 62 (256KB)", Summary!F2 = "PSoC 62 (2MB)"), 36000, 18000)</xm:f>
          </x14:formula1>
          <xm:sqref>D46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2:X15"/>
  <sheetViews>
    <sheetView workbookViewId="0">
      <selection activeCell="B9" sqref="B9"/>
    </sheetView>
  </sheetViews>
  <sheetFormatPr defaultRowHeight="13.2" x14ac:dyDescent="0.25"/>
  <cols>
    <col min="2" max="3" width="20.5546875" customWidth="1"/>
    <col min="4" max="4" width="23" customWidth="1"/>
    <col min="5" max="5" width="21.5546875" customWidth="1"/>
    <col min="6" max="6" width="13.88671875" customWidth="1"/>
    <col min="7" max="7" width="15.88671875" bestFit="1" customWidth="1"/>
    <col min="8" max="8" width="11.33203125" bestFit="1" customWidth="1"/>
    <col min="9" max="9" width="11.33203125" customWidth="1"/>
    <col min="10" max="10" width="17" bestFit="1" customWidth="1"/>
    <col min="11" max="11" width="17.44140625" bestFit="1" customWidth="1"/>
    <col min="12" max="12" width="23.33203125" bestFit="1" customWidth="1"/>
    <col min="13" max="13" width="24.33203125" bestFit="1" customWidth="1"/>
    <col min="14" max="15" width="16.6640625" customWidth="1"/>
    <col min="16" max="16" width="11.33203125" bestFit="1" customWidth="1"/>
    <col min="17" max="17" width="18.6640625" bestFit="1" customWidth="1"/>
    <col min="18" max="18" width="18.6640625" customWidth="1"/>
    <col min="19" max="19" width="19.5546875" bestFit="1" customWidth="1"/>
    <col min="20" max="20" width="12.109375" customWidth="1"/>
    <col min="21" max="21" width="22.6640625" bestFit="1" customWidth="1"/>
    <col min="22" max="22" width="17.5546875" bestFit="1" customWidth="1"/>
    <col min="23" max="23" width="17.88671875" bestFit="1" customWidth="1"/>
    <col min="24" max="24" width="17.109375" bestFit="1" customWidth="1"/>
  </cols>
  <sheetData>
    <row r="2" spans="2:24" x14ac:dyDescent="0.25">
      <c r="B2" s="113" t="s">
        <v>191</v>
      </c>
      <c r="C2" s="114" t="s">
        <v>221</v>
      </c>
      <c r="D2" s="114" t="s">
        <v>220</v>
      </c>
      <c r="E2" s="114" t="s">
        <v>264</v>
      </c>
      <c r="F2" s="114" t="s">
        <v>334</v>
      </c>
      <c r="G2" s="116" t="s">
        <v>213</v>
      </c>
      <c r="H2" s="113" t="s">
        <v>210</v>
      </c>
      <c r="I2" s="114" t="s">
        <v>370</v>
      </c>
      <c r="J2" s="114" t="s">
        <v>209</v>
      </c>
      <c r="K2" s="113" t="s">
        <v>208</v>
      </c>
      <c r="L2" s="113" t="s">
        <v>206</v>
      </c>
      <c r="M2" s="113" t="s">
        <v>207</v>
      </c>
      <c r="N2" s="116" t="s">
        <v>202</v>
      </c>
      <c r="O2" s="116" t="s">
        <v>200</v>
      </c>
      <c r="P2" s="114" t="s">
        <v>205</v>
      </c>
      <c r="Q2" s="113" t="s">
        <v>214</v>
      </c>
      <c r="R2" s="128" t="s">
        <v>389</v>
      </c>
      <c r="S2" s="128" t="s">
        <v>204</v>
      </c>
      <c r="T2" s="113" t="s">
        <v>305</v>
      </c>
      <c r="U2" s="172" t="s">
        <v>407</v>
      </c>
      <c r="V2" s="114" t="s">
        <v>417</v>
      </c>
      <c r="W2" s="114" t="s">
        <v>449</v>
      </c>
      <c r="X2" s="113" t="s">
        <v>470</v>
      </c>
    </row>
    <row r="3" spans="2:24" x14ac:dyDescent="0.25">
      <c r="B3" s="87" t="s">
        <v>474</v>
      </c>
      <c r="C3" s="132" t="s">
        <v>222</v>
      </c>
      <c r="D3" s="131" t="s">
        <v>228</v>
      </c>
      <c r="E3" s="131" t="s">
        <v>265</v>
      </c>
      <c r="F3" s="150" t="s">
        <v>151</v>
      </c>
      <c r="G3" s="122">
        <v>1</v>
      </c>
      <c r="H3" s="138" t="s">
        <v>193</v>
      </c>
      <c r="I3" s="154" t="s">
        <v>151</v>
      </c>
      <c r="J3" s="118">
        <v>50</v>
      </c>
      <c r="K3" s="54">
        <v>500</v>
      </c>
      <c r="L3" s="54">
        <v>110</v>
      </c>
      <c r="M3" s="54">
        <f>L3/1000</f>
        <v>0.11</v>
      </c>
      <c r="N3" s="91" t="s">
        <v>90</v>
      </c>
      <c r="O3" s="125" t="s">
        <v>201</v>
      </c>
      <c r="P3" s="131" t="s">
        <v>151</v>
      </c>
      <c r="Q3" s="54">
        <v>0</v>
      </c>
      <c r="R3" s="138" t="s">
        <v>390</v>
      </c>
      <c r="S3" s="129" t="s">
        <v>82</v>
      </c>
      <c r="T3" s="54" t="s">
        <v>304</v>
      </c>
      <c r="U3" s="125" t="s">
        <v>411</v>
      </c>
      <c r="V3" s="122" t="s">
        <v>418</v>
      </c>
      <c r="W3" s="122">
        <v>2</v>
      </c>
      <c r="X3" s="122" t="s">
        <v>458</v>
      </c>
    </row>
    <row r="4" spans="2:24" x14ac:dyDescent="0.25">
      <c r="B4" s="87" t="s">
        <v>478</v>
      </c>
      <c r="C4" s="132" t="s">
        <v>223</v>
      </c>
      <c r="D4" s="131" t="s">
        <v>227</v>
      </c>
      <c r="E4" s="131" t="s">
        <v>266</v>
      </c>
      <c r="F4" s="150" t="s">
        <v>150</v>
      </c>
      <c r="G4" s="54">
        <v>2</v>
      </c>
      <c r="H4" s="138" t="s">
        <v>195</v>
      </c>
      <c r="I4" s="154" t="s">
        <v>150</v>
      </c>
      <c r="J4" s="118">
        <v>100</v>
      </c>
      <c r="K4" s="54">
        <v>1000</v>
      </c>
      <c r="L4" s="54">
        <v>300</v>
      </c>
      <c r="M4" s="54">
        <f t="shared" ref="M4:M15" si="0">L4/1000</f>
        <v>0.3</v>
      </c>
      <c r="N4" s="125" t="s">
        <v>199</v>
      </c>
      <c r="O4" s="125" t="s">
        <v>88</v>
      </c>
      <c r="P4" s="131" t="s">
        <v>150</v>
      </c>
      <c r="Q4" s="54">
        <v>2</v>
      </c>
      <c r="R4" s="138" t="s">
        <v>391</v>
      </c>
      <c r="S4" s="129" t="s">
        <v>198</v>
      </c>
      <c r="T4" s="122" t="s">
        <v>306</v>
      </c>
      <c r="U4" s="125" t="s">
        <v>151</v>
      </c>
      <c r="V4" s="122" t="s">
        <v>419</v>
      </c>
      <c r="W4" s="122">
        <v>4</v>
      </c>
      <c r="X4" s="122" t="s">
        <v>455</v>
      </c>
    </row>
    <row r="5" spans="2:24" x14ac:dyDescent="0.25">
      <c r="B5" s="181" t="s">
        <v>479</v>
      </c>
      <c r="C5" s="132" t="s">
        <v>224</v>
      </c>
      <c r="D5" s="131" t="s">
        <v>226</v>
      </c>
      <c r="E5" s="131"/>
      <c r="F5" s="150" t="s">
        <v>335</v>
      </c>
      <c r="G5" s="54">
        <v>2</v>
      </c>
      <c r="H5" s="138" t="s">
        <v>194</v>
      </c>
      <c r="I5" s="154" t="s">
        <v>371</v>
      </c>
      <c r="J5" s="118">
        <v>400</v>
      </c>
      <c r="K5" s="54">
        <v>2000</v>
      </c>
      <c r="L5" s="54">
        <v>1200</v>
      </c>
      <c r="M5" s="54">
        <f t="shared" si="0"/>
        <v>1.2</v>
      </c>
      <c r="N5" s="91" t="s">
        <v>28</v>
      </c>
      <c r="O5" s="40"/>
      <c r="P5" s="122" t="s">
        <v>388</v>
      </c>
      <c r="Q5" s="54">
        <v>2</v>
      </c>
      <c r="R5" s="129"/>
      <c r="S5" s="129" t="s">
        <v>83</v>
      </c>
      <c r="T5" s="122" t="s">
        <v>307</v>
      </c>
      <c r="W5" s="122">
        <v>8</v>
      </c>
    </row>
    <row r="6" spans="2:24" x14ac:dyDescent="0.25">
      <c r="B6" s="181" t="s">
        <v>480</v>
      </c>
      <c r="C6" s="132" t="s">
        <v>225</v>
      </c>
      <c r="D6" s="131" t="s">
        <v>257</v>
      </c>
      <c r="E6" s="131"/>
      <c r="F6" s="117"/>
      <c r="G6" s="54">
        <v>4</v>
      </c>
      <c r="H6" s="126"/>
      <c r="I6" s="155"/>
      <c r="J6" s="118">
        <v>1000</v>
      </c>
      <c r="K6" s="54">
        <v>4000</v>
      </c>
      <c r="L6" s="54">
        <v>2400</v>
      </c>
      <c r="M6" s="54">
        <f t="shared" si="0"/>
        <v>2.4</v>
      </c>
      <c r="Q6" s="54">
        <v>4</v>
      </c>
      <c r="R6" s="129"/>
      <c r="S6" s="129" t="s">
        <v>28</v>
      </c>
      <c r="T6" s="122" t="s">
        <v>308</v>
      </c>
      <c r="W6" s="122">
        <v>16</v>
      </c>
    </row>
    <row r="7" spans="2:24" x14ac:dyDescent="0.25">
      <c r="B7" s="135" t="s">
        <v>481</v>
      </c>
      <c r="C7" s="132"/>
      <c r="D7" s="115"/>
      <c r="E7" s="115"/>
      <c r="F7" s="117"/>
      <c r="G7" s="54">
        <v>4</v>
      </c>
      <c r="K7" s="54">
        <v>8000</v>
      </c>
      <c r="L7" s="54">
        <v>4800</v>
      </c>
      <c r="M7" s="54">
        <f t="shared" si="0"/>
        <v>4.8</v>
      </c>
      <c r="Q7" s="54">
        <v>4</v>
      </c>
      <c r="W7" s="122">
        <v>32</v>
      </c>
    </row>
    <row r="8" spans="2:24" x14ac:dyDescent="0.25">
      <c r="B8" s="181" t="s">
        <v>482</v>
      </c>
      <c r="C8" s="133"/>
      <c r="F8" s="40"/>
      <c r="L8" s="54">
        <v>9600</v>
      </c>
      <c r="M8" s="54">
        <f t="shared" si="0"/>
        <v>9.6</v>
      </c>
      <c r="Q8" s="54">
        <v>4</v>
      </c>
      <c r="W8" s="122">
        <v>64</v>
      </c>
    </row>
    <row r="9" spans="2:24" x14ac:dyDescent="0.25">
      <c r="B9" s="181" t="s">
        <v>483</v>
      </c>
      <c r="C9" s="133"/>
      <c r="F9" s="40"/>
      <c r="L9" s="54">
        <v>19200</v>
      </c>
      <c r="M9" s="54">
        <f t="shared" si="0"/>
        <v>19.2</v>
      </c>
      <c r="Q9" s="54">
        <v>0</v>
      </c>
      <c r="W9" s="122">
        <v>128</v>
      </c>
    </row>
    <row r="10" spans="2:24" x14ac:dyDescent="0.25">
      <c r="B10" s="133"/>
      <c r="C10" s="133"/>
      <c r="F10" s="40"/>
      <c r="L10" s="54">
        <v>38400</v>
      </c>
      <c r="M10" s="54">
        <f t="shared" si="0"/>
        <v>38.4</v>
      </c>
      <c r="Q10" s="54">
        <v>2</v>
      </c>
      <c r="W10" s="122">
        <v>256</v>
      </c>
    </row>
    <row r="11" spans="2:24" x14ac:dyDescent="0.25">
      <c r="B11" s="134"/>
      <c r="C11" s="134"/>
      <c r="F11" s="40"/>
      <c r="L11" s="54">
        <v>57600</v>
      </c>
      <c r="M11" s="54">
        <f t="shared" si="0"/>
        <v>57.6</v>
      </c>
      <c r="Q11" s="54">
        <v>4</v>
      </c>
    </row>
    <row r="12" spans="2:24" x14ac:dyDescent="0.25">
      <c r="B12" t="s">
        <v>484</v>
      </c>
      <c r="L12" s="54">
        <v>115200</v>
      </c>
      <c r="M12" s="54">
        <f t="shared" si="0"/>
        <v>115.2</v>
      </c>
    </row>
    <row r="13" spans="2:24" x14ac:dyDescent="0.25">
      <c r="L13" s="54">
        <v>230400</v>
      </c>
      <c r="M13" s="54">
        <f t="shared" si="0"/>
        <v>230.4</v>
      </c>
    </row>
    <row r="14" spans="2:24" x14ac:dyDescent="0.25">
      <c r="L14" s="54">
        <v>460800</v>
      </c>
      <c r="M14" s="54">
        <f t="shared" si="0"/>
        <v>460.8</v>
      </c>
    </row>
    <row r="15" spans="2:24" x14ac:dyDescent="0.25">
      <c r="L15" s="54">
        <v>921600</v>
      </c>
      <c r="M15" s="54">
        <f t="shared" si="0"/>
        <v>921.6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K115"/>
  <sheetViews>
    <sheetView zoomScaleNormal="100" workbookViewId="0">
      <selection activeCell="C1" sqref="C1"/>
    </sheetView>
  </sheetViews>
  <sheetFormatPr defaultRowHeight="13.2" x14ac:dyDescent="0.25"/>
  <cols>
    <col min="1" max="1" width="19.109375" customWidth="1"/>
    <col min="2" max="2" width="43.44140625" customWidth="1"/>
    <col min="3" max="3" width="18.109375" customWidth="1"/>
    <col min="4" max="4" width="12.33203125" customWidth="1"/>
    <col min="5" max="5" width="10.5546875" bestFit="1" customWidth="1"/>
    <col min="6" max="6" width="12.6640625" customWidth="1"/>
    <col min="7" max="7" width="13.109375" customWidth="1"/>
    <col min="8" max="8" width="12.109375" bestFit="1" customWidth="1"/>
    <col min="9" max="9" width="14.33203125" bestFit="1" customWidth="1"/>
    <col min="10" max="10" width="14.33203125" customWidth="1"/>
  </cols>
  <sheetData>
    <row r="1" spans="1:11" x14ac:dyDescent="0.25">
      <c r="C1" s="40">
        <f>IF(SelectedDevice=PSoC60,1,IF(SelectedDevice=PSoC61,2,IF(SelectedDevice=PSoC62_1M,3,IF(SelectedDevice=PSoC62_2M,4,IF(SelectedDevice=PSoC63,5,IF(SelectedDevice=PSoC62_512K,6,IF(SelectedDevice=PSoC62_256K,7,0)))))))</f>
        <v>1</v>
      </c>
      <c r="E1" s="251" t="s">
        <v>189</v>
      </c>
      <c r="F1" s="251"/>
      <c r="G1" s="251"/>
      <c r="H1" s="251"/>
    </row>
    <row r="2" spans="1:11" ht="26.4" x14ac:dyDescent="0.25">
      <c r="A2" s="87"/>
      <c r="B2" s="87"/>
      <c r="C2" s="120" t="s">
        <v>190</v>
      </c>
      <c r="D2" s="121" t="s">
        <v>474</v>
      </c>
      <c r="E2" s="121" t="s">
        <v>478</v>
      </c>
      <c r="F2" s="121" t="s">
        <v>485</v>
      </c>
      <c r="G2" s="121" t="s">
        <v>486</v>
      </c>
      <c r="H2" s="121" t="s">
        <v>481</v>
      </c>
      <c r="I2" s="121" t="s">
        <v>487</v>
      </c>
      <c r="J2" s="121" t="s">
        <v>488</v>
      </c>
      <c r="K2" s="199"/>
    </row>
    <row r="3" spans="1:11" x14ac:dyDescent="0.25">
      <c r="A3" s="84"/>
      <c r="B3" s="84"/>
      <c r="C3" s="84"/>
      <c r="D3" s="84"/>
      <c r="E3" s="84"/>
      <c r="F3" s="84"/>
      <c r="G3" s="84"/>
      <c r="H3" s="84"/>
      <c r="I3" s="84"/>
      <c r="J3" s="84"/>
      <c r="K3" s="199"/>
    </row>
    <row r="4" spans="1:11" ht="13.2" customHeight="1" x14ac:dyDescent="0.25">
      <c r="A4" s="254" t="s">
        <v>309</v>
      </c>
      <c r="B4" s="124" t="s">
        <v>301</v>
      </c>
      <c r="C4" s="127">
        <f>INDEX(D4:J4,$C$1)</f>
        <v>17.11</v>
      </c>
      <c r="D4" s="86">
        <v>17.11</v>
      </c>
      <c r="E4" s="86">
        <v>17.11</v>
      </c>
      <c r="F4" s="86">
        <v>17.11</v>
      </c>
      <c r="G4" s="86">
        <v>17.11</v>
      </c>
      <c r="H4" s="86">
        <v>17.11</v>
      </c>
      <c r="I4" s="86">
        <v>17.11</v>
      </c>
      <c r="J4" s="86">
        <v>17.11</v>
      </c>
      <c r="K4" s="199"/>
    </row>
    <row r="5" spans="1:11" x14ac:dyDescent="0.25">
      <c r="A5" s="255"/>
      <c r="B5" s="124" t="s">
        <v>300</v>
      </c>
      <c r="C5" s="127">
        <f t="shared" ref="C5:C10" si="0">INDEX(D5:J5,$C$1)</f>
        <v>5.19</v>
      </c>
      <c r="D5" s="86">
        <v>5.19</v>
      </c>
      <c r="E5" s="86">
        <v>5.19</v>
      </c>
      <c r="F5" s="86">
        <v>5.19</v>
      </c>
      <c r="G5" s="86">
        <v>5.19</v>
      </c>
      <c r="H5" s="86">
        <v>5.19</v>
      </c>
      <c r="I5" s="86">
        <v>5.19</v>
      </c>
      <c r="J5" s="86">
        <v>5.19</v>
      </c>
      <c r="K5" s="199"/>
    </row>
    <row r="6" spans="1:11" x14ac:dyDescent="0.25">
      <c r="A6" s="255"/>
      <c r="B6" s="144" t="s">
        <v>299</v>
      </c>
      <c r="C6" s="127">
        <f t="shared" si="0"/>
        <v>24.92</v>
      </c>
      <c r="D6" s="86">
        <v>24.92</v>
      </c>
      <c r="E6" s="86">
        <v>24.92</v>
      </c>
      <c r="F6" s="86">
        <v>24.92</v>
      </c>
      <c r="G6" s="86">
        <v>24.92</v>
      </c>
      <c r="H6" s="86">
        <v>24.92</v>
      </c>
      <c r="I6" s="86">
        <v>24.92</v>
      </c>
      <c r="J6" s="86">
        <v>24.92</v>
      </c>
      <c r="K6" s="199"/>
    </row>
    <row r="7" spans="1:11" x14ac:dyDescent="0.25">
      <c r="A7" s="255"/>
      <c r="B7" s="144" t="s">
        <v>298</v>
      </c>
      <c r="C7" s="127">
        <f t="shared" si="0"/>
        <v>1.26</v>
      </c>
      <c r="D7" s="86">
        <v>1.26</v>
      </c>
      <c r="E7" s="86">
        <v>1.26</v>
      </c>
      <c r="F7" s="86">
        <v>1.26</v>
      </c>
      <c r="G7" s="86">
        <v>1.26</v>
      </c>
      <c r="H7" s="86">
        <v>1.26</v>
      </c>
      <c r="I7" s="86">
        <v>1.26</v>
      </c>
      <c r="J7" s="86">
        <v>1.26</v>
      </c>
      <c r="K7" s="199"/>
    </row>
    <row r="8" spans="1:11" ht="12" customHeight="1" x14ac:dyDescent="0.25">
      <c r="A8" s="255"/>
      <c r="B8" s="145" t="s">
        <v>297</v>
      </c>
      <c r="C8" s="127">
        <f t="shared" si="0"/>
        <v>1.41</v>
      </c>
      <c r="D8" s="86">
        <v>1.41</v>
      </c>
      <c r="E8" s="86">
        <v>1.41</v>
      </c>
      <c r="F8" s="86">
        <v>1.41</v>
      </c>
      <c r="G8" s="86">
        <v>1.41</v>
      </c>
      <c r="H8" s="86">
        <v>1.41</v>
      </c>
      <c r="I8" s="86">
        <v>1.41</v>
      </c>
      <c r="J8" s="86">
        <v>1.41</v>
      </c>
      <c r="K8" s="199"/>
    </row>
    <row r="9" spans="1:11" ht="12.75" customHeight="1" x14ac:dyDescent="0.25">
      <c r="A9" s="255"/>
      <c r="B9" s="144" t="s">
        <v>224</v>
      </c>
      <c r="C9" s="127">
        <f t="shared" si="0"/>
        <v>7</v>
      </c>
      <c r="D9" s="86">
        <v>7</v>
      </c>
      <c r="E9" s="86">
        <v>7</v>
      </c>
      <c r="F9" s="86">
        <v>7</v>
      </c>
      <c r="G9" s="86">
        <v>7</v>
      </c>
      <c r="H9" s="86">
        <v>7</v>
      </c>
      <c r="I9" s="86">
        <v>7</v>
      </c>
      <c r="J9" s="86">
        <v>7</v>
      </c>
      <c r="K9" s="199"/>
    </row>
    <row r="10" spans="1:11" ht="12.75" customHeight="1" x14ac:dyDescent="0.25">
      <c r="A10" s="255"/>
      <c r="B10" s="144" t="s">
        <v>225</v>
      </c>
      <c r="C10" s="127">
        <f t="shared" si="0"/>
        <v>0.8</v>
      </c>
      <c r="D10" s="86">
        <v>0.8</v>
      </c>
      <c r="E10" s="86">
        <v>0.8</v>
      </c>
      <c r="F10" s="86">
        <v>0.8</v>
      </c>
      <c r="G10" s="86">
        <v>0.8</v>
      </c>
      <c r="H10" s="86">
        <v>0.8</v>
      </c>
      <c r="I10" s="86">
        <v>0.8</v>
      </c>
      <c r="J10" s="86">
        <v>0.8</v>
      </c>
      <c r="K10" s="199"/>
    </row>
    <row r="11" spans="1:11" x14ac:dyDescent="0.25">
      <c r="A11" s="84"/>
      <c r="B11" s="84"/>
      <c r="C11" s="84"/>
      <c r="D11" s="84"/>
      <c r="E11" s="84"/>
      <c r="F11" s="84"/>
      <c r="G11" s="84"/>
      <c r="H11" s="84"/>
      <c r="I11" s="84"/>
      <c r="J11" s="84"/>
      <c r="K11" s="199"/>
    </row>
    <row r="12" spans="1:11" x14ac:dyDescent="0.25">
      <c r="A12" s="249" t="s">
        <v>115</v>
      </c>
      <c r="B12" s="125" t="s">
        <v>296</v>
      </c>
      <c r="C12" s="127">
        <f t="shared" ref="C12:C23" si="1">INDEX(D12:J12,$C$1)</f>
        <v>5.4</v>
      </c>
      <c r="D12" s="85">
        <v>5.4</v>
      </c>
      <c r="E12" s="85">
        <v>5.4</v>
      </c>
      <c r="F12" s="85">
        <v>5.4</v>
      </c>
      <c r="G12" s="85">
        <v>5.4</v>
      </c>
      <c r="H12" s="85">
        <v>5.4</v>
      </c>
      <c r="I12" s="85">
        <v>5.4</v>
      </c>
      <c r="J12" s="85">
        <v>5.4</v>
      </c>
      <c r="K12" s="199"/>
    </row>
    <row r="13" spans="1:11" ht="13.8" x14ac:dyDescent="0.3">
      <c r="A13" s="252"/>
      <c r="B13" s="125" t="s">
        <v>295</v>
      </c>
      <c r="C13" s="127">
        <f t="shared" si="1"/>
        <v>8.73</v>
      </c>
      <c r="D13" s="85">
        <v>8.73</v>
      </c>
      <c r="E13" s="85">
        <v>8.73</v>
      </c>
      <c r="F13" s="85">
        <v>8.73</v>
      </c>
      <c r="G13" s="85">
        <v>8.73</v>
      </c>
      <c r="H13" s="85">
        <v>8.73</v>
      </c>
      <c r="I13" s="85">
        <v>8.73</v>
      </c>
      <c r="J13" s="85">
        <v>8.73</v>
      </c>
      <c r="K13" s="199"/>
    </row>
    <row r="14" spans="1:11" x14ac:dyDescent="0.25">
      <c r="A14" s="252"/>
      <c r="B14" s="125" t="s">
        <v>294</v>
      </c>
      <c r="C14" s="127">
        <f t="shared" si="1"/>
        <v>322</v>
      </c>
      <c r="D14" s="85">
        <v>322</v>
      </c>
      <c r="E14" s="85">
        <v>322</v>
      </c>
      <c r="F14" s="85">
        <v>322</v>
      </c>
      <c r="G14" s="85">
        <v>322</v>
      </c>
      <c r="H14" s="85">
        <v>322</v>
      </c>
      <c r="I14" s="85">
        <v>322</v>
      </c>
      <c r="J14" s="85">
        <v>322</v>
      </c>
      <c r="K14" s="199"/>
    </row>
    <row r="15" spans="1:11" x14ac:dyDescent="0.25">
      <c r="A15" s="252"/>
      <c r="B15" s="125" t="s">
        <v>330</v>
      </c>
      <c r="C15" s="127">
        <f t="shared" si="1"/>
        <v>0.73299999999999998</v>
      </c>
      <c r="D15" s="85">
        <v>0.73299999999999998</v>
      </c>
      <c r="E15" s="85">
        <v>0.73299999999999998</v>
      </c>
      <c r="F15" s="85">
        <v>0.73299999999999998</v>
      </c>
      <c r="G15" s="85">
        <v>0.73299999999999998</v>
      </c>
      <c r="H15" s="85">
        <v>0.73299999999999998</v>
      </c>
      <c r="I15" s="85">
        <v>0.73299999999999998</v>
      </c>
      <c r="J15" s="85">
        <v>0.73299999999999998</v>
      </c>
      <c r="K15" s="199"/>
    </row>
    <row r="16" spans="1:11" x14ac:dyDescent="0.25">
      <c r="A16" s="252"/>
      <c r="B16" s="125" t="s">
        <v>302</v>
      </c>
      <c r="C16" s="127">
        <f t="shared" si="1"/>
        <v>240.8</v>
      </c>
      <c r="D16" s="85">
        <v>240.8</v>
      </c>
      <c r="E16" s="85">
        <v>240.8</v>
      </c>
      <c r="F16" s="85">
        <v>240.8</v>
      </c>
      <c r="G16" s="85">
        <v>240.8</v>
      </c>
      <c r="H16" s="85">
        <v>240.8</v>
      </c>
      <c r="I16" s="85">
        <v>240.8</v>
      </c>
      <c r="J16" s="85">
        <v>240.8</v>
      </c>
      <c r="K16" s="199"/>
    </row>
    <row r="17" spans="1:11" x14ac:dyDescent="0.25">
      <c r="A17" s="252"/>
      <c r="B17" s="125" t="s">
        <v>303</v>
      </c>
      <c r="C17" s="127">
        <f t="shared" si="1"/>
        <v>135.80000000000001</v>
      </c>
      <c r="D17" s="85">
        <v>135.80000000000001</v>
      </c>
      <c r="E17" s="85">
        <v>135.80000000000001</v>
      </c>
      <c r="F17" s="85">
        <v>135.80000000000001</v>
      </c>
      <c r="G17" s="85">
        <v>135.80000000000001</v>
      </c>
      <c r="H17" s="85">
        <v>135.80000000000001</v>
      </c>
      <c r="I17" s="85">
        <v>135.80000000000001</v>
      </c>
      <c r="J17" s="85">
        <v>135.80000000000001</v>
      </c>
      <c r="K17" s="199"/>
    </row>
    <row r="18" spans="1:11" x14ac:dyDescent="0.25">
      <c r="A18" s="252"/>
      <c r="B18" s="125" t="s">
        <v>328</v>
      </c>
      <c r="C18" s="127">
        <f t="shared" si="1"/>
        <v>6.3330000000000002</v>
      </c>
      <c r="D18" s="85">
        <v>6.3330000000000002</v>
      </c>
      <c r="E18" s="85">
        <v>6.3330000000000002</v>
      </c>
      <c r="F18" s="85">
        <v>6.3330000000000002</v>
      </c>
      <c r="G18" s="85">
        <v>6.3330000000000002</v>
      </c>
      <c r="H18" s="85">
        <v>6.3330000000000002</v>
      </c>
      <c r="I18" s="85">
        <v>6.3330000000000002</v>
      </c>
      <c r="J18" s="85">
        <v>6.3330000000000002</v>
      </c>
      <c r="K18" s="199"/>
    </row>
    <row r="19" spans="1:11" x14ac:dyDescent="0.25">
      <c r="A19" s="252"/>
      <c r="B19" s="125" t="s">
        <v>329</v>
      </c>
      <c r="C19" s="127">
        <f t="shared" si="1"/>
        <v>10.167</v>
      </c>
      <c r="D19" s="85">
        <v>10.167</v>
      </c>
      <c r="E19" s="85">
        <v>10.167</v>
      </c>
      <c r="F19" s="85">
        <v>10.167</v>
      </c>
      <c r="G19" s="85">
        <v>10.167</v>
      </c>
      <c r="H19" s="85">
        <v>10.167</v>
      </c>
      <c r="I19" s="85">
        <v>10.167</v>
      </c>
      <c r="J19" s="85">
        <v>10.167</v>
      </c>
      <c r="K19" s="199"/>
    </row>
    <row r="20" spans="1:11" x14ac:dyDescent="0.25">
      <c r="A20" s="252"/>
      <c r="B20" s="125" t="s">
        <v>323</v>
      </c>
      <c r="C20" s="127">
        <f t="shared" si="1"/>
        <v>0.7</v>
      </c>
      <c r="D20" s="85">
        <v>0.7</v>
      </c>
      <c r="E20" s="85">
        <v>0.7</v>
      </c>
      <c r="F20" s="85">
        <v>0.7</v>
      </c>
      <c r="G20" s="85">
        <v>0.7</v>
      </c>
      <c r="H20" s="85">
        <v>0.7</v>
      </c>
      <c r="I20" s="85">
        <v>0.7</v>
      </c>
      <c r="J20" s="85">
        <v>0.7</v>
      </c>
      <c r="K20" s="199"/>
    </row>
    <row r="21" spans="1:11" x14ac:dyDescent="0.25">
      <c r="A21" s="252"/>
      <c r="B21" s="125" t="s">
        <v>322</v>
      </c>
      <c r="C21" s="127">
        <f t="shared" si="1"/>
        <v>1</v>
      </c>
      <c r="D21" s="85">
        <v>1</v>
      </c>
      <c r="E21" s="85">
        <v>1</v>
      </c>
      <c r="F21" s="85">
        <v>1</v>
      </c>
      <c r="G21" s="85">
        <v>1</v>
      </c>
      <c r="H21" s="85">
        <v>1</v>
      </c>
      <c r="I21" s="85">
        <v>1</v>
      </c>
      <c r="J21" s="85">
        <v>1</v>
      </c>
      <c r="K21" s="199"/>
    </row>
    <row r="22" spans="1:11" x14ac:dyDescent="0.25">
      <c r="A22" s="252"/>
      <c r="B22" s="125" t="s">
        <v>324</v>
      </c>
      <c r="C22" s="127">
        <f t="shared" si="1"/>
        <v>3</v>
      </c>
      <c r="D22" s="85">
        <v>3</v>
      </c>
      <c r="E22" s="85">
        <v>3</v>
      </c>
      <c r="F22" s="85">
        <v>3</v>
      </c>
      <c r="G22" s="85">
        <v>3</v>
      </c>
      <c r="H22" s="85">
        <v>3</v>
      </c>
      <c r="I22" s="85">
        <v>3</v>
      </c>
      <c r="J22" s="85">
        <v>3</v>
      </c>
      <c r="K22" s="199"/>
    </row>
    <row r="23" spans="1:11" x14ac:dyDescent="0.25">
      <c r="A23" s="253"/>
      <c r="B23" s="125" t="s">
        <v>325</v>
      </c>
      <c r="C23" s="127">
        <f t="shared" si="1"/>
        <v>39.177999999999997</v>
      </c>
      <c r="D23" s="85">
        <v>39.177999999999997</v>
      </c>
      <c r="E23" s="85">
        <v>39.177999999999997</v>
      </c>
      <c r="F23" s="85">
        <v>39.177999999999997</v>
      </c>
      <c r="G23" s="85">
        <v>39.177999999999997</v>
      </c>
      <c r="H23" s="85">
        <v>39.177999999999997</v>
      </c>
      <c r="I23" s="85">
        <v>39.177999999999997</v>
      </c>
      <c r="J23" s="85">
        <v>39.177999999999997</v>
      </c>
      <c r="K23" s="199"/>
    </row>
    <row r="24" spans="1:11" x14ac:dyDescent="0.25">
      <c r="A24" s="84"/>
      <c r="B24" s="84"/>
      <c r="C24" s="84"/>
      <c r="D24" s="84"/>
      <c r="E24" s="84"/>
      <c r="F24" s="84"/>
      <c r="G24" s="84"/>
      <c r="H24" s="84"/>
      <c r="I24" s="84"/>
      <c r="J24" s="84"/>
      <c r="K24" s="199"/>
    </row>
    <row r="25" spans="1:11" x14ac:dyDescent="0.25">
      <c r="A25" s="242" t="s">
        <v>114</v>
      </c>
      <c r="B25" s="125" t="s">
        <v>459</v>
      </c>
      <c r="C25" s="127">
        <f t="shared" ref="C25:C31" si="2">INDEX(D25:J25,$C$1)</f>
        <v>100</v>
      </c>
      <c r="D25" s="83">
        <v>100</v>
      </c>
      <c r="E25" s="83">
        <v>100</v>
      </c>
      <c r="F25" s="83">
        <v>100</v>
      </c>
      <c r="G25" s="83">
        <v>100</v>
      </c>
      <c r="H25" s="83">
        <v>100</v>
      </c>
      <c r="I25" s="83">
        <v>100</v>
      </c>
      <c r="J25" s="83">
        <v>100</v>
      </c>
      <c r="K25" s="199"/>
    </row>
    <row r="26" spans="1:11" x14ac:dyDescent="0.25">
      <c r="A26" s="243"/>
      <c r="B26" s="125" t="s">
        <v>460</v>
      </c>
      <c r="C26" s="127">
        <f t="shared" si="2"/>
        <v>40</v>
      </c>
      <c r="D26" s="83">
        <v>40</v>
      </c>
      <c r="E26" s="83">
        <v>40</v>
      </c>
      <c r="F26" s="83">
        <v>40</v>
      </c>
      <c r="G26" s="83">
        <v>40</v>
      </c>
      <c r="H26" s="83">
        <v>40</v>
      </c>
      <c r="I26" s="83">
        <v>40</v>
      </c>
      <c r="J26" s="83">
        <v>40</v>
      </c>
      <c r="K26" s="199"/>
    </row>
    <row r="27" spans="1:11" x14ac:dyDescent="0.25">
      <c r="A27" s="243"/>
      <c r="B27" s="125" t="s">
        <v>461</v>
      </c>
      <c r="C27" s="127">
        <f t="shared" si="2"/>
        <v>15</v>
      </c>
      <c r="D27" s="83">
        <v>15</v>
      </c>
      <c r="E27" s="83">
        <v>15</v>
      </c>
      <c r="F27" s="83">
        <v>15</v>
      </c>
      <c r="G27" s="83">
        <v>15</v>
      </c>
      <c r="H27" s="83">
        <v>15</v>
      </c>
      <c r="I27" s="83">
        <v>15</v>
      </c>
      <c r="J27" s="83">
        <v>15</v>
      </c>
      <c r="K27" s="199"/>
    </row>
    <row r="28" spans="1:11" x14ac:dyDescent="0.25">
      <c r="A28" s="243"/>
      <c r="B28" s="125" t="s">
        <v>28</v>
      </c>
      <c r="C28" s="127">
        <f t="shared" si="2"/>
        <v>0</v>
      </c>
      <c r="D28" s="83">
        <v>0</v>
      </c>
      <c r="E28" s="83">
        <v>0</v>
      </c>
      <c r="F28" s="83">
        <v>0</v>
      </c>
      <c r="G28" s="83">
        <v>0</v>
      </c>
      <c r="H28" s="83">
        <v>0</v>
      </c>
      <c r="I28" s="83">
        <v>0</v>
      </c>
      <c r="J28" s="83">
        <v>0</v>
      </c>
      <c r="K28" s="199"/>
    </row>
    <row r="29" spans="1:11" x14ac:dyDescent="0.25">
      <c r="A29" s="243"/>
      <c r="B29" s="125" t="s">
        <v>462</v>
      </c>
      <c r="C29" s="127">
        <f t="shared" si="2"/>
        <v>1500</v>
      </c>
      <c r="D29" s="83">
        <v>1500</v>
      </c>
      <c r="E29" s="83">
        <v>1500</v>
      </c>
      <c r="F29" s="83">
        <v>1500</v>
      </c>
      <c r="G29" s="83">
        <v>1500</v>
      </c>
      <c r="H29" s="83">
        <v>1500</v>
      </c>
      <c r="I29" s="83">
        <v>1500</v>
      </c>
      <c r="J29" s="83">
        <v>1500</v>
      </c>
      <c r="K29" s="199"/>
    </row>
    <row r="30" spans="1:11" x14ac:dyDescent="0.25">
      <c r="A30" s="243"/>
      <c r="B30" s="125" t="s">
        <v>463</v>
      </c>
      <c r="C30" s="127">
        <f t="shared" si="2"/>
        <v>600</v>
      </c>
      <c r="D30" s="83">
        <v>600</v>
      </c>
      <c r="E30" s="83">
        <v>600</v>
      </c>
      <c r="F30" s="83">
        <v>600</v>
      </c>
      <c r="G30" s="83">
        <v>600</v>
      </c>
      <c r="H30" s="83">
        <v>600</v>
      </c>
      <c r="I30" s="83">
        <v>600</v>
      </c>
      <c r="J30" s="83">
        <v>600</v>
      </c>
      <c r="K30" s="199"/>
    </row>
    <row r="31" spans="1:11" x14ac:dyDescent="0.25">
      <c r="A31" s="243"/>
      <c r="B31" s="125" t="s">
        <v>464</v>
      </c>
      <c r="C31" s="127">
        <f t="shared" si="2"/>
        <v>350</v>
      </c>
      <c r="D31" s="83">
        <v>350</v>
      </c>
      <c r="E31" s="83">
        <v>350</v>
      </c>
      <c r="F31" s="83">
        <v>350</v>
      </c>
      <c r="G31" s="83">
        <v>350</v>
      </c>
      <c r="H31" s="83">
        <v>350</v>
      </c>
      <c r="I31" s="83">
        <v>350</v>
      </c>
      <c r="J31" s="83">
        <v>350</v>
      </c>
      <c r="K31" s="199"/>
    </row>
    <row r="32" spans="1:11" x14ac:dyDescent="0.25">
      <c r="A32" s="250"/>
      <c r="B32" s="90"/>
      <c r="C32" s="85"/>
      <c r="D32" s="85"/>
      <c r="E32" s="85"/>
      <c r="F32" s="85"/>
      <c r="G32" s="85"/>
      <c r="H32" s="85"/>
      <c r="I32" s="85"/>
      <c r="J32" s="85"/>
      <c r="K32" s="199"/>
    </row>
    <row r="33" spans="1:11" x14ac:dyDescent="0.25">
      <c r="A33" s="84"/>
      <c r="B33" s="84"/>
      <c r="C33" s="84"/>
      <c r="D33" s="84"/>
      <c r="E33" s="84"/>
      <c r="F33" s="84"/>
      <c r="G33" s="84"/>
      <c r="H33" s="84"/>
      <c r="I33" s="84"/>
      <c r="J33" s="84"/>
      <c r="K33" s="199"/>
    </row>
    <row r="34" spans="1:11" x14ac:dyDescent="0.25">
      <c r="A34" s="242" t="s">
        <v>84</v>
      </c>
      <c r="B34" s="85" t="s">
        <v>116</v>
      </c>
      <c r="C34" s="127">
        <f t="shared" ref="C34:C40" si="3">INDEX(D34:J34,$C$1)</f>
        <v>500</v>
      </c>
      <c r="D34" s="86">
        <v>500</v>
      </c>
      <c r="E34" s="86">
        <v>500</v>
      </c>
      <c r="F34" s="86">
        <v>500</v>
      </c>
      <c r="G34" s="86">
        <v>500</v>
      </c>
      <c r="H34" s="86">
        <v>500</v>
      </c>
      <c r="I34" s="86">
        <v>500</v>
      </c>
      <c r="J34" s="86">
        <v>500</v>
      </c>
      <c r="K34" s="199"/>
    </row>
    <row r="35" spans="1:11" x14ac:dyDescent="0.25">
      <c r="A35" s="243"/>
      <c r="B35" s="85" t="s">
        <v>181</v>
      </c>
      <c r="C35" s="127">
        <f t="shared" si="3"/>
        <v>0.3014</v>
      </c>
      <c r="D35" s="86">
        <v>0.3014</v>
      </c>
      <c r="E35" s="86">
        <v>0.3014</v>
      </c>
      <c r="F35" s="86">
        <v>0.3014</v>
      </c>
      <c r="G35" s="86">
        <v>0.3014</v>
      </c>
      <c r="H35" s="86">
        <v>0.3014</v>
      </c>
      <c r="I35" s="86">
        <v>0.3014</v>
      </c>
      <c r="J35" s="86">
        <v>0.3014</v>
      </c>
      <c r="K35" s="199"/>
    </row>
    <row r="36" spans="1:11" x14ac:dyDescent="0.25">
      <c r="A36" s="243"/>
      <c r="B36" s="161" t="s">
        <v>383</v>
      </c>
      <c r="C36" s="127">
        <f t="shared" si="3"/>
        <v>640</v>
      </c>
      <c r="D36" s="160">
        <v>640</v>
      </c>
      <c r="E36" s="160">
        <v>640</v>
      </c>
      <c r="F36" s="160">
        <v>640</v>
      </c>
      <c r="G36" s="160">
        <v>640</v>
      </c>
      <c r="H36" s="160">
        <v>640</v>
      </c>
      <c r="I36" s="160">
        <v>640</v>
      </c>
      <c r="J36" s="160">
        <v>640</v>
      </c>
      <c r="K36" s="199"/>
    </row>
    <row r="37" spans="1:11" x14ac:dyDescent="0.25">
      <c r="A37" s="243"/>
      <c r="B37" s="124" t="s">
        <v>384</v>
      </c>
      <c r="C37" s="127">
        <f t="shared" si="3"/>
        <v>467</v>
      </c>
      <c r="D37" s="86">
        <v>467</v>
      </c>
      <c r="E37" s="86">
        <v>467</v>
      </c>
      <c r="F37" s="86">
        <v>467</v>
      </c>
      <c r="G37" s="86">
        <v>467</v>
      </c>
      <c r="H37" s="86">
        <v>467</v>
      </c>
      <c r="I37" s="86">
        <v>467</v>
      </c>
      <c r="J37" s="86">
        <v>467</v>
      </c>
      <c r="K37" s="199"/>
    </row>
    <row r="38" spans="1:11" x14ac:dyDescent="0.25">
      <c r="A38" s="243"/>
      <c r="B38" s="124" t="s">
        <v>385</v>
      </c>
      <c r="C38" s="127">
        <f t="shared" si="3"/>
        <v>662</v>
      </c>
      <c r="D38" s="86">
        <v>662</v>
      </c>
      <c r="E38" s="86">
        <v>662</v>
      </c>
      <c r="F38" s="86">
        <v>662</v>
      </c>
      <c r="G38" s="86">
        <v>662</v>
      </c>
      <c r="H38" s="86">
        <v>662</v>
      </c>
      <c r="I38" s="86">
        <v>662</v>
      </c>
      <c r="J38" s="86">
        <v>662</v>
      </c>
      <c r="K38" s="199"/>
    </row>
    <row r="39" spans="1:11" x14ac:dyDescent="0.25">
      <c r="A39" s="243"/>
      <c r="B39" s="124" t="s">
        <v>386</v>
      </c>
      <c r="C39" s="127">
        <f t="shared" si="3"/>
        <v>1893.08</v>
      </c>
      <c r="D39" s="86">
        <v>1893.08</v>
      </c>
      <c r="E39" s="86">
        <v>1893.08</v>
      </c>
      <c r="F39" s="86">
        <v>1893.08</v>
      </c>
      <c r="G39" s="86">
        <v>1893.08</v>
      </c>
      <c r="H39" s="86">
        <v>1893.08</v>
      </c>
      <c r="I39" s="86">
        <v>1893.08</v>
      </c>
      <c r="J39" s="86">
        <v>1893.08</v>
      </c>
      <c r="K39" s="199"/>
    </row>
    <row r="40" spans="1:11" x14ac:dyDescent="0.25">
      <c r="A40" s="250"/>
      <c r="B40" s="124" t="s">
        <v>450</v>
      </c>
      <c r="C40" s="127">
        <f t="shared" si="3"/>
        <v>0</v>
      </c>
      <c r="D40" s="86">
        <v>0</v>
      </c>
      <c r="E40" s="86">
        <v>0</v>
      </c>
      <c r="F40" s="86">
        <v>0</v>
      </c>
      <c r="G40" s="86">
        <v>0</v>
      </c>
      <c r="H40" s="86">
        <v>0</v>
      </c>
      <c r="I40" s="86">
        <v>800</v>
      </c>
      <c r="J40" s="86">
        <v>800</v>
      </c>
      <c r="K40" s="199"/>
    </row>
    <row r="41" spans="1:11" x14ac:dyDescent="0.25">
      <c r="A41" s="84"/>
      <c r="B41" s="84"/>
      <c r="C41" s="84"/>
      <c r="D41" s="84"/>
      <c r="E41" s="84"/>
      <c r="F41" s="84"/>
      <c r="G41" s="84"/>
      <c r="H41" s="84"/>
      <c r="I41" s="84"/>
      <c r="J41" s="84"/>
      <c r="K41" s="199"/>
    </row>
    <row r="42" spans="1:11" x14ac:dyDescent="0.25">
      <c r="A42" s="242" t="s">
        <v>85</v>
      </c>
      <c r="B42" s="85" t="s">
        <v>137</v>
      </c>
      <c r="C42" s="127">
        <f>INDEX(D42:J42,$C$1)</f>
        <v>150</v>
      </c>
      <c r="D42" s="83">
        <v>150</v>
      </c>
      <c r="E42" s="83">
        <v>150</v>
      </c>
      <c r="F42" s="83">
        <v>150</v>
      </c>
      <c r="G42" s="83">
        <v>150</v>
      </c>
      <c r="H42" s="83">
        <v>150</v>
      </c>
      <c r="I42" s="83">
        <v>150</v>
      </c>
      <c r="J42" s="83">
        <v>150</v>
      </c>
      <c r="K42" s="199"/>
    </row>
    <row r="43" spans="1:11" x14ac:dyDescent="0.25">
      <c r="A43" s="243"/>
      <c r="B43" s="85" t="s">
        <v>182</v>
      </c>
      <c r="C43" s="127">
        <f>INDEX(D43:J43,$C$1)</f>
        <v>10</v>
      </c>
      <c r="D43" s="83">
        <v>10</v>
      </c>
      <c r="E43" s="83">
        <v>10</v>
      </c>
      <c r="F43" s="83">
        <v>10</v>
      </c>
      <c r="G43" s="83">
        <v>10</v>
      </c>
      <c r="H43" s="83">
        <v>10</v>
      </c>
      <c r="I43" s="83">
        <v>10</v>
      </c>
      <c r="J43" s="83">
        <v>10</v>
      </c>
      <c r="K43" s="199"/>
    </row>
    <row r="44" spans="1:11" x14ac:dyDescent="0.25">
      <c r="A44" s="243"/>
      <c r="B44" s="85" t="s">
        <v>183</v>
      </c>
      <c r="C44" s="127">
        <f>INDEX(D44:J44,$C$1)</f>
        <v>0.85</v>
      </c>
      <c r="D44" s="83">
        <v>0.85</v>
      </c>
      <c r="E44" s="83">
        <v>0.85</v>
      </c>
      <c r="F44" s="83">
        <v>0.85</v>
      </c>
      <c r="G44" s="83">
        <v>0.85</v>
      </c>
      <c r="H44" s="83">
        <v>0.85</v>
      </c>
      <c r="I44" s="83">
        <v>0.85</v>
      </c>
      <c r="J44" s="83">
        <v>0.85</v>
      </c>
      <c r="K44" s="199"/>
    </row>
    <row r="45" spans="1:11" x14ac:dyDescent="0.25">
      <c r="A45" s="243"/>
      <c r="B45" s="85" t="s">
        <v>28</v>
      </c>
      <c r="C45" s="127">
        <f>INDEX(D45:J45,$C$1)</f>
        <v>0</v>
      </c>
      <c r="D45" s="83">
        <v>0</v>
      </c>
      <c r="E45" s="83">
        <v>0</v>
      </c>
      <c r="F45" s="83">
        <v>0</v>
      </c>
      <c r="G45" s="83">
        <v>0</v>
      </c>
      <c r="H45" s="83">
        <v>0</v>
      </c>
      <c r="I45" s="83">
        <v>0</v>
      </c>
      <c r="J45" s="83">
        <v>0</v>
      </c>
      <c r="K45" s="199"/>
    </row>
    <row r="46" spans="1:11" x14ac:dyDescent="0.25">
      <c r="A46" s="84"/>
      <c r="B46" s="84"/>
      <c r="C46" s="84"/>
      <c r="D46" s="84"/>
      <c r="E46" s="84"/>
      <c r="F46" s="84"/>
      <c r="G46" s="84"/>
      <c r="H46" s="84"/>
      <c r="I46" s="84"/>
      <c r="J46" s="84"/>
      <c r="K46" s="199"/>
    </row>
    <row r="47" spans="1:11" x14ac:dyDescent="0.25">
      <c r="A47" s="242" t="s">
        <v>86</v>
      </c>
      <c r="B47" s="85" t="s">
        <v>184</v>
      </c>
      <c r="C47" s="127">
        <f>INDEX(D47:J47,$C$1)</f>
        <v>125</v>
      </c>
      <c r="D47" s="85">
        <v>125</v>
      </c>
      <c r="E47" s="85">
        <v>125</v>
      </c>
      <c r="F47" s="85">
        <v>125</v>
      </c>
      <c r="G47" s="85">
        <v>125</v>
      </c>
      <c r="H47" s="85">
        <v>125</v>
      </c>
      <c r="I47" s="85">
        <v>125</v>
      </c>
      <c r="J47" s="85">
        <v>125</v>
      </c>
      <c r="K47" s="199"/>
    </row>
    <row r="48" spans="1:11" x14ac:dyDescent="0.25">
      <c r="A48" s="243"/>
      <c r="B48" s="85" t="s">
        <v>28</v>
      </c>
      <c r="C48" s="127">
        <f>INDEX(D48:J48,$C$1)</f>
        <v>0</v>
      </c>
      <c r="D48" s="85">
        <v>0</v>
      </c>
      <c r="E48" s="85">
        <v>0</v>
      </c>
      <c r="F48" s="85">
        <v>0</v>
      </c>
      <c r="G48" s="85">
        <v>0</v>
      </c>
      <c r="H48" s="85">
        <v>0</v>
      </c>
      <c r="I48" s="85">
        <v>0</v>
      </c>
      <c r="J48" s="85">
        <v>0</v>
      </c>
      <c r="K48" s="199"/>
    </row>
    <row r="49" spans="1:11" x14ac:dyDescent="0.25">
      <c r="A49" s="250"/>
      <c r="B49" s="85"/>
      <c r="C49" s="85"/>
      <c r="D49" s="85"/>
      <c r="E49" s="85"/>
      <c r="F49" s="85"/>
      <c r="G49" s="85"/>
      <c r="H49" s="85"/>
      <c r="I49" s="85"/>
      <c r="J49" s="85"/>
      <c r="K49" s="199"/>
    </row>
    <row r="50" spans="1:11" x14ac:dyDescent="0.25">
      <c r="A50" s="84"/>
      <c r="B50" s="84"/>
      <c r="C50" s="84"/>
      <c r="D50" s="84"/>
      <c r="E50" s="84"/>
      <c r="F50" s="84"/>
      <c r="G50" s="84"/>
      <c r="H50" s="84"/>
      <c r="I50" s="200"/>
      <c r="J50" s="84"/>
      <c r="K50" s="199"/>
    </row>
    <row r="51" spans="1:11" x14ac:dyDescent="0.25">
      <c r="A51" s="242"/>
      <c r="B51" s="85"/>
      <c r="C51" s="127"/>
      <c r="D51" s="86"/>
      <c r="E51" s="86"/>
      <c r="F51" s="86"/>
      <c r="G51" s="86"/>
      <c r="H51" s="86"/>
      <c r="I51" s="86"/>
      <c r="J51" s="86"/>
      <c r="K51" s="199"/>
    </row>
    <row r="52" spans="1:11" x14ac:dyDescent="0.25">
      <c r="A52" s="243"/>
      <c r="B52" s="85"/>
      <c r="C52" s="127"/>
      <c r="D52" s="86"/>
      <c r="E52" s="86"/>
      <c r="F52" s="86"/>
      <c r="G52" s="86"/>
      <c r="H52" s="86"/>
      <c r="I52" s="86"/>
      <c r="J52" s="86"/>
      <c r="K52" s="199"/>
    </row>
    <row r="53" spans="1:11" x14ac:dyDescent="0.25">
      <c r="A53" s="243"/>
      <c r="B53" s="85"/>
      <c r="C53" s="85"/>
      <c r="D53" s="85"/>
      <c r="E53" s="85"/>
      <c r="F53" s="85"/>
      <c r="G53" s="85"/>
      <c r="H53" s="85"/>
      <c r="I53" s="201"/>
      <c r="J53" s="85"/>
      <c r="K53" s="199"/>
    </row>
    <row r="54" spans="1:11" x14ac:dyDescent="0.25">
      <c r="A54" s="82"/>
      <c r="B54" s="84"/>
      <c r="C54" s="84"/>
      <c r="D54" s="84"/>
      <c r="E54" s="84"/>
      <c r="F54" s="84"/>
      <c r="G54" s="84"/>
      <c r="H54" s="84"/>
      <c r="I54" s="84"/>
      <c r="J54" s="84"/>
      <c r="K54" s="199"/>
    </row>
    <row r="55" spans="1:11" x14ac:dyDescent="0.25">
      <c r="A55" s="256" t="s">
        <v>64</v>
      </c>
      <c r="B55" s="124" t="s">
        <v>331</v>
      </c>
      <c r="C55" s="127">
        <f>INDEX(D55:J55,$C$1)</f>
        <v>72</v>
      </c>
      <c r="D55" s="85">
        <v>72</v>
      </c>
      <c r="E55" s="85">
        <v>72</v>
      </c>
      <c r="F55" s="85">
        <v>72</v>
      </c>
      <c r="G55" s="85">
        <v>72</v>
      </c>
      <c r="H55" s="85">
        <v>72</v>
      </c>
      <c r="I55" s="85">
        <v>72</v>
      </c>
      <c r="J55" s="85">
        <v>72</v>
      </c>
      <c r="K55" s="199"/>
    </row>
    <row r="56" spans="1:11" x14ac:dyDescent="0.25">
      <c r="A56" s="256"/>
      <c r="B56" s="85" t="s">
        <v>332</v>
      </c>
      <c r="C56" s="127">
        <f>INDEX(D56:J56,$C$1)</f>
        <v>1</v>
      </c>
      <c r="D56" s="85">
        <v>1</v>
      </c>
      <c r="E56" s="85">
        <v>1</v>
      </c>
      <c r="F56" s="85">
        <v>1</v>
      </c>
      <c r="G56" s="85">
        <v>1</v>
      </c>
      <c r="H56" s="85">
        <v>1</v>
      </c>
      <c r="I56" s="85">
        <v>1</v>
      </c>
      <c r="J56" s="85">
        <v>1</v>
      </c>
      <c r="K56" s="199"/>
    </row>
    <row r="57" spans="1:11" x14ac:dyDescent="0.25">
      <c r="A57" s="256"/>
      <c r="B57" s="85" t="s">
        <v>336</v>
      </c>
      <c r="C57" s="127">
        <f>INDEX(D57:J57,$C$1)</f>
        <v>0.61</v>
      </c>
      <c r="D57" s="85">
        <v>0.61</v>
      </c>
      <c r="E57" s="85">
        <v>0.61</v>
      </c>
      <c r="F57" s="85">
        <v>0.61</v>
      </c>
      <c r="G57" s="85">
        <v>0.61</v>
      </c>
      <c r="H57" s="85">
        <v>0.61</v>
      </c>
      <c r="I57" s="85">
        <v>0.61</v>
      </c>
      <c r="J57" s="85">
        <v>0.61</v>
      </c>
      <c r="K57" s="199"/>
    </row>
    <row r="58" spans="1:11" x14ac:dyDescent="0.25">
      <c r="K58" s="199"/>
    </row>
    <row r="59" spans="1:11" x14ac:dyDescent="0.25">
      <c r="K59" s="199"/>
    </row>
    <row r="60" spans="1:11" x14ac:dyDescent="0.25">
      <c r="K60" s="199"/>
    </row>
    <row r="61" spans="1:11" x14ac:dyDescent="0.25">
      <c r="K61" s="199"/>
    </row>
    <row r="62" spans="1:11" x14ac:dyDescent="0.25">
      <c r="A62" s="82"/>
      <c r="B62" s="84"/>
      <c r="C62" s="84"/>
      <c r="D62" s="84"/>
      <c r="E62" s="84"/>
      <c r="F62" s="84"/>
      <c r="G62" s="84"/>
      <c r="H62" s="84"/>
      <c r="I62" s="84"/>
      <c r="J62" s="84"/>
      <c r="K62" s="199"/>
    </row>
    <row r="63" spans="1:11" x14ac:dyDescent="0.25">
      <c r="A63" s="242" t="s">
        <v>87</v>
      </c>
      <c r="B63" s="124" t="s">
        <v>203</v>
      </c>
      <c r="C63" s="127">
        <f>INDEX(D63:J63,$C$1)</f>
        <v>8</v>
      </c>
      <c r="D63" s="86">
        <v>8</v>
      </c>
      <c r="E63" s="86">
        <v>8</v>
      </c>
      <c r="F63" s="86">
        <v>8</v>
      </c>
      <c r="G63" s="86">
        <v>8</v>
      </c>
      <c r="H63" s="86">
        <v>8</v>
      </c>
      <c r="I63" s="86">
        <v>8</v>
      </c>
      <c r="J63" s="86">
        <v>8</v>
      </c>
      <c r="K63" s="199"/>
    </row>
    <row r="64" spans="1:11" x14ac:dyDescent="0.25">
      <c r="A64" s="243"/>
      <c r="B64" s="85" t="s">
        <v>185</v>
      </c>
      <c r="C64" s="127">
        <f>INDEX(D64:J64,$C$1)</f>
        <v>0.5</v>
      </c>
      <c r="D64" s="86">
        <v>0.5</v>
      </c>
      <c r="E64" s="86">
        <v>0.5</v>
      </c>
      <c r="F64" s="86">
        <v>0.5</v>
      </c>
      <c r="G64" s="86">
        <v>0.5</v>
      </c>
      <c r="H64" s="86">
        <v>0.5</v>
      </c>
      <c r="I64" s="86">
        <v>0.5</v>
      </c>
      <c r="J64" s="86">
        <v>0.5</v>
      </c>
      <c r="K64" s="199"/>
    </row>
    <row r="65" spans="1:11" x14ac:dyDescent="0.25">
      <c r="A65" s="243"/>
      <c r="B65" s="85" t="s">
        <v>380</v>
      </c>
      <c r="C65" s="127">
        <f>INDEX(D65:J65,$C$1)</f>
        <v>0.3</v>
      </c>
      <c r="D65" s="86">
        <v>0.3</v>
      </c>
      <c r="E65" s="86">
        <v>0.3</v>
      </c>
      <c r="F65" s="86">
        <v>0.3</v>
      </c>
      <c r="G65" s="86">
        <v>0.3</v>
      </c>
      <c r="H65" s="86">
        <v>0.3</v>
      </c>
      <c r="I65" s="86">
        <v>0.3</v>
      </c>
      <c r="J65" s="86">
        <v>0.3</v>
      </c>
      <c r="K65" s="199"/>
    </row>
    <row r="66" spans="1:11" x14ac:dyDescent="0.25">
      <c r="A66" s="243"/>
      <c r="B66" s="85" t="s">
        <v>28</v>
      </c>
      <c r="C66" s="127">
        <f>INDEX(D66:J66,$C$1)</f>
        <v>0</v>
      </c>
      <c r="D66" s="86">
        <v>0</v>
      </c>
      <c r="E66" s="86">
        <v>0</v>
      </c>
      <c r="F66" s="86">
        <v>0</v>
      </c>
      <c r="G66" s="86">
        <v>0</v>
      </c>
      <c r="H66" s="86">
        <v>0</v>
      </c>
      <c r="I66" s="86">
        <v>0</v>
      </c>
      <c r="J66" s="86">
        <v>0</v>
      </c>
      <c r="K66" s="199"/>
    </row>
    <row r="67" spans="1:11" x14ac:dyDescent="0.25">
      <c r="A67" s="243"/>
      <c r="B67" s="85"/>
      <c r="C67" s="85"/>
      <c r="D67" s="85"/>
      <c r="E67" s="85"/>
      <c r="F67" s="85"/>
      <c r="G67" s="85"/>
      <c r="H67" s="85"/>
      <c r="I67" s="85"/>
      <c r="J67" s="85"/>
      <c r="K67" s="199"/>
    </row>
    <row r="68" spans="1:11" x14ac:dyDescent="0.25">
      <c r="A68" s="82"/>
      <c r="B68" s="84"/>
      <c r="C68" s="84"/>
      <c r="D68" s="84"/>
      <c r="E68" s="84"/>
      <c r="F68" s="84"/>
      <c r="G68" s="84"/>
      <c r="H68" s="84"/>
      <c r="I68" s="84"/>
      <c r="J68" s="84"/>
      <c r="K68" s="199"/>
    </row>
    <row r="69" spans="1:11" x14ac:dyDescent="0.25">
      <c r="A69" s="242" t="s">
        <v>392</v>
      </c>
      <c r="B69" s="85" t="s">
        <v>151</v>
      </c>
      <c r="C69" s="127">
        <f>INDEX(D69:J69,$C$1)</f>
        <v>98</v>
      </c>
      <c r="D69" s="86">
        <v>98</v>
      </c>
      <c r="E69" s="86">
        <v>98</v>
      </c>
      <c r="F69" s="86">
        <v>98</v>
      </c>
      <c r="G69" s="86">
        <v>98</v>
      </c>
      <c r="H69" s="86">
        <v>98</v>
      </c>
      <c r="I69" s="86">
        <v>98</v>
      </c>
      <c r="J69" s="86">
        <v>98</v>
      </c>
      <c r="K69" s="199"/>
    </row>
    <row r="70" spans="1:11" x14ac:dyDescent="0.25">
      <c r="A70" s="243"/>
      <c r="B70" s="85" t="s">
        <v>150</v>
      </c>
      <c r="C70" s="127">
        <f>INDEX(D70:J70,$C$1)</f>
        <v>160</v>
      </c>
      <c r="D70" s="86">
        <v>160</v>
      </c>
      <c r="E70" s="86">
        <v>160</v>
      </c>
      <c r="F70" s="86">
        <v>160</v>
      </c>
      <c r="G70" s="86">
        <v>160</v>
      </c>
      <c r="H70" s="86">
        <v>160</v>
      </c>
      <c r="I70" s="86">
        <v>160</v>
      </c>
      <c r="J70" s="86">
        <v>160</v>
      </c>
      <c r="K70" s="199"/>
    </row>
    <row r="71" spans="1:11" x14ac:dyDescent="0.25">
      <c r="A71" s="243"/>
      <c r="B71" s="85" t="s">
        <v>371</v>
      </c>
      <c r="C71" s="127">
        <f>INDEX(D71:J71,$C$1)</f>
        <v>3039</v>
      </c>
      <c r="D71" s="85">
        <v>3039</v>
      </c>
      <c r="E71" s="85">
        <v>3039</v>
      </c>
      <c r="F71" s="85">
        <v>3039</v>
      </c>
      <c r="G71" s="85">
        <v>3039</v>
      </c>
      <c r="H71" s="85">
        <v>3039</v>
      </c>
      <c r="I71" s="85">
        <v>3039</v>
      </c>
      <c r="J71" s="85">
        <v>3039</v>
      </c>
      <c r="K71" s="199"/>
    </row>
    <row r="72" spans="1:11" x14ac:dyDescent="0.25">
      <c r="A72" s="243"/>
      <c r="B72" s="125" t="s">
        <v>394</v>
      </c>
      <c r="C72" s="127">
        <f>INDEX(D72:J72,$C$1)</f>
        <v>759</v>
      </c>
      <c r="D72" s="85">
        <v>759</v>
      </c>
      <c r="E72" s="85">
        <v>759</v>
      </c>
      <c r="F72" s="85">
        <v>759</v>
      </c>
      <c r="G72" s="85">
        <v>759</v>
      </c>
      <c r="H72" s="85">
        <v>759</v>
      </c>
      <c r="I72" s="85">
        <v>759</v>
      </c>
      <c r="J72" s="85">
        <v>759</v>
      </c>
      <c r="K72" s="199"/>
    </row>
    <row r="73" spans="1:11" x14ac:dyDescent="0.25">
      <c r="A73" s="243"/>
      <c r="B73" s="125" t="s">
        <v>395</v>
      </c>
      <c r="C73" s="127">
        <f>INDEX(D73:J73,$C$1)</f>
        <v>94</v>
      </c>
      <c r="D73" s="85">
        <v>94</v>
      </c>
      <c r="E73" s="85">
        <v>94</v>
      </c>
      <c r="F73" s="85">
        <v>94</v>
      </c>
      <c r="G73" s="85">
        <v>94</v>
      </c>
      <c r="H73" s="85">
        <v>94</v>
      </c>
      <c r="I73" s="85">
        <v>94</v>
      </c>
      <c r="J73" s="85">
        <v>94</v>
      </c>
      <c r="K73" s="199"/>
    </row>
    <row r="74" spans="1:11" x14ac:dyDescent="0.25">
      <c r="A74" s="243"/>
      <c r="B74" s="85"/>
      <c r="C74" s="85"/>
      <c r="D74" s="85"/>
      <c r="E74" s="85"/>
      <c r="F74" s="85"/>
      <c r="G74" s="85"/>
      <c r="H74" s="85"/>
      <c r="I74" s="85"/>
      <c r="J74" s="85"/>
      <c r="K74" s="199"/>
    </row>
    <row r="75" spans="1:11" x14ac:dyDescent="0.25">
      <c r="A75" s="82"/>
      <c r="B75" s="84"/>
      <c r="C75" s="84"/>
      <c r="D75" s="84"/>
      <c r="E75" s="84"/>
      <c r="F75" s="84"/>
      <c r="G75" s="84"/>
      <c r="H75" s="84"/>
      <c r="I75" s="84"/>
      <c r="J75" s="84"/>
      <c r="K75" s="199"/>
    </row>
    <row r="76" spans="1:11" x14ac:dyDescent="0.25">
      <c r="A76" s="242"/>
      <c r="B76" s="124"/>
      <c r="C76" s="127"/>
      <c r="D76" s="86"/>
      <c r="E76" s="86"/>
      <c r="F76" s="86"/>
      <c r="G76" s="86"/>
      <c r="H76" s="86"/>
      <c r="I76" s="86"/>
      <c r="J76" s="86"/>
      <c r="K76" s="199"/>
    </row>
    <row r="77" spans="1:11" x14ac:dyDescent="0.25">
      <c r="A77" s="243"/>
      <c r="B77" s="124"/>
      <c r="C77" s="127"/>
      <c r="D77" s="86"/>
      <c r="E77" s="86"/>
      <c r="F77" s="86"/>
      <c r="G77" s="86"/>
      <c r="H77" s="86"/>
      <c r="I77" s="86"/>
      <c r="J77" s="86"/>
      <c r="K77" s="199"/>
    </row>
    <row r="78" spans="1:11" x14ac:dyDescent="0.25">
      <c r="A78" s="243"/>
      <c r="B78" s="85"/>
      <c r="C78" s="85"/>
      <c r="D78" s="85"/>
      <c r="E78" s="85"/>
      <c r="F78" s="85"/>
      <c r="G78" s="85"/>
      <c r="H78" s="85"/>
      <c r="I78" s="85"/>
      <c r="J78" s="85"/>
      <c r="K78" s="199"/>
    </row>
    <row r="79" spans="1:11" x14ac:dyDescent="0.25">
      <c r="A79" s="82"/>
      <c r="B79" s="84"/>
      <c r="C79" s="84"/>
      <c r="D79" s="84"/>
      <c r="E79" s="84"/>
      <c r="F79" s="84"/>
      <c r="G79" s="84"/>
      <c r="H79" s="84"/>
      <c r="I79" s="84"/>
      <c r="J79" s="84"/>
      <c r="K79" s="199"/>
    </row>
    <row r="80" spans="1:11" x14ac:dyDescent="0.25">
      <c r="A80" s="249"/>
      <c r="B80" s="137"/>
      <c r="C80" s="127"/>
      <c r="D80" s="85"/>
      <c r="E80" s="85"/>
      <c r="F80" s="85"/>
      <c r="G80" s="85"/>
      <c r="H80" s="85"/>
      <c r="I80" s="85"/>
      <c r="J80" s="85"/>
      <c r="K80" s="199"/>
    </row>
    <row r="81" spans="1:11" x14ac:dyDescent="0.25">
      <c r="A81" s="243"/>
      <c r="B81" s="137"/>
      <c r="C81" s="127"/>
      <c r="D81" s="85"/>
      <c r="E81" s="85"/>
      <c r="F81" s="85"/>
      <c r="G81" s="85"/>
      <c r="H81" s="85"/>
      <c r="I81" s="85"/>
      <c r="J81" s="85"/>
      <c r="K81" s="199"/>
    </row>
    <row r="82" spans="1:11" x14ac:dyDescent="0.25">
      <c r="A82" s="243"/>
      <c r="B82" s="85"/>
      <c r="C82" s="85"/>
      <c r="D82" s="85"/>
      <c r="E82" s="85"/>
      <c r="F82" s="85"/>
      <c r="G82" s="85"/>
      <c r="H82" s="85"/>
      <c r="I82" s="85"/>
      <c r="J82" s="85"/>
      <c r="K82" s="199"/>
    </row>
    <row r="83" spans="1:11" x14ac:dyDescent="0.25">
      <c r="A83" s="82"/>
      <c r="B83" s="84"/>
      <c r="C83" s="84"/>
      <c r="D83" s="84"/>
      <c r="E83" s="84"/>
      <c r="F83" s="84"/>
      <c r="G83" s="84"/>
      <c r="H83" s="84"/>
      <c r="I83" s="84"/>
      <c r="J83" s="84"/>
      <c r="K83" s="199"/>
    </row>
    <row r="84" spans="1:11" x14ac:dyDescent="0.25">
      <c r="A84" s="242"/>
      <c r="B84" s="93"/>
      <c r="C84" s="93"/>
      <c r="D84" s="119"/>
      <c r="E84" s="119"/>
      <c r="F84" s="119"/>
      <c r="G84" s="119"/>
      <c r="H84" s="119"/>
      <c r="I84" s="119"/>
      <c r="J84" s="119"/>
      <c r="K84" s="199"/>
    </row>
    <row r="85" spans="1:11" x14ac:dyDescent="0.25">
      <c r="A85" s="243"/>
      <c r="B85" s="94"/>
      <c r="C85" s="127"/>
      <c r="D85" s="86"/>
      <c r="E85" s="86"/>
      <c r="F85" s="86"/>
      <c r="G85" s="86"/>
      <c r="H85" s="86"/>
      <c r="I85" s="86"/>
      <c r="J85" s="86"/>
      <c r="K85" s="199"/>
    </row>
    <row r="86" spans="1:11" x14ac:dyDescent="0.25">
      <c r="A86" s="243"/>
      <c r="B86" s="94"/>
      <c r="C86" s="127"/>
      <c r="D86" s="86"/>
      <c r="E86" s="86"/>
      <c r="F86" s="86"/>
      <c r="G86" s="86"/>
      <c r="H86" s="86"/>
      <c r="I86" s="86"/>
      <c r="J86" s="86"/>
      <c r="K86" s="199"/>
    </row>
    <row r="87" spans="1:11" x14ac:dyDescent="0.25">
      <c r="A87" s="243"/>
      <c r="B87" s="91"/>
      <c r="C87" s="127"/>
      <c r="D87" s="86"/>
      <c r="E87" s="86"/>
      <c r="F87" s="86"/>
      <c r="G87" s="86"/>
      <c r="H87" s="86"/>
      <c r="I87" s="86"/>
      <c r="J87" s="86"/>
      <c r="K87" s="199"/>
    </row>
    <row r="88" spans="1:11" x14ac:dyDescent="0.25">
      <c r="A88" s="243"/>
      <c r="B88" s="85"/>
      <c r="C88" s="85"/>
      <c r="D88" s="85"/>
      <c r="E88" s="85"/>
      <c r="F88" s="85"/>
      <c r="G88" s="85"/>
      <c r="H88" s="85"/>
      <c r="I88" s="85"/>
      <c r="J88" s="85"/>
      <c r="K88" s="199"/>
    </row>
    <row r="89" spans="1:11" x14ac:dyDescent="0.25">
      <c r="A89" s="82"/>
      <c r="B89" s="84"/>
      <c r="C89" s="84"/>
      <c r="D89" s="84"/>
      <c r="E89" s="84"/>
      <c r="F89" s="84"/>
      <c r="G89" s="84"/>
      <c r="H89" s="84"/>
      <c r="I89" s="84"/>
      <c r="J89" s="84"/>
      <c r="K89" s="199"/>
    </row>
    <row r="90" spans="1:11" x14ac:dyDescent="0.25">
      <c r="A90" s="242"/>
      <c r="B90" s="86"/>
      <c r="C90" s="127"/>
      <c r="D90" s="85"/>
      <c r="E90" s="85"/>
      <c r="F90" s="85"/>
      <c r="G90" s="85"/>
      <c r="H90" s="85"/>
      <c r="I90" s="85"/>
      <c r="J90" s="85"/>
      <c r="K90" s="199"/>
    </row>
    <row r="91" spans="1:11" x14ac:dyDescent="0.25">
      <c r="A91" s="243"/>
      <c r="B91" s="86"/>
      <c r="C91" s="127"/>
      <c r="D91" s="85"/>
      <c r="E91" s="85"/>
      <c r="F91" s="85"/>
      <c r="G91" s="85"/>
      <c r="H91" s="85"/>
      <c r="I91" s="85"/>
      <c r="J91" s="85"/>
      <c r="K91" s="199"/>
    </row>
    <row r="92" spans="1:11" x14ac:dyDescent="0.25">
      <c r="A92" s="243"/>
      <c r="B92" s="85"/>
      <c r="C92" s="85"/>
      <c r="D92" s="85"/>
      <c r="E92" s="85"/>
      <c r="F92" s="85"/>
      <c r="G92" s="85"/>
      <c r="H92" s="85"/>
      <c r="I92" s="85"/>
      <c r="J92" s="85"/>
      <c r="K92" s="199"/>
    </row>
    <row r="93" spans="1:11" x14ac:dyDescent="0.25">
      <c r="A93" s="82"/>
      <c r="B93" s="84"/>
      <c r="C93" s="84"/>
      <c r="D93" s="84"/>
      <c r="E93" s="84"/>
      <c r="F93" s="84"/>
      <c r="G93" s="84"/>
      <c r="H93" s="84"/>
      <c r="I93" s="84"/>
      <c r="J93" s="84"/>
      <c r="K93" s="199"/>
    </row>
    <row r="94" spans="1:11" x14ac:dyDescent="0.25">
      <c r="A94" s="247" t="s">
        <v>1</v>
      </c>
      <c r="B94" s="85" t="s">
        <v>141</v>
      </c>
      <c r="C94" s="127">
        <f>INDEX(D94:J94,$C$1)</f>
        <v>650</v>
      </c>
      <c r="D94" s="85">
        <v>650</v>
      </c>
      <c r="E94" s="85">
        <v>650</v>
      </c>
      <c r="F94" s="85">
        <v>650</v>
      </c>
      <c r="G94" s="85">
        <v>650</v>
      </c>
      <c r="H94" s="85">
        <v>650</v>
      </c>
      <c r="I94" s="85">
        <v>650</v>
      </c>
      <c r="J94" s="85">
        <v>650</v>
      </c>
      <c r="K94" s="199"/>
    </row>
    <row r="95" spans="1:11" x14ac:dyDescent="0.25">
      <c r="A95" s="248"/>
      <c r="B95" s="85" t="s">
        <v>117</v>
      </c>
      <c r="C95" s="127">
        <f>INDEX(D95:J95,$C$1)</f>
        <v>41</v>
      </c>
      <c r="D95" s="85">
        <v>41</v>
      </c>
      <c r="E95" s="85">
        <v>41</v>
      </c>
      <c r="F95" s="85">
        <v>41</v>
      </c>
      <c r="G95" s="85">
        <v>41</v>
      </c>
      <c r="H95" s="85">
        <v>41</v>
      </c>
      <c r="I95" s="85">
        <v>41</v>
      </c>
      <c r="J95" s="85">
        <v>41</v>
      </c>
      <c r="K95" s="199"/>
    </row>
    <row r="96" spans="1:11" x14ac:dyDescent="0.25">
      <c r="A96" s="248"/>
      <c r="B96" s="85"/>
      <c r="C96" s="85"/>
      <c r="D96" s="85"/>
      <c r="E96" s="85"/>
      <c r="F96" s="85"/>
      <c r="G96" s="85"/>
      <c r="H96" s="85"/>
      <c r="I96" s="85"/>
      <c r="J96" s="85"/>
      <c r="K96" s="199"/>
    </row>
    <row r="97" spans="1:11" x14ac:dyDescent="0.25">
      <c r="A97" s="82"/>
      <c r="B97" s="84"/>
      <c r="C97" s="84"/>
      <c r="D97" s="84"/>
      <c r="E97" s="84"/>
      <c r="F97" s="84"/>
      <c r="G97" s="84"/>
      <c r="H97" s="84"/>
      <c r="I97" s="84"/>
      <c r="J97" s="84"/>
      <c r="K97" s="199"/>
    </row>
    <row r="98" spans="1:11" x14ac:dyDescent="0.25">
      <c r="A98" s="242" t="s">
        <v>113</v>
      </c>
      <c r="B98" s="92" t="s">
        <v>186</v>
      </c>
      <c r="C98" s="127">
        <f t="shared" ref="C98:C108" si="4">INDEX(D98:J98,$C$1)</f>
        <v>2.93E-2</v>
      </c>
      <c r="D98" s="86">
        <v>2.93E-2</v>
      </c>
      <c r="E98" s="86">
        <v>2.93E-2</v>
      </c>
      <c r="F98" s="86">
        <v>2.93E-2</v>
      </c>
      <c r="G98" s="86">
        <v>2.93E-2</v>
      </c>
      <c r="H98" s="86">
        <v>2.93E-2</v>
      </c>
      <c r="I98" s="86">
        <v>2.93E-2</v>
      </c>
      <c r="J98" s="86">
        <v>2.93E-2</v>
      </c>
      <c r="K98" s="199"/>
    </row>
    <row r="99" spans="1:11" x14ac:dyDescent="0.25">
      <c r="A99" s="243"/>
      <c r="B99" s="92" t="s">
        <v>188</v>
      </c>
      <c r="C99" s="127">
        <f t="shared" si="4"/>
        <v>2.93E-2</v>
      </c>
      <c r="D99" s="86">
        <v>2.93E-2</v>
      </c>
      <c r="E99" s="86">
        <v>2.93E-2</v>
      </c>
      <c r="F99" s="86">
        <v>2.93E-2</v>
      </c>
      <c r="G99" s="86">
        <v>2.93E-2</v>
      </c>
      <c r="H99" s="86">
        <v>2.93E-2</v>
      </c>
      <c r="I99" s="86">
        <v>2.93E-2</v>
      </c>
      <c r="J99" s="86">
        <v>2.93E-2</v>
      </c>
      <c r="K99" s="199"/>
    </row>
    <row r="100" spans="1:11" x14ac:dyDescent="0.25">
      <c r="A100" s="243"/>
      <c r="B100" s="92" t="s">
        <v>187</v>
      </c>
      <c r="C100" s="127">
        <f t="shared" si="4"/>
        <v>5.6439999999999997E-2</v>
      </c>
      <c r="D100" s="86">
        <v>5.6439999999999997E-2</v>
      </c>
      <c r="E100" s="86">
        <v>5.6439999999999997E-2</v>
      </c>
      <c r="F100" s="86">
        <v>5.6439999999999997E-2</v>
      </c>
      <c r="G100" s="86">
        <v>5.6439999999999997E-2</v>
      </c>
      <c r="H100" s="86">
        <v>5.6439999999999997E-2</v>
      </c>
      <c r="I100" s="86">
        <v>5.6439999999999997E-2</v>
      </c>
      <c r="J100" s="86">
        <v>5.6439999999999997E-2</v>
      </c>
      <c r="K100" s="199"/>
    </row>
    <row r="101" spans="1:11" x14ac:dyDescent="0.25">
      <c r="A101" s="243"/>
      <c r="B101" s="157" t="s">
        <v>376</v>
      </c>
      <c r="C101" s="127">
        <f t="shared" si="4"/>
        <v>0</v>
      </c>
      <c r="D101" s="86">
        <v>0</v>
      </c>
      <c r="E101" s="86">
        <v>0</v>
      </c>
      <c r="F101" s="86">
        <v>0</v>
      </c>
      <c r="G101" s="86">
        <v>0</v>
      </c>
      <c r="H101" s="86">
        <v>0</v>
      </c>
      <c r="I101" s="86">
        <v>0</v>
      </c>
      <c r="J101" s="86">
        <v>0</v>
      </c>
      <c r="K101" s="199"/>
    </row>
    <row r="102" spans="1:11" x14ac:dyDescent="0.25">
      <c r="A102" s="243"/>
      <c r="B102" s="157" t="s">
        <v>377</v>
      </c>
      <c r="C102" s="127">
        <f t="shared" si="4"/>
        <v>9.1599999999999997E-3</v>
      </c>
      <c r="D102" s="86">
        <v>9.1599999999999997E-3</v>
      </c>
      <c r="E102" s="86">
        <v>9.1599999999999997E-3</v>
      </c>
      <c r="F102" s="86">
        <v>9.1599999999999997E-3</v>
      </c>
      <c r="G102" s="86">
        <v>9.1599999999999997E-3</v>
      </c>
      <c r="H102" s="86">
        <v>9.1599999999999997E-3</v>
      </c>
      <c r="I102" s="86">
        <v>9.1599999999999997E-3</v>
      </c>
      <c r="J102" s="86">
        <v>9.1599999999999997E-3</v>
      </c>
      <c r="K102" s="199"/>
    </row>
    <row r="103" spans="1:11" x14ac:dyDescent="0.25">
      <c r="A103" s="243"/>
      <c r="B103" s="157" t="s">
        <v>378</v>
      </c>
      <c r="C103" s="127">
        <f t="shared" si="4"/>
        <v>1.6E-2</v>
      </c>
      <c r="D103" s="86">
        <v>1.6E-2</v>
      </c>
      <c r="E103" s="86">
        <v>1.6E-2</v>
      </c>
      <c r="F103" s="86">
        <v>1.6E-2</v>
      </c>
      <c r="G103" s="86">
        <v>1.6E-2</v>
      </c>
      <c r="H103" s="86">
        <v>1.6E-2</v>
      </c>
      <c r="I103" s="86">
        <v>1.6E-2</v>
      </c>
      <c r="J103" s="86">
        <v>1.6E-2</v>
      </c>
      <c r="K103" s="199"/>
    </row>
    <row r="104" spans="1:11" x14ac:dyDescent="0.25">
      <c r="A104" s="243"/>
      <c r="B104" s="157" t="s">
        <v>379</v>
      </c>
      <c r="C104" s="127">
        <f t="shared" si="4"/>
        <v>1.6E-2</v>
      </c>
      <c r="D104" s="86">
        <v>1.6E-2</v>
      </c>
      <c r="E104" s="86">
        <v>1.6E-2</v>
      </c>
      <c r="F104" s="86">
        <v>1.6E-2</v>
      </c>
      <c r="G104" s="86">
        <v>1.6E-2</v>
      </c>
      <c r="H104" s="86">
        <v>1.6E-2</v>
      </c>
      <c r="I104" s="86">
        <v>1.6E-2</v>
      </c>
      <c r="J104" s="86">
        <v>1.6E-2</v>
      </c>
      <c r="K104" s="199"/>
    </row>
    <row r="105" spans="1:11" x14ac:dyDescent="0.25">
      <c r="A105" s="243"/>
      <c r="B105" s="130" t="s">
        <v>216</v>
      </c>
      <c r="C105" s="127">
        <f t="shared" si="4"/>
        <v>1.7</v>
      </c>
      <c r="D105" s="91">
        <v>1.7</v>
      </c>
      <c r="E105" s="91">
        <v>1.7</v>
      </c>
      <c r="F105" s="91">
        <v>1.7</v>
      </c>
      <c r="G105" s="91">
        <v>1.7</v>
      </c>
      <c r="H105" s="91">
        <v>1.7</v>
      </c>
      <c r="I105" s="91">
        <v>1.7</v>
      </c>
      <c r="J105" s="91">
        <v>1.7</v>
      </c>
      <c r="K105" s="199"/>
    </row>
    <row r="106" spans="1:11" x14ac:dyDescent="0.25">
      <c r="A106" s="243"/>
      <c r="B106" s="157" t="s">
        <v>403</v>
      </c>
      <c r="C106" s="127">
        <f t="shared" si="4"/>
        <v>76</v>
      </c>
      <c r="D106" s="91">
        <v>76</v>
      </c>
      <c r="E106" s="91">
        <v>76</v>
      </c>
      <c r="F106" s="91">
        <v>76</v>
      </c>
      <c r="G106" s="91">
        <v>76</v>
      </c>
      <c r="H106" s="91">
        <v>76</v>
      </c>
      <c r="I106" s="91">
        <v>76</v>
      </c>
      <c r="J106" s="91">
        <v>76</v>
      </c>
      <c r="K106" s="199"/>
    </row>
    <row r="107" spans="1:11" x14ac:dyDescent="0.25">
      <c r="A107" s="243"/>
      <c r="B107" s="157" t="s">
        <v>405</v>
      </c>
      <c r="C107" s="127">
        <f t="shared" si="4"/>
        <v>29.3</v>
      </c>
      <c r="D107" s="91">
        <v>29.3</v>
      </c>
      <c r="E107" s="91">
        <v>29.3</v>
      </c>
      <c r="F107" s="91">
        <v>29.3</v>
      </c>
      <c r="G107" s="91">
        <v>29.3</v>
      </c>
      <c r="H107" s="91">
        <v>29.3</v>
      </c>
      <c r="I107" s="91">
        <v>29.3</v>
      </c>
      <c r="J107" s="91">
        <v>29.3</v>
      </c>
      <c r="K107" s="199"/>
    </row>
    <row r="108" spans="1:11" x14ac:dyDescent="0.25">
      <c r="A108" s="243"/>
      <c r="B108" s="157" t="s">
        <v>404</v>
      </c>
      <c r="C108" s="127">
        <f t="shared" si="4"/>
        <v>54.6</v>
      </c>
      <c r="D108" s="91">
        <v>54.6</v>
      </c>
      <c r="E108" s="91">
        <v>54.6</v>
      </c>
      <c r="F108" s="91">
        <v>54.6</v>
      </c>
      <c r="G108" s="91">
        <v>54.6</v>
      </c>
      <c r="H108" s="91">
        <v>54.6</v>
      </c>
      <c r="I108" s="91">
        <v>54.6</v>
      </c>
      <c r="J108" s="91">
        <v>54.6</v>
      </c>
      <c r="K108" s="199"/>
    </row>
    <row r="109" spans="1:11" x14ac:dyDescent="0.25">
      <c r="A109" s="243"/>
      <c r="B109" s="108"/>
      <c r="C109" s="127"/>
      <c r="D109" s="91"/>
      <c r="E109" s="85"/>
      <c r="F109" s="85"/>
      <c r="G109" s="85"/>
      <c r="H109" s="85"/>
      <c r="I109" s="85"/>
      <c r="J109" s="85"/>
      <c r="K109" s="199"/>
    </row>
    <row r="110" spans="1:11" x14ac:dyDescent="0.25">
      <c r="A110" s="250"/>
      <c r="C110" s="85"/>
      <c r="D110" s="40"/>
      <c r="E110" s="40"/>
      <c r="F110" s="40"/>
      <c r="G110" s="40"/>
      <c r="H110" s="40"/>
      <c r="I110" s="40"/>
      <c r="J110" s="40"/>
      <c r="K110" s="199"/>
    </row>
    <row r="111" spans="1:11" x14ac:dyDescent="0.25">
      <c r="A111" s="89"/>
      <c r="B111" s="89"/>
      <c r="C111" s="93"/>
      <c r="D111" s="93"/>
      <c r="E111" s="93"/>
      <c r="F111" s="93"/>
      <c r="G111" s="93"/>
      <c r="H111" s="93"/>
      <c r="I111" s="93"/>
      <c r="J111" s="93"/>
      <c r="K111" s="199"/>
    </row>
    <row r="112" spans="1:11" x14ac:dyDescent="0.25">
      <c r="A112" s="244"/>
      <c r="B112" s="86"/>
      <c r="C112" s="127"/>
      <c r="D112" s="91"/>
      <c r="E112" s="91"/>
      <c r="F112" s="91"/>
      <c r="G112" s="91"/>
      <c r="H112" s="91"/>
      <c r="I112" s="91"/>
      <c r="J112" s="91"/>
      <c r="K112" s="199"/>
    </row>
    <row r="113" spans="1:11" x14ac:dyDescent="0.25">
      <c r="A113" s="245"/>
      <c r="B113" s="86"/>
      <c r="C113" s="127"/>
      <c r="D113" s="91"/>
      <c r="E113" s="91"/>
      <c r="F113" s="91"/>
      <c r="G113" s="91"/>
      <c r="H113" s="91"/>
      <c r="I113" s="91"/>
      <c r="J113" s="91"/>
      <c r="K113" s="199"/>
    </row>
    <row r="114" spans="1:11" x14ac:dyDescent="0.25">
      <c r="A114" s="246"/>
      <c r="B114" s="54"/>
      <c r="C114" s="85"/>
      <c r="D114" s="91"/>
      <c r="E114" s="91"/>
      <c r="F114" s="91"/>
      <c r="G114" s="91"/>
      <c r="H114" s="91"/>
      <c r="I114" s="91"/>
      <c r="J114" s="91"/>
      <c r="K114" s="199"/>
    </row>
    <row r="115" spans="1:11" x14ac:dyDescent="0.25">
      <c r="A115" s="82"/>
      <c r="B115" s="84"/>
      <c r="C115" s="84"/>
      <c r="D115" s="84"/>
      <c r="E115" s="84"/>
      <c r="F115" s="84"/>
      <c r="G115" s="84"/>
      <c r="H115" s="84"/>
      <c r="I115" s="84"/>
      <c r="J115" s="84"/>
      <c r="K115" s="199"/>
    </row>
  </sheetData>
  <mergeCells count="18">
    <mergeCell ref="E1:H1"/>
    <mergeCell ref="A63:A67"/>
    <mergeCell ref="A51:A53"/>
    <mergeCell ref="A47:A49"/>
    <mergeCell ref="A42:A45"/>
    <mergeCell ref="A25:A32"/>
    <mergeCell ref="A12:A23"/>
    <mergeCell ref="A4:A10"/>
    <mergeCell ref="A55:A57"/>
    <mergeCell ref="A34:A40"/>
    <mergeCell ref="A76:A78"/>
    <mergeCell ref="A69:A74"/>
    <mergeCell ref="A112:A114"/>
    <mergeCell ref="A94:A96"/>
    <mergeCell ref="A90:A92"/>
    <mergeCell ref="A80:A82"/>
    <mergeCell ref="A84:A88"/>
    <mergeCell ref="A98:A11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Z Y E 3 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B l g T 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Y E 3 V i i K R 7 g O A A A A E Q A A A B M A H A B G b 3 J t d W x h c y 9 T Z W N 0 a W 9 u M S 5 t I K I Y A C i g F A A A A A A A A A A A A A A A A A A A A A A A A A A A A C t O T S 7 J z M 9 T C I b Q h t Y A U E s B A i 0 A F A A C A A g A Z Y E 3 V q F C A Y G j A A A A 9 g A A A B I A A A A A A A A A A A A A A A A A A A A A A E N v b m Z p Z y 9 Q Y W N r Y W d l L n h t b F B L A Q I t A B Q A A g A I A G W B N 1 Y P y u m r p A A A A O k A A A A T A A A A A A A A A A A A A A A A A O 8 A A A B b Q 2 9 u d G V u d F 9 U e X B l c 1 0 u e G 1 s U E s B A i 0 A F A A C A A g A Z Y E 3 V 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R Z R 0 k 7 C B 1 F n c 7 j s 0 x T K + 4 A A A A A A g A A A A A A A 2 Y A A M A A A A A Q A A A A d V L z t g Q r s W x 0 w K I A U i O q G A A A A A A E g A A A o A A A A B A A A A B p b x I v C m D C B A u 5 E G X 7 9 t m l U A A A A N w d + 0 3 h f 5 z m B + v t t 0 y l 9 t f 8 O c L v f S L i i U e d f y k T m i 4 3 L L 0 0 0 m 6 i E v Q a M O P r l v G 1 P n C o P q 7 S d 7 Z R i r d + Y 4 B v K 4 H C y C Y Q g f r k e 1 E T n O 4 s P U X c F A A A A P S g C 8 6 A 6 T O r R s D 0 d x r C y y k B 3 q V 2 < / D a t a M a s h u p > 
</file>

<file path=customXml/itemProps1.xml><?xml version="1.0" encoding="utf-8"?>
<ds:datastoreItem xmlns:ds="http://schemas.openxmlformats.org/officeDocument/2006/customXml" ds:itemID="{7AF0BA75-58AE-43F3-872F-E69BFAF8BE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48</vt:i4>
      </vt:variant>
    </vt:vector>
  </HeadingPairs>
  <TitlesOfParts>
    <vt:vector size="65" baseType="lpstr">
      <vt:lpstr>Instructions</vt:lpstr>
      <vt:lpstr>Summary</vt:lpstr>
      <vt:lpstr>Config(1)</vt:lpstr>
      <vt:lpstr>Config(2)</vt:lpstr>
      <vt:lpstr>Config(3)</vt:lpstr>
      <vt:lpstr>Config(4)</vt:lpstr>
      <vt:lpstr>Config(5)</vt:lpstr>
      <vt:lpstr>Options</vt:lpstr>
      <vt:lpstr>Data_3.3V_BUCK=1.1V</vt:lpstr>
      <vt:lpstr>Data_3.3V_BUCK=0.9V</vt:lpstr>
      <vt:lpstr>Data_3.3V_LDO=1.1V</vt:lpstr>
      <vt:lpstr>Data_3.3V_LDO=0.9V</vt:lpstr>
      <vt:lpstr>Data_1.8V_BUCK=1.1V</vt:lpstr>
      <vt:lpstr>Data_1.8V_BUCK=0.9V</vt:lpstr>
      <vt:lpstr>Data_1.8V_LDO=1.1V</vt:lpstr>
      <vt:lpstr>Data_1.8V_LDO=0.9V</vt:lpstr>
      <vt:lpstr>UDBData</vt:lpstr>
      <vt:lpstr>Config1_CM0p_CpuMode</vt:lpstr>
      <vt:lpstr>Config1_CM4_CpuMode</vt:lpstr>
      <vt:lpstr>Config1_Regulator</vt:lpstr>
      <vt:lpstr>Config1_SystemMode</vt:lpstr>
      <vt:lpstr>Config1_Voltage</vt:lpstr>
      <vt:lpstr>Config1_VoltageCore</vt:lpstr>
      <vt:lpstr>Config2_CM0p_CpuMode</vt:lpstr>
      <vt:lpstr>Config2_CM4_CpuMode</vt:lpstr>
      <vt:lpstr>Config2_Regulator</vt:lpstr>
      <vt:lpstr>Config2_SystemMode</vt:lpstr>
      <vt:lpstr>Config2_Voltage</vt:lpstr>
      <vt:lpstr>Config2_VoltageCore</vt:lpstr>
      <vt:lpstr>Config3_CM0p_CpuMode</vt:lpstr>
      <vt:lpstr>Config3_CM4_CpuMode</vt:lpstr>
      <vt:lpstr>Config3_Regulator</vt:lpstr>
      <vt:lpstr>Config3_SystemMode</vt:lpstr>
      <vt:lpstr>Config3_Voltage</vt:lpstr>
      <vt:lpstr>Config3_VoltageCore</vt:lpstr>
      <vt:lpstr>Config4_CM0p_CpuMode</vt:lpstr>
      <vt:lpstr>Config4_CM4_CpuMode</vt:lpstr>
      <vt:lpstr>Config4_Regulator</vt:lpstr>
      <vt:lpstr>Config4_SystemMode</vt:lpstr>
      <vt:lpstr>Config4_Voltage</vt:lpstr>
      <vt:lpstr>Config4_VoltageCore</vt:lpstr>
      <vt:lpstr>Config5_CM0p_CpuMode</vt:lpstr>
      <vt:lpstr>Config5_CM4_CpuMode</vt:lpstr>
      <vt:lpstr>Config5_Regulator</vt:lpstr>
      <vt:lpstr>Config5_SystemMode</vt:lpstr>
      <vt:lpstr>Config5_Voltage</vt:lpstr>
      <vt:lpstr>Config5_VoltageCore</vt:lpstr>
      <vt:lpstr>CpuActive</vt:lpstr>
      <vt:lpstr>CpuDeepSleep</vt:lpstr>
      <vt:lpstr>CpuOff</vt:lpstr>
      <vt:lpstr>CpuSleep</vt:lpstr>
      <vt:lpstr>Dividers</vt:lpstr>
      <vt:lpstr>PSoC60</vt:lpstr>
      <vt:lpstr>PSoC61</vt:lpstr>
      <vt:lpstr>PSoC62_1M</vt:lpstr>
      <vt:lpstr>PSoC62_256K</vt:lpstr>
      <vt:lpstr>PSoC62_2M</vt:lpstr>
      <vt:lpstr>PSoC62_512K</vt:lpstr>
      <vt:lpstr>PSoC63</vt:lpstr>
      <vt:lpstr>SelectedDevice</vt:lpstr>
      <vt:lpstr>SystemDeepSleep</vt:lpstr>
      <vt:lpstr>SystemHibernate</vt:lpstr>
      <vt:lpstr>SystemLp</vt:lpstr>
      <vt:lpstr>SystemUlp</vt:lpstr>
      <vt:lpstr>t</vt:lpstr>
    </vt:vector>
  </TitlesOfParts>
  <Manager>Greg Verge (gjv)</Manager>
  <Company>Cypress Semiconductor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PSoC 6 Power Estimator Worksheet</dc:title>
  <dc:subject>PSoC 4</dc:subject>
  <dc:creator>QVS</dc:creator>
  <cp:keywords>PSoC, power, apps</cp:keywords>
  <dc:description>This spreadsheet is a basic tool for obtaining a gross estimate of power consumption using PSoC4</dc:description>
  <cp:lastModifiedBy>Joe Carmel Angelica (DCI DCP TP CD)</cp:lastModifiedBy>
  <cp:lastPrinted>2015-08-12T11:33:53Z</cp:lastPrinted>
  <dcterms:created xsi:type="dcterms:W3CDTF">2011-01-10T19:07:37Z</dcterms:created>
  <dcterms:modified xsi:type="dcterms:W3CDTF">2025-05-08T13:26:46Z</dcterms:modified>
  <cp:category>Core PSoC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15a25aa-e944-415d-b7a7-40f6b9180b6b_Enabled">
    <vt:lpwstr>true</vt:lpwstr>
  </property>
  <property fmtid="{D5CDD505-2E9C-101B-9397-08002B2CF9AE}" pid="3" name="MSIP_Label_a15a25aa-e944-415d-b7a7-40f6b9180b6b_SetDate">
    <vt:lpwstr>2023-01-23T11:17:10Z</vt:lpwstr>
  </property>
  <property fmtid="{D5CDD505-2E9C-101B-9397-08002B2CF9AE}" pid="4" name="MSIP_Label_a15a25aa-e944-415d-b7a7-40f6b9180b6b_Method">
    <vt:lpwstr>Standard</vt:lpwstr>
  </property>
  <property fmtid="{D5CDD505-2E9C-101B-9397-08002B2CF9AE}" pid="5" name="MSIP_Label_a15a25aa-e944-415d-b7a7-40f6b9180b6b_Name">
    <vt:lpwstr>a15a25aa-e944-415d-b7a7-40f6b9180b6b</vt:lpwstr>
  </property>
  <property fmtid="{D5CDD505-2E9C-101B-9397-08002B2CF9AE}" pid="6" name="MSIP_Label_a15a25aa-e944-415d-b7a7-40f6b9180b6b_SiteId">
    <vt:lpwstr>eeb8d0e8-3544-41d3-aac6-934c309faf5a</vt:lpwstr>
  </property>
  <property fmtid="{D5CDD505-2E9C-101B-9397-08002B2CF9AE}" pid="7" name="MSIP_Label_a15a25aa-e944-415d-b7a7-40f6b9180b6b_ActionId">
    <vt:lpwstr>b066a3c6-8e06-458b-8114-3b8fa39b3058</vt:lpwstr>
  </property>
  <property fmtid="{D5CDD505-2E9C-101B-9397-08002B2CF9AE}" pid="8" name="MSIP_Label_a15a25aa-e944-415d-b7a7-40f6b9180b6b_ContentBits">
    <vt:lpwstr>0</vt:lpwstr>
  </property>
  <property fmtid="{D5CDD505-2E9C-101B-9397-08002B2CF9AE}" pid="9" name="Classification">
    <vt:lpwstr>Restr</vt:lpwstr>
  </property>
</Properties>
</file>