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toroil-my.sharepoint.com/personal/mveisakis_morenergy_gr/Documents/Desktop/Under Development/Λαψίστα-Ζωοδόχος/"/>
    </mc:Choice>
  </mc:AlternateContent>
  <xr:revisionPtr revIDLastSave="1149" documentId="13_ncr:1_{12554569-2D5D-4BCC-B395-37DAF9B04662}" xr6:coauthVersionLast="47" xr6:coauthVersionMax="47" xr10:uidLastSave="{91F86D85-B309-40FA-B0D2-3A032CED1ED5}"/>
  <bookViews>
    <workbookView xWindow="-120" yWindow="-120" windowWidth="29040" windowHeight="15840" tabRatio="651" xr2:uid="{00000000-000D-0000-FFFF-FFFF00000000}"/>
  </bookViews>
  <sheets>
    <sheet name="Συγκεντρωτικά" sheetId="10" r:id="rId1"/>
    <sheet name="Εσωτερικό δίκτυο" sheetId="4" r:id="rId2"/>
    <sheet name="Εσωτερικό Δίκτυο Αναλυτικά" sheetId="6" r:id="rId3"/>
    <sheet name="Σύνδεση" sheetId="14" r:id="rId4"/>
    <sheet name="Cable Costs" sheetId="12" r:id="rId5"/>
    <sheet name="Cable Data" sheetId="7" r:id="rId6"/>
  </sheet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0" l="1"/>
  <c r="I2" i="10"/>
  <c r="E14" i="10"/>
  <c r="D19" i="10" l="1"/>
  <c r="D18" i="10"/>
  <c r="D17" i="10"/>
  <c r="G18" i="10"/>
  <c r="G19" i="10"/>
  <c r="G17" i="10"/>
  <c r="H20" i="10"/>
  <c r="H19" i="10"/>
  <c r="H18" i="10"/>
  <c r="H17" i="10"/>
  <c r="F20" i="10"/>
  <c r="D20" i="10"/>
  <c r="H5" i="10"/>
  <c r="F5" i="10"/>
  <c r="E5" i="10"/>
  <c r="I5" i="10" l="1"/>
  <c r="E20" i="10" l="1"/>
  <c r="I20" i="10" s="1"/>
  <c r="J20" i="10" s="1"/>
  <c r="J5" i="10"/>
  <c r="D29" i="6" l="1"/>
  <c r="D30" i="6" s="1"/>
  <c r="D31" i="6" s="1"/>
  <c r="G35" i="4" l="1"/>
  <c r="H35" i="4" s="1"/>
  <c r="U35" i="4" s="1"/>
  <c r="G31" i="4"/>
  <c r="G30" i="4"/>
  <c r="G29" i="4"/>
  <c r="G28" i="4"/>
  <c r="K40" i="4"/>
  <c r="J40" i="4"/>
  <c r="J39" i="4"/>
  <c r="K39" i="4"/>
  <c r="K38" i="4"/>
  <c r="J38" i="4"/>
  <c r="K37" i="4"/>
  <c r="J37" i="4"/>
  <c r="K35" i="4"/>
  <c r="J35" i="4"/>
  <c r="K34" i="4"/>
  <c r="J34" i="4"/>
  <c r="K33" i="4"/>
  <c r="J33" i="4"/>
  <c r="I40" i="4"/>
  <c r="I39" i="4"/>
  <c r="I38" i="4"/>
  <c r="I37" i="4"/>
  <c r="I35" i="4"/>
  <c r="I34" i="4"/>
  <c r="I33" i="4"/>
  <c r="M21" i="6"/>
  <c r="N21" i="6"/>
  <c r="O21" i="6"/>
  <c r="P21" i="6"/>
  <c r="M22" i="6"/>
  <c r="N22" i="6"/>
  <c r="O22" i="6"/>
  <c r="P22" i="6"/>
  <c r="M24" i="6"/>
  <c r="N24" i="6"/>
  <c r="O24" i="6"/>
  <c r="P24" i="6"/>
  <c r="M25" i="6"/>
  <c r="N25" i="6"/>
  <c r="O25" i="6"/>
  <c r="P25" i="6"/>
  <c r="M26" i="6"/>
  <c r="N26" i="6"/>
  <c r="O26" i="6"/>
  <c r="P26" i="6"/>
  <c r="M28" i="6"/>
  <c r="N28" i="6"/>
  <c r="O28" i="6"/>
  <c r="P28" i="6"/>
  <c r="M29" i="6"/>
  <c r="N29" i="6"/>
  <c r="O29" i="6"/>
  <c r="P29" i="6"/>
  <c r="M30" i="6"/>
  <c r="N30" i="6"/>
  <c r="O30" i="6"/>
  <c r="P30" i="6"/>
  <c r="C24" i="6"/>
  <c r="C25" i="6"/>
  <c r="C26" i="6"/>
  <c r="C28" i="6"/>
  <c r="C29" i="6"/>
  <c r="C30" i="6"/>
  <c r="D14" i="10"/>
  <c r="C14" i="10"/>
  <c r="T41" i="4"/>
  <c r="S41" i="4"/>
  <c r="H40" i="4"/>
  <c r="H39" i="4"/>
  <c r="E30" i="6" s="1"/>
  <c r="H38" i="4"/>
  <c r="E29" i="6" s="1"/>
  <c r="H37" i="4"/>
  <c r="U37" i="4" s="1"/>
  <c r="H34" i="4"/>
  <c r="U34" i="4" s="1"/>
  <c r="F18" i="10" l="1"/>
  <c r="F17" i="10"/>
  <c r="F19" i="10"/>
  <c r="G4" i="10"/>
  <c r="G2" i="10"/>
  <c r="G3" i="10"/>
  <c r="U38" i="4"/>
  <c r="E28" i="6"/>
  <c r="N34" i="4"/>
  <c r="E26" i="6"/>
  <c r="O34" i="4"/>
  <c r="E25" i="6"/>
  <c r="O40" i="4"/>
  <c r="P35" i="4"/>
  <c r="P39" i="4"/>
  <c r="P34" i="4"/>
  <c r="P40" i="4"/>
  <c r="O38" i="4"/>
  <c r="O39" i="4"/>
  <c r="P37" i="4"/>
  <c r="P38" i="4"/>
  <c r="U40" i="4"/>
  <c r="N37" i="4"/>
  <c r="O37" i="4"/>
  <c r="N38" i="4"/>
  <c r="U39" i="4"/>
  <c r="N39" i="4"/>
  <c r="N40" i="4"/>
  <c r="N35" i="4"/>
  <c r="O35" i="4"/>
  <c r="I9" i="10"/>
  <c r="J9" i="10"/>
  <c r="I10" i="10"/>
  <c r="J10" i="10"/>
  <c r="I11" i="10"/>
  <c r="J11" i="10"/>
  <c r="J8" i="10"/>
  <c r="I8" i="10"/>
  <c r="T9" i="4"/>
  <c r="T10" i="4" s="1"/>
  <c r="T22" i="4"/>
  <c r="D16" i="6"/>
  <c r="D17" i="6" s="1"/>
  <c r="D13" i="6"/>
  <c r="S22" i="4"/>
  <c r="G17" i="4"/>
  <c r="I9" i="4"/>
  <c r="S10" i="4"/>
  <c r="D7" i="6"/>
  <c r="D8" i="6" s="1"/>
  <c r="D4" i="6"/>
  <c r="K9" i="4"/>
  <c r="J9" i="4"/>
  <c r="P10" i="6"/>
  <c r="O10" i="6"/>
  <c r="N10" i="6"/>
  <c r="M10" i="6"/>
  <c r="C10" i="6"/>
  <c r="H9" i="4"/>
  <c r="N9" i="4" s="1"/>
  <c r="V10" i="4"/>
  <c r="J44" i="12"/>
  <c r="R39" i="4" l="1"/>
  <c r="R34" i="4"/>
  <c r="R35" i="4"/>
  <c r="R40" i="4"/>
  <c r="R37" i="4"/>
  <c r="R38" i="4"/>
  <c r="P9" i="4"/>
  <c r="E10" i="6"/>
  <c r="D10" i="6"/>
  <c r="O9" i="4"/>
  <c r="J12" i="10"/>
  <c r="D4" i="10" s="1"/>
  <c r="I12" i="10"/>
  <c r="U9" i="4"/>
  <c r="D2" i="10" l="1"/>
  <c r="D3" i="10"/>
  <c r="R9" i="4"/>
  <c r="D2" i="7"/>
  <c r="E2" i="7"/>
  <c r="F2" i="7"/>
  <c r="G2" i="7"/>
  <c r="H2" i="7"/>
  <c r="I2" i="7"/>
  <c r="J2" i="7"/>
  <c r="K2" i="7"/>
  <c r="C3" i="7"/>
  <c r="D3" i="7"/>
  <c r="E3" i="7"/>
  <c r="H3" i="7"/>
  <c r="I3" i="7"/>
  <c r="J3" i="7"/>
  <c r="K3" i="7"/>
  <c r="C4" i="7"/>
  <c r="D4" i="7"/>
  <c r="E4" i="7"/>
  <c r="F4" i="7"/>
  <c r="G4" i="7"/>
  <c r="H4" i="7"/>
  <c r="I4" i="7"/>
  <c r="J4" i="7"/>
  <c r="K4" i="7"/>
  <c r="C5" i="7"/>
  <c r="D5" i="7"/>
  <c r="E5" i="7"/>
  <c r="F5" i="7"/>
  <c r="G5" i="7"/>
  <c r="H5" i="7"/>
  <c r="I5" i="7"/>
  <c r="J5" i="7"/>
  <c r="K5" i="7"/>
  <c r="C6" i="7"/>
  <c r="D6" i="7"/>
  <c r="E6" i="7"/>
  <c r="F6" i="7"/>
  <c r="G6" i="7"/>
  <c r="H6" i="7"/>
  <c r="I6" i="7"/>
  <c r="J6" i="7"/>
  <c r="K6" i="7"/>
  <c r="C7" i="7"/>
  <c r="D7" i="7"/>
  <c r="E7" i="7"/>
  <c r="H7" i="7"/>
  <c r="I7" i="7"/>
  <c r="J7" i="7"/>
  <c r="K7" i="7"/>
  <c r="C8" i="7"/>
  <c r="D8" i="7"/>
  <c r="E8" i="7"/>
  <c r="H8" i="7"/>
  <c r="I8" i="7"/>
  <c r="J8" i="7"/>
  <c r="K8" i="7"/>
  <c r="C9" i="7"/>
  <c r="D9" i="7"/>
  <c r="E9" i="7"/>
  <c r="H9" i="7"/>
  <c r="I9" i="7"/>
  <c r="J9" i="7"/>
  <c r="K9" i="7"/>
  <c r="C10" i="7"/>
  <c r="D10" i="7"/>
  <c r="E10" i="7"/>
  <c r="H10" i="7"/>
  <c r="I10" i="7"/>
  <c r="J10" i="7"/>
  <c r="K10" i="7"/>
  <c r="D11" i="7"/>
  <c r="E11" i="7"/>
  <c r="H11" i="7"/>
  <c r="I11" i="7"/>
  <c r="J11" i="7"/>
  <c r="K11" i="7"/>
  <c r="D12" i="7"/>
  <c r="E12" i="7"/>
  <c r="H12" i="7"/>
  <c r="I12" i="7"/>
  <c r="J12" i="7"/>
  <c r="K12" i="7"/>
  <c r="D13" i="7"/>
  <c r="E13" i="7"/>
  <c r="H13" i="7"/>
  <c r="I13" i="7"/>
  <c r="J13" i="7"/>
  <c r="K13" i="7"/>
  <c r="D25" i="7"/>
  <c r="E25" i="7"/>
  <c r="F25" i="7"/>
  <c r="G25" i="7"/>
  <c r="H25" i="7"/>
  <c r="I25" i="7"/>
  <c r="D3" i="12"/>
  <c r="E3" i="12"/>
  <c r="F3" i="12"/>
  <c r="G3" i="12"/>
  <c r="D4" i="12"/>
  <c r="E4" i="12"/>
  <c r="F4" i="12"/>
  <c r="G4" i="12"/>
  <c r="D5" i="12"/>
  <c r="E5" i="12"/>
  <c r="F5" i="12"/>
  <c r="G5" i="12"/>
  <c r="D6" i="12"/>
  <c r="E6" i="12"/>
  <c r="F6" i="12"/>
  <c r="G6" i="12"/>
  <c r="D7" i="12"/>
  <c r="E7" i="12"/>
  <c r="F7" i="12"/>
  <c r="G7" i="12"/>
  <c r="D8" i="12"/>
  <c r="E8" i="12"/>
  <c r="F8" i="12"/>
  <c r="G8" i="12"/>
  <c r="D9" i="12"/>
  <c r="E9" i="12"/>
  <c r="F9" i="12"/>
  <c r="G9" i="12"/>
  <c r="D10" i="12"/>
  <c r="E10" i="12"/>
  <c r="F10" i="12"/>
  <c r="G10" i="12"/>
  <c r="H10" i="12"/>
  <c r="I10" i="12"/>
  <c r="J10" i="12"/>
  <c r="K10" i="12"/>
  <c r="D11" i="12"/>
  <c r="E11" i="12"/>
  <c r="F11" i="12"/>
  <c r="G11" i="12"/>
  <c r="H11" i="12"/>
  <c r="I11" i="12"/>
  <c r="J11" i="12"/>
  <c r="K11" i="12"/>
  <c r="D12" i="12"/>
  <c r="E12" i="12"/>
  <c r="F12" i="12"/>
  <c r="G12" i="12"/>
  <c r="H12" i="12"/>
  <c r="I12" i="12"/>
  <c r="J12" i="12"/>
  <c r="K12" i="12"/>
  <c r="D13" i="12"/>
  <c r="E13" i="12"/>
  <c r="F13" i="12"/>
  <c r="G13" i="12"/>
  <c r="H13" i="12"/>
  <c r="I13" i="12"/>
  <c r="J13" i="12"/>
  <c r="K13" i="12"/>
  <c r="D14" i="12"/>
  <c r="E14" i="12"/>
  <c r="F14" i="12"/>
  <c r="G14" i="12"/>
  <c r="H14" i="12"/>
  <c r="I14" i="12"/>
  <c r="J14" i="12"/>
  <c r="K14" i="12"/>
  <c r="D18" i="12"/>
  <c r="E18" i="12"/>
  <c r="F18" i="12"/>
  <c r="G18" i="12"/>
  <c r="D19" i="12"/>
  <c r="E19" i="12"/>
  <c r="F19" i="12"/>
  <c r="G19" i="12"/>
  <c r="D20" i="12"/>
  <c r="E20" i="12"/>
  <c r="F20" i="12"/>
  <c r="G20" i="12"/>
  <c r="D21" i="12"/>
  <c r="E21" i="12"/>
  <c r="F21" i="12"/>
  <c r="G21" i="12"/>
  <c r="D22" i="12"/>
  <c r="E22" i="12"/>
  <c r="F22" i="12"/>
  <c r="G22" i="12"/>
  <c r="D23" i="12"/>
  <c r="E23" i="12"/>
  <c r="F23" i="12"/>
  <c r="G23" i="12"/>
  <c r="D24" i="12"/>
  <c r="E24" i="12"/>
  <c r="F24" i="12"/>
  <c r="G24" i="12"/>
  <c r="D25" i="12"/>
  <c r="E25" i="12"/>
  <c r="F25" i="12"/>
  <c r="G25" i="12"/>
  <c r="H25" i="12"/>
  <c r="I25" i="12"/>
  <c r="J25" i="12"/>
  <c r="K25" i="12"/>
  <c r="D26" i="12"/>
  <c r="E26" i="12"/>
  <c r="F26" i="12"/>
  <c r="G26" i="12"/>
  <c r="H26" i="12"/>
  <c r="I26" i="12"/>
  <c r="J26" i="12"/>
  <c r="K26" i="12"/>
  <c r="D27" i="12"/>
  <c r="E27" i="12"/>
  <c r="F27" i="12"/>
  <c r="G27" i="12"/>
  <c r="H27" i="12"/>
  <c r="I27" i="12"/>
  <c r="J27" i="12"/>
  <c r="K27" i="12"/>
  <c r="D28" i="12"/>
  <c r="E28" i="12"/>
  <c r="F28" i="12"/>
  <c r="G28" i="12"/>
  <c r="H28" i="12"/>
  <c r="I28" i="12"/>
  <c r="J28" i="12"/>
  <c r="K28" i="12"/>
  <c r="D29" i="12"/>
  <c r="E29" i="12"/>
  <c r="F29" i="12"/>
  <c r="G29" i="12"/>
  <c r="H29" i="12"/>
  <c r="I29" i="12"/>
  <c r="J29" i="12"/>
  <c r="K29" i="12"/>
  <c r="D32" i="12"/>
  <c r="E32" i="12"/>
  <c r="F32" i="12"/>
  <c r="D33" i="12"/>
  <c r="E33" i="12"/>
  <c r="F33" i="12"/>
  <c r="D34" i="12"/>
  <c r="E34" i="12"/>
  <c r="F34" i="12"/>
  <c r="D35" i="12"/>
  <c r="E35" i="12"/>
  <c r="F35" i="12"/>
  <c r="D59" i="12"/>
  <c r="D60" i="12" s="1"/>
  <c r="C3" i="14"/>
  <c r="C4" i="14"/>
  <c r="C5" i="14"/>
  <c r="C6" i="14"/>
  <c r="C7" i="14"/>
  <c r="C8" i="14"/>
  <c r="C9" i="14"/>
  <c r="B10" i="14"/>
  <c r="A3" i="6"/>
  <c r="B3" i="6"/>
  <c r="C3" i="6"/>
  <c r="M3" i="6"/>
  <c r="N3" i="6"/>
  <c r="O3" i="6"/>
  <c r="P3" i="6"/>
  <c r="C4" i="6"/>
  <c r="M4" i="6"/>
  <c r="N4" i="6"/>
  <c r="O4" i="6"/>
  <c r="P4" i="6"/>
  <c r="X4" i="6"/>
  <c r="X5" i="6"/>
  <c r="C6" i="6"/>
  <c r="M6" i="6"/>
  <c r="N6" i="6"/>
  <c r="O6" i="6"/>
  <c r="P6" i="6"/>
  <c r="C7" i="6"/>
  <c r="M7" i="6"/>
  <c r="N7" i="6"/>
  <c r="O7" i="6"/>
  <c r="P7" i="6"/>
  <c r="C8" i="6"/>
  <c r="M8" i="6"/>
  <c r="N8" i="6"/>
  <c r="O8" i="6"/>
  <c r="P8" i="6"/>
  <c r="A12" i="6"/>
  <c r="B12" i="6"/>
  <c r="C12" i="6"/>
  <c r="M12" i="6"/>
  <c r="N12" i="6"/>
  <c r="O12" i="6"/>
  <c r="P12" i="6"/>
  <c r="C13" i="6"/>
  <c r="M13" i="6"/>
  <c r="N13" i="6"/>
  <c r="O13" i="6"/>
  <c r="P13" i="6"/>
  <c r="C15" i="6"/>
  <c r="M15" i="6"/>
  <c r="N15" i="6"/>
  <c r="O15" i="6"/>
  <c r="P15" i="6"/>
  <c r="C16" i="6"/>
  <c r="M16" i="6"/>
  <c r="N16" i="6"/>
  <c r="O16" i="6"/>
  <c r="P16" i="6"/>
  <c r="C17" i="6"/>
  <c r="M17" i="6"/>
  <c r="N17" i="6"/>
  <c r="O17" i="6"/>
  <c r="P17" i="6"/>
  <c r="A19" i="6"/>
  <c r="B19" i="6"/>
  <c r="C19" i="6"/>
  <c r="M19" i="6"/>
  <c r="N19" i="6"/>
  <c r="O19" i="6"/>
  <c r="P19" i="6"/>
  <c r="C20" i="6"/>
  <c r="M20" i="6"/>
  <c r="N20" i="6"/>
  <c r="O20" i="6"/>
  <c r="P20" i="6"/>
  <c r="C21" i="6"/>
  <c r="C22" i="6"/>
  <c r="C31" i="6"/>
  <c r="M31" i="6"/>
  <c r="N31" i="6"/>
  <c r="O31" i="6"/>
  <c r="P31" i="6"/>
  <c r="H2" i="4"/>
  <c r="N2" i="4" s="1"/>
  <c r="I2" i="4"/>
  <c r="J2" i="4"/>
  <c r="K2" i="4"/>
  <c r="H3" i="4"/>
  <c r="I3" i="4"/>
  <c r="J3" i="4"/>
  <c r="K3" i="4"/>
  <c r="H5" i="4"/>
  <c r="E6" i="6" s="1"/>
  <c r="I5" i="4"/>
  <c r="J5" i="4"/>
  <c r="K5" i="4"/>
  <c r="H6" i="4"/>
  <c r="E7" i="6" s="1"/>
  <c r="I6" i="4"/>
  <c r="J6" i="4"/>
  <c r="K6" i="4"/>
  <c r="H7" i="4"/>
  <c r="E8" i="6" s="1"/>
  <c r="I7" i="4"/>
  <c r="J7" i="4"/>
  <c r="K7" i="4"/>
  <c r="H16" i="4"/>
  <c r="E12" i="6" s="1"/>
  <c r="I16" i="4"/>
  <c r="J16" i="4"/>
  <c r="K16" i="4"/>
  <c r="H17" i="4"/>
  <c r="N17" i="4" s="1"/>
  <c r="I17" i="4"/>
  <c r="J17" i="4"/>
  <c r="K17" i="4"/>
  <c r="H19" i="4"/>
  <c r="I19" i="4"/>
  <c r="J19" i="4"/>
  <c r="K19" i="4"/>
  <c r="H20" i="4"/>
  <c r="E16" i="6" s="1"/>
  <c r="I20" i="4"/>
  <c r="J20" i="4"/>
  <c r="K20" i="4"/>
  <c r="H21" i="4"/>
  <c r="I21" i="4"/>
  <c r="J21" i="4"/>
  <c r="K21" i="4"/>
  <c r="V22" i="4"/>
  <c r="H28" i="4"/>
  <c r="E19" i="6" s="1"/>
  <c r="I28" i="4"/>
  <c r="J28" i="4"/>
  <c r="K28" i="4"/>
  <c r="H29" i="4"/>
  <c r="E20" i="6" s="1"/>
  <c r="I29" i="4"/>
  <c r="J29" i="4"/>
  <c r="K29" i="4"/>
  <c r="H30" i="4"/>
  <c r="E21" i="6" s="1"/>
  <c r="I30" i="4"/>
  <c r="J30" i="4"/>
  <c r="K30" i="4"/>
  <c r="H31" i="4"/>
  <c r="I31" i="4"/>
  <c r="J31" i="4"/>
  <c r="K31" i="4"/>
  <c r="H33" i="4"/>
  <c r="V41" i="4"/>
  <c r="F22" i="6" l="1"/>
  <c r="G22" i="6" s="1"/>
  <c r="F25" i="6"/>
  <c r="G25" i="6" s="1"/>
  <c r="F29" i="6"/>
  <c r="G29" i="6" s="1"/>
  <c r="F24" i="6"/>
  <c r="G24" i="6" s="1"/>
  <c r="F28" i="6"/>
  <c r="G28" i="6" s="1"/>
  <c r="F21" i="6"/>
  <c r="G21" i="6" s="1"/>
  <c r="S21" i="6" s="1"/>
  <c r="F30" i="6"/>
  <c r="G30" i="6" s="1"/>
  <c r="F26" i="6"/>
  <c r="G26" i="6" s="1"/>
  <c r="N33" i="4"/>
  <c r="E24" i="6"/>
  <c r="N31" i="4"/>
  <c r="E22" i="6"/>
  <c r="F6" i="6"/>
  <c r="G6" i="6" s="1"/>
  <c r="Q6" i="6" s="1"/>
  <c r="U6" i="6" s="1"/>
  <c r="F10" i="6"/>
  <c r="G10" i="6" s="1"/>
  <c r="P5" i="4"/>
  <c r="O19" i="4"/>
  <c r="N28" i="4"/>
  <c r="O3" i="4"/>
  <c r="O29" i="4"/>
  <c r="P31" i="4"/>
  <c r="N29" i="4"/>
  <c r="C10" i="14"/>
  <c r="N5" i="4"/>
  <c r="O31" i="4"/>
  <c r="O17" i="4"/>
  <c r="N3" i="4"/>
  <c r="O30" i="4"/>
  <c r="N30" i="4"/>
  <c r="O6" i="4"/>
  <c r="O16" i="4"/>
  <c r="N19" i="4"/>
  <c r="N16" i="4"/>
  <c r="O28" i="4"/>
  <c r="N6" i="4"/>
  <c r="P3" i="4"/>
  <c r="D44" i="12"/>
  <c r="D40" i="12"/>
  <c r="D45" i="12"/>
  <c r="D43" i="12"/>
  <c r="D42" i="12"/>
  <c r="U28" i="4"/>
  <c r="P21" i="4"/>
  <c r="D61" i="12"/>
  <c r="D62" i="12" s="1"/>
  <c r="D63" i="12" s="1"/>
  <c r="U29" i="4"/>
  <c r="P6" i="4"/>
  <c r="P20" i="4"/>
  <c r="P28" i="4"/>
  <c r="D41" i="12"/>
  <c r="P29" i="4"/>
  <c r="P7" i="4"/>
  <c r="U19" i="4"/>
  <c r="U17" i="4"/>
  <c r="U5" i="4"/>
  <c r="U31" i="4"/>
  <c r="U21" i="4"/>
  <c r="U30" i="4"/>
  <c r="U7" i="4"/>
  <c r="U16" i="4"/>
  <c r="P2" i="4"/>
  <c r="P30" i="4"/>
  <c r="P17" i="4"/>
  <c r="P16" i="4"/>
  <c r="U33" i="4"/>
  <c r="P33" i="4"/>
  <c r="O21" i="4"/>
  <c r="N20" i="4"/>
  <c r="U6" i="4"/>
  <c r="O5" i="4"/>
  <c r="E17" i="6"/>
  <c r="E13" i="6"/>
  <c r="E4" i="6"/>
  <c r="O20" i="4"/>
  <c r="N21" i="4"/>
  <c r="P19" i="4"/>
  <c r="O7" i="4"/>
  <c r="N7" i="4"/>
  <c r="E31" i="6"/>
  <c r="E15" i="6"/>
  <c r="O33" i="4"/>
  <c r="U3" i="4"/>
  <c r="U2" i="4"/>
  <c r="U20" i="4"/>
  <c r="O2" i="4"/>
  <c r="E3" i="6"/>
  <c r="F8" i="6"/>
  <c r="G8" i="6" s="1"/>
  <c r="S8" i="6" s="1"/>
  <c r="R8" i="6" s="1"/>
  <c r="F13" i="6"/>
  <c r="G13" i="6" s="1"/>
  <c r="F15" i="6"/>
  <c r="G15" i="6" s="1"/>
  <c r="F12" i="6"/>
  <c r="G12" i="6" s="1"/>
  <c r="Q12" i="6" s="1"/>
  <c r="U12" i="6" s="1"/>
  <c r="F19" i="6"/>
  <c r="G19" i="6" s="1"/>
  <c r="Q19" i="6" s="1"/>
  <c r="U19" i="6" s="1"/>
  <c r="F7" i="6"/>
  <c r="G7" i="6" s="1"/>
  <c r="F31" i="6"/>
  <c r="G31" i="6" s="1"/>
  <c r="F20" i="6"/>
  <c r="G20" i="6" s="1"/>
  <c r="S20" i="6" s="1"/>
  <c r="F4" i="6"/>
  <c r="G4" i="6" s="1"/>
  <c r="F3" i="6"/>
  <c r="G3" i="6" s="1"/>
  <c r="F16" i="6"/>
  <c r="G16" i="6" s="1"/>
  <c r="Q16" i="6" s="1"/>
  <c r="U16" i="6" s="1"/>
  <c r="F17" i="6"/>
  <c r="G17" i="6" s="1"/>
  <c r="Q21" i="6" l="1"/>
  <c r="U21" i="6" s="1"/>
  <c r="S26" i="6"/>
  <c r="Q26" i="6"/>
  <c r="U26" i="6" s="1"/>
  <c r="S28" i="6"/>
  <c r="Q28" i="6"/>
  <c r="U28" i="6" s="1"/>
  <c r="S29" i="6"/>
  <c r="Q29" i="6"/>
  <c r="U29" i="6" s="1"/>
  <c r="S25" i="6"/>
  <c r="Q25" i="6"/>
  <c r="U25" i="6" s="1"/>
  <c r="Q30" i="6"/>
  <c r="U30" i="6" s="1"/>
  <c r="S30" i="6"/>
  <c r="Q24" i="6"/>
  <c r="U24" i="6" s="1"/>
  <c r="S24" i="6"/>
  <c r="S22" i="6"/>
  <c r="Q22" i="6"/>
  <c r="U22" i="6" s="1"/>
  <c r="R21" i="6"/>
  <c r="T21" i="6"/>
  <c r="Y7" i="4"/>
  <c r="S6" i="6"/>
  <c r="T6" i="6" s="1"/>
  <c r="R19" i="4"/>
  <c r="R31" i="4"/>
  <c r="S10" i="6"/>
  <c r="Q10" i="6"/>
  <c r="U10" i="6" s="1"/>
  <c r="U10" i="4"/>
  <c r="R28" i="4"/>
  <c r="S4" i="6"/>
  <c r="R4" i="6" s="1"/>
  <c r="R29" i="4"/>
  <c r="R17" i="4"/>
  <c r="R5" i="4"/>
  <c r="R3" i="4"/>
  <c r="S13" i="6"/>
  <c r="T13" i="6" s="1"/>
  <c r="Y32" i="4"/>
  <c r="Q8" i="6"/>
  <c r="U8" i="6" s="1"/>
  <c r="Y20" i="4"/>
  <c r="R16" i="4"/>
  <c r="R6" i="4"/>
  <c r="Q3" i="6"/>
  <c r="U3" i="6" s="1"/>
  <c r="R30" i="4"/>
  <c r="S17" i="6"/>
  <c r="T17" i="6" s="1"/>
  <c r="R7" i="4"/>
  <c r="R21" i="4"/>
  <c r="R20" i="4"/>
  <c r="R2" i="4"/>
  <c r="U22" i="4"/>
  <c r="U41" i="4"/>
  <c r="R33" i="4"/>
  <c r="Q20" i="6"/>
  <c r="U20" i="6" s="1"/>
  <c r="S16" i="6"/>
  <c r="T16" i="6" s="1"/>
  <c r="S12" i="6"/>
  <c r="R12" i="6" s="1"/>
  <c r="T8" i="6"/>
  <c r="S3" i="6"/>
  <c r="T3" i="6" s="1"/>
  <c r="Q4" i="6"/>
  <c r="U4" i="6" s="1"/>
  <c r="Q17" i="6"/>
  <c r="U17" i="6" s="1"/>
  <c r="Q13" i="6"/>
  <c r="U13" i="6" s="1"/>
  <c r="S15" i="6"/>
  <c r="Q15" i="6"/>
  <c r="U15" i="6" s="1"/>
  <c r="Q7" i="6"/>
  <c r="U7" i="6" s="1"/>
  <c r="S19" i="6"/>
  <c r="R19" i="6" s="1"/>
  <c r="S7" i="6"/>
  <c r="R7" i="6" s="1"/>
  <c r="Q31" i="6"/>
  <c r="U31" i="6" s="1"/>
  <c r="S31" i="6"/>
  <c r="R20" i="6"/>
  <c r="T20" i="6"/>
  <c r="R29" i="6" l="1"/>
  <c r="T29" i="6"/>
  <c r="T25" i="6"/>
  <c r="R25" i="6"/>
  <c r="R28" i="6"/>
  <c r="T28" i="6"/>
  <c r="R30" i="6"/>
  <c r="T30" i="6"/>
  <c r="R26" i="6"/>
  <c r="T26" i="6"/>
  <c r="R24" i="6"/>
  <c r="T24" i="6"/>
  <c r="T22" i="6"/>
  <c r="R22" i="6"/>
  <c r="R41" i="4"/>
  <c r="R43" i="4" s="1"/>
  <c r="E4" i="10" s="1"/>
  <c r="I4" i="10" s="1"/>
  <c r="R6" i="6"/>
  <c r="R13" i="6"/>
  <c r="R10" i="4"/>
  <c r="R12" i="4" s="1"/>
  <c r="E2" i="10" s="1"/>
  <c r="T4" i="6"/>
  <c r="T10" i="6"/>
  <c r="R10" i="6"/>
  <c r="T12" i="6"/>
  <c r="R17" i="6"/>
  <c r="R22" i="4"/>
  <c r="R24" i="4" s="1"/>
  <c r="E3" i="10" s="1"/>
  <c r="I3" i="10" s="1"/>
  <c r="T19" i="6"/>
  <c r="R16" i="6"/>
  <c r="T7" i="6"/>
  <c r="R3" i="6"/>
  <c r="R15" i="6"/>
  <c r="T15" i="6"/>
  <c r="T31" i="6"/>
  <c r="R31" i="6"/>
  <c r="J3" i="10" l="1"/>
  <c r="E18" i="10"/>
  <c r="I18" i="10" s="1"/>
  <c r="J18" i="10" s="1"/>
  <c r="J2" i="10"/>
  <c r="E17" i="10"/>
  <c r="I17" i="10" s="1"/>
  <c r="J17" i="10" s="1"/>
  <c r="J4" i="10"/>
  <c r="E19" i="10"/>
  <c r="I19" i="10" s="1"/>
  <c r="J1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Manousos Veisakis</author>
  </authors>
  <commentList>
    <comment ref="F1" authorId="0" shapeId="0" xr:uid="{D59FABD8-8AFD-4AD7-A1CC-46DDBDC78EAD}">
      <text>
        <r>
          <rPr>
            <b/>
            <sz val="9"/>
            <color indexed="81"/>
            <rFont val="Tahoma"/>
            <charset val="161"/>
          </rPr>
          <t>Manousos Veisakis:</t>
        </r>
        <r>
          <rPr>
            <sz val="9"/>
            <color indexed="81"/>
            <rFont val="Tahoma"/>
            <charset val="161"/>
          </rPr>
          <t xml:space="preserve">
Με βάση την Unagi που υπολογίζονται BoP ~270k€ και περιλαμβάνει Εξοπλισμό (χωρίς πάνελ), Δίκτυο ΜΤ και ΕΠΜ.</t>
        </r>
      </text>
    </comment>
    <comment ref="B5" authorId="0" shapeId="0" xr:uid="{67894CA2-4026-4C93-AEB8-F437D6E503DD}">
      <text>
        <r>
          <rPr>
            <b/>
            <sz val="9"/>
            <color indexed="81"/>
            <rFont val="Tahoma"/>
            <charset val="161"/>
          </rPr>
          <t>Manousos Veisakis:</t>
        </r>
        <r>
          <rPr>
            <sz val="9"/>
            <color indexed="81"/>
            <rFont val="Tahoma"/>
            <charset val="161"/>
          </rPr>
          <t xml:space="preserve">
Values from Budgetary Offers file</t>
        </r>
      </text>
    </comment>
    <comment ref="D16" authorId="0" shapeId="0" xr:uid="{8F4D95BA-0D37-49B8-B0C3-5A78EEC1CB91}">
      <text>
        <r>
          <rPr>
            <b/>
            <sz val="9"/>
            <color indexed="81"/>
            <rFont val="Tahoma"/>
            <charset val="161"/>
          </rPr>
          <t>Manousos Veisakis:</t>
        </r>
        <r>
          <rPr>
            <sz val="9"/>
            <color indexed="81"/>
            <rFont val="Tahoma"/>
            <charset val="161"/>
          </rPr>
          <t xml:space="preserve">
For PV 200k€/MWp based on Unagi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Student - Manousos Veisakis</author>
  </authors>
  <commentList>
    <comment ref="Q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 xml:space="preserve">Manousos Veisakis:
1 circuit : 35000 €/km
2 circuits: 40000 €/km
3 circuits: 45000 €/km
HDD: 700000 €/km (Multiple)
HDD: 850000 €/km (Single) </t>
        </r>
      </text>
    </comment>
    <comment ref="Q15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 xml:space="preserve">Manousos Veisakis:
1 circuit : 35000 €/km
2 circuits: 40000 €/km
3 circuits: 45000 €/km
HDD: 700000 €/km (Multiple)
HDD: 850000 €/km (Single) </t>
        </r>
      </text>
    </comment>
    <comment ref="Q27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 xml:space="preserve">Manousos Veisakis:
1 circuit : 35000 €/km
2 circuits: 40000 €/km
3 circuits: 45000 €/km
HDD: 700000 €/km (Multiple)
HDD: 850000 €/km (Single)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Manousos Veisakis</author>
  </authors>
  <commentList>
    <comment ref="J43" authorId="0" shapeId="0" xr:uid="{B4D90F85-2A76-4346-A02C-FEE6776FEB30}">
      <text>
        <r>
          <rPr>
            <b/>
            <sz val="9"/>
            <rFont val="Tahoma"/>
            <family val="2"/>
            <charset val="1"/>
          </rPr>
          <t>Manousos Veisakis:</t>
        </r>
        <r>
          <rPr>
            <sz val="9"/>
            <rFont val="Tahoma"/>
            <family val="2"/>
            <charset val="1"/>
          </rPr>
          <t xml:space="preserve">
1. Jointing Work: 5000 €/phase
2. Jointing Equipment: 3000 €/phase
3. Link Box : 1300 €/pit
4. Civil Works: 20000 €/pit</t>
        </r>
      </text>
    </comment>
    <comment ref="C54" authorId="0" shapeId="0" xr:uid="{6CA1D3A3-4B78-4524-A8AB-0025C8A0E0D8}">
      <text>
        <r>
          <rPr>
            <b/>
            <sz val="9"/>
            <color indexed="81"/>
            <rFont val="Tahoma"/>
            <family val="2"/>
            <charset val="161"/>
          </rPr>
          <t>Manousos Veisakis:</t>
        </r>
        <r>
          <rPr>
            <sz val="9"/>
            <color indexed="81"/>
            <rFont val="Tahoma"/>
            <family val="2"/>
            <charset val="161"/>
          </rPr>
          <t xml:space="preserve">
Not available in Greece.</t>
        </r>
      </text>
    </comment>
  </commentList>
</comments>
</file>

<file path=xl/sharedStrings.xml><?xml version="1.0" encoding="utf-8"?>
<sst xmlns="http://schemas.openxmlformats.org/spreadsheetml/2006/main" count="312" uniqueCount="174">
  <si>
    <t>Α/Α</t>
  </si>
  <si>
    <t>Δίκτυο ΜΤ</t>
  </si>
  <si>
    <t>Σύνολο</t>
  </si>
  <si>
    <t>NOTE</t>
  </si>
  <si>
    <t>User Input</t>
  </si>
  <si>
    <t>Results</t>
  </si>
  <si>
    <t>Auto Generated Values</t>
  </si>
  <si>
    <t>Name</t>
  </si>
  <si>
    <t>Power
[MW]</t>
  </si>
  <si>
    <t>Voltage</t>
  </si>
  <si>
    <t>Sattelite
Distance
[m]</t>
  </si>
  <si>
    <t>Weighted
Distance
[m]</t>
  </si>
  <si>
    <t>Cable 
Type</t>
  </si>
  <si>
    <t>Cross-Section
[mm2]</t>
  </si>
  <si>
    <t>Circuits</t>
  </si>
  <si>
    <t>Satellite Topography
Increase Factor</t>
  </si>
  <si>
    <t>Termination 
Spare Length
[m]</t>
  </si>
  <si>
    <t>Trench Length 
[km]</t>
  </si>
  <si>
    <t>Cable Length 
[km]</t>
  </si>
  <si>
    <t>Cable Procurement 
[€/km]</t>
  </si>
  <si>
    <t>Trench Procurement
(Civil Works)
[€/km]</t>
  </si>
  <si>
    <t>Total 
Procurement Cost</t>
  </si>
  <si>
    <t>Οικίσκος</t>
  </si>
  <si>
    <t>Οπτικό</t>
  </si>
  <si>
    <t>Testing</t>
  </si>
  <si>
    <t>33kV</t>
  </si>
  <si>
    <t>Total</t>
  </si>
  <si>
    <t>Διαδρομή</t>
  </si>
  <si>
    <t xml:space="preserve">Μέγιστη 
Ονομαστική Ισχύς </t>
  </si>
  <si>
    <t>Μήκος</t>
  </si>
  <si>
    <t>Ρεύμα</t>
  </si>
  <si>
    <t>Ρεύμα με συντελεστή ισχύος</t>
  </si>
  <si>
    <t>Συντελεστής λόγω γειτνίασης των καλωδίων</t>
  </si>
  <si>
    <t>Συντελεστής λόγω βάθους</t>
  </si>
  <si>
    <t>Τύπος
Καλωδίου</t>
  </si>
  <si>
    <t>Αριθμός
Κυκλωμάτων</t>
  </si>
  <si>
    <t>Διατομή 
Αγωγού</t>
  </si>
  <si>
    <t>Max cable 
allowble current</t>
  </si>
  <si>
    <t>Rac_max</t>
  </si>
  <si>
    <t>Xac_max</t>
  </si>
  <si>
    <t>Zac_max</t>
  </si>
  <si>
    <t>Πτώση τάσης καλωδίου</t>
  </si>
  <si>
    <t>Απώλειες ισχύος</t>
  </si>
  <si>
    <t>Ποσοστιαία Απώλεια κλάδου</t>
  </si>
  <si>
    <t>[MW]</t>
  </si>
  <si>
    <t>[m]</t>
  </si>
  <si>
    <t>[A]</t>
  </si>
  <si>
    <t>[mm2]</t>
  </si>
  <si>
    <t>[Ω/m]</t>
  </si>
  <si>
    <t>[%]</t>
  </si>
  <si>
    <t>Τελικά MW</t>
  </si>
  <si>
    <t xml:space="preserve"> Απώλεια MW</t>
  </si>
  <si>
    <t>cosφ</t>
  </si>
  <si>
    <t>sinφ</t>
  </si>
  <si>
    <t>Volt</t>
  </si>
  <si>
    <t>Aluminum Price [€/km]</t>
  </si>
  <si>
    <t>Copper Price [€/km]</t>
  </si>
  <si>
    <t>Increase Factor</t>
  </si>
  <si>
    <t>20kV</t>
  </si>
  <si>
    <r>
      <t>Cross-Section 
[mm</t>
    </r>
    <r>
      <rPr>
        <b/>
        <vertAlign val="superscript"/>
        <sz val="11"/>
        <color indexed="8"/>
        <rFont val="Calibri"/>
        <family val="2"/>
        <charset val="161"/>
      </rPr>
      <t>2</t>
    </r>
    <r>
      <rPr>
        <b/>
        <sz val="11"/>
        <color indexed="8"/>
        <rFont val="Calibri"/>
        <family val="2"/>
        <charset val="161"/>
      </rPr>
      <t>]</t>
    </r>
  </si>
  <si>
    <r>
      <t>AL/</t>
    </r>
    <r>
      <rPr>
        <sz val="11"/>
        <color indexed="8"/>
        <rFont val="Calibri"/>
        <family val="2"/>
        <charset val="161"/>
      </rPr>
      <t>XLPE</t>
    </r>
    <r>
      <rPr>
        <sz val="11"/>
        <color indexed="8"/>
        <rFont val="Calibri"/>
        <family val="2"/>
        <scheme val="minor"/>
      </rPr>
      <t>/</t>
    </r>
    <r>
      <rPr>
        <b/>
        <sz val="11"/>
        <color indexed="8"/>
        <rFont val="Calibri"/>
        <family val="2"/>
        <charset val="161"/>
      </rPr>
      <t>CWS</t>
    </r>
    <r>
      <rPr>
        <sz val="11"/>
        <color indexed="8"/>
        <rFont val="Calibri"/>
        <family val="2"/>
        <scheme val="minor"/>
      </rPr>
      <t>/HDPE</t>
    </r>
  </si>
  <si>
    <r>
      <t>AL/XLPE/</t>
    </r>
    <r>
      <rPr>
        <b/>
        <sz val="11"/>
        <color indexed="8"/>
        <rFont val="Calibri"/>
        <family val="2"/>
        <charset val="161"/>
      </rPr>
      <t>ALPE</t>
    </r>
    <r>
      <rPr>
        <sz val="11"/>
        <color indexed="8"/>
        <rFont val="Calibri"/>
        <family val="2"/>
        <scheme val="minor"/>
      </rPr>
      <t>/HDPE</t>
    </r>
  </si>
  <si>
    <r>
      <t>CU/</t>
    </r>
    <r>
      <rPr>
        <sz val="11"/>
        <color indexed="8"/>
        <rFont val="Calibri"/>
        <family val="2"/>
        <charset val="161"/>
      </rPr>
      <t>XLPE</t>
    </r>
    <r>
      <rPr>
        <sz val="11"/>
        <color indexed="8"/>
        <rFont val="Calibri"/>
        <family val="2"/>
        <scheme val="minor"/>
      </rPr>
      <t>/</t>
    </r>
    <r>
      <rPr>
        <b/>
        <sz val="11"/>
        <color indexed="8"/>
        <rFont val="Calibri"/>
        <family val="2"/>
        <charset val="161"/>
      </rPr>
      <t>CWS</t>
    </r>
    <r>
      <rPr>
        <sz val="11"/>
        <color indexed="8"/>
        <rFont val="Calibri"/>
        <family val="2"/>
        <scheme val="minor"/>
      </rPr>
      <t>/HDPE</t>
    </r>
  </si>
  <si>
    <r>
      <t>CU/XLPE/</t>
    </r>
    <r>
      <rPr>
        <b/>
        <sz val="11"/>
        <color indexed="8"/>
        <rFont val="Calibri"/>
        <family val="2"/>
        <charset val="161"/>
      </rPr>
      <t>ALPE</t>
    </r>
    <r>
      <rPr>
        <sz val="11"/>
        <color indexed="8"/>
        <rFont val="Calibri"/>
        <family val="2"/>
        <scheme val="minor"/>
      </rPr>
      <t>/HDPE</t>
    </r>
  </si>
  <si>
    <t>Fiber 
Optic 
Cables</t>
  </si>
  <si>
    <t>Cablel
[€/km]</t>
  </si>
  <si>
    <t>Nexans 
(Directly buried)
[€/km]</t>
  </si>
  <si>
    <t>Nexans 
(for ducts)
[€/km]</t>
  </si>
  <si>
    <t>6fb x 9/125</t>
  </si>
  <si>
    <t>8fb x 9/125</t>
  </si>
  <si>
    <t>12fb x 9/125</t>
  </si>
  <si>
    <t>24fb x 9/125</t>
  </si>
  <si>
    <t>AL</t>
  </si>
  <si>
    <t>Ampacity</t>
  </si>
  <si>
    <t xml:space="preserve">Rdc(Ω/m)
@20 oC </t>
  </si>
  <si>
    <t xml:space="preserve">Rdc(Ω/m)
@90 oC </t>
  </si>
  <si>
    <t xml:space="preserve">R (Ω/m)
@90 oC </t>
  </si>
  <si>
    <t xml:space="preserve">X (Ω/m)
@90 oC </t>
  </si>
  <si>
    <t xml:space="preserve">Z (Ω/m)
@90 oC </t>
  </si>
  <si>
    <t>C (μF/m)</t>
  </si>
  <si>
    <t xml:space="preserve">Ro (Ω/m)
@90 oC </t>
  </si>
  <si>
    <t xml:space="preserve">Xo (Ω/m)
@90 oC </t>
  </si>
  <si>
    <t>CU</t>
  </si>
  <si>
    <t>Depth of Laying [m]</t>
  </si>
  <si>
    <t>Correction Factor</t>
  </si>
  <si>
    <t>Derating Factors accornding to IEC 60502-2 for groups of three phase circuits of single core cables laid directly in the ground</t>
  </si>
  <si>
    <t>Number of cables in Group</t>
  </si>
  <si>
    <t>Spacing Between Group Centers [mm]</t>
  </si>
  <si>
    <t>Touching</t>
  </si>
  <si>
    <t>-</t>
  </si>
  <si>
    <r>
      <t>AL/XLPE/</t>
    </r>
    <r>
      <rPr>
        <b/>
        <sz val="11"/>
        <color indexed="8"/>
        <rFont val="Calibri"/>
        <family val="2"/>
        <charset val="161"/>
      </rPr>
      <t>CWS</t>
    </r>
    <r>
      <rPr>
        <sz val="11"/>
        <color indexed="8"/>
        <rFont val="Calibri"/>
        <family val="2"/>
        <scheme val="minor"/>
      </rPr>
      <t>/HDPE/</t>
    </r>
    <r>
      <rPr>
        <b/>
        <sz val="11"/>
        <color indexed="8"/>
        <rFont val="Calibri"/>
        <family val="2"/>
        <charset val="161"/>
      </rPr>
      <t>SCPE</t>
    </r>
  </si>
  <si>
    <r>
      <t>AL/XLPE/</t>
    </r>
    <r>
      <rPr>
        <b/>
        <sz val="11"/>
        <color indexed="8"/>
        <rFont val="Calibri"/>
        <family val="2"/>
        <charset val="161"/>
      </rPr>
      <t>ALPE</t>
    </r>
    <r>
      <rPr>
        <sz val="11"/>
        <color indexed="8"/>
        <rFont val="Calibri"/>
        <family val="2"/>
        <scheme val="minor"/>
      </rPr>
      <t>/HDPE/</t>
    </r>
    <r>
      <rPr>
        <b/>
        <sz val="11"/>
        <color indexed="8"/>
        <rFont val="Calibri"/>
        <family val="2"/>
        <charset val="161"/>
      </rPr>
      <t>SCPE</t>
    </r>
  </si>
  <si>
    <r>
      <t>CU/XLPE/</t>
    </r>
    <r>
      <rPr>
        <b/>
        <sz val="11"/>
        <color indexed="8"/>
        <rFont val="Calibri"/>
        <family val="2"/>
        <charset val="161"/>
      </rPr>
      <t>CWS</t>
    </r>
    <r>
      <rPr>
        <sz val="11"/>
        <color indexed="8"/>
        <rFont val="Calibri"/>
        <family val="2"/>
        <scheme val="minor"/>
      </rPr>
      <t>/HDPE/</t>
    </r>
    <r>
      <rPr>
        <b/>
        <sz val="11"/>
        <color indexed="8"/>
        <rFont val="Calibri"/>
        <family val="2"/>
        <charset val="161"/>
      </rPr>
      <t>SCPE</t>
    </r>
  </si>
  <si>
    <r>
      <t>CU/XLPE/</t>
    </r>
    <r>
      <rPr>
        <b/>
        <sz val="11"/>
        <color indexed="8"/>
        <rFont val="Calibri"/>
        <family val="2"/>
        <charset val="161"/>
      </rPr>
      <t>ALPE</t>
    </r>
    <r>
      <rPr>
        <sz val="11"/>
        <color indexed="8"/>
        <rFont val="Calibri"/>
        <family val="2"/>
        <scheme val="minor"/>
      </rPr>
      <t>/HDPE/</t>
    </r>
    <r>
      <rPr>
        <b/>
        <sz val="11"/>
        <color indexed="8"/>
        <rFont val="Calibri"/>
        <family val="2"/>
        <charset val="161"/>
      </rPr>
      <t>SCPE</t>
    </r>
  </si>
  <si>
    <t>AL/XLPE/ALPE/HDPE/SCPE</t>
  </si>
  <si>
    <t>α/α</t>
  </si>
  <si>
    <t>Grounding Rods/Conductors
(Tinned Copper)</t>
  </si>
  <si>
    <t>Weight 
[kg/km]</t>
  </si>
  <si>
    <t>Total Cable Length 
[km]</t>
  </si>
  <si>
    <t>Fiber Cable</t>
  </si>
  <si>
    <t>Cost
[€/m]</t>
  </si>
  <si>
    <t>ΑΔΜΗΕ</t>
  </si>
  <si>
    <t>AIS 150kV</t>
  </si>
  <si>
    <t>Αντιστάθμιση</t>
  </si>
  <si>
    <t>Λοιπά</t>
  </si>
  <si>
    <t>Νέα Προδιαγραφή</t>
  </si>
  <si>
    <t>Κτήριο Υ/Σ</t>
  </si>
  <si>
    <t>Χωρίς ΑΔΜΗΕ</t>
  </si>
  <si>
    <t>Με ΑΔΜΗΕ</t>
  </si>
  <si>
    <t>€/MW</t>
  </si>
  <si>
    <t>Cost per phase
[€/km]</t>
  </si>
  <si>
    <t>Jointing Works &amp; Accessories</t>
  </si>
  <si>
    <t>Ductbank</t>
  </si>
  <si>
    <t>Directly Buried</t>
  </si>
  <si>
    <t>Civil Works</t>
  </si>
  <si>
    <t>Cost [€/pit]</t>
  </si>
  <si>
    <t>Submarine Cable [Copper]</t>
  </si>
  <si>
    <t>Υ/Σ</t>
  </si>
  <si>
    <t>Σενάριο</t>
  </si>
  <si>
    <t>Type</t>
  </si>
  <si>
    <t>Cross-Section 
[mm2]</t>
  </si>
  <si>
    <t>UG HVAC 150kV</t>
  </si>
  <si>
    <t>Single-Circuit 400kV</t>
  </si>
  <si>
    <t>Single-Circuit 150kV</t>
  </si>
  <si>
    <t>Double-Circuit 150kV</t>
  </si>
  <si>
    <t>Double-Circuit 400kV</t>
  </si>
  <si>
    <t>OHL</t>
  </si>
  <si>
    <t>Single-Circuit
Cost [€/km]</t>
  </si>
  <si>
    <t>Double-Circuit
Cost [€/km]</t>
  </si>
  <si>
    <t>TZ4 (150kV)</t>
  </si>
  <si>
    <t>TZ4 (400kV)</t>
  </si>
  <si>
    <t>Λαψίστα</t>
  </si>
  <si>
    <t>Ζωοδόχος</t>
  </si>
  <si>
    <t>Inverter</t>
  </si>
  <si>
    <t>Υ/Σ 5 -&gt; Υ/Σ 6</t>
  </si>
  <si>
    <t>Υ/Σ 1 -&gt; Υ/Σ 2</t>
  </si>
  <si>
    <t>Panels</t>
  </si>
  <si>
    <t>Υ/Σ ΛΑΨΙΣΤΑ</t>
  </si>
  <si>
    <t>Μ/Σ Ισχύος 110 MVA</t>
  </si>
  <si>
    <t>Υ/Σ 2 -&gt; Υ/Σ 3</t>
  </si>
  <si>
    <t>Ζωοδόχος [1 Οικίσκο - 1 Εxport]</t>
  </si>
  <si>
    <t>Ζωοδόχος [0 Οικίσκο - 2 Εxport]</t>
  </si>
  <si>
    <t>Υ/Σ 3 -&gt; CB</t>
  </si>
  <si>
    <t>Υ/Σ 6 -&gt; CB</t>
  </si>
  <si>
    <t>CB -&gt; Υ/Σ</t>
  </si>
  <si>
    <t>Υ/Σ 3 -&gt; Υ/Σ</t>
  </si>
  <si>
    <t>Υ/Σ 6 -&gt; Υ/Σ</t>
  </si>
  <si>
    <t>IPPM</t>
  </si>
  <si>
    <t>ΣΥΝΟΛΟ</t>
  </si>
  <si>
    <t>Κόστος Τεμαχίου</t>
  </si>
  <si>
    <t>Κόστος Εξοπλισμού Ζωοδόχος</t>
  </si>
  <si>
    <t>Κόστος Εξοπλισμού Λαψίστα</t>
  </si>
  <si>
    <t>Step-Up TF (6.6 MVA)</t>
  </si>
  <si>
    <t>Step-Up TF (9.9 MVA)</t>
  </si>
  <si>
    <t>Εξοπλισμός</t>
  </si>
  <si>
    <t>Υ/Σ 3 -&gt; Υ/Σ 4</t>
  </si>
  <si>
    <t>Υ/Σ 4 -&gt; Υ/Σ</t>
  </si>
  <si>
    <t>Υ/Σ 5 -&gt; Υ/Σ</t>
  </si>
  <si>
    <t>Υ/Σ 8 -&gt; Υ/Σ 5</t>
  </si>
  <si>
    <t>Υ/Σ 5Α -&gt; Υ/Σ 5Β</t>
  </si>
  <si>
    <t>Υ/Σ 5Β -&gt; Υ/Σ 5</t>
  </si>
  <si>
    <t>Power [MW]</t>
  </si>
  <si>
    <t>Υ/Σ 6Α -&gt; Υ/Σ 6</t>
  </si>
  <si>
    <t>Υ/Σ 7 -&gt; Υ/Σ  6A</t>
  </si>
  <si>
    <t>CapEx</t>
  </si>
  <si>
    <t>OpEx</t>
  </si>
  <si>
    <t>O&amp;M</t>
  </si>
  <si>
    <t>Insurance</t>
  </si>
  <si>
    <t>Security</t>
  </si>
  <si>
    <t>Land Lease</t>
  </si>
  <si>
    <t>Augmentation</t>
  </si>
  <si>
    <t>Contingencies</t>
  </si>
  <si>
    <t>TESLA BESS</t>
  </si>
  <si>
    <t>BESS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</si>
</sst>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&quot;$&quot;* #,##0.00_);_(&quot;$&quot;* \(#,##0.00\);_(&quot;$&quot;* &quot;-&quot;??_);_(@_)"/>
    <numFmt numFmtId="165" formatCode="0.000"/>
    <numFmt numFmtId="166" formatCode="0.0"/>
    <numFmt numFmtId="167" formatCode="0.0000"/>
    <numFmt numFmtId="168" formatCode="#,##0.00\ &quot;€&quot;"/>
    <numFmt numFmtId="169" formatCode="_([$€-2]\ * #,##0.00_);_([$€-2]\ * \(#,##0.00\);_([$€-2]\ * &quot;-&quot;??_);_(@_)"/>
    <numFmt numFmtId="170" formatCode="_ * #,##0.00_)\ [$€-1]_ ;_ * \(#,##0.00\)\ [$€-1]_ ;_ * &quot;-&quot;??_)\ [$€-1]_ ;_ @_ "/>
    <numFmt numFmtId="171" formatCode="0.00000000"/>
    <numFmt numFmtId="172" formatCode="_-* #,##0.00\ [$€-1]_-;\-* #,##0.00\ [$€-1]_-;_-* &quot;-&quot;??\ [$€-1]_-;_-@_-"/>
    <numFmt numFmtId="173" formatCode="_-[$€-2]\ * #,##0.00_-;\-[$€-2]\ * #,##0.00_-;_-[$€-2]\ * &quot;-&quot;??_-;_-@_-"/>
    <numFmt numFmtId="174" formatCode="_-* #,##0.00\ [$€-408]_-;\-* #,##0.00\ [$€-408]_-;_-* &quot;-&quot;??\ [$€-408]_-;_-@_-"/>
    <numFmt numFmtId="178" formatCode="0.0%"/>
  </numFmts>
  <fonts count="18"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161"/>
    </font>
    <font>
      <b/>
      <sz val="11"/>
      <color indexed="8"/>
      <name val="Calibri"/>
      <family val="2"/>
      <charset val="161"/>
    </font>
    <font>
      <sz val="11"/>
      <color indexed="8"/>
      <name val="Calibri"/>
      <family val="2"/>
      <charset val="161"/>
    </font>
    <font>
      <b/>
      <sz val="11"/>
      <color indexed="8"/>
      <name val="Calibri"/>
      <family val="2"/>
      <charset val="161"/>
    </font>
    <font>
      <sz val="10"/>
      <name val="Arial"/>
      <family val="2"/>
    </font>
    <font>
      <sz val="10"/>
      <name val="GE Inspira"/>
      <family val="2"/>
    </font>
    <font>
      <b/>
      <vertAlign val="superscript"/>
      <sz val="11"/>
      <color indexed="8"/>
      <name val="Calibri"/>
      <family val="2"/>
      <charset val="161"/>
    </font>
    <font>
      <sz val="9"/>
      <name val="Tahoma"/>
      <family val="2"/>
      <charset val="1"/>
    </font>
    <font>
      <b/>
      <sz val="9"/>
      <name val="Tahoma"/>
      <family val="2"/>
      <charset val="1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  <font>
      <sz val="11"/>
      <color indexed="9"/>
      <name val="Calibri"/>
      <family val="2"/>
      <scheme val="minor"/>
    </font>
    <font>
      <sz val="11"/>
      <color rgb="FF444444"/>
      <name val="Calibri"/>
      <family val="2"/>
      <charset val="1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  <font>
      <sz val="9"/>
      <color indexed="81"/>
      <name val="Tahoma"/>
      <charset val="161"/>
    </font>
    <font>
      <b/>
      <sz val="9"/>
      <color indexed="81"/>
      <name val="Tahoma"/>
      <charset val="161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24991607409894101"/>
        <bgColor indexed="64"/>
      </patternFill>
    </fill>
    <fill>
      <patternFill patternType="solid">
        <fgColor theme="0" tint="-4.992828150273141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349925229651783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1" tint="0.499923703726310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</borders>
  <cellStyleXfs count="6">
    <xf numFmtId="0" fontId="0" fillId="0" borderId="0"/>
    <xf numFmtId="164" fontId="10" fillId="0" borderId="0" applyFont="0" applyFill="0" applyBorder="0" applyAlignment="0" applyProtection="0"/>
    <xf numFmtId="0" fontId="5" fillId="0" borderId="0"/>
    <xf numFmtId="0" fontId="6" fillId="0" borderId="0"/>
    <xf numFmtId="0" fontId="5" fillId="0" borderId="0"/>
    <xf numFmtId="9" fontId="10" fillId="0" borderId="0" applyFont="0" applyFill="0" applyBorder="0" applyAlignment="0" applyProtection="0"/>
  </cellStyleXfs>
  <cellXfs count="40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8" fontId="11" fillId="0" borderId="0" xfId="0" applyNumberFormat="1" applyFont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70" fontId="10" fillId="0" borderId="1" xfId="1" applyNumberFormat="1" applyFont="1" applyBorder="1"/>
    <xf numFmtId="0" fontId="12" fillId="10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2" xfId="0" applyBorder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9" fontId="0" fillId="0" borderId="0" xfId="0" applyNumberFormat="1"/>
    <xf numFmtId="0" fontId="4" fillId="6" borderId="2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11" fillId="11" borderId="2" xfId="0" applyFont="1" applyFill="1" applyBorder="1" applyAlignment="1">
      <alignment horizontal="center" vertical="center" wrapText="1"/>
    </xf>
    <xf numFmtId="9" fontId="0" fillId="7" borderId="12" xfId="0" applyNumberFormat="1" applyFill="1" applyBorder="1"/>
    <xf numFmtId="0" fontId="0" fillId="7" borderId="12" xfId="0" applyFill="1" applyBorder="1"/>
    <xf numFmtId="0" fontId="11" fillId="11" borderId="9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169" fontId="0" fillId="12" borderId="2" xfId="0" applyNumberFormat="1" applyFill="1" applyBorder="1" applyAlignment="1">
      <alignment horizontal="right"/>
    </xf>
    <xf numFmtId="168" fontId="11" fillId="12" borderId="2" xfId="0" applyNumberFormat="1" applyFont="1" applyFill="1" applyBorder="1" applyAlignment="1">
      <alignment horizontal="center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2" fontId="0" fillId="7" borderId="4" xfId="0" applyNumberFormat="1" applyFill="1" applyBorder="1" applyAlignment="1">
      <alignment horizontal="center" vertical="center" wrapText="1"/>
    </xf>
    <xf numFmtId="2" fontId="0" fillId="7" borderId="13" xfId="0" applyNumberFormat="1" applyFill="1" applyBorder="1" applyAlignment="1">
      <alignment horizontal="center" vertical="center" wrapText="1"/>
    </xf>
    <xf numFmtId="1" fontId="0" fillId="7" borderId="4" xfId="0" applyNumberFormat="1" applyFill="1" applyBorder="1" applyAlignment="1">
      <alignment horizontal="center" vertical="center" wrapText="1"/>
    </xf>
    <xf numFmtId="2" fontId="0" fillId="7" borderId="2" xfId="0" applyNumberFormat="1" applyFill="1" applyBorder="1" applyAlignment="1">
      <alignment horizontal="center" vertical="center" wrapText="1"/>
    </xf>
    <xf numFmtId="2" fontId="0" fillId="7" borderId="14" xfId="0" applyNumberFormat="1" applyFill="1" applyBorder="1" applyAlignment="1">
      <alignment horizontal="center" vertical="center" wrapText="1"/>
    </xf>
    <xf numFmtId="2" fontId="0" fillId="7" borderId="15" xfId="0" applyNumberFormat="1" applyFill="1" applyBorder="1" applyAlignment="1">
      <alignment horizontal="center" vertical="center" wrapText="1"/>
    </xf>
    <xf numFmtId="1" fontId="0" fillId="7" borderId="2" xfId="0" applyNumberFormat="1" applyFill="1" applyBorder="1" applyAlignment="1">
      <alignment horizontal="center" vertical="center" wrapText="1"/>
    </xf>
    <xf numFmtId="1" fontId="0" fillId="7" borderId="7" xfId="0" applyNumberFormat="1" applyFill="1" applyBorder="1" applyAlignment="1">
      <alignment horizontal="center" vertical="center" wrapText="1"/>
    </xf>
    <xf numFmtId="2" fontId="0" fillId="7" borderId="16" xfId="0" applyNumberFormat="1" applyFill="1" applyBorder="1" applyAlignment="1">
      <alignment horizontal="center" vertical="center" wrapText="1"/>
    </xf>
    <xf numFmtId="1" fontId="0" fillId="7" borderId="17" xfId="0" applyNumberForma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11" borderId="6" xfId="0" applyFill="1" applyBorder="1" applyAlignment="1" applyProtection="1">
      <alignment horizontal="center" vertical="center" wrapText="1"/>
      <protection locked="0"/>
    </xf>
    <xf numFmtId="170" fontId="10" fillId="6" borderId="1" xfId="1" applyNumberFormat="1" applyFont="1" applyFill="1" applyBorder="1"/>
    <xf numFmtId="0" fontId="11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9" fontId="10" fillId="7" borderId="2" xfId="5" applyFont="1" applyFill="1" applyBorder="1" applyAlignment="1">
      <alignment horizontal="right"/>
    </xf>
    <xf numFmtId="0" fontId="11" fillId="11" borderId="11" xfId="0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169" fontId="0" fillId="7" borderId="12" xfId="0" applyNumberFormat="1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11" fillId="11" borderId="18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166" fontId="0" fillId="7" borderId="5" xfId="0" applyNumberForma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171" fontId="13" fillId="0" borderId="2" xfId="0" quotePrefix="1" applyNumberFormat="1" applyFont="1" applyBorder="1"/>
    <xf numFmtId="1" fontId="0" fillId="7" borderId="19" xfId="0" applyNumberFormat="1" applyFill="1" applyBorder="1" applyAlignment="1">
      <alignment horizontal="center" vertical="center" wrapText="1"/>
    </xf>
    <xf numFmtId="2" fontId="0" fillId="7" borderId="21" xfId="0" applyNumberFormat="1" applyFill="1" applyBorder="1" applyAlignment="1">
      <alignment horizontal="center" vertical="center" wrapText="1"/>
    </xf>
    <xf numFmtId="2" fontId="0" fillId="7" borderId="1" xfId="0" applyNumberFormat="1" applyFill="1" applyBorder="1" applyAlignment="1">
      <alignment horizontal="center" vertical="center" wrapText="1"/>
    </xf>
    <xf numFmtId="0" fontId="0" fillId="0" borderId="1" xfId="0" applyBorder="1"/>
    <xf numFmtId="169" fontId="0" fillId="0" borderId="0" xfId="0" applyNumberFormat="1" applyAlignment="1">
      <alignment horizontal="right"/>
    </xf>
    <xf numFmtId="169" fontId="0" fillId="0" borderId="1" xfId="0" applyNumberFormat="1" applyBorder="1" applyAlignment="1">
      <alignment horizontal="right"/>
    </xf>
    <xf numFmtId="0" fontId="0" fillId="7" borderId="10" xfId="0" applyFill="1" applyBorder="1"/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1" fillId="12" borderId="12" xfId="0" applyNumberFormat="1" applyFont="1" applyFill="1" applyBorder="1" applyAlignment="1">
      <alignment horizontal="center"/>
    </xf>
    <xf numFmtId="168" fontId="0" fillId="0" borderId="11" xfId="0" applyNumberFormat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wrapText="1"/>
    </xf>
    <xf numFmtId="171" fontId="13" fillId="0" borderId="5" xfId="0" quotePrefix="1" applyNumberFormat="1" applyFont="1" applyBorder="1"/>
    <xf numFmtId="0" fontId="0" fillId="7" borderId="1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  <xf numFmtId="171" fontId="13" fillId="0" borderId="1" xfId="0" quotePrefix="1" applyNumberFormat="1" applyFont="1" applyBorder="1"/>
    <xf numFmtId="165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2" fontId="0" fillId="7" borderId="27" xfId="0" applyNumberFormat="1" applyFill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68" fontId="0" fillId="6" borderId="1" xfId="0" applyNumberFormat="1" applyFill="1" applyBorder="1" applyAlignment="1">
      <alignment horizontal="center" vertical="center"/>
    </xf>
    <xf numFmtId="0" fontId="0" fillId="7" borderId="15" xfId="0" applyFill="1" applyBorder="1"/>
    <xf numFmtId="0" fontId="0" fillId="3" borderId="5" xfId="0" applyFill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0" fillId="7" borderId="26" xfId="0" applyNumberFormat="1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2" fontId="0" fillId="0" borderId="28" xfId="0" applyNumberFormat="1" applyBorder="1" applyAlignment="1">
      <alignment horizontal="center" vertical="center" wrapText="1"/>
    </xf>
    <xf numFmtId="1" fontId="0" fillId="0" borderId="28" xfId="0" applyNumberFormat="1" applyBorder="1" applyAlignment="1">
      <alignment horizontal="center" vertical="center" wrapText="1"/>
    </xf>
    <xf numFmtId="1" fontId="0" fillId="0" borderId="29" xfId="0" applyNumberFormat="1" applyBorder="1" applyAlignment="1">
      <alignment horizontal="center" vertical="center" wrapText="1"/>
    </xf>
    <xf numFmtId="171" fontId="13" fillId="0" borderId="28" xfId="0" quotePrefix="1" applyNumberFormat="1" applyFont="1" applyBorder="1"/>
    <xf numFmtId="2" fontId="0" fillId="0" borderId="30" xfId="0" applyNumberFormat="1" applyBorder="1" applyAlignment="1">
      <alignment horizontal="center" vertical="center" wrapText="1"/>
    </xf>
    <xf numFmtId="165" fontId="0" fillId="0" borderId="28" xfId="0" applyNumberFormat="1" applyBorder="1" applyAlignment="1">
      <alignment horizontal="center" vertical="center"/>
    </xf>
    <xf numFmtId="167" fontId="0" fillId="0" borderId="2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0" fontId="0" fillId="3" borderId="31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2" fontId="0" fillId="0" borderId="33" xfId="0" applyNumberFormat="1" applyBorder="1" applyAlignment="1">
      <alignment horizontal="center" vertical="center" wrapText="1"/>
    </xf>
    <xf numFmtId="1" fontId="0" fillId="0" borderId="33" xfId="0" applyNumberFormat="1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171" fontId="13" fillId="0" borderId="33" xfId="0" quotePrefix="1" applyNumberFormat="1" applyFont="1" applyBorder="1"/>
    <xf numFmtId="2" fontId="0" fillId="0" borderId="31" xfId="0" applyNumberFormat="1" applyBorder="1" applyAlignment="1">
      <alignment horizontal="center" vertical="center" wrapText="1"/>
    </xf>
    <xf numFmtId="165" fontId="0" fillId="0" borderId="33" xfId="0" applyNumberFormat="1" applyBorder="1" applyAlignment="1">
      <alignment horizontal="center" vertical="center"/>
    </xf>
    <xf numFmtId="167" fontId="0" fillId="0" borderId="33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0" fontId="0" fillId="3" borderId="34" xfId="0" applyFill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1" fontId="0" fillId="7" borderId="27" xfId="0" applyNumberForma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2" fontId="0" fillId="0" borderId="38" xfId="0" applyNumberFormat="1" applyBorder="1" applyAlignment="1">
      <alignment horizontal="center" vertical="center" wrapText="1"/>
    </xf>
    <xf numFmtId="1" fontId="0" fillId="0" borderId="38" xfId="0" applyNumberFormat="1" applyBorder="1" applyAlignment="1">
      <alignment horizontal="center" vertical="center" wrapText="1"/>
    </xf>
    <xf numFmtId="171" fontId="13" fillId="0" borderId="38" xfId="0" quotePrefix="1" applyNumberFormat="1" applyFont="1" applyBorder="1"/>
    <xf numFmtId="165" fontId="0" fillId="0" borderId="38" xfId="0" applyNumberFormat="1" applyBorder="1" applyAlignment="1">
      <alignment horizontal="center" vertical="center"/>
    </xf>
    <xf numFmtId="167" fontId="0" fillId="0" borderId="38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8" fontId="0" fillId="6" borderId="11" xfId="0" applyNumberForma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 wrapText="1"/>
    </xf>
    <xf numFmtId="0" fontId="11" fillId="9" borderId="20" xfId="0" applyFont="1" applyFill="1" applyBorder="1" applyAlignment="1">
      <alignment horizontal="center" vertical="center" wrapText="1"/>
    </xf>
    <xf numFmtId="0" fontId="0" fillId="7" borderId="44" xfId="0" applyFill="1" applyBorder="1" applyAlignment="1">
      <alignment horizontal="center" vertical="center" wrapText="1"/>
    </xf>
    <xf numFmtId="1" fontId="0" fillId="7" borderId="45" xfId="0" applyNumberFormat="1" applyFill="1" applyBorder="1" applyAlignment="1">
      <alignment horizontal="center" vertical="center" wrapText="1"/>
    </xf>
    <xf numFmtId="0" fontId="0" fillId="3" borderId="45" xfId="0" applyFill="1" applyBorder="1" applyAlignment="1">
      <alignment horizontal="center" vertical="center" wrapText="1"/>
    </xf>
    <xf numFmtId="0" fontId="0" fillId="3" borderId="46" xfId="0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 wrapText="1"/>
    </xf>
    <xf numFmtId="171" fontId="13" fillId="5" borderId="1" xfId="0" quotePrefix="1" applyNumberFormat="1" applyFont="1" applyFill="1" applyBorder="1"/>
    <xf numFmtId="165" fontId="0" fillId="5" borderId="1" xfId="0" applyNumberFormat="1" applyFill="1" applyBorder="1" applyAlignment="1">
      <alignment horizontal="center" vertical="center"/>
    </xf>
    <xf numFmtId="167" fontId="0" fillId="5" borderId="1" xfId="0" applyNumberFormat="1" applyFill="1" applyBorder="1" applyAlignment="1">
      <alignment horizontal="center" vertical="center"/>
    </xf>
    <xf numFmtId="165" fontId="0" fillId="5" borderId="11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 wrapText="1"/>
    </xf>
    <xf numFmtId="1" fontId="0" fillId="5" borderId="4" xfId="0" applyNumberFormat="1" applyFill="1" applyBorder="1" applyAlignment="1">
      <alignment horizontal="center" vertical="center" wrapText="1"/>
    </xf>
    <xf numFmtId="1" fontId="0" fillId="5" borderId="8" xfId="0" applyNumberFormat="1" applyFill="1" applyBorder="1" applyAlignment="1">
      <alignment horizontal="center" vertical="center" wrapText="1"/>
    </xf>
    <xf numFmtId="171" fontId="13" fillId="5" borderId="4" xfId="0" quotePrefix="1" applyNumberFormat="1" applyFont="1" applyFill="1" applyBorder="1"/>
    <xf numFmtId="2" fontId="0" fillId="5" borderId="19" xfId="0" applyNumberFormat="1" applyFill="1" applyBorder="1" applyAlignment="1">
      <alignment horizontal="center" vertical="center" wrapText="1"/>
    </xf>
    <xf numFmtId="165" fontId="0" fillId="5" borderId="4" xfId="0" applyNumberFormat="1" applyFill="1" applyBorder="1" applyAlignment="1">
      <alignment horizontal="center" vertical="center"/>
    </xf>
    <xf numFmtId="167" fontId="0" fillId="5" borderId="4" xfId="0" applyNumberFormat="1" applyFill="1" applyBorder="1" applyAlignment="1">
      <alignment horizontal="center" vertical="center"/>
    </xf>
    <xf numFmtId="165" fontId="0" fillId="5" borderId="8" xfId="0" applyNumberFormat="1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 wrapText="1"/>
    </xf>
    <xf numFmtId="1" fontId="0" fillId="5" borderId="12" xfId="0" applyNumberFormat="1" applyFill="1" applyBorder="1" applyAlignment="1">
      <alignment horizontal="center" vertical="center" wrapText="1"/>
    </xf>
    <xf numFmtId="1" fontId="0" fillId="5" borderId="15" xfId="0" applyNumberFormat="1" applyFill="1" applyBorder="1" applyAlignment="1">
      <alignment horizontal="center" vertical="center" wrapText="1"/>
    </xf>
    <xf numFmtId="171" fontId="13" fillId="5" borderId="12" xfId="0" quotePrefix="1" applyNumberFormat="1" applyFont="1" applyFill="1" applyBorder="1"/>
    <xf numFmtId="2" fontId="0" fillId="5" borderId="26" xfId="0" applyNumberFormat="1" applyFill="1" applyBorder="1" applyAlignment="1">
      <alignment horizontal="center" vertical="center" wrapText="1"/>
    </xf>
    <xf numFmtId="165" fontId="0" fillId="5" borderId="12" xfId="0" applyNumberFormat="1" applyFill="1" applyBorder="1" applyAlignment="1">
      <alignment horizontal="center" vertical="center"/>
    </xf>
    <xf numFmtId="167" fontId="0" fillId="5" borderId="12" xfId="0" applyNumberFormat="1" applyFill="1" applyBorder="1" applyAlignment="1">
      <alignment horizontal="center" vertical="center"/>
    </xf>
    <xf numFmtId="165" fontId="0" fillId="5" borderId="15" xfId="0" applyNumberForma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2" fontId="0" fillId="0" borderId="0" xfId="0" applyNumberFormat="1"/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0" fillId="5" borderId="1" xfId="0" applyFill="1" applyBorder="1" applyAlignment="1">
      <alignment horizontal="left"/>
    </xf>
    <xf numFmtId="0" fontId="11" fillId="9" borderId="9" xfId="0" applyFont="1" applyFill="1" applyBorder="1" applyAlignment="1">
      <alignment horizontal="center" vertical="center" wrapText="1"/>
    </xf>
    <xf numFmtId="0" fontId="11" fillId="9" borderId="20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 wrapText="1"/>
    </xf>
    <xf numFmtId="169" fontId="0" fillId="5" borderId="1" xfId="0" applyNumberFormat="1" applyFill="1" applyBorder="1" applyAlignment="1">
      <alignment horizontal="right"/>
    </xf>
    <xf numFmtId="0" fontId="0" fillId="11" borderId="1" xfId="0" applyFill="1" applyBorder="1" applyAlignment="1">
      <alignment horizontal="center"/>
    </xf>
    <xf numFmtId="172" fontId="0" fillId="0" borderId="1" xfId="0" applyNumberFormat="1" applyBorder="1"/>
    <xf numFmtId="172" fontId="0" fillId="5" borderId="1" xfId="0" applyNumberFormat="1" applyFill="1" applyBorder="1"/>
    <xf numFmtId="173" fontId="10" fillId="14" borderId="1" xfId="1" applyNumberFormat="1" applyFont="1" applyFill="1" applyBorder="1"/>
    <xf numFmtId="173" fontId="0" fillId="0" borderId="1" xfId="0" applyNumberFormat="1" applyBorder="1"/>
    <xf numFmtId="173" fontId="0" fillId="5" borderId="1" xfId="0" applyNumberFormat="1" applyFill="1" applyBorder="1"/>
    <xf numFmtId="173" fontId="0" fillId="13" borderId="1" xfId="0" applyNumberFormat="1" applyFill="1" applyBorder="1"/>
    <xf numFmtId="169" fontId="0" fillId="12" borderId="11" xfId="0" applyNumberFormat="1" applyFill="1" applyBorder="1" applyAlignment="1">
      <alignment horizontal="right"/>
    </xf>
    <xf numFmtId="0" fontId="0" fillId="7" borderId="6" xfId="0" applyFill="1" applyBorder="1" applyAlignment="1">
      <alignment horizontal="center" vertical="center"/>
    </xf>
    <xf numFmtId="172" fontId="0" fillId="0" borderId="25" xfId="0" applyNumberFormat="1" applyBorder="1"/>
    <xf numFmtId="172" fontId="0" fillId="0" borderId="25" xfId="0" applyNumberFormat="1" applyBorder="1" applyAlignment="1">
      <alignment horizontal="center" vertical="center"/>
    </xf>
    <xf numFmtId="172" fontId="0" fillId="5" borderId="25" xfId="0" applyNumberFormat="1" applyFill="1" applyBorder="1" applyAlignment="1">
      <alignment horizontal="center" vertical="center"/>
    </xf>
    <xf numFmtId="172" fontId="0" fillId="5" borderId="25" xfId="0" applyNumberFormat="1" applyFill="1" applyBorder="1"/>
    <xf numFmtId="0" fontId="11" fillId="10" borderId="49" xfId="0" applyFont="1" applyFill="1" applyBorder="1" applyAlignment="1">
      <alignment horizontal="center" vertical="center" wrapText="1"/>
    </xf>
    <xf numFmtId="0" fontId="0" fillId="2" borderId="0" xfId="0" applyFill="1"/>
    <xf numFmtId="170" fontId="10" fillId="5" borderId="1" xfId="1" applyNumberFormat="1" applyFont="1" applyFill="1" applyBorder="1"/>
    <xf numFmtId="0" fontId="0" fillId="0" borderId="5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50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2" fontId="0" fillId="0" borderId="1" xfId="0" applyNumberFormat="1" applyBorder="1" applyAlignment="1">
      <alignment horizontal="left"/>
    </xf>
    <xf numFmtId="172" fontId="0" fillId="5" borderId="1" xfId="0" applyNumberFormat="1" applyFill="1" applyBorder="1" applyAlignment="1">
      <alignment horizontal="left" vertical="center"/>
    </xf>
    <xf numFmtId="173" fontId="0" fillId="0" borderId="0" xfId="0" applyNumberFormat="1"/>
    <xf numFmtId="0" fontId="0" fillId="0" borderId="52" xfId="0" applyBorder="1"/>
    <xf numFmtId="2" fontId="0" fillId="5" borderId="48" xfId="0" applyNumberFormat="1" applyFill="1" applyBorder="1" applyAlignment="1">
      <alignment horizontal="center" vertical="center" wrapText="1"/>
    </xf>
    <xf numFmtId="1" fontId="0" fillId="5" borderId="48" xfId="0" applyNumberFormat="1" applyFill="1" applyBorder="1" applyAlignment="1">
      <alignment horizontal="center" vertical="center" wrapText="1"/>
    </xf>
    <xf numFmtId="1" fontId="0" fillId="5" borderId="44" xfId="0" applyNumberFormat="1" applyFill="1" applyBorder="1" applyAlignment="1">
      <alignment horizontal="center" vertical="center" wrapText="1"/>
    </xf>
    <xf numFmtId="171" fontId="13" fillId="5" borderId="48" xfId="0" quotePrefix="1" applyNumberFormat="1" applyFont="1" applyFill="1" applyBorder="1"/>
    <xf numFmtId="2" fontId="0" fillId="5" borderId="45" xfId="0" applyNumberFormat="1" applyFill="1" applyBorder="1" applyAlignment="1">
      <alignment horizontal="center" vertical="center" wrapText="1"/>
    </xf>
    <xf numFmtId="165" fontId="0" fillId="5" borderId="48" xfId="0" applyNumberFormat="1" applyFill="1" applyBorder="1" applyAlignment="1">
      <alignment horizontal="center" vertical="center"/>
    </xf>
    <xf numFmtId="167" fontId="0" fillId="5" borderId="48" xfId="0" applyNumberFormat="1" applyFill="1" applyBorder="1" applyAlignment="1">
      <alignment horizontal="center" vertical="center"/>
    </xf>
    <xf numFmtId="165" fontId="0" fillId="5" borderId="44" xfId="0" applyNumberFormat="1" applyFill="1" applyBorder="1" applyAlignment="1">
      <alignment horizontal="center" vertical="center"/>
    </xf>
    <xf numFmtId="172" fontId="0" fillId="0" borderId="1" xfId="0" applyNumberFormat="1" applyBorder="1" applyAlignment="1">
      <alignment horizontal="center"/>
    </xf>
    <xf numFmtId="0" fontId="0" fillId="11" borderId="1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2" fontId="0" fillId="7" borderId="62" xfId="0" applyNumberFormat="1" applyFill="1" applyBorder="1" applyAlignment="1">
      <alignment horizontal="center" vertical="center" wrapText="1"/>
    </xf>
    <xf numFmtId="2" fontId="0" fillId="7" borderId="63" xfId="0" applyNumberFormat="1" applyFill="1" applyBorder="1" applyAlignment="1">
      <alignment horizontal="center" vertical="center" wrapText="1"/>
    </xf>
    <xf numFmtId="2" fontId="0" fillId="7" borderId="9" xfId="0" applyNumberFormat="1" applyFill="1" applyBorder="1" applyAlignment="1">
      <alignment horizontal="center" vertical="center" wrapText="1"/>
    </xf>
    <xf numFmtId="1" fontId="0" fillId="7" borderId="47" xfId="0" applyNumberFormat="1" applyFill="1" applyBorder="1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1" fontId="0" fillId="7" borderId="64" xfId="0" applyNumberFormat="1" applyFill="1" applyBorder="1" applyAlignment="1">
      <alignment horizontal="center" vertical="center" wrapText="1"/>
    </xf>
    <xf numFmtId="172" fontId="0" fillId="17" borderId="1" xfId="0" applyNumberFormat="1" applyFill="1" applyBorder="1" applyAlignment="1">
      <alignment horizontal="center"/>
    </xf>
    <xf numFmtId="172" fontId="0" fillId="17" borderId="1" xfId="0" applyNumberFormat="1" applyFill="1" applyBorder="1"/>
    <xf numFmtId="16" fontId="0" fillId="7" borderId="9" xfId="0" applyNumberFormat="1" applyFill="1" applyBorder="1"/>
    <xf numFmtId="2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 wrapText="1"/>
    </xf>
    <xf numFmtId="1" fontId="0" fillId="7" borderId="5" xfId="0" applyNumberFormat="1" applyFill="1" applyBorder="1" applyAlignment="1">
      <alignment horizontal="center" vertical="center" wrapText="1"/>
    </xf>
    <xf numFmtId="0" fontId="0" fillId="0" borderId="65" xfId="0" applyBorder="1" applyAlignment="1">
      <alignment horizontal="center" vertical="center"/>
    </xf>
    <xf numFmtId="2" fontId="0" fillId="7" borderId="12" xfId="0" applyNumberFormat="1" applyFill="1" applyBorder="1" applyAlignment="1">
      <alignment horizontal="center" vertical="center" wrapText="1"/>
    </xf>
    <xf numFmtId="1" fontId="0" fillId="7" borderId="12" xfId="0" applyNumberFormat="1" applyFill="1" applyBorder="1" applyAlignment="1">
      <alignment horizontal="center" vertical="center" wrapText="1"/>
    </xf>
    <xf numFmtId="0" fontId="0" fillId="0" borderId="66" xfId="0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 wrapText="1"/>
    </xf>
    <xf numFmtId="2" fontId="0" fillId="7" borderId="68" xfId="0" applyNumberFormat="1" applyFill="1" applyBorder="1" applyAlignment="1">
      <alignment horizontal="center" vertical="center" wrapText="1"/>
    </xf>
    <xf numFmtId="2" fontId="0" fillId="7" borderId="32" xfId="0" applyNumberFormat="1" applyFill="1" applyBorder="1" applyAlignment="1">
      <alignment horizontal="center" vertical="center" wrapText="1"/>
    </xf>
    <xf numFmtId="1" fontId="0" fillId="7" borderId="33" xfId="0" applyNumberFormat="1" applyFill="1" applyBorder="1" applyAlignment="1">
      <alignment horizontal="center" vertical="center" wrapText="1"/>
    </xf>
    <xf numFmtId="0" fontId="0" fillId="3" borderId="71" xfId="0" applyFill="1" applyBorder="1" applyAlignment="1">
      <alignment horizontal="center" vertical="center" wrapText="1"/>
    </xf>
    <xf numFmtId="0" fontId="0" fillId="7" borderId="72" xfId="0" applyFill="1" applyBorder="1" applyAlignment="1">
      <alignment horizontal="center" vertical="center" wrapText="1"/>
    </xf>
    <xf numFmtId="2" fontId="0" fillId="5" borderId="73" xfId="0" applyNumberFormat="1" applyFill="1" applyBorder="1" applyAlignment="1">
      <alignment horizontal="center" vertical="center" wrapText="1"/>
    </xf>
    <xf numFmtId="1" fontId="0" fillId="5" borderId="73" xfId="0" applyNumberFormat="1" applyFill="1" applyBorder="1" applyAlignment="1">
      <alignment horizontal="center" vertical="center" wrapText="1"/>
    </xf>
    <xf numFmtId="2" fontId="0" fillId="7" borderId="73" xfId="0" applyNumberFormat="1" applyFill="1" applyBorder="1" applyAlignment="1">
      <alignment horizontal="center" vertical="center" wrapText="1"/>
    </xf>
    <xf numFmtId="2" fontId="0" fillId="7" borderId="74" xfId="0" applyNumberFormat="1" applyFill="1" applyBorder="1" applyAlignment="1">
      <alignment horizontal="center" vertical="center" wrapText="1"/>
    </xf>
    <xf numFmtId="1" fontId="0" fillId="7" borderId="71" xfId="0" applyNumberFormat="1" applyFill="1" applyBorder="1" applyAlignment="1">
      <alignment horizontal="center" vertical="center" wrapText="1"/>
    </xf>
    <xf numFmtId="1" fontId="0" fillId="7" borderId="73" xfId="0" applyNumberFormat="1" applyFill="1" applyBorder="1" applyAlignment="1">
      <alignment horizontal="center" vertical="center" wrapText="1"/>
    </xf>
    <xf numFmtId="1" fontId="0" fillId="5" borderId="72" xfId="0" applyNumberFormat="1" applyFill="1" applyBorder="1" applyAlignment="1">
      <alignment horizontal="center" vertical="center" wrapText="1"/>
    </xf>
    <xf numFmtId="171" fontId="13" fillId="5" borderId="73" xfId="0" quotePrefix="1" applyNumberFormat="1" applyFont="1" applyFill="1" applyBorder="1"/>
    <xf numFmtId="2" fontId="0" fillId="5" borderId="71" xfId="0" applyNumberFormat="1" applyFill="1" applyBorder="1" applyAlignment="1">
      <alignment horizontal="center" vertical="center" wrapText="1"/>
    </xf>
    <xf numFmtId="165" fontId="0" fillId="5" borderId="73" xfId="0" applyNumberFormat="1" applyFill="1" applyBorder="1" applyAlignment="1">
      <alignment horizontal="center" vertical="center"/>
    </xf>
    <xf numFmtId="167" fontId="0" fillId="5" borderId="73" xfId="0" applyNumberFormat="1" applyFill="1" applyBorder="1" applyAlignment="1">
      <alignment horizontal="center" vertical="center"/>
    </xf>
    <xf numFmtId="165" fontId="0" fillId="5" borderId="72" xfId="0" applyNumberFormat="1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 wrapText="1"/>
    </xf>
    <xf numFmtId="2" fontId="0" fillId="7" borderId="18" xfId="0" applyNumberFormat="1" applyFill="1" applyBorder="1" applyAlignment="1">
      <alignment horizontal="center" vertical="center" wrapText="1"/>
    </xf>
    <xf numFmtId="2" fontId="0" fillId="7" borderId="75" xfId="0" applyNumberFormat="1" applyFill="1" applyBorder="1" applyAlignment="1">
      <alignment horizontal="center" vertical="center" wrapText="1"/>
    </xf>
    <xf numFmtId="1" fontId="0" fillId="7" borderId="48" xfId="0" applyNumberFormat="1" applyFill="1" applyBorder="1" applyAlignment="1">
      <alignment horizontal="center" vertical="center" wrapText="1"/>
    </xf>
    <xf numFmtId="165" fontId="0" fillId="5" borderId="76" xfId="0" applyNumberFormat="1" applyFill="1" applyBorder="1" applyAlignment="1">
      <alignment horizontal="center" vertical="center"/>
    </xf>
    <xf numFmtId="0" fontId="11" fillId="9" borderId="46" xfId="0" applyFont="1" applyFill="1" applyBorder="1" applyAlignment="1">
      <alignment horizontal="center" vertical="center"/>
    </xf>
    <xf numFmtId="16" fontId="0" fillId="0" borderId="0" xfId="0" applyNumberFormat="1"/>
    <xf numFmtId="0" fontId="0" fillId="11" borderId="11" xfId="0" applyFill="1" applyBorder="1" applyAlignment="1">
      <alignment horizontal="center"/>
    </xf>
    <xf numFmtId="1" fontId="0" fillId="18" borderId="14" xfId="0" applyNumberFormat="1" applyFill="1" applyBorder="1" applyAlignment="1">
      <alignment horizontal="center"/>
    </xf>
    <xf numFmtId="1" fontId="0" fillId="18" borderId="15" xfId="0" applyNumberFormat="1" applyFill="1" applyBorder="1" applyAlignment="1">
      <alignment horizontal="center"/>
    </xf>
    <xf numFmtId="1" fontId="0" fillId="18" borderId="77" xfId="0" applyNumberFormat="1" applyFill="1" applyBorder="1" applyAlignment="1">
      <alignment horizontal="center"/>
    </xf>
    <xf numFmtId="1" fontId="0" fillId="18" borderId="9" xfId="0" applyNumberForma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2" xfId="0" applyBorder="1"/>
    <xf numFmtId="2" fontId="0" fillId="7" borderId="81" xfId="0" applyNumberFormat="1" applyFill="1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71" fontId="13" fillId="0" borderId="0" xfId="0" quotePrefix="1" applyNumberFormat="1" applyFont="1"/>
    <xf numFmtId="165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 wrapText="1"/>
    </xf>
    <xf numFmtId="1" fontId="0" fillId="5" borderId="27" xfId="0" applyNumberFormat="1" applyFill="1" applyBorder="1" applyAlignment="1">
      <alignment horizontal="center" vertical="center" wrapText="1"/>
    </xf>
    <xf numFmtId="2" fontId="0" fillId="7" borderId="51" xfId="0" applyNumberFormat="1" applyFill="1" applyBorder="1" applyAlignment="1">
      <alignment horizontal="center" vertical="center" wrapText="1"/>
    </xf>
    <xf numFmtId="171" fontId="13" fillId="5" borderId="27" xfId="0" quotePrefix="1" applyNumberFormat="1" applyFont="1" applyFill="1" applyBorder="1"/>
    <xf numFmtId="165" fontId="0" fillId="5" borderId="27" xfId="0" applyNumberFormat="1" applyFill="1" applyBorder="1" applyAlignment="1">
      <alignment horizontal="center" vertical="center"/>
    </xf>
    <xf numFmtId="167" fontId="0" fillId="5" borderId="27" xfId="0" applyNumberFormat="1" applyFill="1" applyBorder="1" applyAlignment="1">
      <alignment horizontal="center" vertical="center"/>
    </xf>
    <xf numFmtId="165" fontId="0" fillId="5" borderId="35" xfId="0" applyNumberFormat="1" applyFill="1" applyBorder="1" applyAlignment="1">
      <alignment horizontal="center" vertical="center"/>
    </xf>
    <xf numFmtId="2" fontId="0" fillId="7" borderId="82" xfId="0" applyNumberFormat="1" applyFill="1" applyBorder="1" applyAlignment="1">
      <alignment horizontal="center" vertical="center" wrapText="1"/>
    </xf>
    <xf numFmtId="2" fontId="0" fillId="7" borderId="83" xfId="0" applyNumberFormat="1" applyFill="1" applyBorder="1" applyAlignment="1">
      <alignment horizontal="center" vertical="center" wrapText="1"/>
    </xf>
    <xf numFmtId="173" fontId="0" fillId="18" borderId="1" xfId="0" applyNumberFormat="1" applyFill="1" applyBorder="1"/>
    <xf numFmtId="0" fontId="11" fillId="0" borderId="80" xfId="0" applyFont="1" applyBorder="1" applyAlignment="1">
      <alignment horizontal="center"/>
    </xf>
    <xf numFmtId="174" fontId="0" fillId="0" borderId="1" xfId="0" applyNumberFormat="1" applyBorder="1" applyAlignment="1">
      <alignment horizontal="center"/>
    </xf>
    <xf numFmtId="173" fontId="0" fillId="0" borderId="1" xfId="0" applyNumberFormat="1" applyBorder="1" applyAlignment="1">
      <alignment horizontal="center"/>
    </xf>
    <xf numFmtId="0" fontId="0" fillId="7" borderId="2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77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5" fontId="0" fillId="0" borderId="77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171" fontId="13" fillId="0" borderId="12" xfId="0" quotePrefix="1" applyNumberFormat="1" applyFont="1" applyBorder="1"/>
    <xf numFmtId="2" fontId="0" fillId="0" borderId="26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0" fontId="0" fillId="3" borderId="49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0" borderId="84" xfId="0" applyBorder="1" applyAlignment="1">
      <alignment horizontal="center" vertical="center" wrapText="1"/>
    </xf>
    <xf numFmtId="2" fontId="0" fillId="0" borderId="48" xfId="0" applyNumberFormat="1" applyBorder="1" applyAlignment="1">
      <alignment horizontal="center" vertical="center" wrapText="1"/>
    </xf>
    <xf numFmtId="1" fontId="0" fillId="0" borderId="48" xfId="0" applyNumberFormat="1" applyBorder="1" applyAlignment="1">
      <alignment horizontal="center" vertical="center" wrapText="1"/>
    </xf>
    <xf numFmtId="2" fontId="0" fillId="7" borderId="85" xfId="0" applyNumberFormat="1" applyFill="1" applyBorder="1" applyAlignment="1">
      <alignment horizontal="center" vertical="center" wrapText="1"/>
    </xf>
    <xf numFmtId="1" fontId="0" fillId="0" borderId="44" xfId="0" applyNumberFormat="1" applyBorder="1" applyAlignment="1">
      <alignment horizontal="center" vertical="center" wrapText="1"/>
    </xf>
    <xf numFmtId="171" fontId="13" fillId="0" borderId="48" xfId="0" quotePrefix="1" applyNumberFormat="1" applyFont="1" applyBorder="1"/>
    <xf numFmtId="2" fontId="0" fillId="0" borderId="45" xfId="0" applyNumberFormat="1" applyBorder="1" applyAlignment="1">
      <alignment horizontal="center" vertical="center" wrapText="1"/>
    </xf>
    <xf numFmtId="165" fontId="0" fillId="0" borderId="48" xfId="0" applyNumberFormat="1" applyBorder="1" applyAlignment="1">
      <alignment horizontal="center" vertical="center"/>
    </xf>
    <xf numFmtId="167" fontId="0" fillId="0" borderId="48" xfId="0" applyNumberFormat="1" applyBorder="1" applyAlignment="1">
      <alignment horizontal="center" vertical="center"/>
    </xf>
    <xf numFmtId="2" fontId="0" fillId="17" borderId="2" xfId="0" applyNumberFormat="1" applyFill="1" applyBorder="1" applyAlignment="1">
      <alignment horizontal="center" vertical="center" wrapText="1"/>
    </xf>
    <xf numFmtId="1" fontId="0" fillId="17" borderId="2" xfId="0" applyNumberFormat="1" applyFill="1" applyBorder="1" applyAlignment="1">
      <alignment horizontal="center" vertical="center" wrapText="1"/>
    </xf>
    <xf numFmtId="1" fontId="0" fillId="17" borderId="9" xfId="0" applyNumberFormat="1" applyFill="1" applyBorder="1" applyAlignment="1">
      <alignment horizontal="center" vertical="center" wrapText="1"/>
    </xf>
    <xf numFmtId="171" fontId="13" fillId="17" borderId="2" xfId="0" quotePrefix="1" applyNumberFormat="1" applyFont="1" applyFill="1" applyBorder="1"/>
    <xf numFmtId="2" fontId="0" fillId="17" borderId="7" xfId="0" applyNumberFormat="1" applyFill="1" applyBorder="1" applyAlignment="1">
      <alignment horizontal="center" vertical="center" wrapText="1"/>
    </xf>
    <xf numFmtId="165" fontId="0" fillId="17" borderId="2" xfId="0" applyNumberFormat="1" applyFill="1" applyBorder="1" applyAlignment="1">
      <alignment horizontal="center" vertical="center"/>
    </xf>
    <xf numFmtId="167" fontId="0" fillId="17" borderId="2" xfId="0" applyNumberFormat="1" applyFill="1" applyBorder="1" applyAlignment="1">
      <alignment horizontal="center" vertical="center"/>
    </xf>
    <xf numFmtId="165" fontId="0" fillId="17" borderId="9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173" fontId="0" fillId="0" borderId="78" xfId="0" applyNumberFormat="1" applyBorder="1"/>
    <xf numFmtId="173" fontId="0" fillId="0" borderId="79" xfId="0" applyNumberFormat="1" applyBorder="1"/>
    <xf numFmtId="0" fontId="11" fillId="0" borderId="2" xfId="0" applyFont="1" applyBorder="1" applyAlignment="1">
      <alignment horizontal="center"/>
    </xf>
    <xf numFmtId="170" fontId="0" fillId="7" borderId="1" xfId="0" applyNumberFormat="1" applyFill="1" applyBorder="1" applyAlignment="1">
      <alignment horizontal="center" vertical="center"/>
    </xf>
    <xf numFmtId="170" fontId="0" fillId="7" borderId="25" xfId="0" applyNumberFormat="1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0" borderId="67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2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1" borderId="1" xfId="0" applyFill="1" applyBorder="1" applyAlignment="1">
      <alignment horizont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 wrapText="1"/>
    </xf>
    <xf numFmtId="174" fontId="0" fillId="0" borderId="0" xfId="0" applyNumberFormat="1"/>
    <xf numFmtId="169" fontId="0" fillId="17" borderId="1" xfId="0" applyNumberFormat="1" applyFill="1" applyBorder="1" applyAlignment="1">
      <alignment horizontal="right"/>
    </xf>
    <xf numFmtId="0" fontId="0" fillId="11" borderId="86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25" xfId="0" applyBorder="1"/>
    <xf numFmtId="169" fontId="0" fillId="0" borderId="11" xfId="0" applyNumberFormat="1" applyBorder="1" applyAlignment="1">
      <alignment horizontal="right"/>
    </xf>
    <xf numFmtId="169" fontId="0" fillId="17" borderId="11" xfId="0" applyNumberFormat="1" applyFill="1" applyBorder="1" applyAlignment="1">
      <alignment horizontal="right"/>
    </xf>
    <xf numFmtId="2" fontId="0" fillId="18" borderId="1" xfId="0" applyNumberFormat="1" applyFill="1" applyBorder="1"/>
    <xf numFmtId="169" fontId="0" fillId="18" borderId="1" xfId="0" applyNumberFormat="1" applyFill="1" applyBorder="1" applyAlignment="1">
      <alignment horizontal="right"/>
    </xf>
    <xf numFmtId="173" fontId="0" fillId="0" borderId="1" xfId="0" applyNumberFormat="1" applyBorder="1" applyAlignment="1">
      <alignment horizontal="right"/>
    </xf>
    <xf numFmtId="173" fontId="0" fillId="17" borderId="1" xfId="0" applyNumberFormat="1" applyFill="1" applyBorder="1" applyAlignment="1">
      <alignment horizontal="right"/>
    </xf>
    <xf numFmtId="173" fontId="0" fillId="0" borderId="0" xfId="0" applyNumberFormat="1" applyBorder="1"/>
    <xf numFmtId="0" fontId="11" fillId="0" borderId="0" xfId="0" applyFont="1" applyBorder="1" applyAlignment="1">
      <alignment horizontal="center"/>
    </xf>
    <xf numFmtId="178" fontId="0" fillId="0" borderId="0" xfId="5" applyNumberFormat="1" applyFont="1"/>
  </cellXfs>
  <cellStyles count="6">
    <cellStyle name="Currency" xfId="1" builtinId="4"/>
    <cellStyle name="Normal" xfId="0" builtinId="0"/>
    <cellStyle name="Normal 2" xfId="2" xr:uid="{00000000-0005-0000-0000-000002000000}"/>
    <cellStyle name="Normal 3 2" xfId="3" xr:uid="{00000000-0005-0000-0000-000003000000}"/>
    <cellStyle name="Normal 3 3" xfId="4" xr:uid="{00000000-0005-0000-0000-000004000000}"/>
    <cellStyle name="Percent" xfId="5" builtinId="5"/>
  </cellStyles>
  <dxfs count="26">
    <dxf>
      <font>
        <condense val="0"/>
        <extend val="0"/>
        <color rgb="FF548235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wrapText="1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numFmt numFmtId="2" formatCode="0.00"/>
    </dxf>
    <dxf>
      <alignment horizontal="center"/>
    </dxf>
    <dxf>
      <alignment wrapText="1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numFmt numFmtId="2" formatCode="0.00"/>
    </dxf>
    <dxf>
      <alignment horizontal="center"/>
    </dxf>
    <dxf>
      <alignment wrapText="1"/>
    </dxf>
    <dxf>
      <alignment horizontal="center"/>
    </dxf>
    <dxf>
      <alignment vertical="center"/>
    </dxf>
    <dxf>
      <alignment vertical="center"/>
    </dxf>
    <dxf>
      <alignment horizontal="center"/>
    </dxf>
    <dxf>
      <alignment wrapText="1"/>
    </dxf>
    <dxf>
      <numFmt numFmtId="2" formatCode="0.0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123825</xdr:colOff>
      <xdr:row>0</xdr:row>
      <xdr:rowOff>0</xdr:rowOff>
    </xdr:from>
    <xdr:to>
      <xdr:col>26</xdr:col>
      <xdr:colOff>200025</xdr:colOff>
      <xdr:row>0</xdr:row>
      <xdr:rowOff>466725</xdr:rowOff>
    </xdr:to>
    <xdr:pic>
      <xdr:nvPicPr>
        <xdr:cNvPr id="8204" name="Picture 1">
          <a:extLst>
            <a:ext uri="{FF2B5EF4-FFF2-40B4-BE49-F238E27FC236}">
              <a16:creationId xmlns:a16="http://schemas.microsoft.com/office/drawing/2014/main" id="{FBFC57AB-D817-41F2-AEF9-9AF6FA236A1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59925" y="0"/>
          <a:ext cx="3124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ousos Veisakis" refreshedDate="45306.683712500002" createdVersion="6" refreshedVersion="8" minRefreshableVersion="3" recordCount="6" xr:uid="{2C9703C5-3E8B-4921-9381-FE274ACDA645}">
  <cacheSource type="worksheet">
    <worksheetSource ref="G15:U21" sheet="Εσωτερικό δίκτυο"/>
  </cacheSource>
  <cacheFields count="14">
    <cacheField name="Sattelite_x000a_Distance_x000a_[m]" numFmtId="0">
      <sharedItems containsString="0" containsBlank="1" containsNumber="1" containsInteger="1" minValue="209" maxValue="14473"/>
    </cacheField>
    <cacheField name="Weighted_x000a_Distance_x000a_[m]" numFmtId="2">
      <sharedItems containsString="0" containsBlank="1" containsNumber="1" minValue="243.63000000000002" maxValue="15506.11"/>
    </cacheField>
    <cacheField name="Cable _x000a_Type" numFmtId="2">
      <sharedItems containsBlank="1"/>
    </cacheField>
    <cacheField name="Cross-Section_x000a_[mm2]" numFmtId="1">
      <sharedItems containsString="0" containsBlank="1" containsNumber="1" containsInteger="1" minValue="95" maxValue="630" count="5">
        <n v="150"/>
        <m/>
        <n v="400"/>
        <n v="95" u="1"/>
        <n v="630" u="1"/>
      </sharedItems>
    </cacheField>
    <cacheField name="Circuits" numFmtId="1">
      <sharedItems containsString="0" containsBlank="1" containsNumber="1" containsInteger="1" minValue="1" maxValue="1"/>
    </cacheField>
    <cacheField name="Satellite Topography_x000a_Increase Factor" numFmtId="0">
      <sharedItems containsString="0" containsBlank="1" containsNumber="1" minValue="7.0000000000000007E-2" maxValue="7.0000000000000007E-2"/>
    </cacheField>
    <cacheField name="Termination _x000a_Spare Length_x000a_[m]" numFmtId="0">
      <sharedItems containsString="0" containsBlank="1" containsNumber="1" containsInteger="1" minValue="10" maxValue="10"/>
    </cacheField>
    <cacheField name="Trench Length _x000a_[km]" numFmtId="2">
      <sharedItems containsString="0" containsBlank="1" containsNumber="1" minValue="0.24363000000000001" maxValue="15.506110000000001"/>
    </cacheField>
    <cacheField name="Cable Length _x000a_[km]" numFmtId="2">
      <sharedItems containsString="0" containsBlank="1" containsNumber="1" minValue="0.73089000000000015" maxValue="46.518329999999999"/>
    </cacheField>
    <cacheField name="Cable Procurement _x000a_[€/km]" numFmtId="2">
      <sharedItems containsString="0" containsBlank="1" containsNumber="1" minValue="6485.9999999999991" maxValue="11166.5"/>
    </cacheField>
    <cacheField name="Trench Procurement_x000a_(Civil Works)_x000a_[€/km]" numFmtId="0">
      <sharedItems containsString="0" containsBlank="1" containsNumber="1" containsInteger="1" minValue="30000" maxValue="30000"/>
    </cacheField>
    <cacheField name="Total _x000a_Procurement Cost" numFmtId="168">
      <sharedItems containsString="0" containsBlank="1" containsNumber="1" minValue="12049.452540000002" maxValue="963975.11458500009"/>
    </cacheField>
    <cacheField name="Οικίσκος" numFmtId="168">
      <sharedItems containsString="0" containsBlank="1" containsNumber="1" containsInteger="1" minValue="0" maxValue="0"/>
    </cacheField>
    <cacheField name="Οπτικό" numFmtId="168">
      <sharedItems containsString="0" containsBlank="1" containsNumber="1" minValue="155.92320000000001" maxValue="9923.9104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ousos Veisakis" refreshedDate="45306.729728587961" createdVersion="8" refreshedVersion="8" minRefreshableVersion="3" recordCount="8" xr:uid="{2D6318C4-C6A3-4E58-B935-FFF0722F59F4}">
  <cacheSource type="worksheet">
    <worksheetSource ref="G1:U9" sheet="Εσωτερικό δίκτυο"/>
  </cacheSource>
  <cacheFields count="15">
    <cacheField name="Sattelite_x000a_Distance_x000a_[m]" numFmtId="0">
      <sharedItems containsString="0" containsBlank="1" containsNumber="1" containsInteger="1" minValue="50" maxValue="14169"/>
    </cacheField>
    <cacheField name="Weighted_x000a_Distance_x000a_[m]" numFmtId="2">
      <sharedItems containsString="0" containsBlank="1" containsNumber="1" minValue="73.5" maxValue="15180.830000000002"/>
    </cacheField>
    <cacheField name="Cable _x000a_Type" numFmtId="2">
      <sharedItems containsBlank="1"/>
    </cacheField>
    <cacheField name="Cross-Section_x000a_[mm2]" numFmtId="1">
      <sharedItems containsString="0" containsBlank="1" containsNumber="1" containsInteger="1" minValue="185" maxValue="1000" count="4">
        <n v="185"/>
        <m/>
        <n v="500"/>
        <n v="1000"/>
      </sharedItems>
    </cacheField>
    <cacheField name="Circuits" numFmtId="1">
      <sharedItems containsString="0" containsBlank="1" containsNumber="1" containsInteger="1" minValue="1" maxValue="1"/>
    </cacheField>
    <cacheField name="Satellite Topography_x000a_Increase Factor" numFmtId="0">
      <sharedItems containsString="0" containsBlank="1" containsNumber="1" minValue="7.0000000000000007E-2" maxValue="7.0000000000000007E-2"/>
    </cacheField>
    <cacheField name="Termination _x000a_Spare Length_x000a_[m]" numFmtId="0">
      <sharedItems containsString="0" containsBlank="1" containsNumber="1" containsInteger="1" minValue="10" maxValue="10"/>
    </cacheField>
    <cacheField name="Trench Length _x000a_[km]" numFmtId="2">
      <sharedItems containsString="0" containsBlank="1" containsNumber="1" minValue="7.3499999999999996E-2" maxValue="15.180830000000002"/>
    </cacheField>
    <cacheField name="Cable Length _x000a_[km]" numFmtId="2">
      <sharedItems containsString="0" containsBlank="1" containsNumber="1" minValue="0.2205" maxValue="45.542490000000008"/>
    </cacheField>
    <cacheField name="Cable Procurement _x000a_[€/km]" numFmtId="2">
      <sharedItems containsString="0" containsBlank="1" containsNumber="1" minValue="7290.9999999999991" maxValue="22413.5"/>
    </cacheField>
    <cacheField name="Trench Procurement_x000a_(Civil Works)_x000a_[€/km]" numFmtId="0">
      <sharedItems containsString="0" containsBlank="1" containsNumber="1" containsInteger="1" minValue="30000" maxValue="30000"/>
    </cacheField>
    <cacheField name="Total _x000a_Procurement Cost" numFmtId="168">
      <sharedItems containsString="0" containsBlank="1" containsNumber="1" minValue="5154.0772500000003" maxValue="1476191.4996150003"/>
    </cacheField>
    <cacheField name="Οικίσκος" numFmtId="168">
      <sharedItems containsString="0" containsBlank="1" containsNumber="1" containsInteger="1" minValue="150000" maxValue="150000"/>
    </cacheField>
    <cacheField name="IPPM" numFmtId="168">
      <sharedItems containsString="0" containsBlank="1" containsNumber="1" containsInteger="1" minValue="65000" maxValue="65000"/>
    </cacheField>
    <cacheField name="Οπτικό" numFmtId="168">
      <sharedItems containsString="0" containsBlank="1" containsNumber="1" minValue="47.04" maxValue="9715.7312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ousos Veisakis" refreshedDate="45308.470620949076" createdVersion="6" refreshedVersion="8" minRefreshableVersion="3" recordCount="6" xr:uid="{C39D10D5-44E6-4B94-8B5E-5360749C0E4B}">
  <cacheSource type="worksheet">
    <worksheetSource ref="G27:U33" sheet="Εσωτερικό δίκτυο"/>
  </cacheSource>
  <cacheFields count="15">
    <cacheField name="Sattelite_x000a_Distance_x000a_[m]" numFmtId="0">
      <sharedItems containsString="0" containsBlank="1" containsNumber="1" containsInteger="1" minValue="415" maxValue="3322"/>
    </cacheField>
    <cacheField name="Weighted_x000a_Distance_x000a_[m]" numFmtId="2">
      <sharedItems containsString="0" containsBlank="1" containsNumber="1" minValue="464.05" maxValue="3574.5400000000004"/>
    </cacheField>
    <cacheField name="Cable _x000a_Type" numFmtId="2">
      <sharedItems containsBlank="1"/>
    </cacheField>
    <cacheField name="Cross-Section_x000a_[mm2]" numFmtId="1">
      <sharedItems containsString="0" containsBlank="1" containsNumber="1" containsInteger="1" minValue="95" maxValue="800" count="6">
        <n v="300"/>
        <n v="800"/>
        <m/>
        <n v="95"/>
        <n v="185" u="1"/>
        <n v="500" u="1"/>
      </sharedItems>
    </cacheField>
    <cacheField name="Circuits" numFmtId="1">
      <sharedItems containsString="0" containsBlank="1" containsNumber="1" containsInteger="1" minValue="1" maxValue="1"/>
    </cacheField>
    <cacheField name="Satellite Topography_x000a_Increase Factor" numFmtId="0">
      <sharedItems containsString="0" containsBlank="1" containsNumber="1" minValue="7.0000000000000007E-2" maxValue="7.0000000000000007E-2"/>
    </cacheField>
    <cacheField name="Termination _x000a_Spare Length_x000a_[m]" numFmtId="0">
      <sharedItems containsString="0" containsBlank="1" containsNumber="1" containsInteger="1" minValue="10" maxValue="10"/>
    </cacheField>
    <cacheField name="Trench Length _x000a_[km]" numFmtId="2">
      <sharedItems containsString="0" containsBlank="1" containsNumber="1" minValue="0.46405000000000002" maxValue="3.5745400000000003"/>
    </cacheField>
    <cacheField name="Cable Length _x000a_[km]" numFmtId="2">
      <sharedItems containsString="0" containsBlank="1" containsNumber="1" minValue="1.39215" maxValue="10.72362"/>
    </cacheField>
    <cacheField name="Cable Procurement _x000a_[€/km]" numFmtId="2">
      <sharedItems containsString="0" containsBlank="1" containsNumber="1" minValue="5347.5" maxValue="18836.999999999996"/>
    </cacheField>
    <cacheField name="Trench Procurement_x000a_(Civil Works)_x000a_[€/km]" numFmtId="0">
      <sharedItems containsString="0" containsBlank="1" containsNumber="1" containsInteger="1" minValue="30000" maxValue="30000"/>
    </cacheField>
    <cacheField name="Total _x000a_Procurement Cost" numFmtId="168">
      <sharedItems containsString="0" containsBlank="1" containsNumber="1" minValue="27241.591200000003" maxValue="309237.02993999998"/>
    </cacheField>
    <cacheField name="Οικίσκος" numFmtId="168">
      <sharedItems containsNonDate="0" containsString="0" containsBlank="1"/>
    </cacheField>
    <cacheField name="IPPM" numFmtId="168">
      <sharedItems containsString="0" containsBlank="1" containsNumber="1" containsInteger="1" minValue="65000" maxValue="65000"/>
    </cacheField>
    <cacheField name="Οπτικό" numFmtId="168">
      <sharedItems containsString="0" containsBlank="1" containsNumber="1" minValue="296.99200000000002" maxValue="2287.7056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209"/>
    <n v="243.63000000000002"/>
    <s v="AL/XLPE/ALPE/HDPE/SCPE"/>
    <x v="0"/>
    <n v="1"/>
    <n v="7.0000000000000007E-2"/>
    <n v="10"/>
    <n v="0.24363000000000001"/>
    <n v="0.73089000000000015"/>
    <n v="6485.9999999999991"/>
    <n v="30000"/>
    <n v="12049.452540000002"/>
    <m/>
    <n v="155.92320000000001"/>
  </r>
  <r>
    <n v="14473"/>
    <n v="15506.11"/>
    <s v="AL/XLPE/ALPE/HDPE/SCPE"/>
    <x v="0"/>
    <n v="1"/>
    <m/>
    <m/>
    <n v="15.506110000000001"/>
    <n v="46.518329999999999"/>
    <n v="6485.9999999999991"/>
    <n v="30000"/>
    <n v="766901.18837999995"/>
    <m/>
    <n v="9923.9104000000007"/>
  </r>
  <r>
    <m/>
    <m/>
    <m/>
    <x v="1"/>
    <m/>
    <m/>
    <m/>
    <m/>
    <m/>
    <m/>
    <m/>
    <m/>
    <m/>
    <m/>
  </r>
  <r>
    <n v="300"/>
    <n v="341"/>
    <s v="AL/XLPE/ALPE/HDPE/SCPE"/>
    <x v="0"/>
    <n v="1"/>
    <m/>
    <m/>
    <n v="0.34100000000000003"/>
    <n v="1.0229999999999999"/>
    <n v="6485.9999999999991"/>
    <n v="30000"/>
    <n v="16865.178"/>
    <m/>
    <n v="218.24"/>
  </r>
  <r>
    <n v="250"/>
    <n v="287.5"/>
    <s v="AL/XLPE/ALPE/HDPE/SCPE"/>
    <x v="0"/>
    <n v="1"/>
    <m/>
    <m/>
    <n v="0.28749999999999998"/>
    <n v="0.86250000000000004"/>
    <n v="6485.9999999999991"/>
    <n v="30000"/>
    <n v="14219.174999999999"/>
    <m/>
    <n v="184"/>
  </r>
  <r>
    <n v="14169"/>
    <n v="15180.830000000002"/>
    <s v="AL/XLPE/ALPE/HDPE/SCPE"/>
    <x v="2"/>
    <n v="1"/>
    <m/>
    <m/>
    <n v="15.180830000000002"/>
    <n v="45.542490000000008"/>
    <n v="11166.5"/>
    <n v="30000"/>
    <n v="963975.11458500009"/>
    <n v="0"/>
    <n v="9715.7312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209"/>
    <n v="243.63000000000002"/>
    <s v="AL/XLPE/ALPE/HDPE/SCPE"/>
    <x v="0"/>
    <n v="1"/>
    <n v="7.0000000000000007E-2"/>
    <n v="10"/>
    <n v="0.24363000000000001"/>
    <n v="0.73089000000000015"/>
    <n v="7290.9999999999991"/>
    <n v="30000"/>
    <n v="12637.81899"/>
    <m/>
    <m/>
    <n v="155.92320000000001"/>
  </r>
  <r>
    <n v="704"/>
    <n v="773.28000000000009"/>
    <s v="AL/XLPE/ALPE/HDPE/SCPE"/>
    <x v="0"/>
    <n v="1"/>
    <m/>
    <m/>
    <n v="0.77328000000000008"/>
    <n v="2.3198400000000001"/>
    <n v="7290.9999999999991"/>
    <n v="30000"/>
    <n v="40112.353439999999"/>
    <m/>
    <m/>
    <n v="494.89920000000006"/>
  </r>
  <r>
    <m/>
    <m/>
    <m/>
    <x v="1"/>
    <m/>
    <m/>
    <m/>
    <m/>
    <m/>
    <m/>
    <m/>
    <m/>
    <m/>
    <m/>
    <m/>
  </r>
  <r>
    <n v="300"/>
    <n v="341"/>
    <s v="AL/XLPE/ALPE/HDPE/SCPE"/>
    <x v="0"/>
    <n v="1"/>
    <m/>
    <m/>
    <n v="0.34100000000000003"/>
    <n v="1.0229999999999999"/>
    <n v="7290.9999999999991"/>
    <n v="30000"/>
    <n v="17688.692999999999"/>
    <m/>
    <m/>
    <n v="218.24"/>
  </r>
  <r>
    <n v="250"/>
    <n v="287.5"/>
    <s v="AL/XLPE/ALPE/HDPE/SCPE"/>
    <x v="0"/>
    <n v="1"/>
    <m/>
    <m/>
    <n v="0.28749999999999998"/>
    <n v="0.86250000000000004"/>
    <n v="7290.9999999999991"/>
    <n v="30000"/>
    <n v="14913.487499999999"/>
    <m/>
    <m/>
    <n v="184"/>
  </r>
  <r>
    <n v="50"/>
    <n v="73.5"/>
    <s v="AL/XLPE/ALPE/HDPE/SCPE"/>
    <x v="2"/>
    <n v="1"/>
    <m/>
    <m/>
    <n v="7.3499999999999996E-2"/>
    <n v="0.2205"/>
    <n v="13374.499999999998"/>
    <n v="30000"/>
    <n v="5154.0772500000003"/>
    <m/>
    <m/>
    <n v="47.04"/>
  </r>
  <r>
    <m/>
    <m/>
    <m/>
    <x v="1"/>
    <m/>
    <m/>
    <m/>
    <m/>
    <m/>
    <m/>
    <m/>
    <m/>
    <m/>
    <m/>
    <m/>
  </r>
  <r>
    <n v="14169"/>
    <n v="15180.830000000002"/>
    <s v="AL/XLPE/ALPE/HDPE/SCPE"/>
    <x v="3"/>
    <n v="1"/>
    <m/>
    <m/>
    <n v="15.180830000000002"/>
    <n v="45.542490000000008"/>
    <n v="22413.5"/>
    <n v="30000"/>
    <n v="1476191.4996150003"/>
    <n v="150000"/>
    <n v="65000"/>
    <n v="9715.7312000000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849"/>
    <n v="928.43000000000006"/>
    <s v="AL/XLPE/ALPE/HDPE/SCPE"/>
    <x v="0"/>
    <n v="1"/>
    <n v="7.0000000000000007E-2"/>
    <n v="10"/>
    <n v="0.92843000000000009"/>
    <n v="2.7852899999999998"/>
    <n v="9568"/>
    <n v="30000"/>
    <n v="54502.55472"/>
    <m/>
    <m/>
    <n v="594.19520000000011"/>
  </r>
  <r>
    <n v="784"/>
    <n v="858.88"/>
    <s v="AL/XLPE/ALPE/HDPE/SCPE"/>
    <x v="0"/>
    <n v="1"/>
    <m/>
    <m/>
    <n v="0.85887999999999998"/>
    <n v="2.5766399999999998"/>
    <n v="9568"/>
    <n v="30000"/>
    <n v="50419.691519999993"/>
    <m/>
    <m/>
    <n v="549.68319999999994"/>
  </r>
  <r>
    <n v="415"/>
    <n v="464.05"/>
    <s v="AL/XLPE/ALPE/HDPE/SCPE"/>
    <x v="0"/>
    <n v="1"/>
    <m/>
    <m/>
    <n v="0.46405000000000002"/>
    <n v="1.39215"/>
    <n v="9568"/>
    <n v="30000"/>
    <n v="27241.591200000003"/>
    <m/>
    <m/>
    <n v="296.99200000000002"/>
  </r>
  <r>
    <n v="3322"/>
    <n v="3574.5400000000004"/>
    <s v="AL/XLPE/ALPE/HDPE/SCPE"/>
    <x v="1"/>
    <n v="1"/>
    <m/>
    <m/>
    <n v="3.5745400000000003"/>
    <n v="10.72362"/>
    <n v="18836.999999999996"/>
    <n v="30000"/>
    <n v="309237.02993999998"/>
    <m/>
    <n v="65000"/>
    <n v="2287.7056000000002"/>
  </r>
  <r>
    <m/>
    <m/>
    <m/>
    <x v="2"/>
    <m/>
    <m/>
    <m/>
    <m/>
    <m/>
    <m/>
    <m/>
    <m/>
    <m/>
    <m/>
    <m/>
  </r>
  <r>
    <n v="1345"/>
    <n v="1459.15"/>
    <s v="AL/XLPE/ALPE/HDPE/SCPE"/>
    <x v="3"/>
    <n v="1"/>
    <m/>
    <m/>
    <n v="1.4591500000000002"/>
    <n v="4.3774500000000005"/>
    <n v="5347.5"/>
    <n v="30000"/>
    <n v="67182.913875000013"/>
    <m/>
    <m/>
    <n v="933.855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0C79B-04A0-4116-9201-74F5319D0F65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6" indent="0" outline="1" outlineData="1" multipleFieldFilters="0" rowHeaderCaption="Cross-Section _x000a_[mm2]">
  <location ref="X1:Y4" firstHeaderRow="1" firstDataRow="1" firstDataCol="1"/>
  <pivotFields count="15">
    <pivotField showAll="0"/>
    <pivotField showAll="0"/>
    <pivotField showAll="0"/>
    <pivotField axis="axisRow" showAll="0">
      <items count="5">
        <item h="1" x="1"/>
        <item x="0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 v="1"/>
    </i>
    <i>
      <x v="2"/>
    </i>
    <i>
      <x v="3"/>
    </i>
  </rowItems>
  <colItems count="1">
    <i/>
  </colItems>
  <dataFields count="1">
    <dataField name="Total Cable Length _x000a_[km]" fld="8" baseField="0" baseItem="0" numFmtId="2"/>
  </dataFields>
  <formats count="8">
    <format dxfId="9">
      <pivotArea dataOnly="0" labelOnly="1" fieldPosition="0">
        <references count="1">
          <reference field="3" count="0"/>
        </references>
      </pivotArea>
    </format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dataOnly="0" labelOnly="1" outline="0" axis="axisValues" fieldPosition="0"/>
    </format>
    <format dxfId="4">
      <pivotArea field="3" type="button" dataOnly="0" labelOnly="1" outline="0" axis="axisRow" fieldPosition="0"/>
    </format>
    <format dxfId="3">
      <pivotArea field="3" type="button" dataOnly="0" labelOnly="1" outline="0" axis="axisRow" fieldPosition="0"/>
    </format>
    <format dxfId="2">
      <pivotArea field="3" type="button" dataOnly="0" labelOnly="1" outline="0" axis="axisRow" fieldPosition="0"/>
    </format>
  </format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332FA-88CA-4B6E-9ABB-04F81BE5AA06}" name="PivotTable4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6" indent="0" outline="1" outlineData="1" multipleFieldFilters="0" rowHeaderCaption="Cross-Section _x000a_[mm2]">
  <location ref="X27:Y30" firstHeaderRow="1" firstDataRow="1" firstDataCol="1"/>
  <pivotFields count="15">
    <pivotField showAll="0"/>
    <pivotField showAll="0"/>
    <pivotField showAll="0"/>
    <pivotField axis="axisRow" showAll="0">
      <items count="7">
        <item x="3"/>
        <item h="1" x="2"/>
        <item m="1" x="4"/>
        <item m="1" x="5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4"/>
    </i>
    <i>
      <x v="5"/>
    </i>
  </rowItems>
  <colItems count="1">
    <i/>
  </colItems>
  <dataFields count="1">
    <dataField name="Total Cable Length _x000a_[km]" fld="8" baseField="0" baseItem="0" numFmtId="2"/>
  </dataFields>
  <formats count="8">
    <format dxfId="17">
      <pivotArea dataOnly="0" labelOnly="1" fieldPosition="0">
        <references count="1">
          <reference field="3" count="0"/>
        </references>
      </pivotArea>
    </format>
    <format dxfId="16">
      <pivotArea outline="0" collapsedLevelsAreSubtotals="1" fieldPosition="0"/>
    </format>
    <format dxfId="15">
      <pivotArea dataOnly="0" labelOnly="1" outline="0" axis="axisValues" fieldPosition="0"/>
    </format>
    <format dxfId="14">
      <pivotArea dataOnly="0" labelOnly="1" outline="0" axis="axisValues" fieldPosition="0"/>
    </format>
    <format dxfId="13">
      <pivotArea dataOnly="0" labelOnly="1" outline="0" axis="axisValues" fieldPosition="0"/>
    </format>
    <format dxfId="12">
      <pivotArea field="3" type="button" dataOnly="0" labelOnly="1" outline="0" axis="axisRow" fieldPosition="0"/>
    </format>
    <format dxfId="11">
      <pivotArea field="3" type="button" dataOnly="0" labelOnly="1" outline="0" axis="axisRow" fieldPosition="0"/>
    </format>
    <format dxfId="10">
      <pivotArea field="3" type="button" dataOnly="0" labelOnly="1" outline="0" axis="axisRow" fieldPosition="0"/>
    </format>
  </format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C7175-8F1B-4DDC-AF45-978CFF783BA5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6" indent="0" outline="1" outlineData="1" multipleFieldFilters="0" rowHeaderCaption="Cross-Section _x000a_[mm2]">
  <location ref="X15:Y17" firstHeaderRow="1" firstDataRow="1" firstDataCol="1"/>
  <pivotFields count="14">
    <pivotField showAll="0"/>
    <pivotField showAll="0"/>
    <pivotField showAll="0"/>
    <pivotField axis="axisRow" showAll="0">
      <items count="6">
        <item m="1" x="3"/>
        <item m="1" x="4"/>
        <item h="1"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2">
    <i>
      <x v="3"/>
    </i>
    <i>
      <x v="4"/>
    </i>
  </rowItems>
  <colItems count="1">
    <i/>
  </colItems>
  <dataFields count="1">
    <dataField name="Total Cable Length _x000a_[km]" fld="8" baseField="0" baseItem="0" numFmtId="2"/>
  </dataFields>
  <formats count="8">
    <format dxfId="25">
      <pivotArea dataOnly="0" labelOnly="1" fieldPosition="0">
        <references count="1">
          <reference field="3" count="0"/>
        </references>
      </pivotArea>
    </format>
    <format dxfId="24">
      <pivotArea outline="0" collapsedLevelsAreSubtotals="1" fieldPosition="0"/>
    </format>
    <format dxfId="23">
      <pivotArea dataOnly="0" labelOnly="1" outline="0" axis="axisValues" fieldPosition="0"/>
    </format>
    <format dxfId="22">
      <pivotArea dataOnly="0" labelOnly="1" outline="0" axis="axisValues" fieldPosition="0"/>
    </format>
    <format dxfId="21">
      <pivotArea dataOnly="0" labelOnly="1" outline="0" axis="axisValues" fieldPosition="0"/>
    </format>
    <format dxfId="20">
      <pivotArea field="3" type="button" dataOnly="0" labelOnly="1" outline="0" axis="axisRow" fieldPosition="0"/>
    </format>
    <format dxfId="19">
      <pivotArea field="3" type="button" dataOnly="0" labelOnly="1" outline="0" axis="axisRow" fieldPosition="0"/>
    </format>
    <format dxfId="18">
      <pivotArea field="3" type="button" dataOnly="0" labelOnly="1" outline="0" axis="axisRow" fieldPosition="0"/>
    </format>
  </format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zoomScale="90" zoomScaleNormal="90" workbookViewId="0">
      <selection activeCell="L9" sqref="L9"/>
    </sheetView>
  </sheetViews>
  <sheetFormatPr defaultRowHeight="15"/>
  <cols>
    <col min="2" max="2" width="24.7109375" bestFit="1" customWidth="1"/>
    <col min="3" max="3" width="29.140625" bestFit="1" customWidth="1"/>
    <col min="4" max="4" width="18.140625" customWidth="1"/>
    <col min="5" max="6" width="17.28515625" customWidth="1"/>
    <col min="7" max="7" width="20.42578125" bestFit="1" customWidth="1"/>
    <col min="8" max="8" width="20.42578125" customWidth="1"/>
    <col min="9" max="9" width="27.7109375" bestFit="1" customWidth="1"/>
    <col min="10" max="10" width="27" bestFit="1" customWidth="1"/>
    <col min="11" max="11" width="20.42578125" customWidth="1"/>
    <col min="12" max="12" width="17.28515625" customWidth="1"/>
    <col min="13" max="13" width="20.42578125" bestFit="1" customWidth="1"/>
    <col min="14" max="14" width="17.85546875" customWidth="1"/>
    <col min="15" max="15" width="16.5703125" customWidth="1"/>
    <col min="16" max="16" width="17.42578125" customWidth="1"/>
    <col min="17" max="17" width="22" bestFit="1" customWidth="1"/>
  </cols>
  <sheetData>
    <row r="1" spans="1:13">
      <c r="A1" s="391" t="s">
        <v>164</v>
      </c>
      <c r="B1" s="388" t="s">
        <v>0</v>
      </c>
      <c r="C1" s="244" t="s">
        <v>118</v>
      </c>
      <c r="D1" s="245" t="s">
        <v>154</v>
      </c>
      <c r="E1" s="245" t="s">
        <v>1</v>
      </c>
      <c r="F1" s="245" t="s">
        <v>114</v>
      </c>
      <c r="G1" s="64" t="s">
        <v>117</v>
      </c>
      <c r="H1" s="64" t="s">
        <v>170</v>
      </c>
      <c r="I1" s="243" t="s">
        <v>2</v>
      </c>
      <c r="J1" s="65" t="s">
        <v>109</v>
      </c>
      <c r="L1" s="356" t="s">
        <v>3</v>
      </c>
      <c r="M1" s="356"/>
    </row>
    <row r="2" spans="1:13">
      <c r="A2" s="391"/>
      <c r="B2" s="389">
        <v>1</v>
      </c>
      <c r="C2" s="93" t="s">
        <v>140</v>
      </c>
      <c r="D2" s="95">
        <f>I12</f>
        <v>7639115</v>
      </c>
      <c r="E2" s="95">
        <f>'Εσωτερικό δίκτυο'!R12</f>
        <v>1832798.0321950002</v>
      </c>
      <c r="F2" s="396">
        <v>4500000</v>
      </c>
      <c r="G2" s="95">
        <f>Σύνδεση!$B$10*($C$14/($C$14+$D$14))</f>
        <v>1476891.3115295675</v>
      </c>
      <c r="H2" s="397">
        <v>0</v>
      </c>
      <c r="I2" s="215">
        <f t="shared" ref="I2:I4" si="0">SUM(D2:H2)</f>
        <v>15448804.343724567</v>
      </c>
      <c r="J2" s="212">
        <f>I2/$C$14</f>
        <v>584773.9699696108</v>
      </c>
      <c r="L2" s="81"/>
      <c r="M2" s="82" t="s">
        <v>4</v>
      </c>
    </row>
    <row r="3" spans="1:13">
      <c r="A3" s="391"/>
      <c r="B3" s="390">
        <v>2</v>
      </c>
      <c r="C3" s="199" t="s">
        <v>141</v>
      </c>
      <c r="D3" s="207">
        <f>I12</f>
        <v>7639115</v>
      </c>
      <c r="E3" s="207">
        <f>'Εσωτερικό δίκτυο'!R24</f>
        <v>1686374.6633050002</v>
      </c>
      <c r="F3" s="396">
        <v>4500000</v>
      </c>
      <c r="G3" s="387">
        <f>Σύνδεση!$B$10*($C$14/($C$14+$D$14))</f>
        <v>1476891.3115295675</v>
      </c>
      <c r="H3" s="398">
        <v>0</v>
      </c>
      <c r="I3" s="215">
        <f t="shared" si="0"/>
        <v>15302380.974834567</v>
      </c>
      <c r="J3" s="212">
        <f>I3/$C$14</f>
        <v>579231.49737321783</v>
      </c>
      <c r="L3" s="49"/>
      <c r="M3" s="80" t="s">
        <v>5</v>
      </c>
    </row>
    <row r="4" spans="1:13">
      <c r="A4" s="391"/>
      <c r="B4" s="389">
        <v>3</v>
      </c>
      <c r="C4" s="93" t="s">
        <v>131</v>
      </c>
      <c r="D4" s="95">
        <f>J12</f>
        <v>20167715</v>
      </c>
      <c r="E4" s="95">
        <f>'Εσωτερικό δίκτυο'!R43</f>
        <v>1526039.2173049999</v>
      </c>
      <c r="F4" s="396">
        <v>14000000</v>
      </c>
      <c r="G4" s="95">
        <f>Σύνδεση!$B$10*($D$14/($C$14+$D$14))</f>
        <v>3823108.688470433</v>
      </c>
      <c r="H4" s="397">
        <v>0</v>
      </c>
      <c r="I4" s="215">
        <f t="shared" si="0"/>
        <v>39516862.905775435</v>
      </c>
      <c r="J4" s="212">
        <f>I4/$D$14</f>
        <v>577839.87864655757</v>
      </c>
      <c r="L4" s="35"/>
      <c r="M4" s="80" t="s">
        <v>6</v>
      </c>
    </row>
    <row r="5" spans="1:13">
      <c r="A5" s="391"/>
      <c r="B5" s="390">
        <v>4</v>
      </c>
      <c r="C5" s="199" t="s">
        <v>172</v>
      </c>
      <c r="D5" s="396">
        <f>(22489573.88+2231460)*(E14/42)</f>
        <v>7774888.760429401</v>
      </c>
      <c r="E5" s="396">
        <f>180000*(E14/42)</f>
        <v>56610.900000000009</v>
      </c>
      <c r="F5" s="396">
        <f>750000*(E14/42)</f>
        <v>235878.75000000003</v>
      </c>
      <c r="G5" s="387">
        <v>0</v>
      </c>
      <c r="H5" s="398">
        <f>2039713.67*(E14/42)</f>
        <v>641500.14778335008</v>
      </c>
      <c r="I5" s="215">
        <f>SUM(D5:H5)</f>
        <v>8708878.5582127515</v>
      </c>
      <c r="J5" s="212">
        <f>I5/E14</f>
        <v>659303.51309523813</v>
      </c>
      <c r="K5" s="232"/>
      <c r="L5" s="232"/>
    </row>
    <row r="6" spans="1:13">
      <c r="B6" s="2"/>
      <c r="D6" s="94"/>
      <c r="E6" s="94"/>
      <c r="F6" s="94"/>
      <c r="G6" s="94"/>
      <c r="H6" s="94"/>
      <c r="I6" s="94"/>
      <c r="J6" s="94"/>
      <c r="K6" s="94"/>
      <c r="L6" s="94"/>
      <c r="M6" s="94"/>
    </row>
    <row r="7" spans="1:13">
      <c r="C7" s="208" t="s">
        <v>132</v>
      </c>
      <c r="D7" s="293" t="s">
        <v>131</v>
      </c>
      <c r="E7" s="208" t="s">
        <v>149</v>
      </c>
      <c r="F7" s="10"/>
      <c r="I7" s="208" t="s">
        <v>150</v>
      </c>
      <c r="J7" s="208" t="s">
        <v>151</v>
      </c>
    </row>
    <row r="8" spans="1:13">
      <c r="A8" s="391" t="s">
        <v>154</v>
      </c>
      <c r="B8" s="392" t="s">
        <v>136</v>
      </c>
      <c r="C8" s="294">
        <v>45549</v>
      </c>
      <c r="D8" s="295">
        <v>117909</v>
      </c>
      <c r="E8" s="317">
        <v>135</v>
      </c>
      <c r="F8" s="232"/>
      <c r="I8" s="319">
        <f>C8*$E8</f>
        <v>6149115</v>
      </c>
      <c r="J8" s="320">
        <f>D8*$E8</f>
        <v>15917715</v>
      </c>
    </row>
    <row r="9" spans="1:13">
      <c r="A9" s="391"/>
      <c r="B9" s="392" t="s">
        <v>133</v>
      </c>
      <c r="C9" s="296">
        <v>84</v>
      </c>
      <c r="D9" s="297">
        <v>257</v>
      </c>
      <c r="E9" s="317">
        <v>10000</v>
      </c>
      <c r="F9" s="232"/>
      <c r="I9" s="319">
        <f>C9*$E9</f>
        <v>840000</v>
      </c>
      <c r="J9" s="320">
        <f>D9*$E9</f>
        <v>2570000</v>
      </c>
    </row>
    <row r="10" spans="1:13">
      <c r="A10" s="391"/>
      <c r="B10" s="392" t="s">
        <v>152</v>
      </c>
      <c r="C10" s="296">
        <v>5</v>
      </c>
      <c r="D10" s="297">
        <v>8</v>
      </c>
      <c r="E10" s="317">
        <v>130000</v>
      </c>
      <c r="F10" s="232"/>
      <c r="I10" s="319">
        <f>C10*$E10</f>
        <v>650000</v>
      </c>
      <c r="J10" s="320">
        <f>D10*$E10</f>
        <v>1040000</v>
      </c>
    </row>
    <row r="11" spans="1:13" ht="15.75" thickBot="1">
      <c r="A11" s="391"/>
      <c r="B11" s="392" t="s">
        <v>153</v>
      </c>
      <c r="C11" s="296">
        <v>0</v>
      </c>
      <c r="D11" s="297">
        <v>4</v>
      </c>
      <c r="E11" s="317">
        <v>160000</v>
      </c>
      <c r="F11" s="232"/>
      <c r="I11" s="319">
        <f>C11*$E11</f>
        <v>0</v>
      </c>
      <c r="J11" s="320">
        <f>D11*$E11</f>
        <v>640000</v>
      </c>
    </row>
    <row r="12" spans="1:13" ht="15.75" thickBot="1">
      <c r="A12" s="391"/>
      <c r="H12" s="232"/>
      <c r="I12" s="354">
        <f>SUM(I8:I11)</f>
        <v>7639115</v>
      </c>
      <c r="J12" s="355">
        <f>SUM(J8:J11)</f>
        <v>20167715</v>
      </c>
      <c r="K12" s="318" t="s">
        <v>148</v>
      </c>
    </row>
    <row r="13" spans="1:13">
      <c r="A13" s="391"/>
      <c r="C13" s="208" t="s">
        <v>132</v>
      </c>
      <c r="D13" s="293" t="s">
        <v>131</v>
      </c>
      <c r="E13" s="208" t="s">
        <v>173</v>
      </c>
      <c r="I13" s="399"/>
      <c r="J13" s="399"/>
      <c r="K13" s="400"/>
    </row>
    <row r="14" spans="1:13">
      <c r="A14" s="391"/>
      <c r="B14" s="392" t="s">
        <v>161</v>
      </c>
      <c r="C14" s="395">
        <f>C8*580/1000000</f>
        <v>26.418420000000001</v>
      </c>
      <c r="D14" s="395">
        <f>D8*580/1000000</f>
        <v>68.387219999999999</v>
      </c>
      <c r="E14" s="395">
        <f>C14/2</f>
        <v>13.209210000000001</v>
      </c>
    </row>
    <row r="15" spans="1:13">
      <c r="E15" s="232"/>
      <c r="F15" s="232"/>
    </row>
    <row r="16" spans="1:13">
      <c r="A16" s="391" t="s">
        <v>165</v>
      </c>
      <c r="B16" s="388" t="s">
        <v>0</v>
      </c>
      <c r="C16" s="244" t="s">
        <v>118</v>
      </c>
      <c r="D16" s="245" t="s">
        <v>166</v>
      </c>
      <c r="E16" s="245" t="s">
        <v>167</v>
      </c>
      <c r="F16" s="388" t="s">
        <v>168</v>
      </c>
      <c r="G16" s="70" t="s">
        <v>169</v>
      </c>
      <c r="H16" s="388" t="s">
        <v>171</v>
      </c>
      <c r="I16" s="243" t="s">
        <v>2</v>
      </c>
      <c r="J16" s="65" t="s">
        <v>109</v>
      </c>
    </row>
    <row r="17" spans="1:13">
      <c r="A17" s="391"/>
      <c r="B17" s="389">
        <v>1</v>
      </c>
      <c r="C17" s="93" t="s">
        <v>140</v>
      </c>
      <c r="D17" s="95">
        <f>(5000*C14)+(400*C14)</f>
        <v>142659.46799999999</v>
      </c>
      <c r="E17" s="95">
        <f>0.01*I2</f>
        <v>154488.04343724568</v>
      </c>
      <c r="F17" s="95">
        <f>300*C14</f>
        <v>7925.5260000000007</v>
      </c>
      <c r="G17" s="95">
        <f>661*C14</f>
        <v>17462.57562</v>
      </c>
      <c r="H17" s="393">
        <f>400*C14</f>
        <v>10567.368</v>
      </c>
      <c r="I17" s="215">
        <f t="shared" ref="I17:I19" si="1">SUM(D17:H17)</f>
        <v>333102.98105724569</v>
      </c>
      <c r="J17" s="212">
        <f>I17/$C$14</f>
        <v>12608.739699696109</v>
      </c>
    </row>
    <row r="18" spans="1:13">
      <c r="A18" s="391"/>
      <c r="B18" s="390">
        <v>2</v>
      </c>
      <c r="C18" s="199" t="s">
        <v>141</v>
      </c>
      <c r="D18" s="207">
        <f>(5000*C14)+(400*C14)</f>
        <v>142659.46799999999</v>
      </c>
      <c r="E18" s="207">
        <f>0.01*I3</f>
        <v>153023.80974834567</v>
      </c>
      <c r="F18" s="207">
        <f>300*C14</f>
        <v>7925.5260000000007</v>
      </c>
      <c r="G18" s="387">
        <f>661*C14</f>
        <v>17462.57562</v>
      </c>
      <c r="H18" s="394">
        <f>400*C14</f>
        <v>10567.368</v>
      </c>
      <c r="I18" s="215">
        <f t="shared" si="1"/>
        <v>331638.74736834568</v>
      </c>
      <c r="J18" s="212">
        <f>I18/$C$14</f>
        <v>12553.314973732178</v>
      </c>
    </row>
    <row r="19" spans="1:13">
      <c r="A19" s="391"/>
      <c r="B19" s="389">
        <v>3</v>
      </c>
      <c r="C19" s="93" t="s">
        <v>131</v>
      </c>
      <c r="D19" s="95">
        <f>(5000*D14)+(400*D14)</f>
        <v>369290.98799999995</v>
      </c>
      <c r="E19" s="95">
        <f>0.01*I4</f>
        <v>395168.62905775436</v>
      </c>
      <c r="F19" s="95">
        <f>300*D14</f>
        <v>20516.166000000001</v>
      </c>
      <c r="G19" s="95">
        <f>661*D14</f>
        <v>45203.952420000001</v>
      </c>
      <c r="H19" s="393">
        <f>400*C14</f>
        <v>10567.368</v>
      </c>
      <c r="I19" s="215">
        <f t="shared" si="1"/>
        <v>840747.10347775428</v>
      </c>
      <c r="J19" s="212">
        <f>I19/$D$14</f>
        <v>12293.921341995687</v>
      </c>
      <c r="M19" s="232"/>
    </row>
    <row r="20" spans="1:13">
      <c r="A20" s="391"/>
      <c r="B20" s="390">
        <v>4</v>
      </c>
      <c r="C20" s="199" t="s">
        <v>172</v>
      </c>
      <c r="D20" s="396">
        <f>132129.48*(E14/42)</f>
        <v>41555.382107400008</v>
      </c>
      <c r="E20" s="387">
        <f>0.0067*I5</f>
        <v>58349.48634002544</v>
      </c>
      <c r="F20" s="207">
        <f>300*E14</f>
        <v>3962.7630000000004</v>
      </c>
      <c r="G20" s="387">
        <v>0</v>
      </c>
      <c r="H20" s="394">
        <f>500*E14</f>
        <v>6604.6050000000005</v>
      </c>
      <c r="I20" s="215">
        <f>SUM(D20:H20)</f>
        <v>110472.23644742546</v>
      </c>
      <c r="J20" s="212">
        <f>I20/46</f>
        <v>2401.5703575527273</v>
      </c>
    </row>
    <row r="21" spans="1:13">
      <c r="E21" s="232"/>
    </row>
    <row r="23" spans="1:13">
      <c r="I23" s="401"/>
    </row>
    <row r="24" spans="1:13">
      <c r="J24" s="232"/>
    </row>
    <row r="25" spans="1:13">
      <c r="D25" s="386"/>
    </row>
  </sheetData>
  <mergeCells count="4">
    <mergeCell ref="L1:M1"/>
    <mergeCell ref="A8:A14"/>
    <mergeCell ref="A1:A5"/>
    <mergeCell ref="A16:A2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3"/>
  <sheetViews>
    <sheetView topLeftCell="A14" zoomScale="70" zoomScaleNormal="70" workbookViewId="0">
      <selection activeCell="G57" sqref="G57"/>
    </sheetView>
  </sheetViews>
  <sheetFormatPr defaultRowHeight="15" customHeight="1"/>
  <cols>
    <col min="1" max="1" width="4.42578125" bestFit="1" customWidth="1"/>
    <col min="2" max="2" width="35.85546875" bestFit="1" customWidth="1"/>
    <col min="3" max="3" width="14.42578125" customWidth="1"/>
    <col min="6" max="6" width="19.28515625" bestFit="1" customWidth="1"/>
    <col min="7" max="7" width="12.140625" customWidth="1"/>
    <col min="8" max="8" width="12" customWidth="1"/>
    <col min="9" max="9" width="24.85546875" bestFit="1" customWidth="1"/>
    <col min="10" max="10" width="13.85546875" customWidth="1"/>
    <col min="12" max="12" width="19.7109375" customWidth="1"/>
    <col min="13" max="14" width="17.7109375" customWidth="1"/>
    <col min="15" max="15" width="17.140625" bestFit="1" customWidth="1"/>
    <col min="16" max="16" width="18.42578125" customWidth="1"/>
    <col min="17" max="17" width="21.140625" bestFit="1" customWidth="1"/>
    <col min="18" max="18" width="22.42578125" bestFit="1" customWidth="1"/>
    <col min="19" max="20" width="14.5703125" customWidth="1"/>
    <col min="21" max="21" width="12.7109375" customWidth="1"/>
    <col min="22" max="22" width="12.5703125" bestFit="1" customWidth="1"/>
    <col min="24" max="24" width="18.85546875" bestFit="1" customWidth="1"/>
    <col min="25" max="25" width="16.42578125" bestFit="1" customWidth="1"/>
  </cols>
  <sheetData>
    <row r="1" spans="1:25" ht="45">
      <c r="A1" s="3" t="s">
        <v>95</v>
      </c>
      <c r="B1" s="3" t="s">
        <v>7</v>
      </c>
      <c r="C1" s="30" t="s">
        <v>8</v>
      </c>
      <c r="D1" s="30" t="s">
        <v>9</v>
      </c>
      <c r="G1" s="42" t="s">
        <v>10</v>
      </c>
      <c r="H1" s="42" t="s">
        <v>11</v>
      </c>
      <c r="I1" s="42" t="s">
        <v>12</v>
      </c>
      <c r="J1" s="42" t="s">
        <v>13</v>
      </c>
      <c r="K1" s="45" t="s">
        <v>14</v>
      </c>
      <c r="L1" s="42" t="s">
        <v>15</v>
      </c>
      <c r="M1" s="42" t="s">
        <v>16</v>
      </c>
      <c r="N1" s="169" t="s">
        <v>17</v>
      </c>
      <c r="O1" s="170" t="s">
        <v>18</v>
      </c>
      <c r="P1" s="169" t="s">
        <v>19</v>
      </c>
      <c r="Q1" s="169" t="s">
        <v>20</v>
      </c>
      <c r="R1" s="169" t="s">
        <v>21</v>
      </c>
      <c r="S1" s="206" t="s">
        <v>22</v>
      </c>
      <c r="T1" s="206" t="s">
        <v>147</v>
      </c>
      <c r="U1" s="206" t="s">
        <v>23</v>
      </c>
      <c r="V1" s="291" t="s">
        <v>24</v>
      </c>
      <c r="X1" s="252" t="s">
        <v>120</v>
      </c>
      <c r="Y1" s="109" t="s">
        <v>98</v>
      </c>
    </row>
    <row r="2" spans="1:25">
      <c r="A2" s="46">
        <v>1</v>
      </c>
      <c r="B2" s="47" t="s">
        <v>140</v>
      </c>
      <c r="C2" s="47">
        <v>26.41</v>
      </c>
      <c r="D2" s="48" t="s">
        <v>25</v>
      </c>
      <c r="F2" s="256" t="s">
        <v>134</v>
      </c>
      <c r="G2" s="175">
        <v>209</v>
      </c>
      <c r="H2" s="257">
        <f>(G2*(1+$L$2))+(2*$M$2)</f>
        <v>243.63000000000002</v>
      </c>
      <c r="I2" s="257" t="str">
        <f>'Εσωτερικό Δίκτυο Αναλυτικά'!J3</f>
        <v>AL/XLPE/ALPE/HDPE/SCPE</v>
      </c>
      <c r="J2" s="258">
        <f>'Εσωτερικό Δίκτυο Αναλυτικά'!L3</f>
        <v>185</v>
      </c>
      <c r="K2" s="258">
        <f>'Εσωτερικό Δίκτυο Αναλυτικά'!K3</f>
        <v>1</v>
      </c>
      <c r="L2" s="43">
        <v>7.0000000000000007E-2</v>
      </c>
      <c r="M2" s="130">
        <v>10</v>
      </c>
      <c r="N2" s="99">
        <f t="shared" ref="N2:N7" si="0">H2/1000</f>
        <v>0.24363000000000001</v>
      </c>
      <c r="O2" s="99">
        <f t="shared" ref="O2:O7" si="1">(3*H2*K2)/1000</f>
        <v>0.73089000000000015</v>
      </c>
      <c r="P2" s="99">
        <f>IF($D$2='Cable Costs'!$B$2,VLOOKUP(J2,'Cable Costs'!$C$3:$K$14,MATCH(I2,'Cable Costs'!$C$2:$K$2,0),FALSE),VLOOKUP(J2,'Cable Costs'!$C$18:$K$29,MATCH(I2,'Cable Costs'!$C$2:$K$2,0),FALSE))</f>
        <v>7290.9999999999991</v>
      </c>
      <c r="Q2" s="48">
        <v>30000</v>
      </c>
      <c r="R2" s="102">
        <f>(P2*O2)+(Q2*N2)</f>
        <v>12637.81899</v>
      </c>
      <c r="S2" s="104"/>
      <c r="T2" s="104"/>
      <c r="U2" s="104">
        <f>(1+'Cable Data'!U3)*H2*'Cable Costs'!$D$35/1000</f>
        <v>155.92320000000001</v>
      </c>
      <c r="V2" s="357">
        <v>50000</v>
      </c>
      <c r="X2" s="10">
        <v>185</v>
      </c>
      <c r="Y2" s="200">
        <v>4.9362300000000001</v>
      </c>
    </row>
    <row r="3" spans="1:25">
      <c r="A3" s="10"/>
      <c r="D3" s="2"/>
      <c r="F3" s="256" t="s">
        <v>143</v>
      </c>
      <c r="G3" s="48">
        <v>704</v>
      </c>
      <c r="H3" s="127">
        <f>(G3*(1+$L$2))+(2*$M$2)</f>
        <v>773.28000000000009</v>
      </c>
      <c r="I3" s="127" t="str">
        <f>'Εσωτερικό Δίκτυο Αναλυτικά'!J4</f>
        <v>AL/XLPE/ALPE/HDPE/SCPE</v>
      </c>
      <c r="J3" s="128">
        <f>'Εσωτερικό Δίκτυο Αναλυτικά'!L4</f>
        <v>185</v>
      </c>
      <c r="K3" s="128">
        <f>'Εσωτερικό Δίκτυο Αναλυτικά'!K4</f>
        <v>1</v>
      </c>
      <c r="N3" s="127">
        <f t="shared" si="0"/>
        <v>0.77328000000000008</v>
      </c>
      <c r="O3" s="127">
        <f t="shared" si="1"/>
        <v>2.3198400000000001</v>
      </c>
      <c r="P3" s="127">
        <f>IF($D$2='Cable Costs'!$B$2,VLOOKUP(J3,'Cable Costs'!$C$3:$K$14,MATCH(I3,'Cable Costs'!$C$2:$K$2,0),FALSE),VLOOKUP(J3,'Cable Costs'!$C$18:$K$29,MATCH(I3,'Cable Costs'!$C$2:$K$2,0),FALSE))</f>
        <v>7290.9999999999991</v>
      </c>
      <c r="Q3" s="48">
        <v>30000</v>
      </c>
      <c r="R3" s="129">
        <f t="shared" ref="R3:R7" si="2">(P3*O3)+(Q3*N3)</f>
        <v>40112.353439999999</v>
      </c>
      <c r="S3" s="168"/>
      <c r="T3" s="168"/>
      <c r="U3" s="168">
        <f>(1+'Cable Data'!U4)*H3*'Cable Costs'!$D$35/1000</f>
        <v>494.89920000000006</v>
      </c>
      <c r="V3" s="357"/>
      <c r="X3" s="10">
        <v>500</v>
      </c>
      <c r="Y3" s="200">
        <v>0.2205</v>
      </c>
    </row>
    <row r="4" spans="1:25">
      <c r="A4" s="10"/>
      <c r="D4" s="2"/>
      <c r="G4" s="2"/>
      <c r="H4" s="97"/>
      <c r="I4" s="97"/>
      <c r="J4" s="98"/>
      <c r="K4" s="98"/>
      <c r="N4" s="97"/>
      <c r="O4" s="97"/>
      <c r="P4" s="97"/>
      <c r="Q4" s="2"/>
      <c r="R4" s="101"/>
      <c r="S4" s="101"/>
      <c r="T4" s="101"/>
      <c r="U4" s="101"/>
      <c r="V4" s="357"/>
      <c r="X4" s="10">
        <v>1000</v>
      </c>
      <c r="Y4" s="200">
        <v>45.542490000000008</v>
      </c>
    </row>
    <row r="5" spans="1:25">
      <c r="A5" s="10"/>
      <c r="D5" s="2"/>
      <c r="F5" s="256" t="s">
        <v>135</v>
      </c>
      <c r="G5" s="48">
        <v>300</v>
      </c>
      <c r="H5" s="127">
        <f>(G5*(1+$L$2))+(2*$M$2)</f>
        <v>341</v>
      </c>
      <c r="I5" s="127" t="str">
        <f>'Εσωτερικό Δίκτυο Αναλυτικά'!J6</f>
        <v>AL/XLPE/ALPE/HDPE/SCPE</v>
      </c>
      <c r="J5" s="128">
        <f>'Εσωτερικό Δίκτυο Αναλυτικά'!L6</f>
        <v>185</v>
      </c>
      <c r="K5" s="128">
        <f>'Εσωτερικό Δίκτυο Αναλυτικά'!K6</f>
        <v>1</v>
      </c>
      <c r="N5" s="127">
        <f t="shared" si="0"/>
        <v>0.34100000000000003</v>
      </c>
      <c r="O5" s="127">
        <f t="shared" si="1"/>
        <v>1.0229999999999999</v>
      </c>
      <c r="P5" s="127">
        <f>IF($D$2='Cable Costs'!$B$2,VLOOKUP(J5,'Cable Costs'!$C$3:$K$14,MATCH(I5,'Cable Costs'!$C$2:$K$2,0),FALSE),VLOOKUP(J5,'Cable Costs'!$C$18:$K$29,MATCH(I5,'Cable Costs'!$C$2:$K$2,0),FALSE))</f>
        <v>7290.9999999999991</v>
      </c>
      <c r="Q5" s="48">
        <v>30000</v>
      </c>
      <c r="R5" s="129">
        <f t="shared" si="2"/>
        <v>17688.692999999999</v>
      </c>
      <c r="S5" s="168"/>
      <c r="T5" s="168"/>
      <c r="U5" s="168">
        <f>(1+'Cable Data'!U6)*H5*'Cable Costs'!$D$35/1000</f>
        <v>218.24</v>
      </c>
      <c r="V5" s="357"/>
    </row>
    <row r="6" spans="1:25">
      <c r="A6" s="10"/>
      <c r="D6" s="2"/>
      <c r="F6" s="256" t="s">
        <v>139</v>
      </c>
      <c r="G6" s="175">
        <v>250</v>
      </c>
      <c r="H6" s="259">
        <f>(G6*(1+$L$2))+(2*$M$2)</f>
        <v>287.5</v>
      </c>
      <c r="I6" s="259" t="str">
        <f>'Εσωτερικό Δίκτυο Αναλυτικά'!J7</f>
        <v>AL/XLPE/ALPE/HDPE/SCPE</v>
      </c>
      <c r="J6" s="260">
        <f>'Εσωτερικό Δίκτυο Αναλυτικά'!L7</f>
        <v>185</v>
      </c>
      <c r="K6" s="260">
        <f>'Εσωτερικό Δίκτυο Αναλυτικά'!K7</f>
        <v>1</v>
      </c>
      <c r="N6" s="99">
        <f t="shared" si="0"/>
        <v>0.28749999999999998</v>
      </c>
      <c r="O6" s="99">
        <f t="shared" si="1"/>
        <v>0.86250000000000004</v>
      </c>
      <c r="P6" s="99">
        <f>IF($D$2='Cable Costs'!$B$2,VLOOKUP(J6,'Cable Costs'!$C$3:$K$14,MATCH(I6,'Cable Costs'!$C$2:$K$2,0),FALSE),VLOOKUP(J6,'Cable Costs'!$C$18:$K$29,MATCH(I6,'Cable Costs'!$C$2:$K$2,0),FALSE))</f>
        <v>7290.9999999999991</v>
      </c>
      <c r="Q6" s="48">
        <v>30000</v>
      </c>
      <c r="R6" s="102">
        <f t="shared" si="2"/>
        <v>14913.487499999999</v>
      </c>
      <c r="S6" s="104"/>
      <c r="T6" s="104"/>
      <c r="U6" s="104">
        <f>(1+'Cable Data'!U7)*H6*'Cable Costs'!$D$35/1000</f>
        <v>184</v>
      </c>
      <c r="V6" s="357"/>
    </row>
    <row r="7" spans="1:25">
      <c r="A7" s="10"/>
      <c r="D7" s="2"/>
      <c r="F7" s="256" t="s">
        <v>142</v>
      </c>
      <c r="G7" s="48">
        <v>50</v>
      </c>
      <c r="H7" s="127">
        <f>(G7*(1+$L$2))+(2*$M$2)</f>
        <v>73.5</v>
      </c>
      <c r="I7" s="127" t="str">
        <f>'Εσωτερικό Δίκτυο Αναλυτικά'!J8</f>
        <v>AL/XLPE/ALPE/HDPE/SCPE</v>
      </c>
      <c r="J7" s="128">
        <f>'Εσωτερικό Δίκτυο Αναλυτικά'!L8</f>
        <v>500</v>
      </c>
      <c r="K7" s="128">
        <f>'Εσωτερικό Δίκτυο Αναλυτικά'!K8</f>
        <v>1</v>
      </c>
      <c r="N7" s="127">
        <f t="shared" si="0"/>
        <v>7.3499999999999996E-2</v>
      </c>
      <c r="O7" s="127">
        <f t="shared" si="1"/>
        <v>0.2205</v>
      </c>
      <c r="P7" s="127">
        <f>IF($D$2='Cable Costs'!$B$2,VLOOKUP(J7,'Cable Costs'!$C$3:$K$14,MATCH(I7,'Cable Costs'!$C$2:$K$2,0),FALSE),VLOOKUP(J7,'Cable Costs'!$C$18:$K$29,MATCH(I7,'Cable Costs'!$C$2:$K$2,0),FALSE))</f>
        <v>13374.499999999998</v>
      </c>
      <c r="Q7" s="48">
        <v>30000</v>
      </c>
      <c r="R7" s="129">
        <f t="shared" si="2"/>
        <v>5154.0772500000003</v>
      </c>
      <c r="S7" s="168"/>
      <c r="T7" s="168"/>
      <c r="U7" s="168">
        <f>(1+'Cable Data'!U8)*H7*'Cable Costs'!$D$35/1000</f>
        <v>47.04</v>
      </c>
      <c r="V7" s="357"/>
      <c r="X7" s="93" t="s">
        <v>99</v>
      </c>
      <c r="Y7" s="202">
        <f>SUM(N2:N9)</f>
        <v>16.899740000000001</v>
      </c>
    </row>
    <row r="8" spans="1:25">
      <c r="A8" s="10"/>
      <c r="D8" s="2"/>
      <c r="F8" s="292"/>
      <c r="G8" s="2"/>
      <c r="H8" s="97"/>
      <c r="I8" s="97"/>
      <c r="J8" s="98"/>
      <c r="K8" s="98"/>
      <c r="N8" s="97"/>
      <c r="O8" s="97"/>
      <c r="P8" s="97"/>
      <c r="Q8" s="2"/>
      <c r="R8" s="101"/>
      <c r="S8" s="101"/>
      <c r="T8" s="101"/>
      <c r="U8" s="101"/>
      <c r="V8" s="357"/>
      <c r="Y8" s="200"/>
    </row>
    <row r="9" spans="1:25">
      <c r="A9" s="10"/>
      <c r="D9" s="2"/>
      <c r="F9" s="256" t="s">
        <v>144</v>
      </c>
      <c r="G9" s="48">
        <v>14169</v>
      </c>
      <c r="H9" s="127">
        <f>(G9*(1+$L$2))+(2*$M$2)</f>
        <v>15180.830000000002</v>
      </c>
      <c r="I9" s="127" t="str">
        <f>'Εσωτερικό Δίκτυο Αναλυτικά'!J10</f>
        <v>AL/XLPE/ALPE/HDPE/SCPE</v>
      </c>
      <c r="J9" s="128">
        <f>'Εσωτερικό Δίκτυο Αναλυτικά'!L10</f>
        <v>1000</v>
      </c>
      <c r="K9" s="128">
        <f>'Εσωτερικό Δίκτυο Αναλυτικά'!K10</f>
        <v>1</v>
      </c>
      <c r="N9" s="127">
        <f t="shared" ref="N9" si="3">H9/1000</f>
        <v>15.180830000000002</v>
      </c>
      <c r="O9" s="127">
        <f t="shared" ref="O9" si="4">(3*H9*K9)/1000</f>
        <v>45.542490000000008</v>
      </c>
      <c r="P9" s="127">
        <f>IF($D$2='Cable Costs'!$B$2,VLOOKUP(J9,'Cable Costs'!$C$3:$K$14,MATCH(I9,'Cable Costs'!$C$2:$K$2,0),FALSE),VLOOKUP(J9,'Cable Costs'!$C$18:$K$29,MATCH(I9,'Cable Costs'!$C$2:$K$2,0),FALSE))</f>
        <v>22413.5</v>
      </c>
      <c r="Q9" s="48">
        <v>30000</v>
      </c>
      <c r="R9" s="129">
        <f t="shared" ref="R9" si="5">(P9*O9)+(Q9*N9)</f>
        <v>1476191.4996150003</v>
      </c>
      <c r="S9" s="168">
        <v>150000</v>
      </c>
      <c r="T9" s="168">
        <f>1*65000</f>
        <v>65000</v>
      </c>
      <c r="U9" s="168">
        <f>(1+'Cable Data'!U10)*H9*'Cable Costs'!$D$35/1000</f>
        <v>9715.731200000002</v>
      </c>
      <c r="V9" s="357"/>
      <c r="Y9" s="200"/>
    </row>
    <row r="10" spans="1:25">
      <c r="A10" s="10"/>
      <c r="D10" s="2"/>
      <c r="F10" s="292"/>
      <c r="G10" s="2"/>
      <c r="H10" s="97"/>
      <c r="I10" s="97"/>
      <c r="J10" s="98"/>
      <c r="K10" s="98"/>
      <c r="N10" s="97"/>
      <c r="O10" s="97"/>
      <c r="P10" s="97"/>
      <c r="Q10" s="2"/>
      <c r="R10" s="103">
        <f>SUM(R2:R9)</f>
        <v>1566697.9297950002</v>
      </c>
      <c r="S10" s="103">
        <f>SUM(S2:S9)</f>
        <v>150000</v>
      </c>
      <c r="T10" s="103">
        <f>T9</f>
        <v>65000</v>
      </c>
      <c r="U10" s="103">
        <f>SUM(U2:U7)</f>
        <v>1100.1024</v>
      </c>
      <c r="V10" s="103">
        <f>V2</f>
        <v>50000</v>
      </c>
      <c r="Y10" s="200"/>
    </row>
    <row r="11" spans="1:25">
      <c r="P11" s="4"/>
      <c r="Q11" s="4"/>
      <c r="R11" s="5"/>
      <c r="S11" s="5"/>
      <c r="T11" s="5"/>
    </row>
    <row r="12" spans="1:25">
      <c r="P12" s="4"/>
      <c r="Q12" s="50" t="s">
        <v>26</v>
      </c>
      <c r="R12" s="50">
        <f>SUM(R10:V10)</f>
        <v>1832798.0321950002</v>
      </c>
      <c r="S12" s="5"/>
      <c r="T12" s="5"/>
    </row>
    <row r="13" spans="1:25">
      <c r="P13" s="4"/>
      <c r="Q13" s="5"/>
      <c r="R13" s="5"/>
      <c r="S13" s="5"/>
      <c r="T13" s="5"/>
    </row>
    <row r="15" spans="1:25" ht="45">
      <c r="A15" s="3" t="s">
        <v>95</v>
      </c>
      <c r="B15" s="3" t="s">
        <v>7</v>
      </c>
      <c r="C15" s="30" t="s">
        <v>8</v>
      </c>
      <c r="D15" s="30" t="s">
        <v>9</v>
      </c>
      <c r="G15" s="42" t="s">
        <v>10</v>
      </c>
      <c r="H15" s="42" t="s">
        <v>11</v>
      </c>
      <c r="I15" s="42" t="s">
        <v>12</v>
      </c>
      <c r="J15" s="42" t="s">
        <v>13</v>
      </c>
      <c r="K15" s="45" t="s">
        <v>14</v>
      </c>
      <c r="L15" s="42" t="s">
        <v>15</v>
      </c>
      <c r="M15" s="42" t="s">
        <v>16</v>
      </c>
      <c r="N15" s="22" t="s">
        <v>17</v>
      </c>
      <c r="O15" s="23" t="s">
        <v>18</v>
      </c>
      <c r="P15" s="22" t="s">
        <v>19</v>
      </c>
      <c r="Q15" s="22" t="s">
        <v>20</v>
      </c>
      <c r="R15" s="22" t="s">
        <v>21</v>
      </c>
      <c r="S15" s="206" t="s">
        <v>22</v>
      </c>
      <c r="T15" s="206" t="s">
        <v>147</v>
      </c>
      <c r="U15" s="204" t="s">
        <v>23</v>
      </c>
      <c r="V15" s="205" t="s">
        <v>24</v>
      </c>
      <c r="X15" s="252" t="s">
        <v>120</v>
      </c>
      <c r="Y15" s="109" t="s">
        <v>98</v>
      </c>
    </row>
    <row r="16" spans="1:25">
      <c r="A16" s="46">
        <v>2</v>
      </c>
      <c r="B16" s="47" t="s">
        <v>141</v>
      </c>
      <c r="C16" s="47">
        <v>26.41</v>
      </c>
      <c r="D16" s="48" t="s">
        <v>25</v>
      </c>
      <c r="F16" s="96" t="s">
        <v>134</v>
      </c>
      <c r="G16" s="175">
        <v>209</v>
      </c>
      <c r="H16" s="257">
        <f>(G16*(1+$L$2))+(2*$M$2)</f>
        <v>243.63000000000002</v>
      </c>
      <c r="I16" s="257" t="str">
        <f>'Εσωτερικό Δίκτυο Αναλυτικά'!J12</f>
        <v>AL/XLPE/ALPE/HDPE/SCPE</v>
      </c>
      <c r="J16" s="258">
        <f>'Εσωτερικό Δίκτυο Αναλυτικά'!L12</f>
        <v>150</v>
      </c>
      <c r="K16" s="258">
        <f>'Εσωτερικό Δίκτυο Αναλυτικά'!K12</f>
        <v>1</v>
      </c>
      <c r="L16" s="43">
        <v>7.0000000000000007E-2</v>
      </c>
      <c r="M16" s="44">
        <v>10</v>
      </c>
      <c r="N16" s="257">
        <f>H16/1000</f>
        <v>0.24363000000000001</v>
      </c>
      <c r="O16" s="301">
        <f>(3*H16*K16)/1000</f>
        <v>0.73089000000000015</v>
      </c>
      <c r="P16" s="257">
        <f>IF($D$2='Cable Costs'!$B$2,VLOOKUP(J16,'Cable Costs'!$C$3:$K$14,MATCH(I16,'Cable Costs'!$C$2:$K$2,0),FALSE),VLOOKUP(J16,'Cable Costs'!$C$18:$K$29,MATCH(I16,'Cable Costs'!$C$2:$K$2,0),FALSE))</f>
        <v>6485.9999999999991</v>
      </c>
      <c r="Q16" s="216">
        <v>30000</v>
      </c>
      <c r="R16" s="302">
        <f>(P16*O16)+(Q16*N16)</f>
        <v>12049.452540000002</v>
      </c>
      <c r="S16" s="303"/>
      <c r="T16" s="303"/>
      <c r="U16" s="303">
        <f>(1+'Cable Data'!U18)*H16*'Cable Costs'!$D$35/1000</f>
        <v>155.92320000000001</v>
      </c>
      <c r="V16" s="357">
        <v>50000</v>
      </c>
      <c r="X16" s="10">
        <v>150</v>
      </c>
      <c r="Y16" s="200">
        <v>49.134720000000002</v>
      </c>
    </row>
    <row r="17" spans="1:25">
      <c r="A17" s="10"/>
      <c r="D17" s="2"/>
      <c r="F17" s="47" t="s">
        <v>146</v>
      </c>
      <c r="G17" s="48">
        <f>704+14169-400</f>
        <v>14473</v>
      </c>
      <c r="H17" s="127">
        <f>(G17*(1+$L$2))+(2*$M$2)</f>
        <v>15506.11</v>
      </c>
      <c r="I17" s="127" t="str">
        <f>'Εσωτερικό Δίκτυο Αναλυτικά'!J13</f>
        <v>AL/XLPE/ALPE/HDPE/SCPE</v>
      </c>
      <c r="J17" s="128">
        <f>'Εσωτερικό Δίκτυο Αναλυτικά'!L13</f>
        <v>150</v>
      </c>
      <c r="K17" s="128">
        <f>'Εσωτερικό Δίκτυο Αναλυτικά'!K13</f>
        <v>1</v>
      </c>
      <c r="N17" s="127">
        <f>H17/1000</f>
        <v>15.506110000000001</v>
      </c>
      <c r="O17" s="127">
        <f>(3*H17*K17)/1000</f>
        <v>46.518329999999999</v>
      </c>
      <c r="P17" s="127">
        <f>IF($D$2='Cable Costs'!$B$2,VLOOKUP(J17,'Cable Costs'!$C$3:$K$14,MATCH(I17,'Cable Costs'!$C$2:$K$2,0),FALSE),VLOOKUP(J17,'Cable Costs'!$C$18:$K$29,MATCH(I17,'Cable Costs'!$C$2:$K$2,0),FALSE))</f>
        <v>6485.9999999999991</v>
      </c>
      <c r="Q17" s="48">
        <v>45000</v>
      </c>
      <c r="R17" s="129">
        <f t="shared" ref="R17:R21" si="6">(P17*O17)+(Q17*N17)</f>
        <v>999492.83838000009</v>
      </c>
      <c r="S17" s="129"/>
      <c r="T17" s="129">
        <v>65000</v>
      </c>
      <c r="U17" s="129">
        <f>(1+'Cable Data'!U19)*H17*'Cable Costs'!$D$35/1000</f>
        <v>9923.9104000000007</v>
      </c>
      <c r="V17" s="358"/>
      <c r="X17" s="10">
        <v>400</v>
      </c>
      <c r="Y17" s="200">
        <v>45.542490000000008</v>
      </c>
    </row>
    <row r="18" spans="1:25">
      <c r="A18" s="10"/>
      <c r="D18" s="2"/>
      <c r="G18" s="2"/>
      <c r="H18" s="97"/>
      <c r="I18" s="97"/>
      <c r="J18" s="98"/>
      <c r="K18" s="98"/>
      <c r="N18" s="97"/>
      <c r="O18" s="97"/>
      <c r="P18" s="97"/>
      <c r="Q18" s="2"/>
      <c r="R18" s="101"/>
      <c r="S18" s="101"/>
      <c r="T18" s="101"/>
      <c r="U18" s="101"/>
      <c r="V18" s="357"/>
    </row>
    <row r="19" spans="1:25">
      <c r="A19" s="10"/>
      <c r="D19" s="2"/>
      <c r="F19" s="47" t="s">
        <v>135</v>
      </c>
      <c r="G19" s="48">
        <v>300</v>
      </c>
      <c r="H19" s="127">
        <f>(G19*(1+$L$2))+(2*$M$2)</f>
        <v>341</v>
      </c>
      <c r="I19" s="127" t="str">
        <f>'Εσωτερικό Δίκτυο Αναλυτικά'!J15</f>
        <v>AL/XLPE/ALPE/HDPE/SCPE</v>
      </c>
      <c r="J19" s="128">
        <f>'Εσωτερικό Δίκτυο Αναλυτικά'!L15</f>
        <v>150</v>
      </c>
      <c r="K19" s="128">
        <f>'Εσωτερικό Δίκτυο Αναλυτικά'!K15</f>
        <v>1</v>
      </c>
      <c r="N19" s="127">
        <f>H19/1000</f>
        <v>0.34100000000000003</v>
      </c>
      <c r="O19" s="127">
        <f>(3*H19*K19)/1000</f>
        <v>1.0229999999999999</v>
      </c>
      <c r="P19" s="127">
        <f>IF($D$2='Cable Costs'!$B$2,VLOOKUP(J19,'Cable Costs'!$C$3:$K$14,MATCH(I19,'Cable Costs'!$C$2:$K$2,0),FALSE),VLOOKUP(J19,'Cable Costs'!$C$18:$K$29,MATCH(I19,'Cable Costs'!$C$2:$K$2,0),FALSE))</f>
        <v>6485.9999999999991</v>
      </c>
      <c r="Q19" s="48">
        <v>30000</v>
      </c>
      <c r="R19" s="129">
        <f t="shared" si="6"/>
        <v>16865.178</v>
      </c>
      <c r="S19" s="168"/>
      <c r="T19" s="168"/>
      <c r="U19" s="168">
        <f>(1+'Cable Data'!U23)*H19*'Cable Costs'!$D$35/1000</f>
        <v>218.24</v>
      </c>
      <c r="V19" s="357"/>
      <c r="Y19" s="200"/>
    </row>
    <row r="20" spans="1:25">
      <c r="A20" s="10"/>
      <c r="D20" s="2"/>
      <c r="F20" s="47" t="s">
        <v>139</v>
      </c>
      <c r="G20" s="48">
        <v>250</v>
      </c>
      <c r="H20" s="99">
        <f>(G20*(1+$L$2))+(2*$M$2)</f>
        <v>287.5</v>
      </c>
      <c r="I20" s="99" t="str">
        <f>'Εσωτερικό Δίκτυο Αναλυτικά'!J16</f>
        <v>AL/XLPE/ALPE/HDPE/SCPE</v>
      </c>
      <c r="J20" s="100">
        <f>'Εσωτερικό Δίκτυο Αναλυτικά'!L16</f>
        <v>150</v>
      </c>
      <c r="K20" s="100">
        <f>'Εσωτερικό Δίκτυο Αναλυτικά'!K16</f>
        <v>1</v>
      </c>
      <c r="N20" s="99">
        <f>H20/1000</f>
        <v>0.28749999999999998</v>
      </c>
      <c r="O20" s="99">
        <f>(3*H20*K20)/1000</f>
        <v>0.86250000000000004</v>
      </c>
      <c r="P20" s="99">
        <f>IF($D$2='Cable Costs'!$B$2,VLOOKUP(J20,'Cable Costs'!$C$3:$K$14,MATCH(I20,'Cable Costs'!$C$2:$K$2,0),FALSE),VLOOKUP(J20,'Cable Costs'!$C$18:$K$29,MATCH(I20,'Cable Costs'!$C$2:$K$2,0),FALSE))</f>
        <v>6485.9999999999991</v>
      </c>
      <c r="Q20" s="48">
        <v>30000</v>
      </c>
      <c r="R20" s="102">
        <f t="shared" si="6"/>
        <v>14219.174999999999</v>
      </c>
      <c r="S20" s="104"/>
      <c r="T20" s="104"/>
      <c r="U20" s="104">
        <f>(1+'Cable Data'!U24)*H20*'Cable Costs'!$D$35/1000</f>
        <v>184</v>
      </c>
      <c r="V20" s="357"/>
      <c r="X20" s="93" t="s">
        <v>99</v>
      </c>
      <c r="Y20" s="202">
        <f>SUM(N16:N21)</f>
        <v>31.559070000000006</v>
      </c>
    </row>
    <row r="21" spans="1:25">
      <c r="A21" s="10"/>
      <c r="D21" s="2"/>
      <c r="F21" s="47" t="s">
        <v>145</v>
      </c>
      <c r="G21" s="48">
        <v>14169</v>
      </c>
      <c r="H21" s="127">
        <f>(G21*(1+$L$2))+(2*$M$2)</f>
        <v>15180.830000000002</v>
      </c>
      <c r="I21" s="127" t="str">
        <f>'Εσωτερικό Δίκτυο Αναλυτικά'!J17</f>
        <v>AL/XLPE/ALPE/HDPE/SCPE</v>
      </c>
      <c r="J21" s="128">
        <f>'Εσωτερικό Δίκτυο Αναλυτικά'!L17</f>
        <v>400</v>
      </c>
      <c r="K21" s="128">
        <f>'Εσωτερικό Δίκτυο Αναλυτικά'!K17</f>
        <v>1</v>
      </c>
      <c r="N21" s="127">
        <f>H21/1000</f>
        <v>15.180830000000002</v>
      </c>
      <c r="O21" s="127">
        <f>(3*H21*K21)/1000</f>
        <v>45.542490000000008</v>
      </c>
      <c r="P21" s="127">
        <f>IF($D$2='Cable Costs'!$B$2,VLOOKUP(J21,'Cable Costs'!$C$3:$K$14,MATCH(I21,'Cable Costs'!$C$2:$K$2,0),FALSE),VLOOKUP(J21,'Cable Costs'!$C$18:$K$29,MATCH(I21,'Cable Costs'!$C$2:$K$2,0),FALSE))</f>
        <v>11166.5</v>
      </c>
      <c r="Q21" s="48">
        <v>0</v>
      </c>
      <c r="R21" s="129">
        <f t="shared" si="6"/>
        <v>508550.21458500007</v>
      </c>
      <c r="S21" s="168">
        <v>0</v>
      </c>
      <c r="T21" s="168">
        <v>65000</v>
      </c>
      <c r="U21" s="168">
        <f>(1+'Cable Data'!U25)*H21*'Cable Costs'!$D$35/1000</f>
        <v>9715.731200000002</v>
      </c>
      <c r="V21" s="357"/>
    </row>
    <row r="22" spans="1:25">
      <c r="P22" s="4"/>
      <c r="Q22" s="4"/>
      <c r="R22" s="103">
        <f>SUM(R16:R21)</f>
        <v>1551176.8585050001</v>
      </c>
      <c r="S22" s="103">
        <f>SUM(S16:S21)</f>
        <v>0</v>
      </c>
      <c r="T22" s="103">
        <f>T21</f>
        <v>65000</v>
      </c>
      <c r="U22" s="103">
        <f>SUM(U16:U21)</f>
        <v>20197.804800000002</v>
      </c>
      <c r="V22" s="103">
        <f>SUM(V16)</f>
        <v>50000</v>
      </c>
    </row>
    <row r="23" spans="1:25">
      <c r="P23" s="4"/>
      <c r="Q23" s="4"/>
      <c r="R23" s="5"/>
      <c r="S23" s="5"/>
      <c r="T23" s="5"/>
    </row>
    <row r="24" spans="1:25">
      <c r="P24" s="4"/>
      <c r="Q24" s="50" t="s">
        <v>26</v>
      </c>
      <c r="R24" s="50">
        <f>SUM(R22:V22)</f>
        <v>1686374.6633050002</v>
      </c>
      <c r="S24" s="5"/>
      <c r="T24" s="5"/>
    </row>
    <row r="27" spans="1:25" ht="45">
      <c r="A27" s="3" t="s">
        <v>95</v>
      </c>
      <c r="B27" s="3" t="s">
        <v>7</v>
      </c>
      <c r="C27" s="30" t="s">
        <v>8</v>
      </c>
      <c r="D27" s="30" t="s">
        <v>9</v>
      </c>
      <c r="G27" s="42" t="s">
        <v>10</v>
      </c>
      <c r="H27" s="42" t="s">
        <v>11</v>
      </c>
      <c r="I27" s="42" t="s">
        <v>12</v>
      </c>
      <c r="J27" s="42" t="s">
        <v>13</v>
      </c>
      <c r="K27" s="45" t="s">
        <v>14</v>
      </c>
      <c r="L27" s="42" t="s">
        <v>15</v>
      </c>
      <c r="M27" s="42" t="s">
        <v>16</v>
      </c>
      <c r="N27" s="22" t="s">
        <v>17</v>
      </c>
      <c r="O27" s="23" t="s">
        <v>18</v>
      </c>
      <c r="P27" s="22" t="s">
        <v>19</v>
      </c>
      <c r="Q27" s="22" t="s">
        <v>20</v>
      </c>
      <c r="R27" s="22" t="s">
        <v>21</v>
      </c>
      <c r="S27" s="206" t="s">
        <v>22</v>
      </c>
      <c r="T27" s="206" t="s">
        <v>147</v>
      </c>
      <c r="U27" s="22" t="s">
        <v>23</v>
      </c>
      <c r="V27" s="105" t="s">
        <v>24</v>
      </c>
      <c r="X27" s="252" t="s">
        <v>120</v>
      </c>
      <c r="Y27" s="109" t="s">
        <v>98</v>
      </c>
    </row>
    <row r="28" spans="1:25" ht="15" customHeight="1">
      <c r="A28" s="46">
        <v>3</v>
      </c>
      <c r="B28" s="47" t="s">
        <v>131</v>
      </c>
      <c r="C28" s="47">
        <v>68.39</v>
      </c>
      <c r="D28" s="48" t="s">
        <v>25</v>
      </c>
      <c r="F28" s="47" t="s">
        <v>135</v>
      </c>
      <c r="G28" s="321">
        <f>106+743</f>
        <v>849</v>
      </c>
      <c r="H28" s="127">
        <f t="shared" ref="H28:H33" si="7">(G28*(1+$L$2))+(2*$M$2)</f>
        <v>928.43000000000006</v>
      </c>
      <c r="I28" s="127" t="str">
        <f>'Εσωτερικό Δίκτυο Αναλυτικά'!J19</f>
        <v>AL/XLPE/ALPE/HDPE/SCPE</v>
      </c>
      <c r="J28" s="128">
        <f>'Εσωτερικό Δίκτυο Αναλυτικά'!L19</f>
        <v>300</v>
      </c>
      <c r="K28" s="128">
        <f>'Εσωτερικό Δίκτυο Αναλυτικά'!K19</f>
        <v>1</v>
      </c>
      <c r="L28" s="43">
        <v>7.0000000000000007E-2</v>
      </c>
      <c r="M28" s="44">
        <v>10</v>
      </c>
      <c r="N28" s="127">
        <f t="shared" ref="N28:N33" si="8">H28/1000</f>
        <v>0.92843000000000009</v>
      </c>
      <c r="O28" s="127">
        <f t="shared" ref="O28:O33" si="9">(3*H28*K28)/1000</f>
        <v>2.7852899999999998</v>
      </c>
      <c r="P28" s="127">
        <f>IF($D$2='Cable Costs'!$B$2,VLOOKUP(J28,'Cable Costs'!$C$3:$K$14,MATCH(I28,'Cable Costs'!$C$2:$K$2,0),FALSE),VLOOKUP(J28,'Cable Costs'!$C$18:$K$29,MATCH(I28,'Cable Costs'!$C$2:$K$2,0),FALSE))</f>
        <v>9568</v>
      </c>
      <c r="Q28" s="48">
        <v>30000</v>
      </c>
      <c r="R28" s="129">
        <f>(P28*O28)+(Q28*N28)</f>
        <v>54502.55472</v>
      </c>
      <c r="S28" s="168"/>
      <c r="T28" s="168"/>
      <c r="U28" s="168">
        <f>(1+'Cable Data'!U32)*H28*'Cable Costs'!$D$35/1000</f>
        <v>594.19520000000011</v>
      </c>
      <c r="V28" s="357">
        <v>50000</v>
      </c>
      <c r="X28" s="10">
        <v>95</v>
      </c>
      <c r="Y28" s="200">
        <v>4.3774500000000005</v>
      </c>
    </row>
    <row r="29" spans="1:25" ht="15" customHeight="1">
      <c r="A29" s="10"/>
      <c r="D29" s="2"/>
      <c r="F29" s="47" t="s">
        <v>139</v>
      </c>
      <c r="G29" s="322">
        <f>106+558+120</f>
        <v>784</v>
      </c>
      <c r="H29" s="99">
        <f t="shared" si="7"/>
        <v>858.88</v>
      </c>
      <c r="I29" s="99" t="str">
        <f>'Εσωτερικό Δίκτυο Αναλυτικά'!J20</f>
        <v>AL/XLPE/ALPE/HDPE/SCPE</v>
      </c>
      <c r="J29" s="100">
        <f>'Εσωτερικό Δίκτυο Αναλυτικά'!L20</f>
        <v>300</v>
      </c>
      <c r="K29" s="100">
        <f>'Εσωτερικό Δίκτυο Αναλυτικά'!K20</f>
        <v>1</v>
      </c>
      <c r="N29" s="99">
        <f t="shared" si="8"/>
        <v>0.85887999999999998</v>
      </c>
      <c r="O29" s="99">
        <f t="shared" si="9"/>
        <v>2.5766399999999998</v>
      </c>
      <c r="P29" s="99">
        <f>IF($D$2='Cable Costs'!$B$2,VLOOKUP(J29,'Cable Costs'!$C$3:$K$14,MATCH(I29,'Cable Costs'!$C$2:$K$2,0),FALSE),VLOOKUP(J29,'Cable Costs'!$C$18:$K$29,MATCH(I29,'Cable Costs'!$C$2:$K$2,0),FALSE))</f>
        <v>9568</v>
      </c>
      <c r="Q29" s="48">
        <v>30000</v>
      </c>
      <c r="R29" s="102">
        <f t="shared" ref="R29:R33" si="10">(P29*O29)+(Q29*N29)</f>
        <v>50419.691519999993</v>
      </c>
      <c r="S29" s="104"/>
      <c r="T29" s="104"/>
      <c r="U29" s="104">
        <f>(1+'Cable Data'!U33)*H29*'Cable Costs'!$D$35/1000</f>
        <v>549.68319999999994</v>
      </c>
      <c r="V29" s="357"/>
      <c r="X29" s="10">
        <v>300</v>
      </c>
      <c r="Y29" s="200">
        <v>6.7540799999999992</v>
      </c>
    </row>
    <row r="30" spans="1:25" ht="15" customHeight="1">
      <c r="A30" s="10"/>
      <c r="D30" s="2"/>
      <c r="F30" s="47" t="s">
        <v>155</v>
      </c>
      <c r="G30" s="323">
        <f>120+150+145</f>
        <v>415</v>
      </c>
      <c r="H30" s="127">
        <f t="shared" si="7"/>
        <v>464.05</v>
      </c>
      <c r="I30" s="127" t="str">
        <f>'Εσωτερικό Δίκτυο Αναλυτικά'!J21</f>
        <v>AL/XLPE/ALPE/HDPE/SCPE</v>
      </c>
      <c r="J30" s="128">
        <f>'Εσωτερικό Δίκτυο Αναλυτικά'!L21</f>
        <v>300</v>
      </c>
      <c r="K30" s="128">
        <f>'Εσωτερικό Δίκτυο Αναλυτικά'!K21</f>
        <v>1</v>
      </c>
      <c r="N30" s="127">
        <f t="shared" si="8"/>
        <v>0.46405000000000002</v>
      </c>
      <c r="O30" s="127">
        <f t="shared" si="9"/>
        <v>1.39215</v>
      </c>
      <c r="P30" s="127">
        <f>IF($D$2='Cable Costs'!$B$2,VLOOKUP(J30,'Cable Costs'!$C$3:$K$14,MATCH(I30,'Cable Costs'!$C$2:$K$2,0),FALSE),VLOOKUP(J30,'Cable Costs'!$C$18:$K$29,MATCH(I30,'Cable Costs'!$C$2:$K$2,0),FALSE))</f>
        <v>9568</v>
      </c>
      <c r="Q30" s="48">
        <v>30000</v>
      </c>
      <c r="R30" s="129">
        <f t="shared" si="10"/>
        <v>27241.591200000003</v>
      </c>
      <c r="S30" s="168"/>
      <c r="T30" s="168"/>
      <c r="U30" s="168">
        <f>(1+'Cable Data'!U34)*H30*'Cable Costs'!$D$35/1000</f>
        <v>296.99200000000002</v>
      </c>
      <c r="V30" s="357"/>
      <c r="X30" s="10">
        <v>800</v>
      </c>
      <c r="Y30" s="200">
        <v>10.72362</v>
      </c>
    </row>
    <row r="31" spans="1:25" ht="15" customHeight="1">
      <c r="A31" s="10"/>
      <c r="D31" s="2"/>
      <c r="F31" s="47" t="s">
        <v>156</v>
      </c>
      <c r="G31" s="48">
        <f>643+2679</f>
        <v>3322</v>
      </c>
      <c r="H31" s="99">
        <f t="shared" si="7"/>
        <v>3574.5400000000004</v>
      </c>
      <c r="I31" s="99" t="str">
        <f>'Εσωτερικό Δίκτυο Αναλυτικά'!J22</f>
        <v>AL/XLPE/ALPE/HDPE/SCPE</v>
      </c>
      <c r="J31" s="100">
        <f>'Εσωτερικό Δίκτυο Αναλυτικά'!L22</f>
        <v>800</v>
      </c>
      <c r="K31" s="100">
        <f>'Εσωτερικό Δίκτυο Αναλυτικά'!K22</f>
        <v>1</v>
      </c>
      <c r="N31" s="99">
        <f t="shared" si="8"/>
        <v>3.5745400000000003</v>
      </c>
      <c r="O31" s="99">
        <f t="shared" si="9"/>
        <v>10.72362</v>
      </c>
      <c r="P31" s="99">
        <f>IF($D$2='Cable Costs'!$B$2,VLOOKUP(J31,'Cable Costs'!$C$3:$K$14,MATCH(I31,'Cable Costs'!$C$2:$K$2,0),FALSE),VLOOKUP(J31,'Cable Costs'!$C$18:$K$29,MATCH(I31,'Cable Costs'!$C$2:$K$2,0),FALSE))</f>
        <v>18836.999999999996</v>
      </c>
      <c r="Q31" s="48">
        <v>30000</v>
      </c>
      <c r="R31" s="102">
        <f t="shared" si="10"/>
        <v>309237.02993999998</v>
      </c>
      <c r="S31" s="104"/>
      <c r="T31" s="104">
        <v>65000</v>
      </c>
      <c r="U31" s="104">
        <f>(1+'Cable Data'!U36)*H31*'Cable Costs'!$D$35/1000</f>
        <v>2287.7056000000002</v>
      </c>
      <c r="V31" s="357"/>
    </row>
    <row r="32" spans="1:25" ht="15" customHeight="1">
      <c r="A32" s="10"/>
      <c r="D32" s="2"/>
      <c r="G32" s="2"/>
      <c r="H32" s="97"/>
      <c r="I32" s="97"/>
      <c r="J32" s="98"/>
      <c r="K32" s="98"/>
      <c r="N32" s="97"/>
      <c r="O32" s="97"/>
      <c r="P32" s="97"/>
      <c r="Q32" s="2"/>
      <c r="R32" s="101"/>
      <c r="S32" s="101"/>
      <c r="T32" s="101"/>
      <c r="U32" s="101"/>
      <c r="V32" s="357"/>
      <c r="X32" s="93" t="s">
        <v>99</v>
      </c>
      <c r="Y32" s="202">
        <f>SUM(N28:N33)</f>
        <v>7.2850500000000009</v>
      </c>
    </row>
    <row r="33" spans="1:25" ht="15" customHeight="1">
      <c r="A33" s="10"/>
      <c r="D33" s="2"/>
      <c r="F33" s="47" t="s">
        <v>163</v>
      </c>
      <c r="G33" s="48">
        <v>1345</v>
      </c>
      <c r="H33" s="99">
        <f t="shared" si="7"/>
        <v>1459.15</v>
      </c>
      <c r="I33" s="99" t="str">
        <f>'Εσωτερικό Δίκτυο Αναλυτικά'!J24</f>
        <v>AL/XLPE/ALPE/HDPE/SCPE</v>
      </c>
      <c r="J33" s="100">
        <f>'Εσωτερικό Δίκτυο Αναλυτικά'!L24</f>
        <v>95</v>
      </c>
      <c r="K33" s="100">
        <f>'Εσωτερικό Δίκτυο Αναλυτικά'!K24</f>
        <v>1</v>
      </c>
      <c r="N33" s="99">
        <f t="shared" si="8"/>
        <v>1.4591500000000002</v>
      </c>
      <c r="O33" s="99">
        <f t="shared" si="9"/>
        <v>4.3774500000000005</v>
      </c>
      <c r="P33" s="99">
        <f>IF($D$2='Cable Costs'!$B$2,VLOOKUP(J33,'Cable Costs'!$C$3:$K$14,MATCH(I33,'Cable Costs'!$C$2:$K$2,0),FALSE),VLOOKUP(J33,'Cable Costs'!$C$18:$K$29,MATCH(I33,'Cable Costs'!$C$2:$K$2,0),FALSE))</f>
        <v>5347.5</v>
      </c>
      <c r="Q33" s="48">
        <v>30000</v>
      </c>
      <c r="R33" s="102">
        <f t="shared" si="10"/>
        <v>67182.913875000013</v>
      </c>
      <c r="S33" s="104"/>
      <c r="T33" s="104"/>
      <c r="U33" s="104">
        <f>(1+'Cable Data'!U39)*H33*'Cable Costs'!$D$35/1000</f>
        <v>933.85599999999999</v>
      </c>
      <c r="V33" s="357"/>
      <c r="Y33" s="200"/>
    </row>
    <row r="34" spans="1:25" ht="15" customHeight="1">
      <c r="A34" s="10"/>
      <c r="D34" s="2"/>
      <c r="F34" s="47" t="s">
        <v>162</v>
      </c>
      <c r="G34" s="48">
        <v>232</v>
      </c>
      <c r="H34" s="127">
        <f t="shared" ref="H34:H35" si="11">(G34*(1+$L$2))+(2*$M$2)</f>
        <v>268.24</v>
      </c>
      <c r="I34" s="127" t="str">
        <f>'Εσωτερικό Δίκτυο Αναλυτικά'!J25</f>
        <v>AL/XLPE/ALPE/HDPE/SCPE</v>
      </c>
      <c r="J34" s="128">
        <f>'Εσωτερικό Δίκτυο Αναλυτικά'!L25</f>
        <v>300</v>
      </c>
      <c r="K34" s="128">
        <f>'Εσωτερικό Δίκτυο Αναλυτικά'!K25</f>
        <v>1</v>
      </c>
      <c r="N34" s="127">
        <f t="shared" ref="N34:N35" si="12">H34/1000</f>
        <v>0.26824000000000003</v>
      </c>
      <c r="O34" s="127">
        <f t="shared" ref="O34:O35" si="13">(3*H34*K34)/1000</f>
        <v>0.80471999999999999</v>
      </c>
      <c r="P34" s="127">
        <f>IF($D$2='Cable Costs'!$B$2,VLOOKUP(J34,'Cable Costs'!$C$3:$K$14,MATCH(I34,'Cable Costs'!$C$2:$K$2,0),FALSE),VLOOKUP(J34,'Cable Costs'!$C$18:$K$29,MATCH(I34,'Cable Costs'!$C$2:$K$2,0),FALSE))</f>
        <v>9568</v>
      </c>
      <c r="Q34" s="48">
        <v>30000</v>
      </c>
      <c r="R34" s="129">
        <f t="shared" ref="R34:R35" si="14">(P34*O34)+(Q34*N34)</f>
        <v>15746.76096</v>
      </c>
      <c r="S34" s="168"/>
      <c r="T34" s="168"/>
      <c r="U34" s="168">
        <f>(1+'Cable Data'!U40)*H34*'Cable Costs'!$D$35/1000</f>
        <v>171.67359999999999</v>
      </c>
      <c r="V34" s="357"/>
      <c r="Y34" s="200"/>
    </row>
    <row r="35" spans="1:25" ht="15" customHeight="1">
      <c r="A35" s="10"/>
      <c r="D35" s="2"/>
      <c r="F35" s="47" t="s">
        <v>146</v>
      </c>
      <c r="G35" s="48">
        <f>730+2679</f>
        <v>3409</v>
      </c>
      <c r="H35" s="99">
        <f t="shared" si="11"/>
        <v>3667.63</v>
      </c>
      <c r="I35" s="99" t="str">
        <f>'Εσωτερικό Δίκτυο Αναλυτικά'!J26</f>
        <v>AL/XLPE/ALPE/HDPE/SCPE</v>
      </c>
      <c r="J35" s="100">
        <f>'Εσωτερικό Δίκτυο Αναλυτικά'!L26</f>
        <v>800</v>
      </c>
      <c r="K35" s="100">
        <f>'Εσωτερικό Δίκτυο Αναλυτικά'!K26</f>
        <v>1</v>
      </c>
      <c r="N35" s="99">
        <f t="shared" si="12"/>
        <v>3.6676299999999999</v>
      </c>
      <c r="O35" s="99">
        <f t="shared" si="13"/>
        <v>11.002889999999999</v>
      </c>
      <c r="P35" s="99">
        <f>IF($D$2='Cable Costs'!$B$2,VLOOKUP(J35,'Cable Costs'!$C$3:$K$14,MATCH(I35,'Cable Costs'!$C$2:$K$2,0),FALSE),VLOOKUP(J35,'Cable Costs'!$C$18:$K$29,MATCH(I35,'Cable Costs'!$C$2:$K$2,0),FALSE))</f>
        <v>18836.999999999996</v>
      </c>
      <c r="Q35" s="48">
        <v>30000</v>
      </c>
      <c r="R35" s="102">
        <f t="shared" si="14"/>
        <v>317290.33892999997</v>
      </c>
      <c r="S35" s="104"/>
      <c r="T35" s="104">
        <v>65000</v>
      </c>
      <c r="U35" s="104">
        <f>(1+'Cable Data'!U41)*H35*'Cable Costs'!$D$35/1000</f>
        <v>2347.2832000000003</v>
      </c>
      <c r="V35" s="357"/>
      <c r="Y35" s="200"/>
    </row>
    <row r="36" spans="1:25" ht="15" customHeight="1">
      <c r="A36" s="10"/>
      <c r="D36" s="2"/>
      <c r="G36" s="2"/>
      <c r="H36" s="97"/>
      <c r="I36" s="97"/>
      <c r="J36" s="98"/>
      <c r="K36" s="98"/>
      <c r="N36" s="97"/>
      <c r="O36" s="97"/>
      <c r="P36" s="97"/>
      <c r="Q36" s="2"/>
      <c r="R36" s="101"/>
      <c r="S36" s="101"/>
      <c r="T36" s="101"/>
      <c r="U36" s="101"/>
      <c r="V36" s="357"/>
      <c r="Y36" s="200"/>
    </row>
    <row r="37" spans="1:25" ht="15" customHeight="1">
      <c r="A37" s="10"/>
      <c r="D37" s="2"/>
      <c r="F37" s="47" t="s">
        <v>158</v>
      </c>
      <c r="G37" s="48">
        <v>1701</v>
      </c>
      <c r="H37" s="99">
        <f t="shared" ref="H37:H40" si="15">(G37*(1+$L$2))+(2*$M$2)</f>
        <v>1840.0700000000002</v>
      </c>
      <c r="I37" s="99" t="str">
        <f>'Εσωτερικό Δίκτυο Αναλυτικά'!J28</f>
        <v>AL/XLPE/ALPE/HDPE/SCPE</v>
      </c>
      <c r="J37" s="100">
        <f>'Εσωτερικό Δίκτυο Αναλυτικά'!L28</f>
        <v>300</v>
      </c>
      <c r="K37" s="100">
        <f>'Εσωτερικό Δίκτυο Αναλυτικά'!K28</f>
        <v>1</v>
      </c>
      <c r="N37" s="99">
        <f t="shared" ref="N37:N40" si="16">H37/1000</f>
        <v>1.8400700000000001</v>
      </c>
      <c r="O37" s="99">
        <f t="shared" ref="O37:O40" si="17">(3*H37*K37)/1000</f>
        <v>5.5202100000000005</v>
      </c>
      <c r="P37" s="99">
        <f>IF($D$2='Cable Costs'!$B$2,VLOOKUP(J37,'Cable Costs'!$C$3:$K$14,MATCH(I37,'Cable Costs'!$C$2:$K$2,0),FALSE),VLOOKUP(J37,'Cable Costs'!$C$18:$K$29,MATCH(I37,'Cable Costs'!$C$2:$K$2,0),FALSE))</f>
        <v>9568</v>
      </c>
      <c r="Q37" s="48">
        <v>30000</v>
      </c>
      <c r="R37" s="102">
        <f t="shared" ref="R37:R40" si="18">(P37*O37)+(Q37*N37)</f>
        <v>108019.46928000002</v>
      </c>
      <c r="S37" s="104"/>
      <c r="T37" s="104"/>
      <c r="U37" s="104">
        <f>(1+'Cable Data'!U43)*H37*'Cable Costs'!$D$35/1000</f>
        <v>1177.6448</v>
      </c>
      <c r="V37" s="357"/>
      <c r="Y37" s="200"/>
    </row>
    <row r="38" spans="1:25" ht="15" customHeight="1">
      <c r="A38" s="10"/>
      <c r="D38" s="2"/>
      <c r="F38" s="47" t="s">
        <v>159</v>
      </c>
      <c r="G38" s="48">
        <v>191</v>
      </c>
      <c r="H38" s="127">
        <f t="shared" si="15"/>
        <v>224.37</v>
      </c>
      <c r="I38" s="127" t="str">
        <f>'Εσωτερικό Δίκτυο Αναλυτικά'!J29</f>
        <v>AL/XLPE/ALPE/HDPE/SCPE</v>
      </c>
      <c r="J38" s="128">
        <f>'Εσωτερικό Δίκτυο Αναλυτικά'!L29</f>
        <v>300</v>
      </c>
      <c r="K38" s="128">
        <f>'Εσωτερικό Δίκτυο Αναλυτικά'!K29</f>
        <v>1</v>
      </c>
      <c r="N38" s="127">
        <f t="shared" si="16"/>
        <v>0.22437000000000001</v>
      </c>
      <c r="O38" s="127">
        <f t="shared" si="17"/>
        <v>0.67310999999999999</v>
      </c>
      <c r="P38" s="127">
        <f>IF($D$2='Cable Costs'!$B$2,VLOOKUP(J38,'Cable Costs'!$C$3:$K$14,MATCH(I38,'Cable Costs'!$C$2:$K$2,0),FALSE),VLOOKUP(J38,'Cable Costs'!$C$18:$K$29,MATCH(I38,'Cable Costs'!$C$2:$K$2,0),FALSE))</f>
        <v>9568</v>
      </c>
      <c r="Q38" s="48">
        <v>30000</v>
      </c>
      <c r="R38" s="129">
        <f t="shared" si="18"/>
        <v>13171.41648</v>
      </c>
      <c r="S38" s="168"/>
      <c r="T38" s="168"/>
      <c r="U38" s="168">
        <f>(1+'Cable Data'!U44)*H38*'Cable Costs'!$D$35/1000</f>
        <v>143.5968</v>
      </c>
      <c r="V38" s="357"/>
      <c r="Y38" s="200"/>
    </row>
    <row r="39" spans="1:25" ht="15" customHeight="1">
      <c r="A39" s="10"/>
      <c r="D39" s="2"/>
      <c r="F39" s="47" t="s">
        <v>160</v>
      </c>
      <c r="G39" s="48">
        <v>230</v>
      </c>
      <c r="H39" s="99">
        <f t="shared" si="15"/>
        <v>266.10000000000002</v>
      </c>
      <c r="I39" s="99" t="str">
        <f>'Εσωτερικό Δίκτυο Αναλυτικά'!J30</f>
        <v>AL/XLPE/ALPE/HDPE/SCPE</v>
      </c>
      <c r="J39" s="100">
        <f>'Εσωτερικό Δίκτυο Αναλυτικά'!L30</f>
        <v>300</v>
      </c>
      <c r="K39" s="100">
        <f>'Εσωτερικό Δίκτυο Αναλυτικά'!K30</f>
        <v>1</v>
      </c>
      <c r="N39" s="99">
        <f t="shared" si="16"/>
        <v>0.2661</v>
      </c>
      <c r="O39" s="99">
        <f t="shared" si="17"/>
        <v>0.79830000000000012</v>
      </c>
      <c r="P39" s="99">
        <f>IF($D$2='Cable Costs'!$B$2,VLOOKUP(J39,'Cable Costs'!$C$3:$K$14,MATCH(I39,'Cable Costs'!$C$2:$K$2,0),FALSE),VLOOKUP(J39,'Cable Costs'!$C$18:$K$29,MATCH(I39,'Cable Costs'!$C$2:$K$2,0),FALSE))</f>
        <v>9568</v>
      </c>
      <c r="Q39" s="48">
        <v>30000</v>
      </c>
      <c r="R39" s="102">
        <f t="shared" si="18"/>
        <v>15621.134400000001</v>
      </c>
      <c r="S39" s="104"/>
      <c r="T39" s="104"/>
      <c r="U39" s="104">
        <f>(1+'Cable Data'!U45)*H39*'Cable Costs'!$D$35/1000</f>
        <v>170.304</v>
      </c>
      <c r="V39" s="357"/>
      <c r="Y39" s="200"/>
    </row>
    <row r="40" spans="1:25" ht="15" customHeight="1">
      <c r="A40" s="10"/>
      <c r="D40" s="2"/>
      <c r="F40" s="47" t="s">
        <v>157</v>
      </c>
      <c r="G40" s="48">
        <v>3200</v>
      </c>
      <c r="H40" s="99">
        <f t="shared" si="15"/>
        <v>3444</v>
      </c>
      <c r="I40" s="99" t="str">
        <f>'Εσωτερικό Δίκτυο Αναλυτικά'!J31</f>
        <v>AL/XLPE/ALPE/HDPE/SCPE</v>
      </c>
      <c r="J40" s="100">
        <f>'Εσωτερικό Δίκτυο Αναλυτικά'!L31</f>
        <v>800</v>
      </c>
      <c r="K40" s="100">
        <f>'Εσωτερικό Δίκτυο Αναλυτικά'!K31</f>
        <v>1</v>
      </c>
      <c r="N40" s="127">
        <f t="shared" si="16"/>
        <v>3.444</v>
      </c>
      <c r="O40" s="127">
        <f t="shared" si="17"/>
        <v>10.332000000000001</v>
      </c>
      <c r="P40" s="127">
        <f>IF($D$2='Cable Costs'!$B$2,VLOOKUP(J40,'Cable Costs'!$C$3:$K$14,MATCH(I40,'Cable Costs'!$C$2:$K$2,0),FALSE),VLOOKUP(J40,'Cable Costs'!$C$18:$K$29,MATCH(I40,'Cable Costs'!$C$2:$K$2,0),FALSE))</f>
        <v>18836.999999999996</v>
      </c>
      <c r="Q40" s="48">
        <v>30000</v>
      </c>
      <c r="R40" s="129">
        <f t="shared" si="18"/>
        <v>297943.88399999996</v>
      </c>
      <c r="S40" s="168">
        <v>0</v>
      </c>
      <c r="T40" s="168">
        <v>65000</v>
      </c>
      <c r="U40" s="168">
        <f>(1+'Cable Data'!U46)*H40*'Cable Costs'!$D$35/1000</f>
        <v>2204.16</v>
      </c>
      <c r="V40" s="357"/>
    </row>
    <row r="41" spans="1:25" ht="15" customHeight="1">
      <c r="P41" s="4"/>
      <c r="Q41" s="4"/>
      <c r="R41" s="103">
        <f>SUM(R28:R40)</f>
        <v>1276376.7853049999</v>
      </c>
      <c r="S41" s="103">
        <f>SUM(S35:S40)</f>
        <v>0</v>
      </c>
      <c r="T41" s="103">
        <f>SUM(T28:T40)</f>
        <v>195000</v>
      </c>
      <c r="U41" s="103">
        <f>SUM(U28:U33)</f>
        <v>4662.4319999999998</v>
      </c>
      <c r="V41" s="103">
        <f>SUM(V28)</f>
        <v>50000</v>
      </c>
    </row>
    <row r="42" spans="1:25" ht="15" customHeight="1">
      <c r="P42" s="4"/>
      <c r="Q42" s="4"/>
      <c r="R42" s="5"/>
      <c r="S42" s="5"/>
      <c r="T42" s="5"/>
    </row>
    <row r="43" spans="1:25" ht="15" customHeight="1">
      <c r="P43" s="4"/>
      <c r="Q43" s="50" t="s">
        <v>26</v>
      </c>
      <c r="R43" s="50">
        <f>SUM(R41:V41)</f>
        <v>1526039.2173049999</v>
      </c>
      <c r="S43" s="5"/>
      <c r="T43" s="5"/>
    </row>
  </sheetData>
  <mergeCells count="3">
    <mergeCell ref="V2:V9"/>
    <mergeCell ref="V16:V21"/>
    <mergeCell ref="V28:V40"/>
  </mergeCells>
  <dataValidations disablePrompts="1" count="1">
    <dataValidation type="list" allowBlank="1" showInputMessage="1" showErrorMessage="1" sqref="D2 D16 D28" xr:uid="{00000000-0002-0000-0100-000000000000}">
      <formula1>"20kV,33kV"</formula1>
    </dataValidation>
  </dataValidations>
  <pageMargins left="0.7" right="0.7" top="0.75" bottom="0.75" header="0.3" footer="0.3"/>
  <pageSetup paperSize="9"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1"/>
  <sheetViews>
    <sheetView zoomScale="70" zoomScaleNormal="70" workbookViewId="0">
      <selection activeCell="B33" sqref="B33"/>
    </sheetView>
  </sheetViews>
  <sheetFormatPr defaultRowHeight="15" customHeight="1"/>
  <cols>
    <col min="2" max="2" width="36.42578125" bestFit="1" customWidth="1"/>
    <col min="3" max="3" width="19" customWidth="1"/>
    <col min="4" max="4" width="19.42578125" customWidth="1"/>
    <col min="5" max="5" width="10.85546875" customWidth="1"/>
    <col min="6" max="6" width="10" customWidth="1"/>
    <col min="7" max="7" width="17.85546875" customWidth="1"/>
    <col min="8" max="9" width="15.5703125" customWidth="1"/>
    <col min="10" max="10" width="25.140625" customWidth="1"/>
    <col min="11" max="11" width="13.28515625" customWidth="1"/>
    <col min="12" max="12" width="15.85546875" customWidth="1"/>
    <col min="13" max="13" width="18" customWidth="1"/>
    <col min="14" max="14" width="17.42578125" customWidth="1"/>
    <col min="15" max="15" width="17.7109375" customWidth="1"/>
    <col min="16" max="16" width="18.85546875" customWidth="1"/>
    <col min="17" max="17" width="15.7109375" bestFit="1" customWidth="1"/>
    <col min="18" max="19" width="9.140625" bestFit="1" customWidth="1"/>
    <col min="20" max="20" width="12.7109375" customWidth="1"/>
    <col min="21" max="21" width="9" customWidth="1"/>
  </cols>
  <sheetData>
    <row r="1" spans="1:25" ht="60.75" thickBot="1">
      <c r="C1" s="65" t="s">
        <v>27</v>
      </c>
      <c r="D1" s="65" t="s">
        <v>28</v>
      </c>
      <c r="E1" s="65" t="s">
        <v>29</v>
      </c>
      <c r="F1" s="65" t="s">
        <v>30</v>
      </c>
      <c r="G1" s="65" t="s">
        <v>31</v>
      </c>
      <c r="H1" s="65" t="s">
        <v>32</v>
      </c>
      <c r="I1" s="65" t="s">
        <v>33</v>
      </c>
      <c r="J1" s="65" t="s">
        <v>34</v>
      </c>
      <c r="K1" s="65" t="s">
        <v>35</v>
      </c>
      <c r="L1" s="65" t="s">
        <v>36</v>
      </c>
      <c r="M1" s="65" t="s">
        <v>37</v>
      </c>
      <c r="N1" s="65" t="s">
        <v>38</v>
      </c>
      <c r="O1" s="65" t="s">
        <v>39</v>
      </c>
      <c r="P1" s="65" t="s">
        <v>40</v>
      </c>
      <c r="Q1" s="20" t="s">
        <v>41</v>
      </c>
      <c r="R1" s="366" t="s">
        <v>42</v>
      </c>
      <c r="S1" s="366"/>
      <c r="T1" s="20" t="s">
        <v>43</v>
      </c>
    </row>
    <row r="2" spans="1:25" ht="45.75" thickBot="1">
      <c r="A2" s="6" t="s">
        <v>95</v>
      </c>
      <c r="C2" s="66"/>
      <c r="D2" s="66" t="s">
        <v>44</v>
      </c>
      <c r="E2" s="66" t="s">
        <v>45</v>
      </c>
      <c r="F2" s="66" t="s">
        <v>46</v>
      </c>
      <c r="G2" s="66" t="s">
        <v>46</v>
      </c>
      <c r="H2" s="67"/>
      <c r="I2" s="67"/>
      <c r="J2" s="67"/>
      <c r="K2" s="66"/>
      <c r="L2" s="66" t="s">
        <v>47</v>
      </c>
      <c r="M2" s="66" t="s">
        <v>46</v>
      </c>
      <c r="N2" s="66" t="s">
        <v>48</v>
      </c>
      <c r="O2" s="66" t="s">
        <v>48</v>
      </c>
      <c r="P2" s="66" t="s">
        <v>48</v>
      </c>
      <c r="Q2" s="21" t="s">
        <v>49</v>
      </c>
      <c r="R2" s="21" t="s">
        <v>50</v>
      </c>
      <c r="S2" s="21" t="s">
        <v>51</v>
      </c>
      <c r="T2" s="21" t="s">
        <v>49</v>
      </c>
    </row>
    <row r="3" spans="1:25">
      <c r="A3" s="373">
        <f>'Εσωτερικό δίκτυο'!A2</f>
        <v>1</v>
      </c>
      <c r="B3" s="370" t="str">
        <f>'Εσωτερικό δίκτυο'!B2</f>
        <v>Ζωοδόχος [1 Οικίσκο - 1 Εxport]</v>
      </c>
      <c r="C3" s="144" t="str">
        <f>'Εσωτερικό δίκτυο'!F2</f>
        <v>Υ/Σ 5 -&gt; Υ/Σ 6</v>
      </c>
      <c r="D3" s="145">
        <v>4.0999999999999996</v>
      </c>
      <c r="E3" s="146">
        <f>'Εσωτερικό δίκτυο'!H2</f>
        <v>243.63000000000002</v>
      </c>
      <c r="F3" s="147">
        <f t="shared" ref="F3:F7" si="0">D3*10^6/(SQRT(3)*$X$5)</f>
        <v>79.701552312372584</v>
      </c>
      <c r="G3" s="147">
        <f t="shared" ref="G3:G7" si="1">F3/$X$3</f>
        <v>82.166548775641843</v>
      </c>
      <c r="H3" s="268">
        <v>0.83</v>
      </c>
      <c r="I3" s="269">
        <v>1</v>
      </c>
      <c r="J3" s="270" t="s">
        <v>94</v>
      </c>
      <c r="K3" s="271">
        <v>1</v>
      </c>
      <c r="L3" s="271">
        <v>185</v>
      </c>
      <c r="M3" s="148">
        <f>IF(REPLACE(J3,3,20,"")='Cable Data'!$A$1,VLOOKUP(L3,'Cable Data'!$B$2:$K$14,2,FALSE),VLOOKUP(L3,'Cable Data'!$B$17:$K$28,2,FALSE))*H3*K3*I3</f>
        <v>263.11</v>
      </c>
      <c r="N3" s="149">
        <f>IF(REPLACE(J3,3,20,"")='Cable Data'!$A$1,VLOOKUP(L3,'Cable Data'!$B$2:$K$14,5,FALSE),VLOOKUP(L3,'Cable Data'!$B$17:$K$28,5,FALSE))</f>
        <v>2.1100000000000001E-4</v>
      </c>
      <c r="O3" s="149">
        <f>IF(REPLACE($J3,3,20,"")='Cable Data'!$A$1,VLOOKUP($L3,'Cable Data'!$B$2:$K$14,6,FALSE),VLOOKUP($L3,'Cable Data'!$B$17:$K$28,6,FALSE))</f>
        <v>1.22E-4</v>
      </c>
      <c r="P3" s="149">
        <f>IF(REPLACE($J3,3,20,"")='Cable Data'!$A$1,VLOOKUP($L3,'Cable Data'!$B$2:$K$14,5,FALSE),VLOOKUP($L3,'Cable Data'!$B$17:$K$28,5,FALSE))</f>
        <v>2.1100000000000001E-4</v>
      </c>
      <c r="Q3" s="150">
        <f t="shared" ref="Q3:Q7" si="2">G3/K3*(N3*$X$3+O3*$X$4)*E3/$X$5*100</f>
        <v>1.5794105317521057E-2</v>
      </c>
      <c r="R3" s="151">
        <f t="shared" ref="R3:R7" si="3">D3-S3</f>
        <v>4.0989588229976768</v>
      </c>
      <c r="S3" s="152">
        <f t="shared" ref="S3:S7" si="4">3*(G3/K3)^2*P3*E3/1000000*K3</f>
        <v>1.041177002322843E-3</v>
      </c>
      <c r="T3" s="153">
        <f t="shared" ref="T3:T7" si="5">S3*100/D3</f>
        <v>2.5394561032264465E-2</v>
      </c>
      <c r="U3" s="120" t="str">
        <f>IF(AND(M3&gt;=G3,Q3&lt;3),"PASS","FAIL")</f>
        <v>PASS</v>
      </c>
      <c r="W3" s="63" t="s">
        <v>52</v>
      </c>
      <c r="X3" s="19">
        <v>0.97</v>
      </c>
      <c r="Y3" s="2"/>
    </row>
    <row r="4" spans="1:25">
      <c r="A4" s="374"/>
      <c r="B4" s="371"/>
      <c r="C4" s="173" t="str">
        <f>'Εσωτερικό δίκτυο'!F3</f>
        <v>Υ/Σ 6 -&gt; CB</v>
      </c>
      <c r="D4" s="171">
        <f>4.26+D3</f>
        <v>8.36</v>
      </c>
      <c r="E4" s="234">
        <f>'Εσωτερικό δίκτυο'!H3</f>
        <v>773.28000000000009</v>
      </c>
      <c r="F4" s="235">
        <f t="shared" si="0"/>
        <v>162.51340910522799</v>
      </c>
      <c r="G4" s="235">
        <f t="shared" si="1"/>
        <v>167.53959701569897</v>
      </c>
      <c r="H4" s="286">
        <v>0.73</v>
      </c>
      <c r="I4" s="287">
        <v>1</v>
      </c>
      <c r="J4" s="288" t="s">
        <v>94</v>
      </c>
      <c r="K4" s="289">
        <v>1</v>
      </c>
      <c r="L4" s="289">
        <v>185</v>
      </c>
      <c r="M4" s="236">
        <f>IF(REPLACE(J4,3,20,"")='Cable Data'!$A$1,VLOOKUP(L4,'Cable Data'!$B$2:$K$14,2,FALSE),VLOOKUP(L4,'Cable Data'!$B$17:$K$28,2,FALSE))*H4*K4*I4</f>
        <v>231.41</v>
      </c>
      <c r="N4" s="237">
        <f>IF(REPLACE(J4,3,20,"")='Cable Data'!$A$1,VLOOKUP(L4,'Cable Data'!$B$2:$K$14,5,FALSE),VLOOKUP(L4,'Cable Data'!$B$17:$K$28,5,FALSE))</f>
        <v>2.1100000000000001E-4</v>
      </c>
      <c r="O4" s="237">
        <f>IF(REPLACE($J4,3,20,"")='Cable Data'!$A$1,VLOOKUP($L4,'Cable Data'!$B$2:$K$14,6,FALSE),VLOOKUP($L4,'Cable Data'!$B$17:$K$28,6,FALSE))</f>
        <v>1.22E-4</v>
      </c>
      <c r="P4" s="237">
        <f>IF(REPLACE($J4,3,20,"")='Cable Data'!$A$1,VLOOKUP($L4,'Cable Data'!$B$2:$K$14,5,FALSE),VLOOKUP($L4,'Cable Data'!$B$17:$K$28,5,FALSE))</f>
        <v>2.1100000000000001E-4</v>
      </c>
      <c r="Q4" s="238">
        <f t="shared" si="2"/>
        <v>0.10221707822941951</v>
      </c>
      <c r="R4" s="239">
        <f t="shared" si="3"/>
        <v>8.3462603578764227</v>
      </c>
      <c r="S4" s="240">
        <f t="shared" si="4"/>
        <v>1.3739642123577509E-2</v>
      </c>
      <c r="T4" s="241">
        <f t="shared" si="5"/>
        <v>0.16434978616719509</v>
      </c>
      <c r="U4" s="121" t="str">
        <f t="shared" ref="U4:U7" si="6">IF(AND(M4&gt;=G4,Q4&lt;3),"PASS","FAIL")</f>
        <v>PASS</v>
      </c>
      <c r="W4" s="63" t="s">
        <v>53</v>
      </c>
      <c r="X4" s="85">
        <f>SQRT(1-X3^2)</f>
        <v>0.24310491562286443</v>
      </c>
      <c r="Y4" s="2"/>
    </row>
    <row r="5" spans="1:25">
      <c r="A5" s="374"/>
      <c r="B5" s="371"/>
      <c r="C5" s="158"/>
      <c r="D5" s="158"/>
      <c r="E5" s="159"/>
      <c r="F5" s="160"/>
      <c r="G5" s="160"/>
      <c r="H5" s="159"/>
      <c r="I5" s="159"/>
      <c r="J5" s="159"/>
      <c r="K5" s="160"/>
      <c r="L5" s="160"/>
      <c r="M5" s="160"/>
      <c r="N5" s="161"/>
      <c r="O5" s="161"/>
      <c r="P5" s="161"/>
      <c r="Q5" s="159"/>
      <c r="R5" s="162"/>
      <c r="S5" s="163"/>
      <c r="T5" s="162"/>
      <c r="U5" s="121"/>
      <c r="W5" s="84" t="s">
        <v>54</v>
      </c>
      <c r="X5" s="19">
        <f>0.9*REPLACE('Εσωτερικό δίκτυο'!$D$2,3,2,"")*1000</f>
        <v>29700</v>
      </c>
      <c r="Y5" s="2"/>
    </row>
    <row r="6" spans="1:25">
      <c r="A6" s="374"/>
      <c r="B6" s="371"/>
      <c r="C6" s="125" t="str">
        <f>'Εσωτερικό δίκτυο'!F5</f>
        <v>Υ/Σ 1 -&gt; Υ/Σ 2</v>
      </c>
      <c r="D6" s="108">
        <v>6.01</v>
      </c>
      <c r="E6" s="190">
        <f>'Εσωτερικό δίκτυο'!H5</f>
        <v>341</v>
      </c>
      <c r="F6" s="191">
        <f t="shared" si="0"/>
        <v>116.83081204813641</v>
      </c>
      <c r="G6" s="191">
        <f t="shared" si="1"/>
        <v>120.44413613209939</v>
      </c>
      <c r="H6" s="265">
        <v>0.83</v>
      </c>
      <c r="I6" s="57">
        <v>1</v>
      </c>
      <c r="J6" s="58" t="s">
        <v>94</v>
      </c>
      <c r="K6" s="266">
        <v>1</v>
      </c>
      <c r="L6" s="266">
        <v>185</v>
      </c>
      <c r="M6" s="192">
        <f>IF(REPLACE(J6,3,20,"")='Cable Data'!$A$1,VLOOKUP(L6,'Cable Data'!$B$2:$K$14,2,FALSE),VLOOKUP(L6,'Cable Data'!$B$17:$K$28,2,FALSE))*H6*K6*I6</f>
        <v>263.11</v>
      </c>
      <c r="N6" s="193">
        <f>IF(REPLACE(J6,3,20,"")='Cable Data'!$A$1,VLOOKUP(L6,'Cable Data'!$B$2:$K$14,5,FALSE),VLOOKUP(L6,'Cable Data'!$B$17:$K$28,5,FALSE))</f>
        <v>2.1100000000000001E-4</v>
      </c>
      <c r="O6" s="193">
        <f>IF(REPLACE($J6,3,20,"")='Cable Data'!$A$1,VLOOKUP($L6,'Cable Data'!$B$2:$K$14,6,FALSE),VLOOKUP($L6,'Cable Data'!$B$17:$K$28,6,FALSE))</f>
        <v>1.22E-4</v>
      </c>
      <c r="P6" s="193">
        <f>IF(REPLACE($J6,3,20,"")='Cable Data'!$A$1,VLOOKUP($L6,'Cable Data'!$B$2:$K$14,5,FALSE),VLOOKUP($L6,'Cable Data'!$B$17:$K$28,5,FALSE))</f>
        <v>2.1100000000000001E-4</v>
      </c>
      <c r="Q6" s="194">
        <f t="shared" si="2"/>
        <v>3.2404793533157374E-2</v>
      </c>
      <c r="R6" s="195">
        <f t="shared" si="3"/>
        <v>6.0068686658735402</v>
      </c>
      <c r="S6" s="196">
        <f t="shared" si="4"/>
        <v>3.1313341264597562E-3</v>
      </c>
      <c r="T6" s="197">
        <f t="shared" si="5"/>
        <v>5.2102065332109086E-2</v>
      </c>
      <c r="U6" s="267" t="str">
        <f t="shared" si="6"/>
        <v>PASS</v>
      </c>
      <c r="W6" s="2"/>
      <c r="X6" s="2"/>
      <c r="Y6" s="2"/>
    </row>
    <row r="7" spans="1:25">
      <c r="A7" s="374"/>
      <c r="B7" s="371"/>
      <c r="C7" s="123" t="str">
        <f>'Εσωτερικό δίκτυο'!F6</f>
        <v>Υ/Σ 2 -&gt; Υ/Σ 3</v>
      </c>
      <c r="D7" s="106">
        <f>D6+6.01</f>
        <v>12.02</v>
      </c>
      <c r="E7" s="24">
        <f>'Εσωτερικό δίκτυο'!H6</f>
        <v>287.5</v>
      </c>
      <c r="F7" s="25">
        <f t="shared" si="0"/>
        <v>233.66162409627282</v>
      </c>
      <c r="G7" s="25">
        <f t="shared" si="1"/>
        <v>240.88827226419878</v>
      </c>
      <c r="H7" s="261">
        <v>0.83</v>
      </c>
      <c r="I7" s="262">
        <v>1</v>
      </c>
      <c r="J7" s="91" t="s">
        <v>94</v>
      </c>
      <c r="K7" s="263">
        <v>1</v>
      </c>
      <c r="L7" s="263">
        <v>185</v>
      </c>
      <c r="M7" s="132">
        <f>IF(REPLACE(J7,3,20,"")='Cable Data'!$A$1,VLOOKUP(L7,'Cable Data'!$B$2:$K$14,2,FALSE),VLOOKUP(L7,'Cable Data'!$B$17:$K$28,2,FALSE))*H7*K7*I7</f>
        <v>263.11</v>
      </c>
      <c r="N7" s="107">
        <f>IF(REPLACE(J7,3,20,"")='Cable Data'!$A$1,VLOOKUP(L7,'Cable Data'!$B$2:$K$14,5,FALSE),VLOOKUP(L7,'Cable Data'!$B$17:$K$28,5,FALSE))</f>
        <v>2.1100000000000001E-4</v>
      </c>
      <c r="O7" s="107">
        <f>IF(REPLACE($J7,3,20,"")='Cable Data'!$A$1,VLOOKUP($L7,'Cable Data'!$B$2:$K$14,6,FALSE),VLOOKUP($L7,'Cable Data'!$B$17:$K$28,6,FALSE))</f>
        <v>1.22E-4</v>
      </c>
      <c r="P7" s="107">
        <f>IF(REPLACE($J7,3,20,"")='Cable Data'!$A$1,VLOOKUP($L7,'Cable Data'!$B$2:$K$14,5,FALSE),VLOOKUP($L7,'Cable Data'!$B$17:$K$28,5,FALSE))</f>
        <v>2.1100000000000001E-4</v>
      </c>
      <c r="Q7" s="88">
        <f t="shared" si="2"/>
        <v>5.4641514022186179E-2</v>
      </c>
      <c r="R7" s="26">
        <f t="shared" si="3"/>
        <v>12.009439782271469</v>
      </c>
      <c r="S7" s="27">
        <f t="shared" si="4"/>
        <v>1.0560217728529969E-2</v>
      </c>
      <c r="T7" s="29">
        <f t="shared" si="5"/>
        <v>8.7855388756488947E-2</v>
      </c>
      <c r="U7" s="264" t="str">
        <f t="shared" si="6"/>
        <v>PASS</v>
      </c>
      <c r="Y7" s="2"/>
    </row>
    <row r="8" spans="1:25">
      <c r="A8" s="374"/>
      <c r="B8" s="371"/>
      <c r="C8" s="124" t="str">
        <f>'Εσωτερικό δίκτυο'!F7</f>
        <v>Υ/Σ 3 -&gt; CB</v>
      </c>
      <c r="D8" s="112">
        <f>6.03+D7</f>
        <v>18.05</v>
      </c>
      <c r="E8" s="176">
        <f>'Εσωτερικό δίκτυο'!H7</f>
        <v>73.5</v>
      </c>
      <c r="F8" s="177">
        <f>D8*10^6/(SQRT(3)*$X$5)</f>
        <v>350.88122420446956</v>
      </c>
      <c r="G8" s="177">
        <f>F8/$X$3</f>
        <v>361.73322082935005</v>
      </c>
      <c r="H8" s="92">
        <v>0.73</v>
      </c>
      <c r="I8" s="92">
        <v>1</v>
      </c>
      <c r="J8" s="92" t="s">
        <v>94</v>
      </c>
      <c r="K8" s="115">
        <v>1</v>
      </c>
      <c r="L8" s="115">
        <v>500</v>
      </c>
      <c r="M8" s="177">
        <f>IF(REPLACE(J8,3,20,"")='Cable Data'!$A$1,VLOOKUP(L8,'Cable Data'!$B$2:$K$14,2,FALSE),VLOOKUP(L8,'Cable Data'!$B$17:$K$28,2,FALSE))*H8*K8*I8</f>
        <v>391.28</v>
      </c>
      <c r="N8" s="178">
        <f>IF(REPLACE(J8,3,20,"")='Cable Data'!$A$1,VLOOKUP(L8,'Cable Data'!$B$2:$K$14,5,FALSE),VLOOKUP(L8,'Cable Data'!$B$17:$K$28,5,FALSE))</f>
        <v>7.9699999999999999E-5</v>
      </c>
      <c r="O8" s="178">
        <f>IF(REPLACE($J8,3,20,"")='Cable Data'!$A$1,VLOOKUP($L8,'Cable Data'!$B$2:$K$14,6,FALSE),VLOOKUP($L8,'Cable Data'!$B$17:$K$28,6,FALSE))</f>
        <v>1.0399999999999999E-4</v>
      </c>
      <c r="P8" s="178">
        <f>IF(REPLACE($J8,3,20,"")='Cable Data'!$A$1,VLOOKUP($L8,'Cable Data'!$B$2:$K$14,5,FALSE),VLOOKUP($L8,'Cable Data'!$B$17:$K$28,5,FALSE))</f>
        <v>7.9699999999999999E-5</v>
      </c>
      <c r="Q8" s="176">
        <f>G8/K8*(N8*$X$3+O8*$X$4)*E8/$X$5*100</f>
        <v>9.1840112193964929E-3</v>
      </c>
      <c r="R8" s="179">
        <f>D8-S8</f>
        <v>18.047700445505932</v>
      </c>
      <c r="S8" s="180">
        <f>3*(G8/K8)^2*P8*E8/1000000*K8</f>
        <v>2.2995544940699274E-3</v>
      </c>
      <c r="T8" s="181">
        <f>S8*100/D8</f>
        <v>1.2739914094570235E-2</v>
      </c>
      <c r="U8" s="121" t="str">
        <f>IF(AND(M8&gt;=G8,Q8&lt;3),"PASS","FAIL")</f>
        <v>PASS</v>
      </c>
      <c r="Y8" s="2"/>
    </row>
    <row r="9" spans="1:25">
      <c r="A9" s="374"/>
      <c r="B9" s="371"/>
      <c r="U9" s="299"/>
    </row>
    <row r="10" spans="1:25" ht="15.75" thickBot="1">
      <c r="A10" s="375"/>
      <c r="B10" s="372"/>
      <c r="C10" s="272" t="str">
        <f>'Εσωτερικό δίκτυο'!F9</f>
        <v>CB -&gt; Υ/Σ</v>
      </c>
      <c r="D10" s="273">
        <f>D4+D8</f>
        <v>26.41</v>
      </c>
      <c r="E10" s="274">
        <f>'Εσωτερικό δίκτυο'!H9</f>
        <v>15180.830000000002</v>
      </c>
      <c r="F10" s="275">
        <f>D10*10^6/(SQRT(3)*$X$5)</f>
        <v>513.39463330969761</v>
      </c>
      <c r="G10" s="275">
        <f>F10/$X$3</f>
        <v>529.27281784504908</v>
      </c>
      <c r="H10" s="276">
        <v>0.73</v>
      </c>
      <c r="I10" s="300">
        <v>1</v>
      </c>
      <c r="J10" s="126" t="s">
        <v>94</v>
      </c>
      <c r="K10" s="278">
        <v>1</v>
      </c>
      <c r="L10" s="279">
        <v>1000</v>
      </c>
      <c r="M10" s="280">
        <f>IF(REPLACE(J10,3,20,"")='Cable Data'!$A$1,VLOOKUP(L10,'Cable Data'!$B$2:$K$14,2,FALSE),VLOOKUP(L10,'Cable Data'!$B$17:$K$28,2,FALSE))*H10*K10*I10</f>
        <v>552.61</v>
      </c>
      <c r="N10" s="281">
        <f>IF(REPLACE(J10,3,20,"")='Cable Data'!$A$1,VLOOKUP(L10,'Cable Data'!$B$2:$K$14,5,FALSE),VLOOKUP(L10,'Cable Data'!$B$17:$K$28,5,FALSE))</f>
        <v>4.2200000000000003E-5</v>
      </c>
      <c r="O10" s="281">
        <f>IF(REPLACE($J10,3,20,"")='Cable Data'!$A$1,VLOOKUP($L10,'Cable Data'!$B$2:$K$14,6,FALSE),VLOOKUP($L10,'Cable Data'!$B$17:$K$28,6,FALSE))</f>
        <v>9.2999999999999997E-5</v>
      </c>
      <c r="P10" s="281">
        <f>IF(REPLACE($J10,3,20,"")='Cable Data'!$A$1,VLOOKUP($L10,'Cable Data'!$B$2:$K$14,5,FALSE),VLOOKUP($L10,'Cable Data'!$B$17:$K$28,5,FALSE))</f>
        <v>4.2200000000000003E-5</v>
      </c>
      <c r="Q10" s="282">
        <f>G10/K10*(N10*$X$3+O10*$X$4)*E10/$X$5*100</f>
        <v>1.7190349758595274</v>
      </c>
      <c r="R10" s="283">
        <f>D10-S10</f>
        <v>25.871620638435537</v>
      </c>
      <c r="S10" s="284">
        <f>3*(G10/K10)^2*P10*E10/1000000*K10</f>
        <v>0.53837936156446209</v>
      </c>
      <c r="T10" s="285">
        <f>S10*100/D10</f>
        <v>2.0385435879002731</v>
      </c>
      <c r="U10" s="122" t="str">
        <f>IF(AND(M10&gt;=G10,Q10&lt;3),"PASS","FAIL")</f>
        <v>PASS</v>
      </c>
    </row>
    <row r="11" spans="1:25" ht="15" customHeight="1" thickBot="1"/>
    <row r="12" spans="1:25" ht="15" customHeight="1">
      <c r="A12" s="367">
        <f>'Εσωτερικό δίκτυο'!A16</f>
        <v>2</v>
      </c>
      <c r="B12" s="370" t="str">
        <f>'Εσωτερικό δίκτυο'!B16</f>
        <v>Ζωοδόχος [0 Οικίσκο - 2 Εxport]</v>
      </c>
      <c r="C12" s="144" t="str">
        <f>'Εσωτερικό δίκτυο'!F16</f>
        <v>Υ/Σ 5 -&gt; Υ/Σ 6</v>
      </c>
      <c r="D12" s="145">
        <v>4.0999999999999996</v>
      </c>
      <c r="E12" s="146">
        <f>'Εσωτερικό δίκτυο'!H16</f>
        <v>243.63000000000002</v>
      </c>
      <c r="F12" s="147">
        <f t="shared" ref="F12:F16" si="7">D12*10^6/(SQRT(3)*$X$5)</f>
        <v>79.701552312372584</v>
      </c>
      <c r="G12" s="147">
        <f>F12/$X$3</f>
        <v>82.166548775641843</v>
      </c>
      <c r="H12" s="268">
        <v>0.83</v>
      </c>
      <c r="I12" s="269">
        <v>1</v>
      </c>
      <c r="J12" s="270" t="s">
        <v>94</v>
      </c>
      <c r="K12" s="253">
        <v>1</v>
      </c>
      <c r="L12" s="271">
        <v>150</v>
      </c>
      <c r="M12" s="148">
        <f>IF(REPLACE(J12,3,20,"")='Cable Data'!$A$1,VLOOKUP(L12,'Cable Data'!$B$2:$K$14,2,FALSE),VLOOKUP(L12,'Cable Data'!$B$17:$K$28,2,FALSE))*H12*K12*I12</f>
        <v>233.23</v>
      </c>
      <c r="N12" s="149">
        <f>IF(REPLACE(J12,3,20,"")='Cable Data'!$A$1,VLOOKUP(L12,'Cable Data'!$B$2:$K$14,5,FALSE),VLOOKUP(L12,'Cable Data'!$B$17:$K$28,5,FALSE))</f>
        <v>2.6499999999999999E-4</v>
      </c>
      <c r="O12" s="149">
        <f>IF(REPLACE($J12,3,20,"")='Cable Data'!$A$1,VLOOKUP($L12,'Cable Data'!$B$2:$K$14,6,FALSE),VLOOKUP($L12,'Cable Data'!$B$17:$K$28,6,FALSE))</f>
        <v>1.27E-4</v>
      </c>
      <c r="P12" s="149">
        <f>IF(REPLACE($J12,3,20,"")='Cable Data'!$A$1,VLOOKUP($L12,'Cable Data'!$B$2:$K$14,5,FALSE),VLOOKUP($L12,'Cable Data'!$B$17:$K$28,5,FALSE))</f>
        <v>2.6499999999999999E-4</v>
      </c>
      <c r="Q12" s="150">
        <f t="shared" ref="Q12:Q16" si="8">G12/K12*(N12*$X$3+O12*$X$4)*E12/$X$5*100</f>
        <v>1.9406522403242553E-2</v>
      </c>
      <c r="R12" s="151">
        <f>D12-S12</f>
        <v>4.0986923606368926</v>
      </c>
      <c r="S12" s="152">
        <f>3*(G12/K12)^2*P12*E12/1000000*K12</f>
        <v>1.3076393631068881E-3</v>
      </c>
      <c r="T12" s="153">
        <f>S12*100/D12</f>
        <v>3.1893643002607025E-2</v>
      </c>
      <c r="U12" s="157" t="str">
        <f>IF(AND(M12&gt;=G12,Q12&lt;3),"PASS","FAIL")</f>
        <v>PASS</v>
      </c>
    </row>
    <row r="13" spans="1:25" ht="15" customHeight="1">
      <c r="A13" s="368"/>
      <c r="B13" s="371"/>
      <c r="C13" s="174" t="str">
        <f>'Εσωτερικό δίκτυο'!F17</f>
        <v>Υ/Σ 6 -&gt; Υ/Σ</v>
      </c>
      <c r="D13" s="171">
        <f>4.26+D12</f>
        <v>8.36</v>
      </c>
      <c r="E13" s="234">
        <f>'Εσωτερικό δίκτυο'!H17</f>
        <v>15506.11</v>
      </c>
      <c r="F13" s="235">
        <f t="shared" si="7"/>
        <v>162.51340910522799</v>
      </c>
      <c r="G13" s="235">
        <f>F13/$X$3</f>
        <v>167.53959701569897</v>
      </c>
      <c r="H13" s="286">
        <v>0.83</v>
      </c>
      <c r="I13" s="315">
        <v>1</v>
      </c>
      <c r="J13" s="316" t="s">
        <v>94</v>
      </c>
      <c r="K13" s="172">
        <v>1</v>
      </c>
      <c r="L13" s="289">
        <v>150</v>
      </c>
      <c r="M13" s="236">
        <f>IF(REPLACE(J13,3,20,"")='Cable Data'!$A$1,VLOOKUP(L13,'Cable Data'!$B$2:$K$14,2,FALSE),VLOOKUP(L13,'Cable Data'!$B$17:$K$28,2,FALSE))*H13*K13*I13</f>
        <v>233.23</v>
      </c>
      <c r="N13" s="237">
        <f>IF(REPLACE(J13,3,20,"")='Cable Data'!$A$1,VLOOKUP(L13,'Cable Data'!$B$2:$K$14,5,FALSE),VLOOKUP(L13,'Cable Data'!$B$17:$K$28,5,FALSE))</f>
        <v>2.6499999999999999E-4</v>
      </c>
      <c r="O13" s="237">
        <f>IF(REPLACE($J13,3,20,"")='Cable Data'!$A$1,VLOOKUP($L13,'Cable Data'!$B$2:$K$14,6,FALSE),VLOOKUP($L13,'Cable Data'!$B$17:$K$28,6,FALSE))</f>
        <v>1.27E-4</v>
      </c>
      <c r="P13" s="237">
        <f>IF(REPLACE($J13,3,20,"")='Cable Data'!$A$1,VLOOKUP($L13,'Cable Data'!$B$2:$K$14,5,FALSE),VLOOKUP($L13,'Cable Data'!$B$17:$K$28,5,FALSE))</f>
        <v>2.6499999999999999E-4</v>
      </c>
      <c r="Q13" s="238">
        <f t="shared" si="8"/>
        <v>2.5185016167197949</v>
      </c>
      <c r="R13" s="239">
        <f t="shared" ref="R13:R16" si="9">D13-S13</f>
        <v>8.0139770358153122</v>
      </c>
      <c r="S13" s="240">
        <f t="shared" ref="S13:S16" si="10">3*(G13/K13)^2*P13*E13/1000000*K13</f>
        <v>0.3460229641846867</v>
      </c>
      <c r="T13" s="290">
        <f t="shared" ref="T13:T16" si="11">S13*100/D13</f>
        <v>4.1390306720656307</v>
      </c>
      <c r="U13" s="121" t="str">
        <f t="shared" ref="U13:U16" si="12">IF(AND(M13&gt;=G13,Q13&lt;3),"PASS","FAIL")</f>
        <v>PASS</v>
      </c>
    </row>
    <row r="14" spans="1:25" ht="15" customHeight="1">
      <c r="A14" s="368"/>
      <c r="B14" s="371"/>
      <c r="C14" s="109"/>
      <c r="D14" s="109"/>
      <c r="E14" s="304"/>
      <c r="F14" s="110"/>
      <c r="G14" s="110"/>
      <c r="H14" s="304"/>
      <c r="I14" s="304"/>
      <c r="J14" s="304"/>
      <c r="K14" s="110"/>
      <c r="L14" s="110"/>
      <c r="M14" s="110"/>
      <c r="N14" s="305"/>
      <c r="O14" s="305"/>
      <c r="P14" s="305"/>
      <c r="Q14" s="304"/>
      <c r="R14" s="306"/>
      <c r="S14" s="307"/>
      <c r="T14" s="306"/>
      <c r="U14" s="121"/>
    </row>
    <row r="15" spans="1:25" ht="15" customHeight="1">
      <c r="A15" s="368"/>
      <c r="B15" s="371"/>
      <c r="C15" s="124" t="str">
        <f>'Εσωτερικό δίκτυο'!F19</f>
        <v>Υ/Σ 1 -&gt; Υ/Σ 2</v>
      </c>
      <c r="D15" s="112">
        <v>6.01</v>
      </c>
      <c r="E15" s="176">
        <f>'Εσωτερικό δίκτυο'!H19</f>
        <v>341</v>
      </c>
      <c r="F15" s="177">
        <f t="shared" si="7"/>
        <v>116.83081204813641</v>
      </c>
      <c r="G15" s="177">
        <f t="shared" ref="G15:G16" si="13">F15/$X$3</f>
        <v>120.44413613209939</v>
      </c>
      <c r="H15" s="250">
        <v>0.83</v>
      </c>
      <c r="I15" s="92">
        <v>1</v>
      </c>
      <c r="J15" s="92" t="s">
        <v>94</v>
      </c>
      <c r="K15" s="115">
        <v>1</v>
      </c>
      <c r="L15" s="59">
        <v>150</v>
      </c>
      <c r="M15" s="177">
        <f>IF(REPLACE(J15,3,20,"")='Cable Data'!$A$1,VLOOKUP(L15,'Cable Data'!$B$2:$K$14,2,FALSE),VLOOKUP(L15,'Cable Data'!$B$17:$K$28,2,FALSE))*H15*K15*I15</f>
        <v>233.23</v>
      </c>
      <c r="N15" s="178">
        <f>IF(REPLACE(J15,3,20,"")='Cable Data'!$A$1,VLOOKUP(L15,'Cable Data'!$B$2:$K$14,5,FALSE),VLOOKUP(L15,'Cable Data'!$B$17:$K$28,5,FALSE))</f>
        <v>2.6499999999999999E-4</v>
      </c>
      <c r="O15" s="178">
        <f>IF(REPLACE($J15,3,20,"")='Cable Data'!$A$1,VLOOKUP($L15,'Cable Data'!$B$2:$K$14,6,FALSE),VLOOKUP($L15,'Cable Data'!$B$17:$K$28,6,FALSE))</f>
        <v>1.27E-4</v>
      </c>
      <c r="P15" s="178">
        <f>IF(REPLACE($J15,3,20,"")='Cable Data'!$A$1,VLOOKUP($L15,'Cable Data'!$B$2:$K$14,5,FALSE),VLOOKUP($L15,'Cable Data'!$B$17:$K$28,5,FALSE))</f>
        <v>2.6499999999999999E-4</v>
      </c>
      <c r="Q15" s="176">
        <f t="shared" si="8"/>
        <v>3.9816395992753224E-2</v>
      </c>
      <c r="R15" s="179">
        <f t="shared" si="9"/>
        <v>6.0060672817843042</v>
      </c>
      <c r="S15" s="180">
        <f t="shared" si="10"/>
        <v>3.9327182156959021E-3</v>
      </c>
      <c r="T15" s="181">
        <f t="shared" si="11"/>
        <v>6.5436243189615675E-2</v>
      </c>
      <c r="U15" s="121" t="str">
        <f t="shared" si="12"/>
        <v>PASS</v>
      </c>
    </row>
    <row r="16" spans="1:25" ht="15" customHeight="1">
      <c r="A16" s="368"/>
      <c r="B16" s="371"/>
      <c r="C16" s="124" t="str">
        <f>'Εσωτερικό δίκτυο'!F20</f>
        <v>Υ/Σ 2 -&gt; Υ/Σ 3</v>
      </c>
      <c r="D16" s="112">
        <f>6.01+D15</f>
        <v>12.02</v>
      </c>
      <c r="E16" s="113">
        <f>'Εσωτερικό δίκτυο'!H20</f>
        <v>287.5</v>
      </c>
      <c r="F16" s="114">
        <f t="shared" si="7"/>
        <v>233.66162409627282</v>
      </c>
      <c r="G16" s="114">
        <f t="shared" si="13"/>
        <v>240.88827226419878</v>
      </c>
      <c r="H16" s="56">
        <v>0.83</v>
      </c>
      <c r="I16" s="57">
        <v>1</v>
      </c>
      <c r="J16" s="58" t="s">
        <v>94</v>
      </c>
      <c r="K16" s="115">
        <v>1</v>
      </c>
      <c r="L16" s="59">
        <v>150</v>
      </c>
      <c r="M16" s="114">
        <f>IF(REPLACE(J16,3,20,"")='Cable Data'!$A$1,VLOOKUP(L16,'Cable Data'!$B$2:$K$14,2,FALSE),VLOOKUP(L16,'Cable Data'!$B$17:$K$28,2,FALSE))*H16*K16*I16</f>
        <v>233.23</v>
      </c>
      <c r="N16" s="116">
        <f>IF(REPLACE(J16,3,20,"")='Cable Data'!$A$1,VLOOKUP(L16,'Cable Data'!$B$2:$K$14,5,FALSE),VLOOKUP(L16,'Cable Data'!$B$17:$K$28,5,FALSE))</f>
        <v>2.6499999999999999E-4</v>
      </c>
      <c r="O16" s="116">
        <f>IF(REPLACE($J16,3,20,"")='Cable Data'!$A$1,VLOOKUP($L16,'Cable Data'!$B$2:$K$14,6,FALSE),VLOOKUP($L16,'Cable Data'!$B$17:$K$28,6,FALSE))</f>
        <v>1.27E-4</v>
      </c>
      <c r="P16" s="116">
        <f>IF(REPLACE($J16,3,20,"")='Cable Data'!$A$1,VLOOKUP($L16,'Cable Data'!$B$2:$K$14,5,FALSE),VLOOKUP($L16,'Cable Data'!$B$17:$K$28,5,FALSE))</f>
        <v>2.6499999999999999E-4</v>
      </c>
      <c r="Q16" s="113">
        <f t="shared" si="8"/>
        <v>6.7139084152003231E-2</v>
      </c>
      <c r="R16" s="117">
        <f t="shared" si="9"/>
        <v>12.006737167307771</v>
      </c>
      <c r="S16" s="118">
        <f t="shared" si="10"/>
        <v>1.3262832692229581E-2</v>
      </c>
      <c r="T16" s="119">
        <f t="shared" si="11"/>
        <v>0.11033970625814961</v>
      </c>
      <c r="U16" s="121" t="str">
        <f t="shared" si="12"/>
        <v>FAIL</v>
      </c>
    </row>
    <row r="17" spans="1:21" ht="15" customHeight="1" thickBot="1">
      <c r="A17" s="369"/>
      <c r="B17" s="372"/>
      <c r="C17" s="154" t="str">
        <f>'Εσωτερικό δίκτυο'!F21</f>
        <v>Υ/Σ 3 -&gt; Υ/Σ</v>
      </c>
      <c r="D17" s="155">
        <f>6.03+D16</f>
        <v>18.05</v>
      </c>
      <c r="E17" s="308">
        <f>'Εσωτερικό δίκτυο'!H21</f>
        <v>15180.830000000002</v>
      </c>
      <c r="F17" s="309">
        <f>D17*10^6/(SQRT(3)*$X$5)</f>
        <v>350.88122420446956</v>
      </c>
      <c r="G17" s="309">
        <f>F17/$X$3</f>
        <v>361.73322082935005</v>
      </c>
      <c r="H17" s="276">
        <v>0.83</v>
      </c>
      <c r="I17" s="277">
        <v>1</v>
      </c>
      <c r="J17" s="310" t="s">
        <v>94</v>
      </c>
      <c r="K17" s="156">
        <v>1</v>
      </c>
      <c r="L17" s="279">
        <v>400</v>
      </c>
      <c r="M17" s="309">
        <f>IF(REPLACE(J17,3,20,"")='Cable Data'!$A$1,VLOOKUP(L17,'Cable Data'!$B$2:$K$14,2,FALSE),VLOOKUP(L17,'Cable Data'!$B$17:$K$28,2,FALSE))*H17*K17*I17</f>
        <v>383.46</v>
      </c>
      <c r="N17" s="311">
        <f>IF(REPLACE(J17,3,20,"")='Cable Data'!$A$1,VLOOKUP(L17,'Cable Data'!$B$2:$K$14,5,FALSE),VLOOKUP(L17,'Cable Data'!$B$17:$K$28,5,FALSE))</f>
        <v>1.01E-4</v>
      </c>
      <c r="O17" s="311">
        <f>IF(REPLACE($J17,3,20,"")='Cable Data'!$A$1,VLOOKUP($L17,'Cable Data'!$B$2:$K$14,6,FALSE),VLOOKUP($L17,'Cable Data'!$B$17:$K$28,6,FALSE))</f>
        <v>1.0900000000000001E-4</v>
      </c>
      <c r="P17" s="311">
        <f>IF(REPLACE($J17,3,20,"")='Cable Data'!$A$1,VLOOKUP($L17,'Cable Data'!$B$2:$K$14,5,FALSE),VLOOKUP($L17,'Cable Data'!$B$17:$K$28,5,FALSE))</f>
        <v>1.01E-4</v>
      </c>
      <c r="Q17" s="308">
        <f>G17/K17*(N17*$X$3+O17*$X$4)*E17/$X$5*100</f>
        <v>2.3013713101534639</v>
      </c>
      <c r="R17" s="312">
        <f>D17-S17</f>
        <v>17.448113037688721</v>
      </c>
      <c r="S17" s="313">
        <f>3*(G17/K17)^2*P17*E17/1000000*K17</f>
        <v>0.60188696231128114</v>
      </c>
      <c r="T17" s="314">
        <f>S17*100/D17</f>
        <v>3.334553807818732</v>
      </c>
      <c r="U17" s="122" t="str">
        <f>IF(AND(M17&gt;=G17,Q17&lt;3),"PASS","FAIL")</f>
        <v>PASS</v>
      </c>
    </row>
    <row r="18" spans="1:21" ht="15" customHeight="1" thickBot="1"/>
    <row r="19" spans="1:21" ht="15" customHeight="1">
      <c r="A19" s="359">
        <f>'Εσωτερικό δίκτυο'!A28</f>
        <v>3</v>
      </c>
      <c r="B19" s="362" t="str">
        <f>'Εσωτερικό δίκτυο'!B28</f>
        <v>Λαψίστα</v>
      </c>
      <c r="C19" s="13" t="str">
        <f>'Εσωτερικό δίκτυο'!F28</f>
        <v>Υ/Σ 1 -&gt; Υ/Σ 2</v>
      </c>
      <c r="D19" s="51">
        <v>4.5999999999999996</v>
      </c>
      <c r="E19" s="182">
        <f>'Εσωτερικό δίκτυο'!H28</f>
        <v>928.43000000000006</v>
      </c>
      <c r="F19" s="183">
        <f t="shared" ref="F19:F31" si="14">D19*10^6/(SQRT(3)*$X$5)</f>
        <v>89.421253813881449</v>
      </c>
      <c r="G19" s="183">
        <f>F19/$X$3</f>
        <v>92.186859601939645</v>
      </c>
      <c r="H19" s="53">
        <v>0.83</v>
      </c>
      <c r="I19" s="54">
        <v>1</v>
      </c>
      <c r="J19" s="249" t="s">
        <v>94</v>
      </c>
      <c r="K19" s="90">
        <v>1</v>
      </c>
      <c r="L19" s="55">
        <v>300</v>
      </c>
      <c r="M19" s="184">
        <f>IF(REPLACE(J19,3,20,"")='Cable Data'!$A$1,VLOOKUP(L19,'Cable Data'!$B$2:$K$14,2,FALSE),VLOOKUP(L19,'Cable Data'!$B$17:$K$28,2,FALSE))*H19*K19*I19</f>
        <v>340.3</v>
      </c>
      <c r="N19" s="185">
        <f>IF(REPLACE(J19,3,20,"")='Cable Data'!$A$1,VLOOKUP(L19,'Cable Data'!$B$2:$K$14,5,FALSE),VLOOKUP(L19,'Cable Data'!$B$17:$K$28,5,FALSE))</f>
        <v>1.2899999999999999E-4</v>
      </c>
      <c r="O19" s="185">
        <f>IF(REPLACE($J19,3,20,"")='Cable Data'!$A$1,VLOOKUP($L19,'Cable Data'!$B$2:$K$14,6,FALSE),VLOOKUP($L19,'Cable Data'!$B$17:$K$28,6,FALSE))</f>
        <v>1.13E-4</v>
      </c>
      <c r="P19" s="185">
        <f>IF(REPLACE($J19,3,20,"")='Cable Data'!$A$1,VLOOKUP($L19,'Cable Data'!$B$2:$K$14,5,FALSE),VLOOKUP($L19,'Cable Data'!$B$17:$K$28,5,FALSE))</f>
        <v>1.2899999999999999E-4</v>
      </c>
      <c r="Q19" s="186">
        <f t="shared" ref="Q19:Q31" si="15">G19/K19*(N19*$X$3+O19*$X$4)*E19/$X$5*100</f>
        <v>4.3976301842616312E-2</v>
      </c>
      <c r="R19" s="187">
        <f>D19-S19</f>
        <v>4.5969464982607962</v>
      </c>
      <c r="S19" s="188">
        <f>3*(G19/K19)^2*P19*E19/1000000*K19</f>
        <v>3.0535017392032664E-3</v>
      </c>
      <c r="T19" s="189">
        <f>S19*100/D19</f>
        <v>6.6380472591375361E-2</v>
      </c>
      <c r="U19" s="164" t="str">
        <f>IF(AND(M19&gt;=G19,Q19&lt;3),"PASS","FAIL")</f>
        <v>PASS</v>
      </c>
    </row>
    <row r="20" spans="1:21" ht="15" customHeight="1">
      <c r="A20" s="360"/>
      <c r="B20" s="363"/>
      <c r="C20" s="11" t="str">
        <f>'Εσωτερικό δίκτυο'!F29</f>
        <v>Υ/Σ 2 -&gt; Υ/Σ 3</v>
      </c>
      <c r="D20" s="52">
        <v>12</v>
      </c>
      <c r="E20" s="16">
        <f>'Εσωτερικό δίκτυο'!H29</f>
        <v>858.88</v>
      </c>
      <c r="F20" s="12">
        <f t="shared" si="14"/>
        <v>233.27283603621245</v>
      </c>
      <c r="G20" s="12">
        <f>F20/$X$3</f>
        <v>240.48745983114688</v>
      </c>
      <c r="H20" s="56">
        <v>0.83</v>
      </c>
      <c r="I20" s="57">
        <v>1</v>
      </c>
      <c r="J20" s="248" t="s">
        <v>94</v>
      </c>
      <c r="K20" s="60">
        <v>1</v>
      </c>
      <c r="L20" s="59">
        <v>300</v>
      </c>
      <c r="M20" s="87">
        <f>IF(REPLACE(J20,3,20,"")='Cable Data'!$A$1,VLOOKUP(L20,'Cable Data'!$B$2:$K$14,2,FALSE),VLOOKUP(L20,'Cable Data'!$B$17:$K$28,2,FALSE))*H20*K20*I20</f>
        <v>340.3</v>
      </c>
      <c r="N20" s="89">
        <f>IF(REPLACE(J20,3,20,"")='Cable Data'!$A$1,VLOOKUP(L20,'Cable Data'!$B$2:$K$14,5,FALSE),VLOOKUP(L20,'Cable Data'!$B$17:$K$28,5,FALSE))</f>
        <v>1.2899999999999999E-4</v>
      </c>
      <c r="O20" s="89">
        <f>IF(REPLACE($J20,3,20,"")='Cable Data'!$A$1,VLOOKUP($L20,'Cable Data'!$B$2:$K$14,6,FALSE),VLOOKUP($L20,'Cable Data'!$B$17:$K$28,6,FALSE))</f>
        <v>1.13E-4</v>
      </c>
      <c r="P20" s="89">
        <f>IF(REPLACE($J20,3,20,"")='Cable Data'!$A$1,VLOOKUP($L20,'Cable Data'!$B$2:$K$14,5,FALSE),VLOOKUP($L20,'Cable Data'!$B$17:$K$28,5,FALSE))</f>
        <v>1.2899999999999999E-4</v>
      </c>
      <c r="Q20" s="86">
        <f t="shared" si="15"/>
        <v>0.10612689152164675</v>
      </c>
      <c r="R20" s="17">
        <f t="shared" ref="R20:R31" si="16">D20-S20</f>
        <v>11.980776683116996</v>
      </c>
      <c r="S20" s="18">
        <f t="shared" ref="S20:S31" si="17">3*(G20/K20)^2*P20*E20/1000000*K20</f>
        <v>1.9223316883004424E-2</v>
      </c>
      <c r="T20" s="28">
        <f t="shared" ref="T20:T31" si="18">S20*100/D20</f>
        <v>0.1601943073583702</v>
      </c>
      <c r="U20" s="165" t="str">
        <f t="shared" ref="U20:U31" si="19">IF(AND(M20&gt;=G20,Q20&lt;3),"PASS","FAIL")</f>
        <v>PASS</v>
      </c>
    </row>
    <row r="21" spans="1:21" ht="15" customHeight="1">
      <c r="A21" s="360"/>
      <c r="B21" s="363"/>
      <c r="C21" s="11" t="str">
        <f>'Εσωτερικό δίκτυο'!F30</f>
        <v>Υ/Σ 3 -&gt; Υ/Σ 4</v>
      </c>
      <c r="D21" s="52">
        <v>17</v>
      </c>
      <c r="E21" s="345">
        <f>'Εσωτερικό δίκτυο'!H30</f>
        <v>464.05</v>
      </c>
      <c r="F21" s="346">
        <f t="shared" ref="F21:F30" si="20">D21*10^6/(SQRT(3)*$X$5)</f>
        <v>330.46985105130096</v>
      </c>
      <c r="G21" s="346">
        <f t="shared" ref="G21:G30" si="21">F21/$X$3</f>
        <v>340.69056809412473</v>
      </c>
      <c r="H21" s="56">
        <v>0.83</v>
      </c>
      <c r="I21" s="57">
        <v>1</v>
      </c>
      <c r="J21" s="248" t="s">
        <v>94</v>
      </c>
      <c r="K21" s="60">
        <v>1</v>
      </c>
      <c r="L21" s="59">
        <v>300</v>
      </c>
      <c r="M21" s="347">
        <f>IF(REPLACE(J21,3,20,"")='Cable Data'!$A$1,VLOOKUP(L21,'Cable Data'!$B$2:$K$14,2,FALSE),VLOOKUP(L21,'Cable Data'!$B$17:$K$28,2,FALSE))*H21*K21*I21</f>
        <v>340.3</v>
      </c>
      <c r="N21" s="348">
        <f>IF(REPLACE(J21,3,20,"")='Cable Data'!$A$1,VLOOKUP(L21,'Cable Data'!$B$2:$K$14,5,FALSE),VLOOKUP(L21,'Cable Data'!$B$17:$K$28,5,FALSE))</f>
        <v>1.2899999999999999E-4</v>
      </c>
      <c r="O21" s="348">
        <f>IF(REPLACE($J21,3,20,"")='Cable Data'!$A$1,VLOOKUP($L21,'Cable Data'!$B$2:$K$14,6,FALSE),VLOOKUP($L21,'Cable Data'!$B$17:$K$28,6,FALSE))</f>
        <v>1.13E-4</v>
      </c>
      <c r="P21" s="348">
        <f>IF(REPLACE($J21,3,20,"")='Cable Data'!$A$1,VLOOKUP($L21,'Cable Data'!$B$2:$K$14,5,FALSE),VLOOKUP($L21,'Cable Data'!$B$17:$K$28,5,FALSE))</f>
        <v>1.2899999999999999E-4</v>
      </c>
      <c r="Q21" s="349">
        <f t="shared" ref="Q21:Q30" si="22">G21/K21*(N21*$X$3+O21*$X$4)*E21/$X$5*100</f>
        <v>8.1231674601471598E-2</v>
      </c>
      <c r="R21" s="350">
        <f t="shared" ref="R21:R30" si="23">D21-S21</f>
        <v>16.979155284937683</v>
      </c>
      <c r="S21" s="351">
        <f t="shared" ref="S21:S30" si="24">3*(G21/K21)^2*P21*E21/1000000*K21</f>
        <v>2.0844715062318889E-2</v>
      </c>
      <c r="T21" s="352">
        <f t="shared" ref="T21:T30" si="25">S21*100/D21</f>
        <v>0.12261597095481701</v>
      </c>
      <c r="U21" s="165" t="str">
        <f t="shared" si="19"/>
        <v>FAIL</v>
      </c>
    </row>
    <row r="22" spans="1:21" ht="15" customHeight="1">
      <c r="A22" s="360"/>
      <c r="B22" s="363"/>
      <c r="C22" s="131" t="str">
        <f>'Εσωτερικό δίκτυο'!F31</f>
        <v>Υ/Σ 4 -&gt; Υ/Σ</v>
      </c>
      <c r="D22" s="171">
        <v>23</v>
      </c>
      <c r="E22" s="337">
        <f>'Εσωτερικό δίκτυο'!H31</f>
        <v>3574.5400000000004</v>
      </c>
      <c r="F22" s="338">
        <f t="shared" si="20"/>
        <v>447.10626906940723</v>
      </c>
      <c r="G22" s="338">
        <f t="shared" si="21"/>
        <v>460.93429800969818</v>
      </c>
      <c r="H22" s="286">
        <v>0.73</v>
      </c>
      <c r="I22" s="315">
        <v>1</v>
      </c>
      <c r="J22" s="339" t="s">
        <v>94</v>
      </c>
      <c r="K22" s="172">
        <v>1</v>
      </c>
      <c r="L22" s="289">
        <v>800</v>
      </c>
      <c r="M22" s="340">
        <f>IF(REPLACE(J22,3,20,"")='Cable Data'!$A$1,VLOOKUP(L22,'Cable Data'!$B$2:$K$14,2,FALSE),VLOOKUP(L22,'Cable Data'!$B$17:$K$28,2,FALSE))*H22*K22*I22</f>
        <v>497.86</v>
      </c>
      <c r="N22" s="341">
        <f>IF(REPLACE(J22,3,20,"")='Cable Data'!$A$1,VLOOKUP(L22,'Cable Data'!$B$2:$K$14,5,FALSE),VLOOKUP(L22,'Cable Data'!$B$17:$K$28,5,FALSE))</f>
        <v>5.0899999999999997E-5</v>
      </c>
      <c r="O22" s="341">
        <f>IF(REPLACE($J22,3,20,"")='Cable Data'!$A$1,VLOOKUP($L22,'Cable Data'!$B$2:$K$14,6,FALSE),VLOOKUP($L22,'Cable Data'!$B$17:$K$28,6,FALSE))</f>
        <v>9.5000000000000005E-5</v>
      </c>
      <c r="P22" s="341">
        <f>IF(REPLACE($J22,3,20,"")='Cable Data'!$A$1,VLOOKUP($L22,'Cable Data'!$B$2:$K$14,5,FALSE),VLOOKUP($L22,'Cable Data'!$B$17:$K$28,5,FALSE))</f>
        <v>5.0899999999999997E-5</v>
      </c>
      <c r="Q22" s="342">
        <f t="shared" si="22"/>
        <v>0.4020210697306576</v>
      </c>
      <c r="R22" s="343">
        <f t="shared" si="23"/>
        <v>22.884032245350355</v>
      </c>
      <c r="S22" s="344">
        <f t="shared" si="24"/>
        <v>0.115967754649645</v>
      </c>
      <c r="T22" s="28">
        <f t="shared" si="25"/>
        <v>0.50420762891149995</v>
      </c>
      <c r="U22" s="165" t="str">
        <f t="shared" si="19"/>
        <v>PASS</v>
      </c>
    </row>
    <row r="23" spans="1:21" ht="15" customHeight="1">
      <c r="A23" s="360"/>
      <c r="B23" s="364"/>
      <c r="C23" s="325"/>
      <c r="D23" s="109"/>
      <c r="E23" s="304"/>
      <c r="F23" s="110"/>
      <c r="G23" s="110"/>
      <c r="H23" s="304"/>
      <c r="I23" s="304"/>
      <c r="J23" s="304"/>
      <c r="K23" s="110"/>
      <c r="L23" s="110"/>
      <c r="M23" s="110"/>
      <c r="N23" s="305"/>
      <c r="O23" s="305"/>
      <c r="P23" s="305"/>
      <c r="Q23" s="304"/>
      <c r="R23" s="306"/>
      <c r="S23" s="307"/>
      <c r="T23" s="326"/>
      <c r="U23" s="166"/>
    </row>
    <row r="24" spans="1:21" ht="15" customHeight="1">
      <c r="A24" s="360"/>
      <c r="B24" s="364"/>
      <c r="C24" s="353" t="str">
        <f>'Εσωτερικό δίκτυο'!F33</f>
        <v>Υ/Σ 7 -&gt; Υ/Σ  6A</v>
      </c>
      <c r="D24" s="112">
        <v>9</v>
      </c>
      <c r="E24" s="113">
        <f>'Εσωτερικό δίκτυο'!H33</f>
        <v>1459.15</v>
      </c>
      <c r="F24" s="114">
        <f t="shared" si="20"/>
        <v>174.95462702715935</v>
      </c>
      <c r="G24" s="114">
        <f t="shared" si="21"/>
        <v>180.36559487336015</v>
      </c>
      <c r="H24" s="92">
        <v>0.83</v>
      </c>
      <c r="I24" s="92">
        <v>1</v>
      </c>
      <c r="J24" s="92" t="s">
        <v>94</v>
      </c>
      <c r="K24" s="115">
        <v>1</v>
      </c>
      <c r="L24" s="115">
        <v>95</v>
      </c>
      <c r="M24" s="114">
        <f>IF(REPLACE(J24,3,20,"")='Cable Data'!$A$1,VLOOKUP(L24,'Cable Data'!$B$2:$K$14,2,FALSE),VLOOKUP(L24,'Cable Data'!$B$17:$K$28,2,FALSE))*H24*K24*I24</f>
        <v>183.42999999999998</v>
      </c>
      <c r="N24" s="116">
        <f>IF(REPLACE(J24,3,20,"")='Cable Data'!$A$1,VLOOKUP(L24,'Cable Data'!$B$2:$K$14,5,FALSE),VLOOKUP(L24,'Cable Data'!$B$17:$K$28,5,FALSE))</f>
        <v>4.1100000000000002E-4</v>
      </c>
      <c r="O24" s="116">
        <f>IF(REPLACE($J24,3,20,"")='Cable Data'!$A$1,VLOOKUP($L24,'Cable Data'!$B$2:$K$14,6,FALSE),VLOOKUP($L24,'Cable Data'!$B$17:$K$28,6,FALSE))</f>
        <v>1.36E-4</v>
      </c>
      <c r="P24" s="116">
        <f>IF(REPLACE($J24,3,20,"")='Cable Data'!$A$1,VLOOKUP($L24,'Cable Data'!$B$2:$K$14,5,FALSE),VLOOKUP($L24,'Cable Data'!$B$17:$K$28,5,FALSE))</f>
        <v>4.1100000000000002E-4</v>
      </c>
      <c r="Q24" s="113">
        <f t="shared" si="22"/>
        <v>0.38257069380425812</v>
      </c>
      <c r="R24" s="117">
        <f t="shared" si="23"/>
        <v>8.9414710931184516</v>
      </c>
      <c r="S24" s="118">
        <f t="shared" si="24"/>
        <v>5.8528906881548E-2</v>
      </c>
      <c r="T24" s="326">
        <f t="shared" si="25"/>
        <v>0.65032118757275559</v>
      </c>
      <c r="U24" s="165" t="str">
        <f t="shared" si="19"/>
        <v>PASS</v>
      </c>
    </row>
    <row r="25" spans="1:21" ht="15" customHeight="1">
      <c r="A25" s="360"/>
      <c r="B25" s="364"/>
      <c r="C25" s="353" t="str">
        <f>'Εσωτερικό δίκτυο'!F34</f>
        <v>Υ/Σ 6Α -&gt; Υ/Σ 6</v>
      </c>
      <c r="D25" s="112">
        <v>15</v>
      </c>
      <c r="E25" s="113">
        <f>'Εσωτερικό δίκτυο'!H34</f>
        <v>268.24</v>
      </c>
      <c r="F25" s="114">
        <f t="shared" si="20"/>
        <v>291.59104504526556</v>
      </c>
      <c r="G25" s="114">
        <f t="shared" si="21"/>
        <v>300.60932478893358</v>
      </c>
      <c r="H25" s="92">
        <v>0.83</v>
      </c>
      <c r="I25" s="92">
        <v>1</v>
      </c>
      <c r="J25" s="92" t="s">
        <v>94</v>
      </c>
      <c r="K25" s="115">
        <v>1</v>
      </c>
      <c r="L25" s="115">
        <v>300</v>
      </c>
      <c r="M25" s="114">
        <f>IF(REPLACE(J25,3,20,"")='Cable Data'!$A$1,VLOOKUP(L25,'Cable Data'!$B$2:$K$14,2,FALSE),VLOOKUP(L25,'Cable Data'!$B$17:$K$28,2,FALSE))*H25*K25*I25</f>
        <v>340.3</v>
      </c>
      <c r="N25" s="116">
        <f>IF(REPLACE(J25,3,20,"")='Cable Data'!$A$1,VLOOKUP(L25,'Cable Data'!$B$2:$K$14,5,FALSE),VLOOKUP(L25,'Cable Data'!$B$17:$K$28,5,FALSE))</f>
        <v>1.2899999999999999E-4</v>
      </c>
      <c r="O25" s="116">
        <f>IF(REPLACE($J25,3,20,"")='Cable Data'!$A$1,VLOOKUP($L25,'Cable Data'!$B$2:$K$14,6,FALSE),VLOOKUP($L25,'Cable Data'!$B$17:$K$28,6,FALSE))</f>
        <v>1.13E-4</v>
      </c>
      <c r="P25" s="116">
        <f>IF(REPLACE($J25,3,20,"")='Cable Data'!$A$1,VLOOKUP($L25,'Cable Data'!$B$2:$K$14,5,FALSE),VLOOKUP($L25,'Cable Data'!$B$17:$K$28,5,FALSE))</f>
        <v>1.2899999999999999E-4</v>
      </c>
      <c r="Q25" s="113">
        <f t="shared" si="22"/>
        <v>4.1431104144010994E-2</v>
      </c>
      <c r="R25" s="117">
        <f t="shared" si="23"/>
        <v>14.990619210263844</v>
      </c>
      <c r="S25" s="118">
        <f t="shared" si="24"/>
        <v>9.3807897361554895E-3</v>
      </c>
      <c r="T25" s="326">
        <f t="shared" si="25"/>
        <v>6.2538598241036594E-2</v>
      </c>
      <c r="U25" s="165" t="str">
        <f t="shared" si="19"/>
        <v>PASS</v>
      </c>
    </row>
    <row r="26" spans="1:21" ht="15" customHeight="1">
      <c r="A26" s="360"/>
      <c r="B26" s="364"/>
      <c r="C26" s="111" t="str">
        <f>'Εσωτερικό δίκτυο'!F35</f>
        <v>Υ/Σ 6 -&gt; Υ/Σ</v>
      </c>
      <c r="D26" s="112">
        <v>21</v>
      </c>
      <c r="E26" s="113">
        <f>'Εσωτερικό δίκτυο'!H35</f>
        <v>3667.63</v>
      </c>
      <c r="F26" s="114">
        <f t="shared" si="20"/>
        <v>408.22746306337183</v>
      </c>
      <c r="G26" s="114">
        <f t="shared" si="21"/>
        <v>420.85305470450703</v>
      </c>
      <c r="H26" s="92">
        <v>0.73</v>
      </c>
      <c r="I26" s="92">
        <v>1</v>
      </c>
      <c r="J26" s="92" t="s">
        <v>94</v>
      </c>
      <c r="K26" s="115">
        <v>1</v>
      </c>
      <c r="L26" s="115">
        <v>800</v>
      </c>
      <c r="M26" s="114">
        <f>IF(REPLACE(J26,3,20,"")='Cable Data'!$A$1,VLOOKUP(L26,'Cable Data'!$B$2:$K$14,2,FALSE),VLOOKUP(L26,'Cable Data'!$B$17:$K$28,2,FALSE))*H26*K26*I26</f>
        <v>497.86</v>
      </c>
      <c r="N26" s="116">
        <f>IF(REPLACE(J26,3,20,"")='Cable Data'!$A$1,VLOOKUP(L26,'Cable Data'!$B$2:$K$14,5,FALSE),VLOOKUP(L26,'Cable Data'!$B$17:$K$28,5,FALSE))</f>
        <v>5.0899999999999997E-5</v>
      </c>
      <c r="O26" s="116">
        <f>IF(REPLACE($J26,3,20,"")='Cable Data'!$A$1,VLOOKUP($L26,'Cable Data'!$B$2:$K$14,6,FALSE),VLOOKUP($L26,'Cable Data'!$B$17:$K$28,6,FALSE))</f>
        <v>9.5000000000000005E-5</v>
      </c>
      <c r="P26" s="116">
        <f>IF(REPLACE($J26,3,20,"")='Cable Data'!$A$1,VLOOKUP($L26,'Cable Data'!$B$2:$K$14,5,FALSE),VLOOKUP($L26,'Cable Data'!$B$17:$K$28,5,FALSE))</f>
        <v>5.0899999999999997E-5</v>
      </c>
      <c r="Q26" s="113">
        <f t="shared" si="22"/>
        <v>0.37662195093635992</v>
      </c>
      <c r="R26" s="117">
        <f t="shared" si="23"/>
        <v>20.900805973152046</v>
      </c>
      <c r="S26" s="118">
        <f t="shared" si="24"/>
        <v>9.9194026847952685E-2</v>
      </c>
      <c r="T26" s="326">
        <f t="shared" si="25"/>
        <v>0.47235250879977475</v>
      </c>
      <c r="U26" s="165" t="str">
        <f t="shared" si="19"/>
        <v>PASS</v>
      </c>
    </row>
    <row r="27" spans="1:21" ht="15" customHeight="1">
      <c r="A27" s="360"/>
      <c r="B27" s="364"/>
      <c r="C27" s="336"/>
      <c r="D27" s="109"/>
      <c r="E27" s="304"/>
      <c r="F27" s="110"/>
      <c r="G27" s="110"/>
      <c r="H27" s="304"/>
      <c r="I27" s="304"/>
      <c r="J27" s="304"/>
      <c r="K27" s="110"/>
      <c r="L27" s="110"/>
      <c r="M27" s="110"/>
      <c r="N27" s="305"/>
      <c r="O27" s="305"/>
      <c r="P27" s="305"/>
      <c r="Q27" s="304"/>
      <c r="R27" s="306"/>
      <c r="S27" s="307"/>
      <c r="T27" s="326"/>
      <c r="U27" s="298"/>
    </row>
    <row r="28" spans="1:21" ht="15" customHeight="1">
      <c r="A28" s="360"/>
      <c r="B28" s="364"/>
      <c r="C28" s="111" t="str">
        <f>'Εσωτερικό δίκτυο'!F37</f>
        <v>Υ/Σ 8 -&gt; Υ/Σ 5</v>
      </c>
      <c r="D28" s="112">
        <v>4.2</v>
      </c>
      <c r="E28" s="113">
        <f>'Εσωτερικό δίκτυο'!H37</f>
        <v>1840.0700000000002</v>
      </c>
      <c r="F28" s="114">
        <f t="shared" si="20"/>
        <v>81.64549261267436</v>
      </c>
      <c r="G28" s="114">
        <f t="shared" si="21"/>
        <v>84.170610940901398</v>
      </c>
      <c r="H28" s="92">
        <v>0.83</v>
      </c>
      <c r="I28" s="92">
        <v>1</v>
      </c>
      <c r="J28" s="92" t="s">
        <v>94</v>
      </c>
      <c r="K28" s="115">
        <v>1</v>
      </c>
      <c r="L28" s="115">
        <v>300</v>
      </c>
      <c r="M28" s="114">
        <f>IF(REPLACE(J28,3,20,"")='Cable Data'!$A$1,VLOOKUP(L28,'Cable Data'!$B$2:$K$14,2,FALSE),VLOOKUP(L28,'Cable Data'!$B$17:$K$28,2,FALSE))*H28*K28*I28</f>
        <v>340.3</v>
      </c>
      <c r="N28" s="116">
        <f>IF(REPLACE(J28,3,20,"")='Cable Data'!$A$1,VLOOKUP(L28,'Cable Data'!$B$2:$K$14,5,FALSE),VLOOKUP(L28,'Cable Data'!$B$17:$K$28,5,FALSE))</f>
        <v>1.2899999999999999E-4</v>
      </c>
      <c r="O28" s="116">
        <f>IF(REPLACE($J28,3,20,"")='Cable Data'!$A$1,VLOOKUP($L28,'Cable Data'!$B$2:$K$14,6,FALSE),VLOOKUP($L28,'Cable Data'!$B$17:$K$28,6,FALSE))</f>
        <v>1.13E-4</v>
      </c>
      <c r="P28" s="116">
        <f>IF(REPLACE($J28,3,20,"")='Cable Data'!$A$1,VLOOKUP($L28,'Cable Data'!$B$2:$K$14,5,FALSE),VLOOKUP($L28,'Cable Data'!$B$17:$K$28,5,FALSE))</f>
        <v>1.2899999999999999E-4</v>
      </c>
      <c r="Q28" s="113">
        <f t="shared" si="22"/>
        <v>7.9578425680866705E-2</v>
      </c>
      <c r="R28" s="117">
        <f t="shared" si="23"/>
        <v>4.1949549407770919</v>
      </c>
      <c r="S28" s="118">
        <f t="shared" si="24"/>
        <v>5.0450592229082849E-3</v>
      </c>
      <c r="T28" s="326">
        <f t="shared" si="25"/>
        <v>0.12012045768829249</v>
      </c>
      <c r="U28" s="165" t="str">
        <f t="shared" si="19"/>
        <v>PASS</v>
      </c>
    </row>
    <row r="29" spans="1:21" ht="15" customHeight="1">
      <c r="A29" s="360"/>
      <c r="B29" s="364"/>
      <c r="C29" s="334" t="str">
        <f>'Εσωτερικό δίκτυο'!F38</f>
        <v>Υ/Σ 5Α -&gt; Υ/Σ 5Β</v>
      </c>
      <c r="D29" s="335">
        <f>D28+6.73</f>
        <v>10.93</v>
      </c>
      <c r="E29" s="327">
        <f>'Εσωτερικό δίκτυο'!H38</f>
        <v>224.37</v>
      </c>
      <c r="F29" s="328">
        <f t="shared" si="20"/>
        <v>212.47267482298352</v>
      </c>
      <c r="G29" s="328">
        <f t="shared" si="21"/>
        <v>219.04399466286961</v>
      </c>
      <c r="H29" s="265">
        <v>0.83</v>
      </c>
      <c r="I29" s="57">
        <v>1</v>
      </c>
      <c r="J29" s="248" t="s">
        <v>94</v>
      </c>
      <c r="K29" s="133">
        <v>1</v>
      </c>
      <c r="L29" s="115">
        <v>300</v>
      </c>
      <c r="M29" s="329">
        <f>IF(REPLACE(J29,3,20,"")='Cable Data'!$A$1,VLOOKUP(L29,'Cable Data'!$B$2:$K$14,2,FALSE),VLOOKUP(L29,'Cable Data'!$B$17:$K$28,2,FALSE))*H29*K29*I29</f>
        <v>340.3</v>
      </c>
      <c r="N29" s="330">
        <f>IF(REPLACE(J29,3,20,"")='Cable Data'!$A$1,VLOOKUP(L29,'Cable Data'!$B$2:$K$14,5,FALSE),VLOOKUP(L29,'Cable Data'!$B$17:$K$28,5,FALSE))</f>
        <v>1.2899999999999999E-4</v>
      </c>
      <c r="O29" s="330">
        <f>IF(REPLACE($J29,3,20,"")='Cable Data'!$A$1,VLOOKUP($L29,'Cable Data'!$B$2:$K$14,6,FALSE),VLOOKUP($L29,'Cable Data'!$B$17:$K$28,6,FALSE))</f>
        <v>1.13E-4</v>
      </c>
      <c r="P29" s="330">
        <f>IF(REPLACE($J29,3,20,"")='Cable Data'!$A$1,VLOOKUP($L29,'Cable Data'!$B$2:$K$14,5,FALSE),VLOOKUP($L29,'Cable Data'!$B$17:$K$28,5,FALSE))</f>
        <v>1.2899999999999999E-4</v>
      </c>
      <c r="Q29" s="331">
        <f t="shared" si="22"/>
        <v>2.5252051005600407E-2</v>
      </c>
      <c r="R29" s="332">
        <f t="shared" si="23"/>
        <v>10.925833815920633</v>
      </c>
      <c r="S29" s="333">
        <f t="shared" si="24"/>
        <v>4.1661840793660145E-3</v>
      </c>
      <c r="T29" s="28">
        <f t="shared" si="25"/>
        <v>3.8116963214693635E-2</v>
      </c>
      <c r="U29" s="165" t="str">
        <f t="shared" si="19"/>
        <v>PASS</v>
      </c>
    </row>
    <row r="30" spans="1:21" ht="15" customHeight="1">
      <c r="A30" s="360"/>
      <c r="B30" s="364"/>
      <c r="C30" s="111" t="str">
        <f>'Εσωτερικό δίκτυο'!F39</f>
        <v>Υ/Σ 5Β -&gt; Υ/Σ 5</v>
      </c>
      <c r="D30" s="324">
        <f>D29+6.73</f>
        <v>17.66</v>
      </c>
      <c r="E30" s="16">
        <f>'Εσωτερικό δίκτυο'!H39</f>
        <v>266.10000000000002</v>
      </c>
      <c r="F30" s="12">
        <f t="shared" si="20"/>
        <v>343.29985703329265</v>
      </c>
      <c r="G30" s="12">
        <f t="shared" si="21"/>
        <v>353.91737838483778</v>
      </c>
      <c r="H30" s="56">
        <v>0.83</v>
      </c>
      <c r="I30" s="57">
        <v>1</v>
      </c>
      <c r="J30" s="248" t="s">
        <v>94</v>
      </c>
      <c r="K30" s="60">
        <v>1</v>
      </c>
      <c r="L30" s="115">
        <v>300</v>
      </c>
      <c r="M30" s="87">
        <f>IF(REPLACE(J30,3,20,"")='Cable Data'!$A$1,VLOOKUP(L30,'Cable Data'!$B$2:$K$14,2,FALSE),VLOOKUP(L30,'Cable Data'!$B$17:$K$28,2,FALSE))*H30*K30*I30</f>
        <v>340.3</v>
      </c>
      <c r="N30" s="89">
        <f>IF(REPLACE(J30,3,20,"")='Cable Data'!$A$1,VLOOKUP(L30,'Cable Data'!$B$2:$K$14,5,FALSE),VLOOKUP(L30,'Cable Data'!$B$17:$K$28,5,FALSE))</f>
        <v>1.2899999999999999E-4</v>
      </c>
      <c r="O30" s="89">
        <f>IF(REPLACE($J30,3,20,"")='Cable Data'!$A$1,VLOOKUP($L30,'Cable Data'!$B$2:$K$14,6,FALSE),VLOOKUP($L30,'Cable Data'!$B$17:$K$28,6,FALSE))</f>
        <v>1.13E-4</v>
      </c>
      <c r="P30" s="89">
        <f>IF(REPLACE($J30,3,20,"")='Cable Data'!$A$1,VLOOKUP($L30,'Cable Data'!$B$2:$K$14,5,FALSE),VLOOKUP($L30,'Cable Data'!$B$17:$K$28,5,FALSE))</f>
        <v>1.2899999999999999E-4</v>
      </c>
      <c r="Q30" s="86">
        <f t="shared" si="22"/>
        <v>4.8389070710969928E-2</v>
      </c>
      <c r="R30" s="17">
        <f t="shared" si="23"/>
        <v>17.64710089386551</v>
      </c>
      <c r="S30" s="18">
        <f t="shared" si="24"/>
        <v>1.2899106134491082E-2</v>
      </c>
      <c r="T30" s="28">
        <f t="shared" si="25"/>
        <v>7.3041371089983487E-2</v>
      </c>
      <c r="U30" s="165" t="str">
        <f t="shared" si="19"/>
        <v>FAIL</v>
      </c>
    </row>
    <row r="31" spans="1:21" ht="15" customHeight="1" thickBot="1">
      <c r="A31" s="361"/>
      <c r="B31" s="365"/>
      <c r="C31" s="134" t="str">
        <f>'Εσωτερικό δίκτυο'!F33</f>
        <v>Υ/Σ 7 -&gt; Υ/Σ  6A</v>
      </c>
      <c r="D31" s="135">
        <f>D30+6.73</f>
        <v>24.39</v>
      </c>
      <c r="E31" s="136">
        <f>'Εσωτερικό δίκτυο'!H33</f>
        <v>1459.15</v>
      </c>
      <c r="F31" s="137">
        <f t="shared" si="14"/>
        <v>474.12703924360181</v>
      </c>
      <c r="G31" s="137">
        <f>F31/$X$3</f>
        <v>488.79076210680603</v>
      </c>
      <c r="H31" s="61">
        <v>0.73</v>
      </c>
      <c r="I31" s="126">
        <v>1</v>
      </c>
      <c r="J31" s="126" t="s">
        <v>94</v>
      </c>
      <c r="K31" s="251">
        <v>1</v>
      </c>
      <c r="L31" s="62">
        <v>800</v>
      </c>
      <c r="M31" s="138">
        <f>IF(REPLACE(J31,3,20,"")='Cable Data'!$A$1,VLOOKUP(L31,'Cable Data'!$B$2:$K$14,2,FALSE),VLOOKUP(L31,'Cable Data'!$B$17:$K$28,2,FALSE))*H31*K31*I31</f>
        <v>497.86</v>
      </c>
      <c r="N31" s="139">
        <f>IF(REPLACE(J31,3,20,"")='Cable Data'!$A$1,VLOOKUP(L31,'Cable Data'!$B$2:$K$14,5,FALSE),VLOOKUP(L31,'Cable Data'!$B$17:$K$28,5,FALSE))</f>
        <v>5.0899999999999997E-5</v>
      </c>
      <c r="O31" s="139">
        <f>IF(REPLACE($J31,3,20,"")='Cable Data'!$A$1,VLOOKUP($L31,'Cable Data'!$B$2:$K$14,6,FALSE),VLOOKUP($L31,'Cable Data'!$B$17:$K$28,6,FALSE))</f>
        <v>9.5000000000000005E-5</v>
      </c>
      <c r="P31" s="139">
        <f>IF(REPLACE($J31,3,20,"")='Cable Data'!$A$1,VLOOKUP($L31,'Cable Data'!$B$2:$K$14,5,FALSE),VLOOKUP($L31,'Cable Data'!$B$17:$K$28,5,FALSE))</f>
        <v>5.0899999999999997E-5</v>
      </c>
      <c r="Q31" s="140">
        <f t="shared" si="15"/>
        <v>0.17402536660429835</v>
      </c>
      <c r="R31" s="141">
        <f t="shared" si="16"/>
        <v>24.33676650807308</v>
      </c>
      <c r="S31" s="142">
        <f t="shared" si="17"/>
        <v>5.3233491926921485E-2</v>
      </c>
      <c r="T31" s="143">
        <f t="shared" si="18"/>
        <v>0.21825949949537304</v>
      </c>
      <c r="U31" s="167" t="str">
        <f t="shared" si="19"/>
        <v>PASS</v>
      </c>
    </row>
  </sheetData>
  <mergeCells count="7">
    <mergeCell ref="A19:A31"/>
    <mergeCell ref="B19:B31"/>
    <mergeCell ref="R1:S1"/>
    <mergeCell ref="A12:A17"/>
    <mergeCell ref="B12:B17"/>
    <mergeCell ref="A3:A10"/>
    <mergeCell ref="B3:B10"/>
  </mergeCells>
  <conditionalFormatting sqref="U3:U8 U10 U12:U17 U19:U31">
    <cfRule type="containsText" dxfId="1" priority="29" operator="containsText" text="FAIL">
      <formula>NOT(ISERROR(SEARCH("FAIL",U3)))</formula>
    </cfRule>
    <cfRule type="containsText" dxfId="0" priority="30" operator="containsText" text="PASS">
      <formula>NOT(ISERROR(SEARCH("PASS",U3)))</formula>
    </cfRule>
  </conditionalFormatting>
  <dataValidations count="1">
    <dataValidation type="list" allowBlank="1" showInputMessage="1" showErrorMessage="1" sqref="K15:K17 K10 K12:K13 K3:K8 K19:K31" xr:uid="{00000000-0002-0000-0200-000000000000}">
      <formula1>"1,2,3,4"</formula1>
    </dataValidation>
  </dataValidations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FF0A97F-0D2A-4299-B075-C88FFE69C3E9}">
          <x14:formula1>
            <xm:f>'Cable Data'!$F$34:$F$45</xm:f>
          </x14:formula1>
          <xm:sqref>H12:H13 H15:H17 H10 H3:H8 H19:H31</xm:sqref>
        </x14:dataValidation>
        <x14:dataValidation type="list" allowBlank="1" showInputMessage="1" showErrorMessage="1" xr:uid="{F5D8D82B-2083-4498-9136-2A25347D121C}">
          <x14:formula1>
            <xm:f>'Cable Data'!$A$32:$A$45</xm:f>
          </x14:formula1>
          <xm:sqref>I12:I13 I15:I17 I10 I3:I8 I19:I31</xm:sqref>
        </x14:dataValidation>
        <x14:dataValidation type="list" allowBlank="1" showInputMessage="1" showErrorMessage="1" xr:uid="{796716AC-B548-42A6-AE96-173378DDF438}">
          <x14:formula1>
            <xm:f>'Cable Data'!$B$2:$B$14</xm:f>
          </x14:formula1>
          <xm:sqref>L12:L13 L15:L17 L10 L3:L8 L19:L31</xm:sqref>
        </x14:dataValidation>
        <x14:dataValidation type="list" allowBlank="1" showInputMessage="1" showErrorMessage="1" xr:uid="{9C4B0B57-2CBB-49DA-9625-BF77B15AB946}">
          <x14:formula1>
            <xm:f>'Cable Costs'!$D$2:$K$2</xm:f>
          </x14:formula1>
          <xm:sqref>J12:J13 J15:J17 J10 J3:J8 J19:J31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zoomScaleNormal="100" workbookViewId="0">
      <selection activeCell="A15" sqref="A15"/>
    </sheetView>
  </sheetViews>
  <sheetFormatPr defaultRowHeight="15"/>
  <cols>
    <col min="1" max="1" width="22.42578125" customWidth="1"/>
    <col min="2" max="2" width="24.140625" customWidth="1"/>
    <col min="3" max="3" width="22.140625" customWidth="1"/>
    <col min="4" max="4" width="14.7109375" customWidth="1"/>
    <col min="5" max="5" width="22" customWidth="1"/>
    <col min="6" max="6" width="14.7109375" bestFit="1" customWidth="1"/>
    <col min="7" max="7" width="21.140625" customWidth="1"/>
  </cols>
  <sheetData>
    <row r="1" spans="1:3">
      <c r="A1" s="376" t="s">
        <v>137</v>
      </c>
      <c r="B1" s="376"/>
      <c r="C1" s="376"/>
    </row>
    <row r="2" spans="1:3">
      <c r="A2" s="10"/>
      <c r="B2" s="66" t="s">
        <v>107</v>
      </c>
      <c r="C2" s="66" t="s">
        <v>108</v>
      </c>
    </row>
    <row r="3" spans="1:3">
      <c r="A3" s="201" t="s">
        <v>101</v>
      </c>
      <c r="B3" s="211">
        <v>600000</v>
      </c>
      <c r="C3" s="212">
        <f>B3</f>
        <v>600000</v>
      </c>
    </row>
    <row r="4" spans="1:3">
      <c r="A4" s="203" t="s">
        <v>138</v>
      </c>
      <c r="B4" s="211">
        <v>1400000</v>
      </c>
      <c r="C4" s="213">
        <f>B4</f>
        <v>1400000</v>
      </c>
    </row>
    <row r="5" spans="1:3">
      <c r="A5" s="201" t="s">
        <v>102</v>
      </c>
      <c r="B5" s="211">
        <v>600000</v>
      </c>
      <c r="C5" s="212">
        <f>B5*0.5</f>
        <v>300000</v>
      </c>
    </row>
    <row r="6" spans="1:3">
      <c r="A6" s="203" t="s">
        <v>106</v>
      </c>
      <c r="B6" s="211">
        <v>1500000</v>
      </c>
      <c r="C6" s="213">
        <f>B6*0.5</f>
        <v>750000</v>
      </c>
    </row>
    <row r="7" spans="1:3">
      <c r="A7" s="201" t="s">
        <v>103</v>
      </c>
      <c r="B7" s="211">
        <v>0</v>
      </c>
      <c r="C7" s="212">
        <f>B7*0.5</f>
        <v>0</v>
      </c>
    </row>
    <row r="8" spans="1:3">
      <c r="A8" s="203" t="s">
        <v>104</v>
      </c>
      <c r="B8" s="211">
        <v>500000</v>
      </c>
      <c r="C8" s="213">
        <f>B8*0.5</f>
        <v>250000</v>
      </c>
    </row>
    <row r="9" spans="1:3">
      <c r="A9" s="201" t="s">
        <v>105</v>
      </c>
      <c r="B9" s="211">
        <v>700000</v>
      </c>
      <c r="C9" s="212">
        <f>B9*0.5</f>
        <v>350000</v>
      </c>
    </row>
    <row r="10" spans="1:3">
      <c r="B10" s="214">
        <f>SUM(B3:B9)</f>
        <v>5300000</v>
      </c>
      <c r="C10" s="214">
        <f>SUM(C3:C9)</f>
        <v>3650000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3"/>
  <sheetViews>
    <sheetView zoomScale="85" zoomScaleNormal="85" workbookViewId="0">
      <selection activeCell="H33" sqref="H33"/>
    </sheetView>
  </sheetViews>
  <sheetFormatPr defaultRowHeight="15"/>
  <cols>
    <col min="3" max="3" width="21.85546875" bestFit="1" customWidth="1"/>
    <col min="4" max="4" width="26.85546875" customWidth="1"/>
    <col min="5" max="5" width="26.7109375" customWidth="1"/>
    <col min="6" max="6" width="31.140625" customWidth="1"/>
    <col min="7" max="7" width="32.28515625" customWidth="1"/>
    <col min="8" max="8" width="28" customWidth="1"/>
    <col min="9" max="9" width="27.7109375" customWidth="1"/>
    <col min="10" max="10" width="24" customWidth="1"/>
    <col min="11" max="11" width="27.42578125" customWidth="1"/>
  </cols>
  <sheetData>
    <row r="1" spans="1:11" ht="30.75" customHeight="1">
      <c r="B1" s="42" t="s">
        <v>9</v>
      </c>
      <c r="D1" s="378" t="s">
        <v>55</v>
      </c>
      <c r="E1" s="378"/>
      <c r="F1" s="378"/>
      <c r="G1" s="378"/>
      <c r="H1" s="378" t="s">
        <v>56</v>
      </c>
      <c r="I1" s="378"/>
      <c r="J1" s="378"/>
      <c r="K1" s="378"/>
    </row>
    <row r="2" spans="1:11" ht="32.25">
      <c r="A2" s="42" t="s">
        <v>57</v>
      </c>
      <c r="B2" s="83" t="s">
        <v>58</v>
      </c>
      <c r="C2" s="69" t="s">
        <v>59</v>
      </c>
      <c r="D2" s="70" t="s">
        <v>60</v>
      </c>
      <c r="E2" s="70" t="s">
        <v>90</v>
      </c>
      <c r="F2" s="70" t="s">
        <v>61</v>
      </c>
      <c r="G2" s="70" t="s">
        <v>91</v>
      </c>
      <c r="H2" s="70" t="s">
        <v>62</v>
      </c>
      <c r="I2" s="70" t="s">
        <v>92</v>
      </c>
      <c r="J2" s="70" t="s">
        <v>63</v>
      </c>
      <c r="K2" s="70" t="s">
        <v>93</v>
      </c>
    </row>
    <row r="3" spans="1:11">
      <c r="A3" s="72">
        <v>0.15</v>
      </c>
      <c r="B3" s="377"/>
      <c r="C3" s="1">
        <v>95</v>
      </c>
      <c r="D3" s="31">
        <f>5.19*1000*(1+$A$3)</f>
        <v>5968.4999999999991</v>
      </c>
      <c r="E3" s="31">
        <f>5.73*1000*(1+$A$3)</f>
        <v>6589.4999999999991</v>
      </c>
      <c r="F3" s="31">
        <f>3.2*1000*(1+$A$3)</f>
        <v>3679.9999999999995</v>
      </c>
      <c r="G3" s="31">
        <f>3.73*1000*(1+$A$3)</f>
        <v>4289.5</v>
      </c>
      <c r="H3" s="31">
        <v>0</v>
      </c>
      <c r="I3" s="31">
        <v>0</v>
      </c>
      <c r="J3" s="31">
        <v>0</v>
      </c>
      <c r="K3" s="31">
        <v>0</v>
      </c>
    </row>
    <row r="4" spans="1:11">
      <c r="B4" s="377"/>
      <c r="C4" s="41">
        <v>120</v>
      </c>
      <c r="D4" s="68">
        <f>5.67*1000*(1+$A$3)</f>
        <v>6520.4999999999991</v>
      </c>
      <c r="E4" s="68">
        <f>6.24*1000*(1+$A$3)</f>
        <v>7175.9999999999991</v>
      </c>
      <c r="F4" s="68">
        <f>3.65*1000*(1+$A$3)</f>
        <v>4197.5</v>
      </c>
      <c r="G4" s="68">
        <f>4.2*1000*(1+$A$3)</f>
        <v>4830</v>
      </c>
      <c r="H4" s="68">
        <v>0</v>
      </c>
      <c r="I4" s="68">
        <v>0</v>
      </c>
      <c r="J4" s="68">
        <v>0</v>
      </c>
      <c r="K4" s="68">
        <v>0</v>
      </c>
    </row>
    <row r="5" spans="1:11">
      <c r="B5" s="377"/>
      <c r="C5" s="1">
        <v>150</v>
      </c>
      <c r="D5" s="31">
        <f>6.11*1000*(1+$A$3)</f>
        <v>7026.4999999999991</v>
      </c>
      <c r="E5" s="31">
        <f>6.7*1000*(1+$A$3)</f>
        <v>7704.9999999999991</v>
      </c>
      <c r="F5" s="31">
        <f>4.1*1000*(1+$A$3)</f>
        <v>4715</v>
      </c>
      <c r="G5" s="31">
        <f>4.69*1000*(1+$A$3)</f>
        <v>5393.5</v>
      </c>
      <c r="H5" s="31">
        <v>0</v>
      </c>
      <c r="I5" s="31">
        <v>0</v>
      </c>
      <c r="J5" s="31">
        <v>0</v>
      </c>
      <c r="K5" s="31">
        <v>0</v>
      </c>
    </row>
    <row r="6" spans="1:11">
      <c r="B6" s="377"/>
      <c r="C6" s="41">
        <v>185</v>
      </c>
      <c r="D6" s="68">
        <f>6.72*1000*(1+$A$3)</f>
        <v>7727.9999999999991</v>
      </c>
      <c r="E6" s="68">
        <f>7.35*1000*(1+$A$3)</f>
        <v>8452.5</v>
      </c>
      <c r="F6" s="68">
        <f>4.7*1000*(1+$A$3)</f>
        <v>5405</v>
      </c>
      <c r="G6" s="68">
        <f>5.3*1000*(1+$A$3)</f>
        <v>6094.9999999999991</v>
      </c>
      <c r="H6" s="68">
        <v>0</v>
      </c>
      <c r="I6" s="68">
        <v>0</v>
      </c>
      <c r="J6" s="68">
        <v>0</v>
      </c>
      <c r="K6" s="68">
        <v>0</v>
      </c>
    </row>
    <row r="7" spans="1:11">
      <c r="B7" s="377"/>
      <c r="C7" s="1">
        <v>240</v>
      </c>
      <c r="D7" s="31">
        <f>7.6*1000*(1+$A$3)</f>
        <v>8740</v>
      </c>
      <c r="E7" s="31">
        <f>8.27*1000*(1+$A$3)</f>
        <v>9510.5</v>
      </c>
      <c r="F7" s="31">
        <f>5.58*1000*(1+$A$3)</f>
        <v>6416.9999999999991</v>
      </c>
      <c r="G7" s="31">
        <f>6.23*1000*(1+$A$3)</f>
        <v>7164.4999999999991</v>
      </c>
      <c r="H7" s="31">
        <v>0</v>
      </c>
      <c r="I7" s="31">
        <v>0</v>
      </c>
      <c r="J7" s="31">
        <v>0</v>
      </c>
      <c r="K7" s="31">
        <v>0</v>
      </c>
    </row>
    <row r="8" spans="1:11">
      <c r="B8" s="377"/>
      <c r="C8" s="41">
        <v>300</v>
      </c>
      <c r="D8" s="68">
        <f>8.54*1000*(1+$A$3)</f>
        <v>9821</v>
      </c>
      <c r="E8" s="68">
        <f>9.24*1000*(1+$A$3)</f>
        <v>10626</v>
      </c>
      <c r="F8" s="68">
        <f>6.51*1000*(1+$A$3)</f>
        <v>7486.4999999999991</v>
      </c>
      <c r="G8" s="68">
        <f>7.21*1000*(1+$A$3)</f>
        <v>8291.5</v>
      </c>
      <c r="H8" s="68">
        <v>0</v>
      </c>
      <c r="I8" s="68">
        <v>0</v>
      </c>
      <c r="J8" s="68">
        <v>0</v>
      </c>
      <c r="K8" s="68">
        <v>0</v>
      </c>
    </row>
    <row r="9" spans="1:11">
      <c r="B9" s="377"/>
      <c r="C9" s="1">
        <v>400</v>
      </c>
      <c r="D9" s="31">
        <f>9.81*1000*(1+$A$3)</f>
        <v>11281.5</v>
      </c>
      <c r="E9" s="31">
        <f>10.57*1000*(1+$A$3)</f>
        <v>12155.499999999998</v>
      </c>
      <c r="F9" s="31">
        <f>7.76*1000*(1+$A$3)</f>
        <v>8924</v>
      </c>
      <c r="G9" s="31">
        <f>8.5*1000*(1+$A$3)</f>
        <v>9775</v>
      </c>
      <c r="H9" s="31">
        <v>0</v>
      </c>
      <c r="I9" s="31">
        <v>0</v>
      </c>
      <c r="J9" s="31">
        <v>0</v>
      </c>
      <c r="K9" s="31">
        <v>0</v>
      </c>
    </row>
    <row r="10" spans="1:11">
      <c r="B10" s="377"/>
      <c r="C10" s="41">
        <v>500</v>
      </c>
      <c r="D10" s="68">
        <f>11.61*1000*(1+$A$3)</f>
        <v>13351.499999999998</v>
      </c>
      <c r="E10" s="68">
        <f>12.43*1000*(1+$A$3)</f>
        <v>14294.499999999998</v>
      </c>
      <c r="F10" s="68">
        <f>9.55*1000*(1+$A$3)</f>
        <v>10982.5</v>
      </c>
      <c r="G10" s="68">
        <f>10.36*1000*(1+$A$3)</f>
        <v>11913.999999999998</v>
      </c>
      <c r="H10" s="68">
        <f>57.71*1000*(1+$A$3)</f>
        <v>66366.5</v>
      </c>
      <c r="I10" s="68">
        <f>58.44*1000*(1+$A$3)</f>
        <v>67206</v>
      </c>
      <c r="J10" s="68">
        <f>55.86*1000*(1+$A$3)</f>
        <v>64238.999999999993</v>
      </c>
      <c r="K10" s="68">
        <f>56.6*1000*(1+$A$3)</f>
        <v>65089.999999999993</v>
      </c>
    </row>
    <row r="11" spans="1:11">
      <c r="B11" s="377"/>
      <c r="C11" s="1">
        <v>630</v>
      </c>
      <c r="D11" s="31">
        <f>13.61*1000*(1+$A$3)</f>
        <v>15651.499999999998</v>
      </c>
      <c r="E11" s="31">
        <f>14.49*1000*(1+$A$3)</f>
        <v>16663.5</v>
      </c>
      <c r="F11" s="31">
        <f>11.54*1000*(1+$A$3)</f>
        <v>13270.999999999998</v>
      </c>
      <c r="G11" s="31">
        <f>12.41*1000*(1+$A$3)</f>
        <v>14271.499999999998</v>
      </c>
      <c r="H11" s="31">
        <f>73.01*1000*(1+$A$3)</f>
        <v>83961.5</v>
      </c>
      <c r="I11" s="31">
        <f>73.81*1000*(1+$A$3)</f>
        <v>84881.5</v>
      </c>
      <c r="J11" s="31">
        <f>71.15*1000*(1+$A$3)</f>
        <v>81822.5</v>
      </c>
      <c r="K11" s="31">
        <f>71.94*1000*(1+$A$3)</f>
        <v>82731</v>
      </c>
    </row>
    <row r="12" spans="1:11">
      <c r="B12" s="377"/>
      <c r="C12" s="41">
        <v>800</v>
      </c>
      <c r="D12" s="68">
        <f>16.06*1000*(1+$A$3)</f>
        <v>18468.999999999996</v>
      </c>
      <c r="E12" s="68">
        <f>17.03*1000*(1+$A$3)</f>
        <v>19584.5</v>
      </c>
      <c r="F12" s="68">
        <f>13.97*1000*(1+$A$3)</f>
        <v>16065.499999999998</v>
      </c>
      <c r="G12" s="68">
        <f>14.92*1000*(1+$A$3)</f>
        <v>17158</v>
      </c>
      <c r="H12" s="68">
        <f>92.9*1000*(1+$A$3)</f>
        <v>106834.99999999999</v>
      </c>
      <c r="I12" s="68">
        <f>93.75*1000*(1+$A$3)</f>
        <v>107812.49999999999</v>
      </c>
      <c r="J12" s="68">
        <f>91.01*1000*(1+$A$3)</f>
        <v>104661.49999999999</v>
      </c>
      <c r="K12" s="68">
        <f>91.86*1000*(1+$A$3)</f>
        <v>105638.99999999999</v>
      </c>
    </row>
    <row r="13" spans="1:11">
      <c r="B13" s="377"/>
      <c r="C13" s="1">
        <v>1000</v>
      </c>
      <c r="D13" s="31">
        <f>19.04*1000*(1+$A$3)</f>
        <v>21896</v>
      </c>
      <c r="E13" s="31">
        <f>20.09*1000*(1+$A$3)</f>
        <v>23103.5</v>
      </c>
      <c r="F13" s="31">
        <f>16.89*1000*(1+$A$3)</f>
        <v>19423.5</v>
      </c>
      <c r="G13" s="31">
        <f>17.91*1000*(1+$A$3)</f>
        <v>20596.5</v>
      </c>
      <c r="H13" s="31">
        <f>115.56*1000*(1+$A$3)</f>
        <v>132894</v>
      </c>
      <c r="I13" s="31">
        <f>116.5*1000*(1+$A$3)</f>
        <v>133975</v>
      </c>
      <c r="J13" s="31">
        <f>113.62*1000*(1+$A$3)</f>
        <v>130662.99999999999</v>
      </c>
      <c r="K13" s="31">
        <f>114.54*1000*(1+$A$3)</f>
        <v>131721</v>
      </c>
    </row>
    <row r="14" spans="1:11">
      <c r="B14" s="222"/>
      <c r="C14" s="41">
        <v>1200</v>
      </c>
      <c r="D14" s="223">
        <f>23.34*1000*(1+$A$3)</f>
        <v>26840.999999999996</v>
      </c>
      <c r="E14" s="223">
        <f>24.5*1000*(1+$A$3)</f>
        <v>28174.999999999996</v>
      </c>
      <c r="F14" s="223">
        <f>21.15*1000*(1+$A$3)</f>
        <v>24322.499999999996</v>
      </c>
      <c r="G14" s="223">
        <f>22.3*1000*(1+$A$3)</f>
        <v>25644.999999999996</v>
      </c>
      <c r="H14" s="223">
        <f>135.72*1000*(1+$A$3)</f>
        <v>156078</v>
      </c>
      <c r="I14" s="223">
        <f>135.63*1000*(1+$A$3)</f>
        <v>155974.5</v>
      </c>
      <c r="J14" s="223">
        <f>132.65*1000*(1+$A$3)</f>
        <v>152547.5</v>
      </c>
      <c r="K14" s="223">
        <f>133.67*1000*(1+$A$3)</f>
        <v>153720.5</v>
      </c>
    </row>
    <row r="15" spans="1:11">
      <c r="B15" s="222"/>
      <c r="C15" s="222"/>
      <c r="D15" s="222"/>
      <c r="E15" s="222"/>
      <c r="F15" s="222"/>
      <c r="G15" s="222"/>
      <c r="H15" s="222"/>
      <c r="I15" s="222"/>
      <c r="J15" s="222"/>
      <c r="K15" s="222"/>
    </row>
    <row r="16" spans="1:11">
      <c r="D16" s="378" t="s">
        <v>55</v>
      </c>
      <c r="E16" s="378"/>
      <c r="F16" s="378"/>
      <c r="G16" s="378"/>
      <c r="H16" s="378" t="s">
        <v>56</v>
      </c>
      <c r="I16" s="378"/>
      <c r="J16" s="378"/>
      <c r="K16" s="378"/>
    </row>
    <row r="17" spans="1:11" ht="32.25">
      <c r="B17" s="71" t="s">
        <v>25</v>
      </c>
      <c r="C17" s="69" t="s">
        <v>59</v>
      </c>
      <c r="D17" s="70" t="s">
        <v>60</v>
      </c>
      <c r="E17" s="70" t="s">
        <v>90</v>
      </c>
      <c r="F17" s="70" t="s">
        <v>61</v>
      </c>
      <c r="G17" s="70" t="s">
        <v>91</v>
      </c>
      <c r="H17" s="70" t="s">
        <v>62</v>
      </c>
      <c r="I17" s="70" t="s">
        <v>92</v>
      </c>
      <c r="J17" s="70" t="s">
        <v>63</v>
      </c>
      <c r="K17" s="70" t="s">
        <v>93</v>
      </c>
    </row>
    <row r="18" spans="1:11">
      <c r="B18" s="233"/>
      <c r="C18" s="1">
        <v>95</v>
      </c>
      <c r="D18" s="31">
        <f>6.05*1000*(1+$A$3)</f>
        <v>6957.4999999999991</v>
      </c>
      <c r="E18" s="31">
        <f>6.68*1000*(1+$A$3)</f>
        <v>7681.9999999999991</v>
      </c>
      <c r="F18" s="31">
        <f>4.04*1000*(1+$A$3)</f>
        <v>4646</v>
      </c>
      <c r="G18" s="31">
        <f>4.65*1000*(1+$A$3)</f>
        <v>5347.5</v>
      </c>
      <c r="H18" s="31">
        <v>0</v>
      </c>
      <c r="I18" s="31">
        <v>0</v>
      </c>
      <c r="J18" s="31">
        <v>0</v>
      </c>
      <c r="K18" s="31">
        <v>0</v>
      </c>
    </row>
    <row r="19" spans="1:11">
      <c r="C19" s="41">
        <v>120</v>
      </c>
      <c r="D19" s="68">
        <f>6.38*1000*(1+$A$3)</f>
        <v>7336.9999999999991</v>
      </c>
      <c r="E19" s="68">
        <f>7.19*1000*(1+$A$3)</f>
        <v>8268.5</v>
      </c>
      <c r="F19" s="68">
        <f>4.51*1000*(1+$A$3)</f>
        <v>5186.5</v>
      </c>
      <c r="G19" s="68">
        <f>5.16*1000*(1+$A$3)</f>
        <v>5933.9999999999991</v>
      </c>
      <c r="H19" s="68">
        <v>0</v>
      </c>
      <c r="I19" s="68">
        <v>0</v>
      </c>
      <c r="J19" s="68">
        <v>0</v>
      </c>
      <c r="K19" s="68">
        <v>0</v>
      </c>
    </row>
    <row r="20" spans="1:11">
      <c r="C20" s="1">
        <v>150</v>
      </c>
      <c r="D20" s="31">
        <f>6.86*1000*(1+$A$3)</f>
        <v>7888.9999999999991</v>
      </c>
      <c r="E20" s="31">
        <f>7.71*1000*(1+$A$3)</f>
        <v>8866.5</v>
      </c>
      <c r="F20" s="31">
        <f>4.97*1000*(1+$A$3)</f>
        <v>5715.5</v>
      </c>
      <c r="G20" s="31">
        <f>5.64*1000*(1+$A$3)</f>
        <v>6485.9999999999991</v>
      </c>
      <c r="H20" s="31">
        <v>0</v>
      </c>
      <c r="I20" s="31">
        <v>0</v>
      </c>
      <c r="J20" s="31">
        <v>0</v>
      </c>
      <c r="K20" s="31">
        <v>0</v>
      </c>
    </row>
    <row r="21" spans="1:11">
      <c r="C21" s="41">
        <v>185</v>
      </c>
      <c r="D21" s="68">
        <f>7.5*1000*(1+$A$3)</f>
        <v>8625</v>
      </c>
      <c r="E21" s="68">
        <f>8.38*1000*(1+$A$3)</f>
        <v>9637</v>
      </c>
      <c r="F21" s="68">
        <f>5.63*1000*(1+$A$3)</f>
        <v>6474.4999999999991</v>
      </c>
      <c r="G21" s="68">
        <f>6.34*1000*(1+$A$3)</f>
        <v>7290.9999999999991</v>
      </c>
      <c r="H21" s="68">
        <v>0</v>
      </c>
      <c r="I21" s="68">
        <v>0</v>
      </c>
      <c r="J21" s="68">
        <v>0</v>
      </c>
      <c r="K21" s="68">
        <v>0</v>
      </c>
    </row>
    <row r="22" spans="1:11">
      <c r="C22" s="1">
        <v>240</v>
      </c>
      <c r="D22" s="31">
        <f>8.45*1000*(1+$A$3)</f>
        <v>9717.5</v>
      </c>
      <c r="E22" s="31">
        <f>9.38*1000*(1+$A$3)</f>
        <v>10787</v>
      </c>
      <c r="F22" s="31">
        <f>6.57*1000*(1+$A$3)</f>
        <v>7555.4999999999991</v>
      </c>
      <c r="G22" s="31">
        <f>7.32*1000*(1+$A$3)</f>
        <v>8418</v>
      </c>
      <c r="H22" s="31">
        <v>0</v>
      </c>
      <c r="I22" s="31">
        <v>0</v>
      </c>
      <c r="J22" s="31">
        <v>0</v>
      </c>
      <c r="K22" s="31">
        <v>0</v>
      </c>
    </row>
    <row r="23" spans="1:11">
      <c r="C23" s="41">
        <v>300</v>
      </c>
      <c r="D23" s="68">
        <f>9.43*1000*(1+$A$3)</f>
        <v>10844.5</v>
      </c>
      <c r="E23" s="68">
        <f>10.42*1000*(1+$A$3)</f>
        <v>11982.999999999998</v>
      </c>
      <c r="F23" s="68">
        <f>7.54*1000*(1+$A$3)</f>
        <v>8671</v>
      </c>
      <c r="G23" s="68">
        <f>8.32*1000*(1+$A$3)</f>
        <v>9568</v>
      </c>
      <c r="H23" s="68">
        <v>0</v>
      </c>
      <c r="I23" s="68">
        <v>0</v>
      </c>
      <c r="J23" s="68">
        <v>0</v>
      </c>
      <c r="K23" s="68">
        <v>0</v>
      </c>
    </row>
    <row r="24" spans="1:11">
      <c r="C24" s="1">
        <v>400</v>
      </c>
      <c r="D24" s="31">
        <f>10.76*1000*(1+$A$3)</f>
        <v>12373.999999999998</v>
      </c>
      <c r="E24" s="31">
        <f>11.8*1000*(1+$A$3)</f>
        <v>13569.999999999998</v>
      </c>
      <c r="F24" s="31">
        <f>8.87*1000*(1+$A$3)</f>
        <v>10200.5</v>
      </c>
      <c r="G24" s="31">
        <f>9.71*1000*(1+$A$3)</f>
        <v>11166.5</v>
      </c>
      <c r="H24" s="31">
        <v>0</v>
      </c>
      <c r="I24" s="31">
        <v>0</v>
      </c>
      <c r="J24" s="31">
        <v>0</v>
      </c>
      <c r="K24" s="31">
        <v>0</v>
      </c>
    </row>
    <row r="25" spans="1:11">
      <c r="C25" s="41">
        <v>500</v>
      </c>
      <c r="D25" s="68">
        <f>12.62*1000*(1+$A$3)</f>
        <v>14512.999999999998</v>
      </c>
      <c r="E25" s="68">
        <f>13.76*1000*(1+$A$3)</f>
        <v>15823.999999999998</v>
      </c>
      <c r="F25" s="68">
        <f>10.71*1000*(1+$A$3)</f>
        <v>12316.499999999998</v>
      </c>
      <c r="G25" s="68">
        <f>11.63*1000*(1+$A$3)</f>
        <v>13374.499999999998</v>
      </c>
      <c r="H25" s="68">
        <f>58.81*1000*(1+$A$3)</f>
        <v>67631.5</v>
      </c>
      <c r="I25" s="68">
        <f>59.63*1000*(1+$A$3)</f>
        <v>68574.5</v>
      </c>
      <c r="J25" s="68">
        <f>56.9*1000*(1+$A$3)</f>
        <v>65434.999999999993</v>
      </c>
      <c r="K25" s="68">
        <f>57.72*1000*(1+$A$3)</f>
        <v>66378</v>
      </c>
    </row>
    <row r="26" spans="1:11">
      <c r="C26" s="1">
        <v>630</v>
      </c>
      <c r="D26" s="31">
        <f>14.69*1000*(1+$A$3)</f>
        <v>16893.5</v>
      </c>
      <c r="E26" s="31">
        <f>15.9*1000*(1+$A$3)</f>
        <v>18285</v>
      </c>
      <c r="F26" s="31">
        <f>12.82*1000*(1+$A$3)</f>
        <v>14742.999999999998</v>
      </c>
      <c r="G26" s="31">
        <f>13.78*1000*(1+$A$3)</f>
        <v>15846.999999999998</v>
      </c>
      <c r="H26" s="31">
        <f>74.18*1000*(1+$A$3)</f>
        <v>85307</v>
      </c>
      <c r="I26" s="31">
        <f>75.08*1000*(1+$A$3)</f>
        <v>86342</v>
      </c>
      <c r="J26" s="31">
        <f>72.3*1000*(1+$A$3)</f>
        <v>83145</v>
      </c>
      <c r="K26" s="31">
        <f>73.17*1000*(1+$A$3)</f>
        <v>84145.5</v>
      </c>
    </row>
    <row r="27" spans="1:11">
      <c r="C27" s="41">
        <v>800</v>
      </c>
      <c r="D27" s="68">
        <f>17.23*1000*(1+$A$3)</f>
        <v>19814.5</v>
      </c>
      <c r="E27" s="68">
        <f>18.52*1000*(1+$A$3)</f>
        <v>21298</v>
      </c>
      <c r="F27" s="68">
        <f>15.35*1000*(1+$A$3)</f>
        <v>17652.5</v>
      </c>
      <c r="G27" s="68">
        <f>16.38*1000*(1+$A$3)</f>
        <v>18836.999999999996</v>
      </c>
      <c r="H27" s="68">
        <f>94.15*1000*(1+$A$3)</f>
        <v>108272.49999999999</v>
      </c>
      <c r="I27" s="68">
        <f>95.11*1000*(1+$A$3)</f>
        <v>109376.49999999999</v>
      </c>
      <c r="J27" s="68">
        <f>92.25*1000*(1+$A$3)</f>
        <v>106087.49999999999</v>
      </c>
      <c r="K27" s="68">
        <f>93.18*1000*(1+$A$3)</f>
        <v>107156.99999999999</v>
      </c>
    </row>
    <row r="28" spans="1:11">
      <c r="C28" s="1">
        <v>1000</v>
      </c>
      <c r="D28" s="31">
        <f>20.3*1000*(1+$A$3)</f>
        <v>23345</v>
      </c>
      <c r="E28" s="31">
        <f>21.69*1000*(1+$A$3)</f>
        <v>24943.499999999996</v>
      </c>
      <c r="F28" s="31">
        <f>18.37*1000*(1+$A$3)</f>
        <v>21125.5</v>
      </c>
      <c r="G28" s="31">
        <f>19.49*1000*(1+$A$3)</f>
        <v>22413.5</v>
      </c>
      <c r="H28" s="31">
        <f>116.91*1000*(1+$A$3)</f>
        <v>134446.5</v>
      </c>
      <c r="I28" s="31">
        <f>117.93*1000*(1+$A$3)</f>
        <v>135619.5</v>
      </c>
      <c r="J28" s="31">
        <f>114.95*1000*(1+$A$3)</f>
        <v>132192.5</v>
      </c>
      <c r="K28" s="31">
        <f>115.96*1000*(1+$A$3)</f>
        <v>133354</v>
      </c>
    </row>
    <row r="29" spans="1:11">
      <c r="C29" s="41">
        <v>1200</v>
      </c>
      <c r="D29" s="223">
        <f>25.15*1000*(1+$A$3)</f>
        <v>28922.499999999996</v>
      </c>
      <c r="E29" s="223">
        <f>26.39*1000*(1+$A$3)</f>
        <v>30348.499999999996</v>
      </c>
      <c r="F29" s="223">
        <f>22.74*1000*(1+$A$3)</f>
        <v>26150.999999999996</v>
      </c>
      <c r="G29" s="223">
        <f>23.97*1000*(1+$A$3)</f>
        <v>27565.499999999996</v>
      </c>
      <c r="H29" s="223">
        <f>136.19*1000*(1+$A$3)</f>
        <v>156618.5</v>
      </c>
      <c r="I29" s="223">
        <f>137.31*1000*(1+$A$3)</f>
        <v>157906.5</v>
      </c>
      <c r="J29" s="223">
        <f>134.06*1000*(1+$A$3)</f>
        <v>154169</v>
      </c>
      <c r="K29" s="223">
        <f>136.16*1000*(1+$A$3)</f>
        <v>156584</v>
      </c>
    </row>
    <row r="31" spans="1:11" ht="45" customHeight="1">
      <c r="A31" s="42" t="s">
        <v>57</v>
      </c>
      <c r="C31" s="39" t="s">
        <v>64</v>
      </c>
      <c r="D31" s="40" t="s">
        <v>65</v>
      </c>
      <c r="E31" s="40" t="s">
        <v>66</v>
      </c>
      <c r="F31" s="40" t="s">
        <v>67</v>
      </c>
    </row>
    <row r="32" spans="1:11">
      <c r="A32" s="72">
        <v>0.6</v>
      </c>
      <c r="C32" s="1" t="s">
        <v>68</v>
      </c>
      <c r="D32" s="31">
        <f>365*(1+A32)</f>
        <v>584</v>
      </c>
      <c r="E32" s="31">
        <f>347*(1+A32)</f>
        <v>555.20000000000005</v>
      </c>
      <c r="F32" s="31">
        <f>219*(1+A32)</f>
        <v>350.40000000000003</v>
      </c>
    </row>
    <row r="33" spans="3:11">
      <c r="C33" s="41" t="s">
        <v>69</v>
      </c>
      <c r="D33" s="68">
        <f>375*(1+A32)</f>
        <v>600</v>
      </c>
      <c r="E33" s="68">
        <f>357*(1+A32)</f>
        <v>571.20000000000005</v>
      </c>
      <c r="F33" s="68">
        <f>232*(1+A32)</f>
        <v>371.20000000000005</v>
      </c>
    </row>
    <row r="34" spans="3:11">
      <c r="C34" s="1" t="s">
        <v>70</v>
      </c>
      <c r="D34" s="31">
        <f>385*(1+A32)</f>
        <v>616</v>
      </c>
      <c r="E34" s="31">
        <f>379*(1+A32)</f>
        <v>606.4</v>
      </c>
      <c r="F34" s="31">
        <f>256*(1+A32)</f>
        <v>409.6</v>
      </c>
    </row>
    <row r="35" spans="3:11">
      <c r="C35" s="41" t="s">
        <v>71</v>
      </c>
      <c r="D35" s="68">
        <f>400*(1+A32)</f>
        <v>640</v>
      </c>
      <c r="E35" s="68">
        <f>505*(1+A32)</f>
        <v>808</v>
      </c>
      <c r="F35" s="68">
        <f>350*(1+A32)</f>
        <v>560</v>
      </c>
    </row>
    <row r="38" spans="3:11" ht="32.25" customHeight="1">
      <c r="C38" s="379" t="s">
        <v>96</v>
      </c>
      <c r="D38" s="380"/>
      <c r="F38" s="381" t="s">
        <v>121</v>
      </c>
      <c r="G38" s="381"/>
      <c r="H38" s="381"/>
      <c r="I38" s="381"/>
      <c r="J38" s="381"/>
      <c r="K38" s="381"/>
    </row>
    <row r="39" spans="3:11" ht="48" customHeight="1">
      <c r="C39" s="198" t="s">
        <v>59</v>
      </c>
      <c r="D39" s="198" t="s">
        <v>100</v>
      </c>
      <c r="F39" s="221" t="s">
        <v>59</v>
      </c>
      <c r="G39" s="221" t="s">
        <v>110</v>
      </c>
      <c r="I39" s="221" t="s">
        <v>114</v>
      </c>
      <c r="J39" s="221" t="s">
        <v>127</v>
      </c>
      <c r="K39" s="221" t="s">
        <v>128</v>
      </c>
    </row>
    <row r="40" spans="3:11">
      <c r="C40" s="1">
        <v>50</v>
      </c>
      <c r="D40" s="209">
        <f t="shared" ref="D40:D45" si="0">($J$25-$F$25)*C40/$C$25/1000</f>
        <v>5.3118499999999997</v>
      </c>
      <c r="F40" s="93">
        <v>800</v>
      </c>
      <c r="G40" s="217">
        <v>70000</v>
      </c>
      <c r="I40" s="209" t="s">
        <v>112</v>
      </c>
      <c r="J40" s="209">
        <v>400000</v>
      </c>
      <c r="K40" s="209">
        <v>650000</v>
      </c>
    </row>
    <row r="41" spans="3:11">
      <c r="C41" s="41">
        <v>70</v>
      </c>
      <c r="D41" s="210">
        <f t="shared" si="0"/>
        <v>7.4365899999999989</v>
      </c>
      <c r="F41" s="199">
        <v>1000</v>
      </c>
      <c r="G41" s="219">
        <v>75000</v>
      </c>
      <c r="I41" s="231" t="s">
        <v>113</v>
      </c>
      <c r="J41" s="210">
        <v>300000</v>
      </c>
      <c r="K41" s="210">
        <v>550000</v>
      </c>
    </row>
    <row r="42" spans="3:11">
      <c r="C42" s="1">
        <v>95</v>
      </c>
      <c r="D42" s="209">
        <f t="shared" si="0"/>
        <v>10.092514999999997</v>
      </c>
      <c r="F42" s="93">
        <v>1200</v>
      </c>
      <c r="G42" s="218">
        <v>80000</v>
      </c>
    </row>
    <row r="43" spans="3:11">
      <c r="C43" s="41">
        <v>120</v>
      </c>
      <c r="D43" s="210">
        <f t="shared" si="0"/>
        <v>12.748439999999999</v>
      </c>
      <c r="F43" s="199">
        <v>1400</v>
      </c>
      <c r="G43" s="220">
        <v>90000</v>
      </c>
      <c r="J43" s="198" t="s">
        <v>115</v>
      </c>
    </row>
    <row r="44" spans="3:11">
      <c r="C44" s="1">
        <v>150</v>
      </c>
      <c r="D44" s="209">
        <f t="shared" si="0"/>
        <v>15.935549999999997</v>
      </c>
      <c r="F44" s="93">
        <v>1600</v>
      </c>
      <c r="G44" s="217">
        <v>95000</v>
      </c>
      <c r="I44" s="230" t="s">
        <v>111</v>
      </c>
      <c r="J44" s="209">
        <f>3*5000+3*3000+1300+20000</f>
        <v>45300</v>
      </c>
    </row>
    <row r="45" spans="3:11">
      <c r="C45" s="41">
        <v>185</v>
      </c>
      <c r="D45" s="210">
        <f t="shared" si="0"/>
        <v>19.653844999999997</v>
      </c>
      <c r="F45" s="199">
        <v>1800</v>
      </c>
      <c r="G45" s="220">
        <v>100000</v>
      </c>
    </row>
    <row r="47" spans="3:11">
      <c r="C47" s="379" t="s">
        <v>126</v>
      </c>
      <c r="D47" s="380"/>
    </row>
    <row r="48" spans="3:11" ht="29.25" customHeight="1">
      <c r="C48" s="198" t="s">
        <v>119</v>
      </c>
      <c r="D48" s="198" t="s">
        <v>100</v>
      </c>
    </row>
    <row r="49" spans="3:4">
      <c r="C49" s="242" t="s">
        <v>123</v>
      </c>
      <c r="D49" s="242">
        <v>300</v>
      </c>
    </row>
    <row r="50" spans="3:4">
      <c r="C50" s="254" t="s">
        <v>124</v>
      </c>
      <c r="D50" s="254">
        <v>400</v>
      </c>
    </row>
    <row r="51" spans="3:4">
      <c r="C51" s="242" t="s">
        <v>122</v>
      </c>
      <c r="D51" s="242">
        <v>650</v>
      </c>
    </row>
    <row r="52" spans="3:4">
      <c r="C52" s="254" t="s">
        <v>125</v>
      </c>
      <c r="D52" s="254">
        <v>950</v>
      </c>
    </row>
    <row r="53" spans="3:4">
      <c r="C53" s="242" t="s">
        <v>129</v>
      </c>
      <c r="D53" s="209">
        <v>500</v>
      </c>
    </row>
    <row r="54" spans="3:4">
      <c r="C54" s="254" t="s">
        <v>130</v>
      </c>
      <c r="D54" s="255">
        <v>1000</v>
      </c>
    </row>
    <row r="56" spans="3:4">
      <c r="C56" s="379" t="s">
        <v>116</v>
      </c>
      <c r="D56" s="380"/>
    </row>
    <row r="57" spans="3:4" ht="32.25">
      <c r="C57" s="198" t="s">
        <v>59</v>
      </c>
      <c r="D57" s="198" t="s">
        <v>100</v>
      </c>
    </row>
    <row r="58" spans="3:4">
      <c r="C58" s="1">
        <v>630</v>
      </c>
      <c r="D58" s="209">
        <v>1700</v>
      </c>
    </row>
    <row r="59" spans="3:4">
      <c r="C59" s="41">
        <v>800</v>
      </c>
      <c r="D59" s="210">
        <f>D58+100</f>
        <v>1800</v>
      </c>
    </row>
    <row r="60" spans="3:4">
      <c r="C60" s="1">
        <v>1000</v>
      </c>
      <c r="D60" s="209">
        <f>D59+100</f>
        <v>1900</v>
      </c>
    </row>
    <row r="61" spans="3:4">
      <c r="C61" s="41">
        <v>1200</v>
      </c>
      <c r="D61" s="210">
        <f>D60+100</f>
        <v>2000</v>
      </c>
    </row>
    <row r="62" spans="3:4">
      <c r="C62" s="1">
        <v>1400</v>
      </c>
      <c r="D62" s="209">
        <f>D61+100</f>
        <v>2100</v>
      </c>
    </row>
    <row r="63" spans="3:4">
      <c r="C63" s="41">
        <v>1600</v>
      </c>
      <c r="D63" s="210">
        <f>D62+100</f>
        <v>2200</v>
      </c>
    </row>
  </sheetData>
  <mergeCells count="9">
    <mergeCell ref="D1:G1"/>
    <mergeCell ref="H1:K1"/>
    <mergeCell ref="B3:B13"/>
    <mergeCell ref="D16:G16"/>
    <mergeCell ref="H16:K16"/>
    <mergeCell ref="C56:D56"/>
    <mergeCell ref="C38:D38"/>
    <mergeCell ref="C47:D47"/>
    <mergeCell ref="F38:K38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5"/>
  <sheetViews>
    <sheetView zoomScaleNormal="100" workbookViewId="0">
      <selection activeCell="O22" sqref="O22"/>
    </sheetView>
  </sheetViews>
  <sheetFormatPr defaultRowHeight="15" customHeight="1"/>
  <cols>
    <col min="1" max="1" width="11.5703125" customWidth="1"/>
    <col min="2" max="2" width="14.140625" customWidth="1"/>
    <col min="3" max="3" width="11.28515625" customWidth="1"/>
    <col min="4" max="4" width="13.140625" customWidth="1"/>
    <col min="5" max="5" width="11.28515625" customWidth="1"/>
    <col min="6" max="6" width="11.28515625" bestFit="1" customWidth="1"/>
    <col min="7" max="7" width="12.28515625" customWidth="1"/>
    <col min="8" max="8" width="10.85546875" customWidth="1"/>
    <col min="9" max="9" width="11.42578125" customWidth="1"/>
    <col min="10" max="10" width="9" bestFit="1" customWidth="1"/>
    <col min="11" max="11" width="13.7109375" customWidth="1"/>
    <col min="13" max="13" width="14.7109375" customWidth="1"/>
    <col min="14" max="14" width="16.42578125" bestFit="1" customWidth="1"/>
    <col min="15" max="16" width="23.28515625" customWidth="1"/>
    <col min="17" max="17" width="27.7109375" customWidth="1"/>
    <col min="18" max="18" width="26.28515625" customWidth="1"/>
    <col min="21" max="21" width="14.5703125" bestFit="1" customWidth="1"/>
  </cols>
  <sheetData>
    <row r="1" spans="1:21" ht="45">
      <c r="A1" s="32" t="s">
        <v>72</v>
      </c>
      <c r="B1" s="73" t="s">
        <v>59</v>
      </c>
      <c r="C1" s="74" t="s">
        <v>73</v>
      </c>
      <c r="D1" s="75" t="s">
        <v>74</v>
      </c>
      <c r="E1" s="75" t="s">
        <v>75</v>
      </c>
      <c r="F1" s="75" t="s">
        <v>76</v>
      </c>
      <c r="G1" s="75" t="s">
        <v>77</v>
      </c>
      <c r="H1" s="75" t="s">
        <v>78</v>
      </c>
      <c r="I1" s="74" t="s">
        <v>79</v>
      </c>
      <c r="J1" s="75" t="s">
        <v>80</v>
      </c>
      <c r="K1" s="75" t="s">
        <v>81</v>
      </c>
      <c r="O1" s="4"/>
      <c r="P1" s="4"/>
      <c r="Q1" s="4"/>
      <c r="R1" s="4"/>
    </row>
    <row r="2" spans="1:21">
      <c r="A2" s="33"/>
      <c r="B2" s="34">
        <v>70</v>
      </c>
      <c r="C2" s="7">
        <v>186</v>
      </c>
      <c r="D2" s="7">
        <f>0.443/1000</f>
        <v>4.4299999999999998E-4</v>
      </c>
      <c r="E2" s="7">
        <f>0.56799/1000</f>
        <v>5.6798999999999999E-4</v>
      </c>
      <c r="F2" s="7">
        <f>0.568/1000</f>
        <v>5.6799999999999993E-4</v>
      </c>
      <c r="G2" s="7">
        <f>0.143/1000</f>
        <v>1.4299999999999998E-4</v>
      </c>
      <c r="H2" s="7">
        <f t="shared" ref="H2:H11" si="0">SQRT(F2^2+G2^2)</f>
        <v>5.8572433789283495E-4</v>
      </c>
      <c r="I2" s="7">
        <f>0.16/1000</f>
        <v>1.6000000000000001E-4</v>
      </c>
      <c r="J2" s="7">
        <f>0.384/1000</f>
        <v>3.8400000000000001E-4</v>
      </c>
      <c r="K2" s="7">
        <f>0.083/1000</f>
        <v>8.2999999999999998E-5</v>
      </c>
      <c r="N2" s="36"/>
      <c r="O2" s="37"/>
      <c r="P2" s="37"/>
      <c r="Q2" s="37"/>
      <c r="R2" s="37"/>
    </row>
    <row r="3" spans="1:21">
      <c r="B3" s="76">
        <v>95</v>
      </c>
      <c r="C3" s="77">
        <f>221</f>
        <v>221</v>
      </c>
      <c r="D3" s="77">
        <f>0.32/1000</f>
        <v>3.2000000000000003E-4</v>
      </c>
      <c r="E3" s="77">
        <f>0.41027/1000</f>
        <v>4.1027000000000001E-4</v>
      </c>
      <c r="F3" s="77">
        <v>4.1100000000000002E-4</v>
      </c>
      <c r="G3" s="77">
        <v>1.36E-4</v>
      </c>
      <c r="H3" s="77">
        <f t="shared" si="0"/>
        <v>4.3291685113887633E-4</v>
      </c>
      <c r="I3" s="77">
        <f>0.18/1000</f>
        <v>1.7999999999999998E-4</v>
      </c>
      <c r="J3" s="77">
        <f>0.305/1000</f>
        <v>3.0499999999999999E-4</v>
      </c>
      <c r="K3" s="77">
        <f>0.077/1000</f>
        <v>7.7000000000000001E-5</v>
      </c>
      <c r="N3" s="36"/>
      <c r="O3" s="36"/>
      <c r="P3" s="36"/>
      <c r="Q3" s="36"/>
      <c r="R3" s="36"/>
      <c r="U3" s="38"/>
    </row>
    <row r="4" spans="1:21">
      <c r="B4" s="34">
        <v>120</v>
      </c>
      <c r="C4" s="7">
        <f>252</f>
        <v>252</v>
      </c>
      <c r="D4" s="7">
        <f>0.253/1000</f>
        <v>2.5300000000000002E-4</v>
      </c>
      <c r="E4" s="7">
        <f>0.32437/1000</f>
        <v>3.2436999999999999E-4</v>
      </c>
      <c r="F4" s="7">
        <f>0.0003247</f>
        <v>3.2469999999999998E-4</v>
      </c>
      <c r="G4" s="7">
        <f>0.00013</f>
        <v>1.2999999999999999E-4</v>
      </c>
      <c r="H4" s="7">
        <f t="shared" si="0"/>
        <v>3.4975718720277923E-4</v>
      </c>
      <c r="I4" s="7">
        <f>0.19/1000</f>
        <v>1.9000000000000001E-4</v>
      </c>
      <c r="J4" s="7">
        <f>0.255/1000</f>
        <v>2.5500000000000002E-4</v>
      </c>
      <c r="K4" s="7">
        <f>0.073/1000</f>
        <v>7.2999999999999999E-5</v>
      </c>
      <c r="N4" s="37"/>
      <c r="O4" s="37"/>
      <c r="P4" s="37"/>
      <c r="Q4" s="37"/>
      <c r="R4" s="37"/>
    </row>
    <row r="5" spans="1:21">
      <c r="B5" s="76">
        <v>150</v>
      </c>
      <c r="C5" s="77">
        <f>281</f>
        <v>281</v>
      </c>
      <c r="D5" s="77">
        <f>0.206/1000</f>
        <v>2.0599999999999999E-4</v>
      </c>
      <c r="E5" s="77">
        <f>0.2641/1000</f>
        <v>2.6410000000000002E-4</v>
      </c>
      <c r="F5" s="77">
        <f>0.000265</f>
        <v>2.6499999999999999E-4</v>
      </c>
      <c r="G5" s="77">
        <f>0.000127</f>
        <v>1.27E-4</v>
      </c>
      <c r="H5" s="77">
        <f t="shared" si="0"/>
        <v>2.9386051112730336E-4</v>
      </c>
      <c r="I5" s="77">
        <f>0.2/1000</f>
        <v>2.0000000000000001E-4</v>
      </c>
      <c r="J5" s="77">
        <f>0.217/1000</f>
        <v>2.1699999999999999E-4</v>
      </c>
      <c r="K5" s="77">
        <f>0.069/1000</f>
        <v>6.900000000000001E-5</v>
      </c>
      <c r="N5" s="37"/>
      <c r="O5" s="37"/>
      <c r="P5" s="37"/>
      <c r="Q5" s="37"/>
      <c r="R5" s="37"/>
    </row>
    <row r="6" spans="1:21">
      <c r="B6" s="34">
        <v>185</v>
      </c>
      <c r="C6" s="7">
        <f>317</f>
        <v>317</v>
      </c>
      <c r="D6" s="7">
        <f>0.164/1000</f>
        <v>1.64E-4</v>
      </c>
      <c r="E6" s="7">
        <f>0.21026/1000</f>
        <v>2.1026000000000001E-4</v>
      </c>
      <c r="F6" s="7">
        <f>0.000211</f>
        <v>2.1100000000000001E-4</v>
      </c>
      <c r="G6" s="7">
        <f>0.000122</f>
        <v>1.22E-4</v>
      </c>
      <c r="H6" s="7">
        <f t="shared" si="0"/>
        <v>2.4373140954747708E-4</v>
      </c>
      <c r="I6" s="7">
        <f>0.22/1000</f>
        <v>2.2000000000000001E-4</v>
      </c>
      <c r="J6" s="7">
        <f>0.179/1000</f>
        <v>1.7899999999999999E-4</v>
      </c>
      <c r="K6" s="7">
        <f>0.065/1000</f>
        <v>6.5000000000000008E-5</v>
      </c>
      <c r="N6" s="37"/>
      <c r="O6" s="37"/>
      <c r="P6" s="37"/>
      <c r="Q6" s="37"/>
      <c r="R6" s="37"/>
    </row>
    <row r="7" spans="1:21">
      <c r="B7" s="76">
        <v>240</v>
      </c>
      <c r="C7" s="77">
        <f>367</f>
        <v>367</v>
      </c>
      <c r="D7" s="77">
        <f>0.125/1000</f>
        <v>1.25E-4</v>
      </c>
      <c r="E7" s="77">
        <f>0.16026/1000</f>
        <v>1.6026000000000001E-4</v>
      </c>
      <c r="F7" s="77">
        <v>1.6100000000000001E-4</v>
      </c>
      <c r="G7" s="77">
        <v>1.17E-4</v>
      </c>
      <c r="H7" s="77">
        <f t="shared" si="0"/>
        <v>1.9902261178067181E-4</v>
      </c>
      <c r="I7" s="77">
        <f>0.24/1000</f>
        <v>2.3999999999999998E-4</v>
      </c>
      <c r="J7" s="77">
        <f>0.142/1000</f>
        <v>1.4199999999999998E-4</v>
      </c>
      <c r="K7" s="77">
        <f>0.06/1000</f>
        <v>5.9999999999999995E-5</v>
      </c>
      <c r="N7" s="37"/>
      <c r="O7" s="37"/>
      <c r="P7" s="37"/>
      <c r="Q7" s="37"/>
      <c r="R7" s="37"/>
    </row>
    <row r="8" spans="1:21">
      <c r="B8" s="34">
        <v>300</v>
      </c>
      <c r="C8" s="7">
        <f>410</f>
        <v>410</v>
      </c>
      <c r="D8" s="7">
        <f>0.1/1000</f>
        <v>1E-4</v>
      </c>
      <c r="E8" s="7">
        <f>0.12821/1000</f>
        <v>1.2820999999999999E-4</v>
      </c>
      <c r="F8" s="7">
        <v>1.2899999999999999E-4</v>
      </c>
      <c r="G8" s="7">
        <v>1.13E-4</v>
      </c>
      <c r="H8" s="7">
        <f t="shared" si="0"/>
        <v>1.7149344010777788E-4</v>
      </c>
      <c r="I8" s="7">
        <f>0.26/1000</f>
        <v>2.6000000000000003E-4</v>
      </c>
      <c r="J8" s="7">
        <f>0.116/1000</f>
        <v>1.16E-4</v>
      </c>
      <c r="K8" s="7">
        <f>0.057/1000</f>
        <v>5.7000000000000003E-5</v>
      </c>
      <c r="N8" s="37"/>
      <c r="O8" s="37"/>
      <c r="P8" s="37"/>
      <c r="Q8" s="37"/>
      <c r="R8" s="37"/>
    </row>
    <row r="9" spans="1:21">
      <c r="B9" s="246">
        <v>400</v>
      </c>
      <c r="C9" s="247">
        <f>462</f>
        <v>462</v>
      </c>
      <c r="D9" s="247">
        <f>0.0778/1000</f>
        <v>7.7799999999999994E-5</v>
      </c>
      <c r="E9" s="247">
        <f>0.09975/1000</f>
        <v>9.9749999999999999E-5</v>
      </c>
      <c r="F9" s="247">
        <v>1.01E-4</v>
      </c>
      <c r="G9" s="247">
        <v>1.0900000000000001E-4</v>
      </c>
      <c r="H9" s="247">
        <f t="shared" si="0"/>
        <v>1.4860013458944105E-4</v>
      </c>
      <c r="I9" s="247">
        <f>0.29/1000</f>
        <v>2.9E-4</v>
      </c>
      <c r="J9" s="247">
        <f>0.093/1000</f>
        <v>9.2999999999999997E-5</v>
      </c>
      <c r="K9" s="247">
        <f>0.052/1000</f>
        <v>5.1999999999999997E-5</v>
      </c>
      <c r="N9" s="37"/>
      <c r="O9" s="37"/>
      <c r="P9" s="37"/>
      <c r="Q9" s="37"/>
      <c r="R9" s="37"/>
    </row>
    <row r="10" spans="1:21">
      <c r="B10" s="34">
        <v>500</v>
      </c>
      <c r="C10" s="7">
        <f>536</f>
        <v>536</v>
      </c>
      <c r="D10" s="7">
        <f>0.0605/1000</f>
        <v>6.05E-5</v>
      </c>
      <c r="E10" s="7">
        <f>0.07757/1000</f>
        <v>7.7570000000000004E-5</v>
      </c>
      <c r="F10" s="7">
        <v>7.9699999999999999E-5</v>
      </c>
      <c r="G10" s="7">
        <v>1.0399999999999999E-4</v>
      </c>
      <c r="H10" s="7">
        <f t="shared" si="0"/>
        <v>1.3102705827423586E-4</v>
      </c>
      <c r="I10" s="7">
        <f>0.32/1000</f>
        <v>3.2000000000000003E-4</v>
      </c>
      <c r="J10" s="7">
        <f>0.075/1000</f>
        <v>7.4999999999999993E-5</v>
      </c>
      <c r="K10" s="7">
        <f>0.049/1000</f>
        <v>4.9000000000000005E-5</v>
      </c>
      <c r="N10" s="37"/>
      <c r="O10" s="37"/>
      <c r="P10" s="37"/>
      <c r="Q10" s="37"/>
      <c r="R10" s="37"/>
    </row>
    <row r="11" spans="1:21">
      <c r="B11" s="76">
        <v>630</v>
      </c>
      <c r="C11" s="77">
        <v>600</v>
      </c>
      <c r="D11" s="77">
        <f>0.0469/1000</f>
        <v>4.6899999999999995E-5</v>
      </c>
      <c r="E11" s="77">
        <f>0.06013/1000</f>
        <v>6.0130000000000002E-5</v>
      </c>
      <c r="F11" s="77">
        <v>6.3E-5</v>
      </c>
      <c r="G11" s="77">
        <v>1E-4</v>
      </c>
      <c r="H11" s="77">
        <f t="shared" si="0"/>
        <v>1.1819052415485769E-4</v>
      </c>
      <c r="I11" s="77">
        <f>0.35/1000</f>
        <v>3.5E-4</v>
      </c>
      <c r="J11" s="77">
        <f>0.06/1000</f>
        <v>5.9999999999999995E-5</v>
      </c>
      <c r="K11" s="77">
        <f>0.047/1000</f>
        <v>4.6999999999999997E-5</v>
      </c>
      <c r="N11" s="37"/>
      <c r="O11" s="37"/>
      <c r="P11" s="37"/>
      <c r="Q11" s="37"/>
      <c r="R11" s="37"/>
    </row>
    <row r="12" spans="1:21">
      <c r="B12" s="34">
        <v>800</v>
      </c>
      <c r="C12" s="7">
        <v>682</v>
      </c>
      <c r="D12" s="7">
        <f>0.0367/1000</f>
        <v>3.6700000000000004E-5</v>
      </c>
      <c r="E12" s="7">
        <f>0.04705/1000</f>
        <v>4.7049999999999998E-5</v>
      </c>
      <c r="F12" s="7">
        <v>5.0899999999999997E-5</v>
      </c>
      <c r="G12" s="7">
        <v>9.5000000000000005E-5</v>
      </c>
      <c r="H12" s="7">
        <f>SQRT(F12^2+G12^2)</f>
        <v>1.0777666723368283E-4</v>
      </c>
      <c r="I12" s="7">
        <f>0.4/1000</f>
        <v>4.0000000000000002E-4</v>
      </c>
      <c r="J12" s="7">
        <f>0.049/1000</f>
        <v>4.9000000000000005E-5</v>
      </c>
      <c r="K12" s="7">
        <f>0.044/1000</f>
        <v>4.3999999999999999E-5</v>
      </c>
      <c r="N12" s="37"/>
      <c r="O12" s="37"/>
      <c r="P12" s="37"/>
      <c r="Q12" s="37"/>
      <c r="R12" s="37"/>
    </row>
    <row r="13" spans="1:21">
      <c r="B13" s="227">
        <v>1000</v>
      </c>
      <c r="C13" s="228">
        <v>757</v>
      </c>
      <c r="D13" s="228">
        <f>0.0291/1000</f>
        <v>2.9099999999999999E-5</v>
      </c>
      <c r="E13" s="228">
        <f>0.03731/1000</f>
        <v>3.731E-5</v>
      </c>
      <c r="F13" s="228">
        <v>4.2200000000000003E-5</v>
      </c>
      <c r="G13" s="228">
        <v>9.2999999999999997E-5</v>
      </c>
      <c r="H13" s="228">
        <f>SQRT(F13^2+G13^2)</f>
        <v>1.0212658811494683E-4</v>
      </c>
      <c r="I13" s="228">
        <f>0.44/1000</f>
        <v>4.4000000000000002E-4</v>
      </c>
      <c r="J13" s="228">
        <f>0.041/1000</f>
        <v>4.1E-5</v>
      </c>
      <c r="K13" s="228">
        <f>0.04/1000</f>
        <v>4.0000000000000003E-5</v>
      </c>
      <c r="N13" s="37"/>
      <c r="O13" s="37"/>
      <c r="P13" s="37"/>
      <c r="Q13" s="37"/>
      <c r="R13" s="37"/>
    </row>
    <row r="14" spans="1:21">
      <c r="B14" s="229">
        <v>1200</v>
      </c>
      <c r="C14" s="7">
        <v>800</v>
      </c>
      <c r="D14" s="7">
        <v>2.9099999999999999E-5</v>
      </c>
      <c r="E14" s="7">
        <v>3.731E-5</v>
      </c>
      <c r="F14" s="7">
        <v>4.2200000000000003E-5</v>
      </c>
      <c r="G14" s="7">
        <v>9.2999999999999997E-5</v>
      </c>
      <c r="H14" s="7">
        <v>1.0212658811494683E-4</v>
      </c>
      <c r="I14" s="7">
        <v>4.4000000000000002E-4</v>
      </c>
      <c r="J14" s="7">
        <v>4.1E-5</v>
      </c>
      <c r="K14" s="7">
        <v>4.0000000000000003E-5</v>
      </c>
      <c r="N14" s="37"/>
      <c r="O14" s="37"/>
      <c r="P14" s="37"/>
      <c r="Q14" s="37"/>
      <c r="R14" s="37"/>
    </row>
    <row r="15" spans="1:21">
      <c r="N15" s="37"/>
      <c r="O15" s="37"/>
      <c r="P15" s="37"/>
      <c r="Q15" s="37"/>
      <c r="R15" s="37"/>
    </row>
    <row r="16" spans="1:21" ht="39" customHeight="1">
      <c r="A16" s="32" t="s">
        <v>82</v>
      </c>
      <c r="B16" s="69" t="s">
        <v>59</v>
      </c>
      <c r="C16" s="74" t="s">
        <v>73</v>
      </c>
      <c r="D16" s="75" t="s">
        <v>74</v>
      </c>
      <c r="E16" s="75" t="s">
        <v>75</v>
      </c>
      <c r="F16" s="75" t="s">
        <v>76</v>
      </c>
      <c r="G16" s="75" t="s">
        <v>77</v>
      </c>
      <c r="H16" s="75" t="s">
        <v>78</v>
      </c>
      <c r="I16" s="74" t="s">
        <v>79</v>
      </c>
      <c r="J16" s="75" t="s">
        <v>80</v>
      </c>
      <c r="K16" s="75" t="s">
        <v>81</v>
      </c>
    </row>
    <row r="17" spans="1:12">
      <c r="B17" s="34">
        <v>95</v>
      </c>
      <c r="C17" s="7"/>
      <c r="D17" s="7"/>
      <c r="E17" s="7"/>
      <c r="F17" s="7"/>
      <c r="G17" s="7"/>
      <c r="H17" s="7"/>
      <c r="I17" s="7"/>
      <c r="J17" s="7"/>
      <c r="K17" s="7"/>
    </row>
    <row r="18" spans="1:12">
      <c r="B18" s="76">
        <v>120</v>
      </c>
      <c r="C18" s="77"/>
      <c r="D18" s="77"/>
      <c r="E18" s="77"/>
      <c r="F18" s="77"/>
      <c r="G18" s="77"/>
      <c r="H18" s="77"/>
      <c r="I18" s="77"/>
      <c r="J18" s="77"/>
      <c r="K18" s="77"/>
    </row>
    <row r="19" spans="1:12">
      <c r="B19" s="34">
        <v>150</v>
      </c>
      <c r="C19" s="7"/>
      <c r="D19" s="7"/>
      <c r="E19" s="7"/>
      <c r="F19" s="7"/>
      <c r="G19" s="7"/>
      <c r="H19" s="7"/>
      <c r="I19" s="7"/>
      <c r="J19" s="7"/>
      <c r="K19" s="7"/>
    </row>
    <row r="20" spans="1:12">
      <c r="B20" s="76">
        <v>185</v>
      </c>
      <c r="C20" s="77"/>
      <c r="D20" s="77"/>
      <c r="E20" s="77"/>
      <c r="F20" s="77"/>
      <c r="G20" s="77"/>
      <c r="H20" s="77"/>
      <c r="I20" s="77"/>
      <c r="J20" s="77"/>
      <c r="K20" s="77"/>
    </row>
    <row r="21" spans="1:12">
      <c r="B21" s="34">
        <v>240</v>
      </c>
      <c r="C21" s="7"/>
      <c r="D21" s="7"/>
      <c r="E21" s="7"/>
      <c r="F21" s="7"/>
      <c r="G21" s="7"/>
      <c r="H21" s="7"/>
      <c r="I21" s="7"/>
      <c r="J21" s="7"/>
      <c r="K21" s="7"/>
    </row>
    <row r="22" spans="1:12">
      <c r="B22" s="76">
        <v>300</v>
      </c>
      <c r="C22" s="77"/>
      <c r="D22" s="77"/>
      <c r="E22" s="77"/>
      <c r="F22" s="77"/>
      <c r="G22" s="77"/>
      <c r="H22" s="77"/>
      <c r="I22" s="77"/>
      <c r="J22" s="77"/>
      <c r="K22" s="77"/>
    </row>
    <row r="23" spans="1:12">
      <c r="B23" s="34">
        <v>400</v>
      </c>
      <c r="C23" s="7"/>
      <c r="D23" s="7"/>
      <c r="E23" s="7"/>
      <c r="F23" s="7"/>
      <c r="G23" s="7"/>
      <c r="H23" s="7"/>
      <c r="I23" s="7"/>
      <c r="J23" s="7"/>
      <c r="K23" s="7"/>
    </row>
    <row r="24" spans="1:12">
      <c r="B24" s="76">
        <v>500</v>
      </c>
      <c r="C24" s="77"/>
      <c r="D24" s="77"/>
      <c r="E24" s="77"/>
      <c r="F24" s="77"/>
      <c r="G24" s="77"/>
      <c r="H24" s="77"/>
      <c r="I24" s="77"/>
      <c r="J24" s="77"/>
      <c r="K24" s="77"/>
    </row>
    <row r="25" spans="1:12">
      <c r="B25" s="34">
        <v>630</v>
      </c>
      <c r="C25" s="7">
        <v>753</v>
      </c>
      <c r="D25" s="7">
        <f>0.0283/1000</f>
        <v>2.83E-5</v>
      </c>
      <c r="E25" s="7">
        <f>0.03609/1000</f>
        <v>3.6089999999999995E-5</v>
      </c>
      <c r="F25" s="7">
        <f>0.0405/1000</f>
        <v>4.0500000000000002E-5</v>
      </c>
      <c r="G25" s="7">
        <f>0.1/1000</f>
        <v>1E-4</v>
      </c>
      <c r="H25" s="7">
        <f>SQRT(F25^2+G25^2)</f>
        <v>1.0788999026786498E-4</v>
      </c>
      <c r="I25" s="7">
        <f>0.35/1000</f>
        <v>3.5E-4</v>
      </c>
      <c r="J25" s="7">
        <v>3.9E-2</v>
      </c>
      <c r="K25" s="7">
        <v>4.5999999999999999E-2</v>
      </c>
    </row>
    <row r="26" spans="1:12">
      <c r="B26" s="76">
        <v>800</v>
      </c>
      <c r="C26" s="77"/>
      <c r="D26" s="77"/>
      <c r="E26" s="77"/>
      <c r="F26" s="77"/>
      <c r="G26" s="77"/>
      <c r="H26" s="77"/>
      <c r="I26" s="77"/>
      <c r="J26" s="77"/>
      <c r="K26" s="77"/>
    </row>
    <row r="27" spans="1:12">
      <c r="B27" s="224">
        <v>1000</v>
      </c>
      <c r="C27" s="225"/>
      <c r="D27" s="225"/>
      <c r="E27" s="225"/>
      <c r="F27" s="225"/>
      <c r="G27" s="225"/>
      <c r="H27" s="225"/>
      <c r="I27" s="225"/>
      <c r="J27" s="225"/>
      <c r="K27" s="225"/>
    </row>
    <row r="28" spans="1:12" ht="15" customHeight="1">
      <c r="B28" s="226">
        <v>1200</v>
      </c>
      <c r="C28" s="199"/>
      <c r="D28" s="199"/>
      <c r="E28" s="199"/>
      <c r="F28" s="199"/>
      <c r="G28" s="199"/>
      <c r="H28" s="199"/>
      <c r="I28" s="199"/>
      <c r="J28" s="199"/>
      <c r="K28" s="199"/>
    </row>
    <row r="31" spans="1:12" ht="30">
      <c r="A31" s="14" t="s">
        <v>83</v>
      </c>
      <c r="B31" s="14" t="s">
        <v>84</v>
      </c>
      <c r="D31" s="385" t="s">
        <v>85</v>
      </c>
      <c r="E31" s="385"/>
      <c r="F31" s="385"/>
      <c r="G31" s="385"/>
      <c r="H31" s="385"/>
      <c r="I31" s="385"/>
      <c r="K31" s="379" t="s">
        <v>96</v>
      </c>
      <c r="L31" s="380"/>
    </row>
    <row r="32" spans="1:12" ht="32.25">
      <c r="A32" s="78">
        <v>0.5</v>
      </c>
      <c r="B32" s="78">
        <v>1.05</v>
      </c>
      <c r="D32" s="382" t="s">
        <v>86</v>
      </c>
      <c r="E32" s="384" t="s">
        <v>87</v>
      </c>
      <c r="F32" s="384"/>
      <c r="G32" s="384"/>
      <c r="H32" s="384"/>
      <c r="I32" s="384"/>
      <c r="K32" s="198" t="s">
        <v>59</v>
      </c>
      <c r="L32" s="198" t="s">
        <v>97</v>
      </c>
    </row>
    <row r="33" spans="1:12">
      <c r="A33" s="15">
        <v>0.6</v>
      </c>
      <c r="B33" s="15">
        <v>1.03</v>
      </c>
      <c r="D33" s="383"/>
      <c r="E33" s="8" t="s">
        <v>88</v>
      </c>
      <c r="F33" s="8">
        <v>200</v>
      </c>
      <c r="G33" s="8">
        <v>400</v>
      </c>
      <c r="H33" s="8">
        <v>600</v>
      </c>
      <c r="I33" s="8">
        <v>800</v>
      </c>
      <c r="K33" s="199">
        <v>50</v>
      </c>
      <c r="L33" s="199">
        <v>429.3</v>
      </c>
    </row>
    <row r="34" spans="1:12">
      <c r="A34" s="78">
        <v>0.8</v>
      </c>
      <c r="B34" s="78">
        <v>1</v>
      </c>
      <c r="D34" s="79">
        <v>1</v>
      </c>
      <c r="E34" s="79">
        <v>1</v>
      </c>
      <c r="F34" s="79">
        <v>1</v>
      </c>
      <c r="G34" s="79">
        <v>1</v>
      </c>
      <c r="H34" s="79">
        <v>1</v>
      </c>
      <c r="I34" s="79">
        <v>1</v>
      </c>
      <c r="K34" s="93">
        <v>70</v>
      </c>
      <c r="L34" s="93">
        <v>607.1</v>
      </c>
    </row>
    <row r="35" spans="1:12">
      <c r="A35" s="15">
        <v>1</v>
      </c>
      <c r="B35" s="15">
        <v>0.97</v>
      </c>
      <c r="D35" s="9">
        <v>2</v>
      </c>
      <c r="E35" s="9">
        <v>0.73</v>
      </c>
      <c r="F35" s="9">
        <v>0.83</v>
      </c>
      <c r="G35" s="9">
        <v>0.88</v>
      </c>
      <c r="H35" s="9">
        <v>0.9</v>
      </c>
      <c r="I35" s="9">
        <v>0.92</v>
      </c>
      <c r="K35" s="199">
        <v>95</v>
      </c>
      <c r="L35" s="199">
        <v>841.4</v>
      </c>
    </row>
    <row r="36" spans="1:12">
      <c r="A36" s="78">
        <v>1.25</v>
      </c>
      <c r="B36" s="78">
        <v>0.95</v>
      </c>
      <c r="D36" s="79">
        <v>3</v>
      </c>
      <c r="E36" s="79">
        <v>0.6</v>
      </c>
      <c r="F36" s="79">
        <v>0.73</v>
      </c>
      <c r="G36" s="79">
        <v>0.79</v>
      </c>
      <c r="H36" s="79">
        <v>0.83</v>
      </c>
      <c r="I36" s="79">
        <v>0.86</v>
      </c>
      <c r="K36" s="93">
        <v>120</v>
      </c>
      <c r="L36" s="93">
        <v>1056.5</v>
      </c>
    </row>
    <row r="37" spans="1:12">
      <c r="A37" s="15">
        <v>1.5</v>
      </c>
      <c r="B37" s="15">
        <v>0.93</v>
      </c>
      <c r="D37" s="9">
        <v>4</v>
      </c>
      <c r="E37" s="9">
        <v>0.54</v>
      </c>
      <c r="F37" s="9">
        <v>0.68</v>
      </c>
      <c r="G37" s="9">
        <v>0.75</v>
      </c>
      <c r="H37" s="9">
        <v>0.8</v>
      </c>
      <c r="I37" s="9">
        <v>0.84</v>
      </c>
      <c r="K37" s="199">
        <v>150</v>
      </c>
      <c r="L37" s="199">
        <v>1300</v>
      </c>
    </row>
    <row r="38" spans="1:12">
      <c r="A38" s="78">
        <v>1.75</v>
      </c>
      <c r="B38" s="78">
        <v>0.92</v>
      </c>
      <c r="D38" s="79">
        <v>5</v>
      </c>
      <c r="E38" s="79">
        <v>0.49</v>
      </c>
      <c r="F38" s="79">
        <v>0.63</v>
      </c>
      <c r="G38" s="79">
        <v>0.72</v>
      </c>
      <c r="H38" s="79">
        <v>0.78</v>
      </c>
      <c r="I38" s="79">
        <v>0.82</v>
      </c>
      <c r="K38" s="93">
        <v>185</v>
      </c>
      <c r="L38" s="93">
        <v>1636.2</v>
      </c>
    </row>
    <row r="39" spans="1:12">
      <c r="A39" s="15">
        <v>2</v>
      </c>
      <c r="B39" s="15">
        <v>0.91</v>
      </c>
      <c r="D39" s="9">
        <v>6</v>
      </c>
      <c r="E39" s="9">
        <v>0.46</v>
      </c>
      <c r="F39" s="9">
        <v>0.61</v>
      </c>
      <c r="G39" s="9">
        <v>0.7</v>
      </c>
      <c r="H39" s="9">
        <v>0.76</v>
      </c>
      <c r="I39" s="9">
        <v>0.81</v>
      </c>
      <c r="K39" s="199">
        <v>240</v>
      </c>
      <c r="L39" s="199">
        <v>2155</v>
      </c>
    </row>
    <row r="40" spans="1:12">
      <c r="A40" s="78">
        <v>2.5</v>
      </c>
      <c r="B40" s="78">
        <v>0.89</v>
      </c>
      <c r="D40" s="79">
        <v>7</v>
      </c>
      <c r="E40" s="79">
        <v>0.43</v>
      </c>
      <c r="F40" s="79">
        <v>0.57999999999999996</v>
      </c>
      <c r="G40" s="79">
        <v>0.68</v>
      </c>
      <c r="H40" s="79">
        <v>0.75</v>
      </c>
      <c r="I40" s="79">
        <v>0.8</v>
      </c>
    </row>
    <row r="41" spans="1:12">
      <c r="A41" s="15">
        <v>3</v>
      </c>
      <c r="B41" s="15">
        <v>0.88</v>
      </c>
      <c r="D41" s="9">
        <v>8</v>
      </c>
      <c r="E41" s="9">
        <v>0.41</v>
      </c>
      <c r="F41" s="9">
        <v>0.56999999999999995</v>
      </c>
      <c r="G41" s="9">
        <v>0.67</v>
      </c>
      <c r="H41" s="9">
        <v>0.74</v>
      </c>
      <c r="I41" s="9" t="s">
        <v>89</v>
      </c>
    </row>
    <row r="42" spans="1:12">
      <c r="A42" s="78">
        <v>3.5</v>
      </c>
      <c r="B42" s="78">
        <v>0.81979999999999997</v>
      </c>
      <c r="D42" s="79">
        <v>9</v>
      </c>
      <c r="E42" s="79">
        <v>0.39</v>
      </c>
      <c r="F42" s="79">
        <v>0.55000000000000004</v>
      </c>
      <c r="G42" s="79">
        <v>0.66</v>
      </c>
      <c r="H42" s="79">
        <v>0.73</v>
      </c>
      <c r="I42" s="79" t="s">
        <v>89</v>
      </c>
    </row>
    <row r="43" spans="1:12">
      <c r="A43" s="15">
        <v>4</v>
      </c>
      <c r="B43" s="15">
        <v>0.78659999999999997</v>
      </c>
      <c r="D43" s="9">
        <v>10</v>
      </c>
      <c r="E43" s="9">
        <v>0.37</v>
      </c>
      <c r="F43" s="9">
        <v>0.54</v>
      </c>
      <c r="G43" s="9">
        <v>0.65</v>
      </c>
      <c r="H43" s="9" t="s">
        <v>89</v>
      </c>
      <c r="I43" s="9" t="s">
        <v>89</v>
      </c>
    </row>
    <row r="44" spans="1:12">
      <c r="A44" s="78">
        <v>4.5</v>
      </c>
      <c r="B44" s="78">
        <v>0.75349999999999995</v>
      </c>
      <c r="D44" s="79">
        <v>11</v>
      </c>
      <c r="E44" s="79">
        <v>0.36</v>
      </c>
      <c r="F44" s="79">
        <v>0.53</v>
      </c>
      <c r="G44" s="79">
        <v>0.64</v>
      </c>
      <c r="H44" s="79" t="s">
        <v>89</v>
      </c>
      <c r="I44" s="79" t="s">
        <v>89</v>
      </c>
    </row>
    <row r="45" spans="1:12">
      <c r="A45" s="15">
        <v>5</v>
      </c>
      <c r="B45" s="15">
        <v>0.72040000000000004</v>
      </c>
      <c r="D45" s="9">
        <v>12</v>
      </c>
      <c r="E45" s="9">
        <v>0.35</v>
      </c>
      <c r="F45" s="9">
        <v>0.52</v>
      </c>
      <c r="G45" s="9">
        <v>0.64</v>
      </c>
      <c r="H45" s="9" t="s">
        <v>89</v>
      </c>
      <c r="I45" s="9" t="s">
        <v>89</v>
      </c>
    </row>
  </sheetData>
  <mergeCells count="4">
    <mergeCell ref="D32:D33"/>
    <mergeCell ref="E32:I32"/>
    <mergeCell ref="D31:I31"/>
    <mergeCell ref="K31:L3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167052-5bcb-430a-9553-8847428d8ba1">
      <Terms xmlns="http://schemas.microsoft.com/office/infopath/2007/PartnerControls"/>
    </lcf76f155ced4ddcb4097134ff3c332f>
    <MediaServiceDateTaken xmlns="bd167052-5bcb-430a-9553-8847428d8ba1" xsi:nil="true"/>
    <MediaServiceObjectDetectorVersions xmlns="bd167052-5bcb-430a-9553-8847428d8ba1" xsi:nil="true"/>
    <MediaServiceMetadata xmlns="bd167052-5bcb-430a-9553-8847428d8ba1" xsi:nil="true"/>
    <MediaServiceAutoTags xmlns="bd167052-5bcb-430a-9553-8847428d8ba1" xsi:nil="true"/>
    <MediaServiceGenerationTime xmlns="bd167052-5bcb-430a-9553-8847428d8ba1" xsi:nil="true"/>
    <MediaServiceEventHashCode xmlns="bd167052-5bcb-430a-9553-8847428d8ba1" xsi:nil="true"/>
    <MediaServiceLocation xmlns="bd167052-5bcb-430a-9553-8847428d8ba1" xsi:nil="true"/>
    <MediaLengthInSeconds xmlns="bd167052-5bcb-430a-9553-8847428d8ba1" xsi:nil="true"/>
    <SharedWithDetails xmlns="9d0dcddf-073b-4cfd-98b0-d03eb5ab2d2b" xsi:nil="true"/>
    <MediaServiceFastMetadata xmlns="bd167052-5bcb-430a-9553-8847428d8ba1" xsi:nil="true"/>
    <MediaServiceOCR xmlns="bd167052-5bcb-430a-9553-8847428d8ba1" xsi:nil="true"/>
    <SharedWithUsers xmlns="9d0dcddf-073b-4cfd-98b0-d03eb5ab2d2b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6C772D2764AD469874201638D3818A" ma:contentTypeVersion="17" ma:contentTypeDescription="Create a new document." ma:contentTypeScope="" ma:versionID="5ef81e3cbe7b98493ed554a60e722995">
  <xsd:schema xmlns:xsd="http://www.w3.org/2001/XMLSchema" xmlns:xs="http://www.w3.org/2001/XMLSchema" xmlns:p="http://schemas.microsoft.com/office/2006/metadata/properties" xmlns:ns2="9d0dcddf-073b-4cfd-98b0-d03eb5ab2d2b" xmlns:ns3="bd167052-5bcb-430a-9553-8847428d8ba1" targetNamespace="http://schemas.microsoft.com/office/2006/metadata/properties" ma:root="true" ma:fieldsID="945afba48ba8f711e58259397d2dcdc7" ns2:_="" ns3:_="">
    <xsd:import namespace="9d0dcddf-073b-4cfd-98b0-d03eb5ab2d2b"/>
    <xsd:import namespace="bd167052-5bcb-430a-9553-8847428d8b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3:MediaServiceOCR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0dcddf-073b-4cfd-98b0-d03eb5ab2d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167052-5bcb-430a-9553-8847428d8b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1ec3a9c-a0c6-4e20-a12d-7715a0567b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194C76-3002-4052-96BF-76AEAB892CD6}">
  <ds:schemaRefs>
    <ds:schemaRef ds:uri="9d0dcddf-073b-4cfd-98b0-d03eb5ab2d2b"/>
    <ds:schemaRef ds:uri="bd167052-5bcb-430a-9553-8847428d8ba1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92846CE-0496-49E9-9E92-536A0EC5D2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0dcddf-073b-4cfd-98b0-d03eb5ab2d2b"/>
    <ds:schemaRef ds:uri="bd167052-5bcb-430a-9553-8847428d8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269678-2B35-43F6-B0A5-CBD6C6B764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Συγκεντρωτικά</vt:lpstr>
      <vt:lpstr>Εσωτερικό δίκτυο</vt:lpstr>
      <vt:lpstr>Εσωτερικό Δίκτυο Αναλυτικά</vt:lpstr>
      <vt:lpstr>Σύνδεση</vt:lpstr>
      <vt:lpstr>Cable Costs</vt:lpstr>
      <vt:lpstr>Cable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Lysimachos Rozik</dc:creator>
  <cp:keywords/>
  <dc:description/>
  <cp:lastModifiedBy>Veisakis Manousos</cp:lastModifiedBy>
  <dcterms:created xsi:type="dcterms:W3CDTF">2015-06-05T18:19:34Z</dcterms:created>
  <dcterms:modified xsi:type="dcterms:W3CDTF">2024-01-23T13:57:11Z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0x0101003B6C772D2764AD469874201638D3818A</vt:lpwstr>
  </property>
  <property fmtid="{D5CDD505-2E9C-101B-9397-08002B2CF9AE}" pid="3" name="MediaServiceMetadata">
    <vt:lpwstr/>
  </property>
  <property fmtid="{D5CDD505-2E9C-101B-9397-08002B2CF9AE}" pid="4" name="MediaServiceFastMetadata">
    <vt:lpwstr/>
  </property>
  <property fmtid="{D5CDD505-2E9C-101B-9397-08002B2CF9AE}" pid="5" name="MediaServiceAutoTags">
    <vt:lpwstr/>
  </property>
  <property fmtid="{D5CDD505-2E9C-101B-9397-08002B2CF9AE}" pid="6" name="MediaServiceOCR">
    <vt:lpwstr/>
  </property>
  <property fmtid="{D5CDD505-2E9C-101B-9397-08002B2CF9AE}" pid="7" name="MediaServiceGenerationTime">
    <vt:lpwstr/>
  </property>
  <property fmtid="{D5CDD505-2E9C-101B-9397-08002B2CF9AE}" pid="8" name="MediaServiceEventHashCode">
    <vt:lpwstr/>
  </property>
  <property fmtid="{D5CDD505-2E9C-101B-9397-08002B2CF9AE}" pid="9" name="MediaServiceDateTaken">
    <vt:lpwstr/>
  </property>
  <property fmtid="{D5CDD505-2E9C-101B-9397-08002B2CF9AE}" pid="10" name="MediaServiceLocation">
    <vt:lpwstr/>
  </property>
  <property fmtid="{D5CDD505-2E9C-101B-9397-08002B2CF9AE}" pid="11" name="MediaLengthInSeconds">
    <vt:lpwstr/>
  </property>
  <property fmtid="{D5CDD505-2E9C-101B-9397-08002B2CF9AE}" pid="12" name="MediaServiceObjectDetectorVersions">
    <vt:lpwstr/>
  </property>
  <property fmtid="{D5CDD505-2E9C-101B-9397-08002B2CF9AE}" pid="13" name="SharedWithUsers">
    <vt:lpwstr/>
  </property>
  <property fmtid="{D5CDD505-2E9C-101B-9397-08002B2CF9AE}" pid="14" name="SharedWithDetails">
    <vt:lpwstr/>
  </property>
  <property fmtid="{D5CDD505-2E9C-101B-9397-08002B2CF9AE}" pid="15" name="SharingHintHash">
    <vt:lpwstr/>
  </property>
  <property fmtid="{D5CDD505-2E9C-101B-9397-08002B2CF9AE}" pid="16" name="lcf76f155ced4ddcb4097134ff3c332f">
    <vt:lpwstr/>
  </property>
  <property fmtid="{D5CDD505-2E9C-101B-9397-08002B2CF9AE}" pid="17" name="MOHDepartmentTaxonomy">
    <vt:lpwstr/>
  </property>
  <property fmtid="{D5CDD505-2E9C-101B-9397-08002B2CF9AE}" pid="18" name="md928f50fea8486a8a247c6e758e44c0">
    <vt:lpwstr/>
  </property>
  <property fmtid="{D5CDD505-2E9C-101B-9397-08002B2CF9AE}" pid="19" name="MediaServiceImageTags">
    <vt:lpwstr/>
  </property>
  <property fmtid="{D5CDD505-2E9C-101B-9397-08002B2CF9AE}" pid="20" name="m45dc1a870af4d97977cc696372f3ecd">
    <vt:lpwstr/>
  </property>
  <property fmtid="{D5CDD505-2E9C-101B-9397-08002B2CF9AE}" pid="21" name="TaxCatchAll">
    <vt:lpwstr/>
  </property>
  <property fmtid="{D5CDD505-2E9C-101B-9397-08002B2CF9AE}" pid="22" name="MOHCompanyTaxonomy">
    <vt:lpwstr/>
  </property>
</Properties>
</file>