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eis\Documents\Python Scripts\Hybrid\clc\"/>
    </mc:Choice>
  </mc:AlternateContent>
  <xr:revisionPtr revIDLastSave="0" documentId="13_ncr:1_{AD6B7E66-4B5C-4841-B21E-B6CD3A6A7CFE}" xr6:coauthVersionLast="47" xr6:coauthVersionMax="47" xr10:uidLastSave="{00000000-0000-0000-0000-000000000000}"/>
  <bookViews>
    <workbookView xWindow="-108" yWindow="-108" windowWidth="23256" windowHeight="12456" xr2:uid="{7CEB3A89-7B48-48D1-9715-5163782BCB9C}"/>
  </bookViews>
  <sheets>
    <sheet name="Input" sheetId="8" r:id="rId1"/>
    <sheet name="Project IRR" sheetId="1" r:id="rId2"/>
    <sheet name="Equity IRR" sheetId="2" r:id="rId3"/>
    <sheet name="References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8" l="1"/>
  <c r="C6" i="8"/>
  <c r="C11" i="8" s="1"/>
  <c r="D51" i="1"/>
  <c r="C7" i="8"/>
  <c r="I50" i="1"/>
  <c r="I75" i="1"/>
  <c r="D76" i="1"/>
  <c r="C24" i="8"/>
  <c r="D100" i="1"/>
  <c r="D101" i="1" s="1"/>
  <c r="D102" i="1" s="1"/>
  <c r="D103" i="1" s="1"/>
  <c r="D104" i="1" s="1"/>
  <c r="D105" i="1" s="1"/>
  <c r="D106" i="1" s="1"/>
  <c r="D107" i="1" s="1"/>
  <c r="D37" i="8"/>
  <c r="D77" i="1" s="1"/>
  <c r="D38" i="8"/>
  <c r="D78" i="1" s="1"/>
  <c r="D39" i="8"/>
  <c r="D79" i="1" s="1"/>
  <c r="D40" i="8"/>
  <c r="D80" i="1" s="1"/>
  <c r="D41" i="8"/>
  <c r="D81" i="1" s="1"/>
  <c r="D42" i="8"/>
  <c r="D82" i="1" s="1"/>
  <c r="D43" i="8"/>
  <c r="D44" i="8" s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25" i="1"/>
  <c r="D124" i="1"/>
  <c r="I123" i="1"/>
  <c r="I99" i="1"/>
  <c r="C9" i="8"/>
  <c r="O2" i="2" s="1"/>
  <c r="C15" i="8"/>
  <c r="C16" i="8"/>
  <c r="E14" i="1" s="1"/>
  <c r="E22" i="1" l="1"/>
  <c r="E21" i="1"/>
  <c r="E13" i="1"/>
  <c r="E12" i="1"/>
  <c r="E11" i="1"/>
  <c r="E10" i="1"/>
  <c r="E6" i="1"/>
  <c r="E9" i="1"/>
  <c r="E8" i="1"/>
  <c r="E7" i="1"/>
  <c r="E4" i="1"/>
  <c r="E5" i="1"/>
  <c r="E3" i="1"/>
  <c r="D52" i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108" i="1"/>
  <c r="D84" i="1"/>
  <c r="D45" i="8"/>
  <c r="D83" i="1"/>
  <c r="E20" i="1"/>
  <c r="E19" i="1"/>
  <c r="E15" i="1"/>
  <c r="E18" i="1"/>
  <c r="E17" i="1"/>
  <c r="E16" i="1"/>
  <c r="D109" i="1"/>
  <c r="C17" i="8"/>
  <c r="D46" i="8" l="1"/>
  <c r="D85" i="1"/>
  <c r="E52" i="1"/>
  <c r="F52" i="1" s="1"/>
  <c r="E55" i="1"/>
  <c r="E58" i="1"/>
  <c r="E59" i="1"/>
  <c r="E60" i="1"/>
  <c r="E61" i="1"/>
  <c r="E62" i="1"/>
  <c r="E63" i="1"/>
  <c r="E64" i="1"/>
  <c r="E67" i="1"/>
  <c r="E68" i="1"/>
  <c r="E69" i="1"/>
  <c r="E51" i="1"/>
  <c r="F51" i="1" s="1"/>
  <c r="E53" i="1"/>
  <c r="F53" i="1" s="1"/>
  <c r="E54" i="1"/>
  <c r="E56" i="1"/>
  <c r="E57" i="1"/>
  <c r="E65" i="1"/>
  <c r="E66" i="1"/>
  <c r="E70" i="1"/>
  <c r="C10" i="8"/>
  <c r="C123" i="1" l="1"/>
  <c r="K123" i="1" s="1"/>
  <c r="C2" i="1"/>
  <c r="C50" i="1"/>
  <c r="K50" i="1" s="1"/>
  <c r="D86" i="1"/>
  <c r="D110" i="1"/>
  <c r="D47" i="8"/>
  <c r="F54" i="1"/>
  <c r="K46" i="2"/>
  <c r="G46" i="2"/>
  <c r="K45" i="2"/>
  <c r="G45" i="2"/>
  <c r="K26" i="2"/>
  <c r="G26" i="2"/>
  <c r="F26" i="2"/>
  <c r="E26" i="2"/>
  <c r="D26" i="2"/>
  <c r="C26" i="2"/>
  <c r="K25" i="2"/>
  <c r="D87" i="1" l="1"/>
  <c r="D48" i="8"/>
  <c r="D111" i="1"/>
  <c r="F55" i="1"/>
  <c r="C12" i="8"/>
  <c r="C75" i="1" s="1"/>
  <c r="K75" i="1" s="1"/>
  <c r="C18" i="8"/>
  <c r="H26" i="2"/>
  <c r="I26" i="2" s="1"/>
  <c r="J26" i="2" s="1"/>
  <c r="E2" i="2"/>
  <c r="F2" i="2"/>
  <c r="D2" i="2"/>
  <c r="C2" i="2"/>
  <c r="D88" i="1" l="1"/>
  <c r="D112" i="1"/>
  <c r="D49" i="8"/>
  <c r="E81" i="1"/>
  <c r="F81" i="1" s="1"/>
  <c r="E91" i="1"/>
  <c r="E82" i="1"/>
  <c r="F82" i="1" s="1"/>
  <c r="E92" i="1"/>
  <c r="E83" i="1"/>
  <c r="F83" i="1" s="1"/>
  <c r="E84" i="1"/>
  <c r="F84" i="1" s="1"/>
  <c r="E93" i="1"/>
  <c r="E76" i="1"/>
  <c r="F76" i="1" s="1"/>
  <c r="E94" i="1"/>
  <c r="E85" i="1"/>
  <c r="F85" i="1" s="1"/>
  <c r="E86" i="1"/>
  <c r="F86" i="1" s="1"/>
  <c r="E78" i="1"/>
  <c r="F78" i="1" s="1"/>
  <c r="E87" i="1"/>
  <c r="F87" i="1" s="1"/>
  <c r="E88" i="1"/>
  <c r="F88" i="1" s="1"/>
  <c r="E89" i="1"/>
  <c r="E80" i="1"/>
  <c r="F80" i="1" s="1"/>
  <c r="E90" i="1"/>
  <c r="E77" i="1"/>
  <c r="F77" i="1" s="1"/>
  <c r="E79" i="1"/>
  <c r="F79" i="1" s="1"/>
  <c r="F56" i="1"/>
  <c r="E134" i="1"/>
  <c r="F134" i="1" s="1"/>
  <c r="E130" i="1"/>
  <c r="F130" i="1" s="1"/>
  <c r="E140" i="1"/>
  <c r="F140" i="1" s="1"/>
  <c r="E133" i="1"/>
  <c r="F133" i="1" s="1"/>
  <c r="E139" i="1"/>
  <c r="F139" i="1" s="1"/>
  <c r="E126" i="1"/>
  <c r="F126" i="1" s="1"/>
  <c r="E125" i="1"/>
  <c r="F125" i="1" s="1"/>
  <c r="E137" i="1"/>
  <c r="F137" i="1" s="1"/>
  <c r="E124" i="1"/>
  <c r="F124" i="1" s="1"/>
  <c r="E127" i="1"/>
  <c r="F127" i="1" s="1"/>
  <c r="E132" i="1"/>
  <c r="F132" i="1" s="1"/>
  <c r="E138" i="1"/>
  <c r="F138" i="1" s="1"/>
  <c r="E131" i="1"/>
  <c r="F131" i="1" s="1"/>
  <c r="E143" i="1"/>
  <c r="F143" i="1" s="1"/>
  <c r="E128" i="1"/>
  <c r="F128" i="1" s="1"/>
  <c r="E141" i="1"/>
  <c r="F141" i="1" s="1"/>
  <c r="E135" i="1"/>
  <c r="F135" i="1" s="1"/>
  <c r="E129" i="1"/>
  <c r="F129" i="1" s="1"/>
  <c r="E142" i="1"/>
  <c r="F142" i="1" s="1"/>
  <c r="E136" i="1"/>
  <c r="F136" i="1" s="1"/>
  <c r="E114" i="1"/>
  <c r="E112" i="1"/>
  <c r="E111" i="1"/>
  <c r="E104" i="1"/>
  <c r="F104" i="1" s="1"/>
  <c r="E113" i="1"/>
  <c r="E110" i="1"/>
  <c r="E100" i="1"/>
  <c r="F100" i="1" s="1"/>
  <c r="E103" i="1"/>
  <c r="F103" i="1" s="1"/>
  <c r="E102" i="1"/>
  <c r="F102" i="1" s="1"/>
  <c r="E101" i="1"/>
  <c r="F101" i="1" s="1"/>
  <c r="E117" i="1"/>
  <c r="E116" i="1"/>
  <c r="E118" i="1"/>
  <c r="E106" i="1"/>
  <c r="F106" i="1" s="1"/>
  <c r="E107" i="1"/>
  <c r="E109" i="1"/>
  <c r="E119" i="1"/>
  <c r="E105" i="1"/>
  <c r="F105" i="1" s="1"/>
  <c r="E108" i="1"/>
  <c r="E115" i="1"/>
  <c r="C99" i="1"/>
  <c r="K99" i="1" s="1"/>
  <c r="E95" i="1"/>
  <c r="O26" i="2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7" i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30" i="1"/>
  <c r="D30" i="2" s="1"/>
  <c r="E28" i="1"/>
  <c r="D28" i="2" s="1"/>
  <c r="E29" i="1"/>
  <c r="D29" i="2" s="1"/>
  <c r="E31" i="1"/>
  <c r="D31" i="2" s="1"/>
  <c r="E32" i="1"/>
  <c r="D32" i="2" s="1"/>
  <c r="E33" i="1"/>
  <c r="D33" i="2" s="1"/>
  <c r="E34" i="1"/>
  <c r="D34" i="2" s="1"/>
  <c r="E35" i="1"/>
  <c r="D35" i="2" s="1"/>
  <c r="E36" i="1"/>
  <c r="D36" i="2" s="1"/>
  <c r="E37" i="1"/>
  <c r="D37" i="2" s="1"/>
  <c r="E38" i="1"/>
  <c r="D38" i="2" s="1"/>
  <c r="E39" i="1"/>
  <c r="D39" i="2" s="1"/>
  <c r="E40" i="1"/>
  <c r="D40" i="2" s="1"/>
  <c r="E41" i="1"/>
  <c r="D41" i="2" s="1"/>
  <c r="E42" i="1"/>
  <c r="D42" i="2" s="1"/>
  <c r="E43" i="1"/>
  <c r="D43" i="2" s="1"/>
  <c r="E44" i="1"/>
  <c r="D44" i="2" s="1"/>
  <c r="E45" i="1"/>
  <c r="D45" i="2" s="1"/>
  <c r="E46" i="1"/>
  <c r="D46" i="2" s="1"/>
  <c r="E27" i="1"/>
  <c r="D27" i="2" s="1"/>
  <c r="I26" i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3" i="2"/>
  <c r="C32" i="8"/>
  <c r="D89" i="1" l="1"/>
  <c r="D50" i="8"/>
  <c r="D113" i="1"/>
  <c r="F89" i="1"/>
  <c r="F57" i="1"/>
  <c r="F107" i="1"/>
  <c r="C3" i="2"/>
  <c r="R26" i="2"/>
  <c r="O27" i="2" s="1"/>
  <c r="Q27" i="2" s="1"/>
  <c r="G27" i="2" s="1"/>
  <c r="P30" i="2"/>
  <c r="K30" i="2" s="1"/>
  <c r="P37" i="2"/>
  <c r="K37" i="2" s="1"/>
  <c r="P38" i="2"/>
  <c r="K38" i="2" s="1"/>
  <c r="P36" i="2"/>
  <c r="K36" i="2" s="1"/>
  <c r="P29" i="2"/>
  <c r="K29" i="2" s="1"/>
  <c r="P42" i="2"/>
  <c r="K42" i="2" s="1"/>
  <c r="P28" i="2"/>
  <c r="K28" i="2" s="1"/>
  <c r="P27" i="2"/>
  <c r="K27" i="2" s="1"/>
  <c r="P43" i="2"/>
  <c r="K43" i="2" s="1"/>
  <c r="P35" i="2"/>
  <c r="K35" i="2" s="1"/>
  <c r="P44" i="2"/>
  <c r="K44" i="2" s="1"/>
  <c r="P31" i="2"/>
  <c r="K31" i="2" s="1"/>
  <c r="P41" i="2"/>
  <c r="K41" i="2" s="1"/>
  <c r="P34" i="2"/>
  <c r="K34" i="2" s="1"/>
  <c r="P40" i="2"/>
  <c r="K40" i="2" s="1"/>
  <c r="P32" i="2"/>
  <c r="K32" i="2" s="1"/>
  <c r="P33" i="2"/>
  <c r="K33" i="2" s="1"/>
  <c r="P39" i="2"/>
  <c r="K39" i="2" s="1"/>
  <c r="F28" i="1"/>
  <c r="E28" i="2" s="1"/>
  <c r="C27" i="2"/>
  <c r="C26" i="1"/>
  <c r="F27" i="1"/>
  <c r="E27" i="2" s="1"/>
  <c r="H24" i="7"/>
  <c r="D24" i="7"/>
  <c r="H23" i="7"/>
  <c r="D23" i="7"/>
  <c r="H22" i="7"/>
  <c r="D22" i="7"/>
  <c r="H21" i="7"/>
  <c r="D21" i="7"/>
  <c r="H15" i="7"/>
  <c r="H14" i="7"/>
  <c r="D15" i="7"/>
  <c r="D14" i="7"/>
  <c r="D6" i="7"/>
  <c r="D7" i="7"/>
  <c r="D8" i="7"/>
  <c r="D9" i="7"/>
  <c r="D10" i="7"/>
  <c r="D5" i="7"/>
  <c r="D90" i="1" l="1"/>
  <c r="F90" i="1" s="1"/>
  <c r="D51" i="8"/>
  <c r="D114" i="1"/>
  <c r="G68" i="1"/>
  <c r="G63" i="1"/>
  <c r="G58" i="1"/>
  <c r="G53" i="1"/>
  <c r="H53" i="1" s="1"/>
  <c r="G90" i="1"/>
  <c r="G94" i="1"/>
  <c r="G79" i="1"/>
  <c r="H79" i="1" s="1"/>
  <c r="G70" i="1"/>
  <c r="G65" i="1"/>
  <c r="G60" i="1"/>
  <c r="G55" i="1"/>
  <c r="H55" i="1" s="1"/>
  <c r="G91" i="1"/>
  <c r="G67" i="1"/>
  <c r="G84" i="1"/>
  <c r="H84" i="1" s="1"/>
  <c r="G92" i="1"/>
  <c r="G86" i="1"/>
  <c r="H86" i="1" s="1"/>
  <c r="G83" i="1"/>
  <c r="H83" i="1" s="1"/>
  <c r="I83" i="1" s="1"/>
  <c r="J83" i="1" s="1"/>
  <c r="K83" i="1" s="1"/>
  <c r="G87" i="1"/>
  <c r="H87" i="1" s="1"/>
  <c r="G62" i="1"/>
  <c r="G57" i="1"/>
  <c r="H57" i="1" s="1"/>
  <c r="G52" i="1"/>
  <c r="H52" i="1" s="1"/>
  <c r="G76" i="1"/>
  <c r="H76" i="1" s="1"/>
  <c r="I76" i="1" s="1"/>
  <c r="J76" i="1" s="1"/>
  <c r="K76" i="1" s="1"/>
  <c r="G88" i="1"/>
  <c r="H88" i="1" s="1"/>
  <c r="I88" i="1" s="1"/>
  <c r="J88" i="1" s="1"/>
  <c r="K88" i="1" s="1"/>
  <c r="G80" i="1"/>
  <c r="H80" i="1" s="1"/>
  <c r="G69" i="1"/>
  <c r="G64" i="1"/>
  <c r="G81" i="1"/>
  <c r="H81" i="1" s="1"/>
  <c r="G77" i="1"/>
  <c r="H77" i="1" s="1"/>
  <c r="G82" i="1"/>
  <c r="H82" i="1" s="1"/>
  <c r="G93" i="1"/>
  <c r="G89" i="1"/>
  <c r="H89" i="1" s="1"/>
  <c r="G51" i="1"/>
  <c r="H51" i="1" s="1"/>
  <c r="G56" i="1"/>
  <c r="H56" i="1" s="1"/>
  <c r="G78" i="1"/>
  <c r="H78" i="1" s="1"/>
  <c r="I78" i="1" s="1"/>
  <c r="J78" i="1" s="1"/>
  <c r="K78" i="1" s="1"/>
  <c r="G61" i="1"/>
  <c r="G66" i="1"/>
  <c r="G54" i="1"/>
  <c r="H54" i="1" s="1"/>
  <c r="G85" i="1"/>
  <c r="H85" i="1" s="1"/>
  <c r="G59" i="1"/>
  <c r="F58" i="1"/>
  <c r="G137" i="1"/>
  <c r="H137" i="1" s="1"/>
  <c r="I137" i="1" s="1"/>
  <c r="J137" i="1" s="1"/>
  <c r="K137" i="1" s="1"/>
  <c r="G129" i="1"/>
  <c r="H129" i="1" s="1"/>
  <c r="I129" i="1" s="1"/>
  <c r="J129" i="1" s="1"/>
  <c r="K129" i="1" s="1"/>
  <c r="G141" i="1"/>
  <c r="H141" i="1" s="1"/>
  <c r="I141" i="1" s="1"/>
  <c r="J141" i="1" s="1"/>
  <c r="K141" i="1" s="1"/>
  <c r="G135" i="1"/>
  <c r="H135" i="1" s="1"/>
  <c r="I135" i="1" s="1"/>
  <c r="J135" i="1" s="1"/>
  <c r="K135" i="1" s="1"/>
  <c r="G134" i="1"/>
  <c r="H134" i="1" s="1"/>
  <c r="I134" i="1" s="1"/>
  <c r="J134" i="1" s="1"/>
  <c r="K134" i="1" s="1"/>
  <c r="G133" i="1"/>
  <c r="H133" i="1" s="1"/>
  <c r="I133" i="1" s="1"/>
  <c r="J133" i="1" s="1"/>
  <c r="K133" i="1" s="1"/>
  <c r="G126" i="1"/>
  <c r="H126" i="1" s="1"/>
  <c r="G132" i="1"/>
  <c r="H132" i="1" s="1"/>
  <c r="I132" i="1" s="1"/>
  <c r="J132" i="1" s="1"/>
  <c r="K132" i="1" s="1"/>
  <c r="G138" i="1"/>
  <c r="H138" i="1" s="1"/>
  <c r="I138" i="1" s="1"/>
  <c r="J138" i="1" s="1"/>
  <c r="K138" i="1" s="1"/>
  <c r="G131" i="1"/>
  <c r="H131" i="1" s="1"/>
  <c r="G136" i="1"/>
  <c r="H136" i="1" s="1"/>
  <c r="G130" i="1"/>
  <c r="H130" i="1" s="1"/>
  <c r="I130" i="1" s="1"/>
  <c r="J130" i="1" s="1"/>
  <c r="K130" i="1" s="1"/>
  <c r="G142" i="1"/>
  <c r="H142" i="1" s="1"/>
  <c r="I142" i="1" s="1"/>
  <c r="J142" i="1" s="1"/>
  <c r="K142" i="1" s="1"/>
  <c r="G128" i="1"/>
  <c r="H128" i="1" s="1"/>
  <c r="I128" i="1" s="1"/>
  <c r="J128" i="1" s="1"/>
  <c r="K128" i="1" s="1"/>
  <c r="G140" i="1"/>
  <c r="H140" i="1" s="1"/>
  <c r="I140" i="1" s="1"/>
  <c r="J140" i="1" s="1"/>
  <c r="K140" i="1" s="1"/>
  <c r="G127" i="1"/>
  <c r="H127" i="1" s="1"/>
  <c r="I127" i="1" s="1"/>
  <c r="J127" i="1" s="1"/>
  <c r="K127" i="1" s="1"/>
  <c r="G139" i="1"/>
  <c r="H139" i="1" s="1"/>
  <c r="I139" i="1" s="1"/>
  <c r="J139" i="1" s="1"/>
  <c r="K139" i="1" s="1"/>
  <c r="G125" i="1"/>
  <c r="H125" i="1" s="1"/>
  <c r="I125" i="1" s="1"/>
  <c r="J125" i="1" s="1"/>
  <c r="K125" i="1" s="1"/>
  <c r="G143" i="1"/>
  <c r="H143" i="1" s="1"/>
  <c r="I143" i="1" s="1"/>
  <c r="J143" i="1" s="1"/>
  <c r="K143" i="1" s="1"/>
  <c r="G124" i="1"/>
  <c r="H124" i="1" s="1"/>
  <c r="I124" i="1" s="1"/>
  <c r="J124" i="1" s="1"/>
  <c r="K124" i="1" s="1"/>
  <c r="G119" i="1"/>
  <c r="G109" i="1"/>
  <c r="G116" i="1"/>
  <c r="G106" i="1"/>
  <c r="H106" i="1" s="1"/>
  <c r="I106" i="1" s="1"/>
  <c r="J106" i="1" s="1"/>
  <c r="K106" i="1" s="1"/>
  <c r="G114" i="1"/>
  <c r="G103" i="1"/>
  <c r="H103" i="1" s="1"/>
  <c r="I103" i="1" s="1"/>
  <c r="J103" i="1" s="1"/>
  <c r="K103" i="1" s="1"/>
  <c r="G112" i="1"/>
  <c r="G115" i="1"/>
  <c r="G105" i="1"/>
  <c r="H105" i="1" s="1"/>
  <c r="I105" i="1" s="1"/>
  <c r="J105" i="1" s="1"/>
  <c r="K105" i="1" s="1"/>
  <c r="G102" i="1"/>
  <c r="H102" i="1" s="1"/>
  <c r="I102" i="1" s="1"/>
  <c r="J102" i="1" s="1"/>
  <c r="K102" i="1" s="1"/>
  <c r="G111" i="1"/>
  <c r="G118" i="1"/>
  <c r="G108" i="1"/>
  <c r="G117" i="1"/>
  <c r="G107" i="1"/>
  <c r="H107" i="1" s="1"/>
  <c r="I107" i="1" s="1"/>
  <c r="J107" i="1" s="1"/>
  <c r="K107" i="1" s="1"/>
  <c r="G104" i="1"/>
  <c r="H104" i="1" s="1"/>
  <c r="I104" i="1" s="1"/>
  <c r="J104" i="1" s="1"/>
  <c r="K104" i="1" s="1"/>
  <c r="G113" i="1"/>
  <c r="G101" i="1"/>
  <c r="H101" i="1" s="1"/>
  <c r="I101" i="1" s="1"/>
  <c r="J101" i="1" s="1"/>
  <c r="K101" i="1" s="1"/>
  <c r="G110" i="1"/>
  <c r="G100" i="1"/>
  <c r="H100" i="1" s="1"/>
  <c r="I100" i="1" s="1"/>
  <c r="J100" i="1" s="1"/>
  <c r="K100" i="1" s="1"/>
  <c r="F108" i="1"/>
  <c r="G95" i="1"/>
  <c r="M27" i="2"/>
  <c r="G29" i="1"/>
  <c r="F29" i="2" s="1"/>
  <c r="B26" i="2"/>
  <c r="L26" i="2" s="1"/>
  <c r="G6" i="1"/>
  <c r="F6" i="2" s="1"/>
  <c r="B2" i="2"/>
  <c r="R27" i="2"/>
  <c r="O28" i="2" s="1"/>
  <c r="C28" i="2"/>
  <c r="C4" i="2"/>
  <c r="G37" i="1"/>
  <c r="F37" i="2" s="1"/>
  <c r="G15" i="1"/>
  <c r="F15" i="2" s="1"/>
  <c r="G3" i="1"/>
  <c r="F3" i="2" s="1"/>
  <c r="G11" i="1"/>
  <c r="F11" i="2" s="1"/>
  <c r="G8" i="1"/>
  <c r="F8" i="2" s="1"/>
  <c r="G18" i="1"/>
  <c r="F18" i="2" s="1"/>
  <c r="G16" i="1"/>
  <c r="F16" i="2" s="1"/>
  <c r="G4" i="1"/>
  <c r="F4" i="2" s="1"/>
  <c r="G32" i="1"/>
  <c r="G36" i="1"/>
  <c r="G42" i="1"/>
  <c r="G14" i="1"/>
  <c r="F14" i="2" s="1"/>
  <c r="G13" i="1"/>
  <c r="F13" i="2" s="1"/>
  <c r="G12" i="1"/>
  <c r="F12" i="2" s="1"/>
  <c r="G17" i="1"/>
  <c r="F17" i="2" s="1"/>
  <c r="G43" i="1"/>
  <c r="G45" i="1"/>
  <c r="G20" i="1"/>
  <c r="F20" i="2" s="1"/>
  <c r="G19" i="1"/>
  <c r="F19" i="2" s="1"/>
  <c r="G40" i="1"/>
  <c r="G21" i="1"/>
  <c r="F21" i="2" s="1"/>
  <c r="G22" i="1"/>
  <c r="F22" i="2" s="1"/>
  <c r="G30" i="1"/>
  <c r="G5" i="1"/>
  <c r="F5" i="2" s="1"/>
  <c r="G33" i="1"/>
  <c r="K26" i="1"/>
  <c r="G38" i="1"/>
  <c r="G31" i="1"/>
  <c r="G41" i="1"/>
  <c r="G28" i="1"/>
  <c r="G9" i="1"/>
  <c r="F9" i="2" s="1"/>
  <c r="G46" i="1"/>
  <c r="G39" i="1"/>
  <c r="G10" i="1"/>
  <c r="F10" i="2" s="1"/>
  <c r="G44" i="1"/>
  <c r="K2" i="1"/>
  <c r="G7" i="1"/>
  <c r="F7" i="2" s="1"/>
  <c r="G27" i="1"/>
  <c r="G34" i="1"/>
  <c r="G35" i="1"/>
  <c r="I2" i="1"/>
  <c r="H90" i="1" l="1"/>
  <c r="H58" i="1"/>
  <c r="I58" i="1" s="1"/>
  <c r="J58" i="1" s="1"/>
  <c r="K58" i="1" s="1"/>
  <c r="D91" i="1"/>
  <c r="F91" i="1" s="1"/>
  <c r="H91" i="1" s="1"/>
  <c r="D52" i="8"/>
  <c r="D115" i="1"/>
  <c r="I51" i="1"/>
  <c r="J51" i="1" s="1"/>
  <c r="K51" i="1" s="1"/>
  <c r="I54" i="1"/>
  <c r="J54" i="1" s="1"/>
  <c r="K54" i="1" s="1"/>
  <c r="I55" i="1"/>
  <c r="J55" i="1" s="1"/>
  <c r="K55" i="1" s="1"/>
  <c r="I81" i="1"/>
  <c r="J81" i="1" s="1"/>
  <c r="K81" i="1" s="1"/>
  <c r="I79" i="1"/>
  <c r="J79" i="1" s="1"/>
  <c r="K79" i="1" s="1"/>
  <c r="I87" i="1"/>
  <c r="J87" i="1" s="1"/>
  <c r="K87" i="1" s="1"/>
  <c r="I84" i="1"/>
  <c r="J84" i="1" s="1"/>
  <c r="K84" i="1" s="1"/>
  <c r="I56" i="1"/>
  <c r="J56" i="1" s="1"/>
  <c r="K56" i="1" s="1"/>
  <c r="I89" i="1"/>
  <c r="J89" i="1" s="1"/>
  <c r="K89" i="1" s="1"/>
  <c r="I82" i="1"/>
  <c r="J82" i="1" s="1"/>
  <c r="K82" i="1" s="1"/>
  <c r="I90" i="1"/>
  <c r="J90" i="1" s="1"/>
  <c r="K90" i="1" s="1"/>
  <c r="I80" i="1"/>
  <c r="J80" i="1" s="1"/>
  <c r="K80" i="1" s="1"/>
  <c r="F59" i="1"/>
  <c r="H59" i="1" s="1"/>
  <c r="I57" i="1"/>
  <c r="J57" i="1" s="1"/>
  <c r="K57" i="1" s="1"/>
  <c r="I85" i="1"/>
  <c r="J85" i="1" s="1"/>
  <c r="K85" i="1" s="1"/>
  <c r="I86" i="1"/>
  <c r="J86" i="1" s="1"/>
  <c r="K86" i="1" s="1"/>
  <c r="I77" i="1"/>
  <c r="J77" i="1" s="1"/>
  <c r="K77" i="1" s="1"/>
  <c r="I53" i="1"/>
  <c r="J53" i="1" s="1"/>
  <c r="K53" i="1" s="1"/>
  <c r="I52" i="1"/>
  <c r="J52" i="1" s="1"/>
  <c r="K52" i="1" s="1"/>
  <c r="I136" i="1"/>
  <c r="J136" i="1" s="1"/>
  <c r="K136" i="1" s="1"/>
  <c r="I131" i="1"/>
  <c r="J131" i="1" s="1"/>
  <c r="K131" i="1" s="1"/>
  <c r="I126" i="1"/>
  <c r="J126" i="1" s="1"/>
  <c r="K126" i="1" s="1"/>
  <c r="H108" i="1"/>
  <c r="I108" i="1" s="1"/>
  <c r="J108" i="1" s="1"/>
  <c r="K108" i="1" s="1"/>
  <c r="F109" i="1"/>
  <c r="H109" i="1" s="1"/>
  <c r="F35" i="2"/>
  <c r="F34" i="2"/>
  <c r="H27" i="1"/>
  <c r="I27" i="1" s="1"/>
  <c r="J27" i="1" s="1"/>
  <c r="K27" i="1" s="1"/>
  <c r="F27" i="2"/>
  <c r="H27" i="2" s="1"/>
  <c r="I27" i="2" s="1"/>
  <c r="J27" i="2" s="1"/>
  <c r="L27" i="2" s="1"/>
  <c r="H28" i="1"/>
  <c r="I28" i="1" s="1"/>
  <c r="F28" i="2"/>
  <c r="F39" i="2"/>
  <c r="F45" i="2"/>
  <c r="F32" i="2"/>
  <c r="F43" i="2"/>
  <c r="F41" i="2"/>
  <c r="C29" i="2"/>
  <c r="F29" i="1"/>
  <c r="F33" i="2"/>
  <c r="F31" i="2"/>
  <c r="F40" i="2"/>
  <c r="R28" i="2"/>
  <c r="O29" i="2" s="1"/>
  <c r="Q28" i="2"/>
  <c r="G28" i="2" s="1"/>
  <c r="M28" i="2" s="1"/>
  <c r="F44" i="2"/>
  <c r="F38" i="2"/>
  <c r="F42" i="2"/>
  <c r="F36" i="2"/>
  <c r="F46" i="2"/>
  <c r="F30" i="2"/>
  <c r="C5" i="2"/>
  <c r="P7" i="2"/>
  <c r="K7" i="2" s="1"/>
  <c r="F4" i="1"/>
  <c r="E4" i="2" s="1"/>
  <c r="F5" i="1"/>
  <c r="E5" i="2" s="1"/>
  <c r="F3" i="1"/>
  <c r="E3" i="2" s="1"/>
  <c r="K21" i="2"/>
  <c r="K22" i="2"/>
  <c r="K2" i="2"/>
  <c r="K1" i="2"/>
  <c r="G22" i="2"/>
  <c r="G21" i="2"/>
  <c r="G2" i="2"/>
  <c r="H2" i="2" s="1"/>
  <c r="I2" i="2" s="1"/>
  <c r="I91" i="1" l="1"/>
  <c r="J91" i="1" s="1"/>
  <c r="K91" i="1" s="1"/>
  <c r="D92" i="1"/>
  <c r="F92" i="1" s="1"/>
  <c r="H92" i="1" s="1"/>
  <c r="I92" i="1" s="1"/>
  <c r="J92" i="1" s="1"/>
  <c r="K92" i="1" s="1"/>
  <c r="D53" i="8"/>
  <c r="D116" i="1"/>
  <c r="I59" i="1"/>
  <c r="J59" i="1" s="1"/>
  <c r="K59" i="1" s="1"/>
  <c r="F60" i="1"/>
  <c r="H60" i="1" s="1"/>
  <c r="K144" i="1"/>
  <c r="I109" i="1"/>
  <c r="J109" i="1" s="1"/>
  <c r="K109" i="1" s="1"/>
  <c r="F110" i="1"/>
  <c r="H110" i="1" s="1"/>
  <c r="J28" i="1"/>
  <c r="K28" i="1" s="1"/>
  <c r="H28" i="2"/>
  <c r="I28" i="2" s="1"/>
  <c r="J28" i="2" s="1"/>
  <c r="L28" i="2" s="1"/>
  <c r="E29" i="2"/>
  <c r="H29" i="1"/>
  <c r="I29" i="1" s="1"/>
  <c r="J29" i="1" s="1"/>
  <c r="K29" i="1" s="1"/>
  <c r="R29" i="2"/>
  <c r="O30" i="2" s="1"/>
  <c r="Q29" i="2"/>
  <c r="G29" i="2" s="1"/>
  <c r="C30" i="2"/>
  <c r="F30" i="1"/>
  <c r="F7" i="1"/>
  <c r="C6" i="2"/>
  <c r="H3" i="1"/>
  <c r="H4" i="1"/>
  <c r="I4" i="1" s="1"/>
  <c r="J4" i="1" s="1"/>
  <c r="K4" i="1" s="1"/>
  <c r="H5" i="1"/>
  <c r="I5" i="1" s="1"/>
  <c r="J5" i="1" s="1"/>
  <c r="K5" i="1" s="1"/>
  <c r="F6" i="1"/>
  <c r="R2" i="2"/>
  <c r="O3" i="2" s="1"/>
  <c r="P3" i="2"/>
  <c r="P14" i="2"/>
  <c r="P6" i="2"/>
  <c r="P17" i="2"/>
  <c r="P16" i="2"/>
  <c r="P5" i="2"/>
  <c r="P12" i="2"/>
  <c r="P4" i="2"/>
  <c r="P19" i="2"/>
  <c r="P11" i="2"/>
  <c r="P9" i="2"/>
  <c r="P8" i="2"/>
  <c r="P15" i="2"/>
  <c r="P13" i="2"/>
  <c r="P20" i="2"/>
  <c r="P18" i="2"/>
  <c r="P10" i="2"/>
  <c r="J2" i="2"/>
  <c r="D93" i="1" l="1"/>
  <c r="F93" i="1" s="1"/>
  <c r="H93" i="1" s="1"/>
  <c r="I93" i="1" s="1"/>
  <c r="J93" i="1" s="1"/>
  <c r="K93" i="1" s="1"/>
  <c r="D54" i="8"/>
  <c r="D117" i="1"/>
  <c r="F61" i="1"/>
  <c r="H61" i="1" s="1"/>
  <c r="I60" i="1"/>
  <c r="J60" i="1" s="1"/>
  <c r="K60" i="1" s="1"/>
  <c r="I110" i="1"/>
  <c r="J110" i="1" s="1"/>
  <c r="K110" i="1" s="1"/>
  <c r="F111" i="1"/>
  <c r="H111" i="1" s="1"/>
  <c r="H29" i="2"/>
  <c r="I29" i="2" s="1"/>
  <c r="J29" i="2" s="1"/>
  <c r="L29" i="2" s="1"/>
  <c r="M29" i="2"/>
  <c r="C31" i="2"/>
  <c r="F31" i="1"/>
  <c r="H7" i="1"/>
  <c r="I7" i="1" s="1"/>
  <c r="J7" i="1" s="1"/>
  <c r="K7" i="1" s="1"/>
  <c r="E7" i="2"/>
  <c r="R30" i="2"/>
  <c r="O31" i="2" s="1"/>
  <c r="Q30" i="2"/>
  <c r="G30" i="2" s="1"/>
  <c r="C7" i="2"/>
  <c r="H6" i="1"/>
  <c r="I6" i="1" s="1"/>
  <c r="J6" i="1" s="1"/>
  <c r="K6" i="1" s="1"/>
  <c r="E6" i="2"/>
  <c r="E30" i="2"/>
  <c r="H30" i="1"/>
  <c r="I30" i="1" s="1"/>
  <c r="J30" i="1" s="1"/>
  <c r="K30" i="1" s="1"/>
  <c r="Q3" i="2"/>
  <c r="G3" i="2" s="1"/>
  <c r="I3" i="1"/>
  <c r="J3" i="1" s="1"/>
  <c r="K3" i="1" s="1"/>
  <c r="L2" i="2"/>
  <c r="K10" i="2"/>
  <c r="K18" i="2"/>
  <c r="K20" i="2"/>
  <c r="K15" i="2"/>
  <c r="K12" i="2"/>
  <c r="K19" i="2"/>
  <c r="K4" i="2"/>
  <c r="K13" i="2"/>
  <c r="K5" i="2"/>
  <c r="K16" i="2"/>
  <c r="K8" i="2"/>
  <c r="K17" i="2"/>
  <c r="K9" i="2"/>
  <c r="K6" i="2"/>
  <c r="K11" i="2"/>
  <c r="K14" i="2"/>
  <c r="R3" i="2"/>
  <c r="O4" i="2" s="1"/>
  <c r="Q4" i="2" s="1"/>
  <c r="K3" i="2"/>
  <c r="D94" i="1" l="1"/>
  <c r="F94" i="1" s="1"/>
  <c r="H94" i="1" s="1"/>
  <c r="I94" i="1" s="1"/>
  <c r="J94" i="1" s="1"/>
  <c r="K94" i="1" s="1"/>
  <c r="D55" i="8"/>
  <c r="D118" i="1"/>
  <c r="I61" i="1"/>
  <c r="J61" i="1" s="1"/>
  <c r="K61" i="1" s="1"/>
  <c r="F62" i="1"/>
  <c r="H62" i="1" s="1"/>
  <c r="I111" i="1"/>
  <c r="J111" i="1" s="1"/>
  <c r="K111" i="1" s="1"/>
  <c r="F112" i="1"/>
  <c r="H112" i="1" s="1"/>
  <c r="M30" i="2"/>
  <c r="C8" i="2"/>
  <c r="F8" i="1"/>
  <c r="H30" i="2"/>
  <c r="I30" i="2" s="1"/>
  <c r="J30" i="2" s="1"/>
  <c r="L30" i="2" s="1"/>
  <c r="E31" i="2"/>
  <c r="H31" i="1"/>
  <c r="I31" i="1" s="1"/>
  <c r="J31" i="1" s="1"/>
  <c r="K31" i="1" s="1"/>
  <c r="R31" i="2"/>
  <c r="O32" i="2" s="1"/>
  <c r="Q31" i="2"/>
  <c r="G31" i="2" s="1"/>
  <c r="C32" i="2"/>
  <c r="F32" i="1"/>
  <c r="M3" i="2"/>
  <c r="H3" i="2"/>
  <c r="R4" i="2"/>
  <c r="O5" i="2" s="1"/>
  <c r="Q5" i="2" s="1"/>
  <c r="D119" i="1" l="1"/>
  <c r="D95" i="1"/>
  <c r="I62" i="1"/>
  <c r="J62" i="1" s="1"/>
  <c r="K62" i="1" s="1"/>
  <c r="F63" i="1"/>
  <c r="H63" i="1" s="1"/>
  <c r="F113" i="1"/>
  <c r="H113" i="1" s="1"/>
  <c r="I112" i="1"/>
  <c r="J112" i="1" s="1"/>
  <c r="K112" i="1" s="1"/>
  <c r="M31" i="2"/>
  <c r="H31" i="2"/>
  <c r="I31" i="2" s="1"/>
  <c r="J31" i="2" s="1"/>
  <c r="L31" i="2" s="1"/>
  <c r="R32" i="2"/>
  <c r="O33" i="2" s="1"/>
  <c r="Q32" i="2"/>
  <c r="G32" i="2" s="1"/>
  <c r="E8" i="2"/>
  <c r="H8" i="1"/>
  <c r="I8" i="1" s="1"/>
  <c r="J8" i="1" s="1"/>
  <c r="K8" i="1" s="1"/>
  <c r="E32" i="2"/>
  <c r="H32" i="1"/>
  <c r="I32" i="1" s="1"/>
  <c r="J32" i="1" s="1"/>
  <c r="K32" i="1" s="1"/>
  <c r="C33" i="2"/>
  <c r="F33" i="1"/>
  <c r="C9" i="2"/>
  <c r="F9" i="1"/>
  <c r="I3" i="2"/>
  <c r="J3" i="2" s="1"/>
  <c r="L3" i="2" s="1"/>
  <c r="G4" i="2"/>
  <c r="M4" i="2" s="1"/>
  <c r="G5" i="2"/>
  <c r="M5" i="2" s="1"/>
  <c r="R5" i="2"/>
  <c r="O6" i="2" s="1"/>
  <c r="Q6" i="2" s="1"/>
  <c r="F64" i="1" l="1"/>
  <c r="H64" i="1" s="1"/>
  <c r="I63" i="1"/>
  <c r="J63" i="1" s="1"/>
  <c r="K63" i="1" s="1"/>
  <c r="M32" i="2"/>
  <c r="I113" i="1"/>
  <c r="J113" i="1" s="1"/>
  <c r="K113" i="1" s="1"/>
  <c r="F114" i="1"/>
  <c r="H114" i="1" s="1"/>
  <c r="C34" i="2"/>
  <c r="F34" i="1"/>
  <c r="E9" i="2"/>
  <c r="H9" i="1"/>
  <c r="I9" i="1" s="1"/>
  <c r="J9" i="1" s="1"/>
  <c r="K9" i="1" s="1"/>
  <c r="C10" i="2"/>
  <c r="F10" i="1"/>
  <c r="H32" i="2"/>
  <c r="I32" i="2" s="1"/>
  <c r="J32" i="2" s="1"/>
  <c r="L32" i="2" s="1"/>
  <c r="E33" i="2"/>
  <c r="H33" i="1"/>
  <c r="I33" i="1" s="1"/>
  <c r="J33" i="1" s="1"/>
  <c r="K33" i="1" s="1"/>
  <c r="R33" i="2"/>
  <c r="O34" i="2" s="1"/>
  <c r="Q33" i="2"/>
  <c r="G33" i="2" s="1"/>
  <c r="H5" i="2"/>
  <c r="I5" i="2" s="1"/>
  <c r="H4" i="2"/>
  <c r="I4" i="2" s="1"/>
  <c r="G6" i="2"/>
  <c r="M6" i="2" s="1"/>
  <c r="R6" i="2"/>
  <c r="O7" i="2" s="1"/>
  <c r="Q7" i="2" s="1"/>
  <c r="I64" i="1" l="1"/>
  <c r="J64" i="1" s="1"/>
  <c r="K64" i="1" s="1"/>
  <c r="F65" i="1"/>
  <c r="H65" i="1" s="1"/>
  <c r="I114" i="1"/>
  <c r="J114" i="1" s="1"/>
  <c r="K114" i="1" s="1"/>
  <c r="F115" i="1"/>
  <c r="H115" i="1" s="1"/>
  <c r="M33" i="2"/>
  <c r="H33" i="2"/>
  <c r="I33" i="2" s="1"/>
  <c r="J33" i="2" s="1"/>
  <c r="L33" i="2" s="1"/>
  <c r="E34" i="2"/>
  <c r="H34" i="1"/>
  <c r="I34" i="1" s="1"/>
  <c r="J34" i="1" s="1"/>
  <c r="K34" i="1" s="1"/>
  <c r="C11" i="2"/>
  <c r="F11" i="1"/>
  <c r="R34" i="2"/>
  <c r="O35" i="2" s="1"/>
  <c r="Q34" i="2"/>
  <c r="G34" i="2" s="1"/>
  <c r="C35" i="2"/>
  <c r="F35" i="1"/>
  <c r="E10" i="2"/>
  <c r="H10" i="1"/>
  <c r="I10" i="1" s="1"/>
  <c r="J10" i="1" s="1"/>
  <c r="K10" i="1" s="1"/>
  <c r="J4" i="2"/>
  <c r="L4" i="2" s="1"/>
  <c r="J5" i="2"/>
  <c r="L5" i="2" s="1"/>
  <c r="H6" i="2"/>
  <c r="I6" i="2" s="1"/>
  <c r="R7" i="2"/>
  <c r="O8" i="2" s="1"/>
  <c r="G7" i="2"/>
  <c r="M7" i="2" s="1"/>
  <c r="I65" i="1" l="1"/>
  <c r="J65" i="1" s="1"/>
  <c r="K65" i="1" s="1"/>
  <c r="F66" i="1"/>
  <c r="H66" i="1" s="1"/>
  <c r="I115" i="1"/>
  <c r="J115" i="1" s="1"/>
  <c r="K115" i="1" s="1"/>
  <c r="F116" i="1"/>
  <c r="H116" i="1" s="1"/>
  <c r="M34" i="2"/>
  <c r="H34" i="2"/>
  <c r="I34" i="2" s="1"/>
  <c r="J34" i="2" s="1"/>
  <c r="L34" i="2" s="1"/>
  <c r="R35" i="2"/>
  <c r="O36" i="2" s="1"/>
  <c r="Q35" i="2"/>
  <c r="G35" i="2" s="1"/>
  <c r="E11" i="2"/>
  <c r="H11" i="1"/>
  <c r="I11" i="1" s="1"/>
  <c r="J11" i="1" s="1"/>
  <c r="K11" i="1" s="1"/>
  <c r="C12" i="2"/>
  <c r="F12" i="1"/>
  <c r="E35" i="2"/>
  <c r="H35" i="1"/>
  <c r="C36" i="2"/>
  <c r="F36" i="1"/>
  <c r="Q8" i="2"/>
  <c r="G8" i="2" s="1"/>
  <c r="M8" i="2" s="1"/>
  <c r="J6" i="2"/>
  <c r="L6" i="2" s="1"/>
  <c r="H7" i="2"/>
  <c r="I7" i="2" s="1"/>
  <c r="R8" i="2"/>
  <c r="O9" i="2" s="1"/>
  <c r="I66" i="1" l="1"/>
  <c r="J66" i="1" s="1"/>
  <c r="K66" i="1" s="1"/>
  <c r="F67" i="1"/>
  <c r="H67" i="1" s="1"/>
  <c r="I116" i="1"/>
  <c r="J116" i="1" s="1"/>
  <c r="K116" i="1" s="1"/>
  <c r="F117" i="1"/>
  <c r="H117" i="1" s="1"/>
  <c r="M35" i="2"/>
  <c r="H12" i="1"/>
  <c r="I12" i="1" s="1"/>
  <c r="J12" i="1" s="1"/>
  <c r="K12" i="1" s="1"/>
  <c r="E12" i="2"/>
  <c r="E36" i="2"/>
  <c r="H36" i="1"/>
  <c r="I36" i="1" s="1"/>
  <c r="J36" i="1" s="1"/>
  <c r="K36" i="1" s="1"/>
  <c r="C13" i="2"/>
  <c r="F13" i="1"/>
  <c r="C37" i="2"/>
  <c r="F37" i="1"/>
  <c r="H35" i="2"/>
  <c r="I35" i="2" s="1"/>
  <c r="J35" i="2" s="1"/>
  <c r="L35" i="2" s="1"/>
  <c r="I35" i="1"/>
  <c r="J35" i="1" s="1"/>
  <c r="K35" i="1" s="1"/>
  <c r="R36" i="2"/>
  <c r="O37" i="2" s="1"/>
  <c r="Q36" i="2"/>
  <c r="G36" i="2" s="1"/>
  <c r="H8" i="2"/>
  <c r="I8" i="2" s="1"/>
  <c r="Q9" i="2"/>
  <c r="G9" i="2" s="1"/>
  <c r="M9" i="2" s="1"/>
  <c r="J7" i="2"/>
  <c r="L7" i="2" s="1"/>
  <c r="R9" i="2"/>
  <c r="O10" i="2" s="1"/>
  <c r="I67" i="1" l="1"/>
  <c r="J67" i="1" s="1"/>
  <c r="K67" i="1" s="1"/>
  <c r="F68" i="1"/>
  <c r="H68" i="1" s="1"/>
  <c r="F119" i="1"/>
  <c r="H119" i="1" s="1"/>
  <c r="F118" i="1"/>
  <c r="H118" i="1" s="1"/>
  <c r="I117" i="1"/>
  <c r="J117" i="1" s="1"/>
  <c r="K117" i="1" s="1"/>
  <c r="M36" i="2"/>
  <c r="H36" i="2"/>
  <c r="I36" i="2" s="1"/>
  <c r="J36" i="2" s="1"/>
  <c r="L36" i="2" s="1"/>
  <c r="C38" i="2"/>
  <c r="F38" i="1"/>
  <c r="C14" i="2"/>
  <c r="F14" i="1"/>
  <c r="R37" i="2"/>
  <c r="O38" i="2" s="1"/>
  <c r="Q37" i="2"/>
  <c r="G37" i="2" s="1"/>
  <c r="H13" i="1"/>
  <c r="I13" i="1" s="1"/>
  <c r="J13" i="1" s="1"/>
  <c r="K13" i="1" s="1"/>
  <c r="E13" i="2"/>
  <c r="E37" i="2"/>
  <c r="H37" i="1"/>
  <c r="I37" i="1" s="1"/>
  <c r="J37" i="1" s="1"/>
  <c r="K37" i="1" s="1"/>
  <c r="J8" i="2"/>
  <c r="L8" i="2" s="1"/>
  <c r="H9" i="2"/>
  <c r="I9" i="2" s="1"/>
  <c r="J9" i="2" s="1"/>
  <c r="L9" i="2" s="1"/>
  <c r="Q10" i="2"/>
  <c r="G10" i="2" s="1"/>
  <c r="M10" i="2" s="1"/>
  <c r="R10" i="2"/>
  <c r="O11" i="2" s="1"/>
  <c r="I68" i="1" l="1"/>
  <c r="J68" i="1" s="1"/>
  <c r="K68" i="1" s="1"/>
  <c r="F70" i="1"/>
  <c r="H70" i="1" s="1"/>
  <c r="F69" i="1"/>
  <c r="H69" i="1" s="1"/>
  <c r="F95" i="1"/>
  <c r="H95" i="1" s="1"/>
  <c r="I95" i="1" s="1"/>
  <c r="J95" i="1" s="1"/>
  <c r="K95" i="1" s="1"/>
  <c r="I118" i="1"/>
  <c r="J118" i="1" s="1"/>
  <c r="K118" i="1" s="1"/>
  <c r="I119" i="1"/>
  <c r="J119" i="1" s="1"/>
  <c r="K119" i="1" s="1"/>
  <c r="M37" i="2"/>
  <c r="H37" i="2"/>
  <c r="I37" i="2" s="1"/>
  <c r="J37" i="2" s="1"/>
  <c r="L37" i="2" s="1"/>
  <c r="C15" i="2"/>
  <c r="F15" i="1"/>
  <c r="E14" i="2"/>
  <c r="H14" i="1"/>
  <c r="I14" i="1" s="1"/>
  <c r="J14" i="1" s="1"/>
  <c r="K14" i="1" s="1"/>
  <c r="R38" i="2"/>
  <c r="O39" i="2" s="1"/>
  <c r="Q38" i="2"/>
  <c r="G38" i="2" s="1"/>
  <c r="E38" i="2"/>
  <c r="H38" i="1"/>
  <c r="I38" i="1" s="1"/>
  <c r="J38" i="1" s="1"/>
  <c r="K38" i="1" s="1"/>
  <c r="C39" i="2"/>
  <c r="F39" i="1"/>
  <c r="H10" i="2"/>
  <c r="I10" i="2" s="1"/>
  <c r="J10" i="2" s="1"/>
  <c r="L10" i="2" s="1"/>
  <c r="Q11" i="2"/>
  <c r="G11" i="2" s="1"/>
  <c r="M11" i="2" s="1"/>
  <c r="R11" i="2"/>
  <c r="O12" i="2" s="1"/>
  <c r="I69" i="1" l="1"/>
  <c r="J69" i="1" s="1"/>
  <c r="K69" i="1" s="1"/>
  <c r="I70" i="1"/>
  <c r="J70" i="1" s="1"/>
  <c r="K70" i="1" s="1"/>
  <c r="K71" i="1" s="1"/>
  <c r="K120" i="1"/>
  <c r="K96" i="1"/>
  <c r="M38" i="2"/>
  <c r="H38" i="2"/>
  <c r="I38" i="2" s="1"/>
  <c r="J38" i="2" s="1"/>
  <c r="L38" i="2" s="1"/>
  <c r="E15" i="2"/>
  <c r="H15" i="1"/>
  <c r="C40" i="2"/>
  <c r="F40" i="1"/>
  <c r="R39" i="2"/>
  <c r="O40" i="2" s="1"/>
  <c r="Q39" i="2"/>
  <c r="G39" i="2" s="1"/>
  <c r="E39" i="2"/>
  <c r="H39" i="1"/>
  <c r="I39" i="1" s="1"/>
  <c r="J39" i="1" s="1"/>
  <c r="K39" i="1" s="1"/>
  <c r="C16" i="2"/>
  <c r="F16" i="1"/>
  <c r="H11" i="2"/>
  <c r="Q12" i="2"/>
  <c r="G12" i="2" s="1"/>
  <c r="M12" i="2" s="1"/>
  <c r="R12" i="2"/>
  <c r="O13" i="2" s="1"/>
  <c r="M39" i="2" l="1"/>
  <c r="H39" i="2"/>
  <c r="I39" i="2" s="1"/>
  <c r="J39" i="2" s="1"/>
  <c r="L39" i="2" s="1"/>
  <c r="E40" i="2"/>
  <c r="H40" i="1"/>
  <c r="I40" i="1" s="1"/>
  <c r="J40" i="1" s="1"/>
  <c r="K40" i="1" s="1"/>
  <c r="E16" i="2"/>
  <c r="H16" i="1"/>
  <c r="I16" i="1" s="1"/>
  <c r="J16" i="1" s="1"/>
  <c r="K16" i="1" s="1"/>
  <c r="C41" i="2"/>
  <c r="F41" i="1"/>
  <c r="R40" i="2"/>
  <c r="O41" i="2" s="1"/>
  <c r="Q40" i="2"/>
  <c r="G40" i="2" s="1"/>
  <c r="C17" i="2"/>
  <c r="F17" i="1"/>
  <c r="I15" i="1"/>
  <c r="J15" i="1" s="1"/>
  <c r="K15" i="1" s="1"/>
  <c r="H12" i="2"/>
  <c r="I12" i="2" s="1"/>
  <c r="Q13" i="2"/>
  <c r="G13" i="2" s="1"/>
  <c r="M13" i="2" s="1"/>
  <c r="I11" i="2"/>
  <c r="J11" i="2" s="1"/>
  <c r="L11" i="2" s="1"/>
  <c r="R13" i="2"/>
  <c r="O14" i="2" s="1"/>
  <c r="M40" i="2" l="1"/>
  <c r="H40" i="2"/>
  <c r="I40" i="2" s="1"/>
  <c r="J40" i="2" s="1"/>
  <c r="L40" i="2" s="1"/>
  <c r="C42" i="2"/>
  <c r="F42" i="1"/>
  <c r="E17" i="2"/>
  <c r="H17" i="1"/>
  <c r="I17" i="1" s="1"/>
  <c r="J17" i="1" s="1"/>
  <c r="K17" i="1" s="1"/>
  <c r="C18" i="2"/>
  <c r="F18" i="1"/>
  <c r="E41" i="2"/>
  <c r="H41" i="1"/>
  <c r="I41" i="1" s="1"/>
  <c r="J41" i="1" s="1"/>
  <c r="K41" i="1" s="1"/>
  <c r="R41" i="2"/>
  <c r="O42" i="2" s="1"/>
  <c r="Q41" i="2"/>
  <c r="G41" i="2" s="1"/>
  <c r="J12" i="2"/>
  <c r="L12" i="2" s="1"/>
  <c r="H13" i="2"/>
  <c r="I13" i="2" s="1"/>
  <c r="J13" i="2" s="1"/>
  <c r="L13" i="2" s="1"/>
  <c r="Q14" i="2"/>
  <c r="G14" i="2" s="1"/>
  <c r="M14" i="2" s="1"/>
  <c r="R14" i="2"/>
  <c r="O15" i="2" s="1"/>
  <c r="M41" i="2" l="1"/>
  <c r="H41" i="2"/>
  <c r="I41" i="2" s="1"/>
  <c r="J41" i="2" s="1"/>
  <c r="L41" i="2" s="1"/>
  <c r="C19" i="2"/>
  <c r="F19" i="1"/>
  <c r="E18" i="2"/>
  <c r="H18" i="1"/>
  <c r="I18" i="1" s="1"/>
  <c r="J18" i="1" s="1"/>
  <c r="K18" i="1" s="1"/>
  <c r="R42" i="2"/>
  <c r="O43" i="2" s="1"/>
  <c r="Q42" i="2"/>
  <c r="G42" i="2" s="1"/>
  <c r="E42" i="2"/>
  <c r="H42" i="1"/>
  <c r="I42" i="1" s="1"/>
  <c r="J42" i="1" s="1"/>
  <c r="K42" i="1" s="1"/>
  <c r="C43" i="2"/>
  <c r="F43" i="1"/>
  <c r="H14" i="2"/>
  <c r="I14" i="2" s="1"/>
  <c r="J14" i="2" s="1"/>
  <c r="L14" i="2" s="1"/>
  <c r="Q15" i="2"/>
  <c r="G15" i="2" s="1"/>
  <c r="R15" i="2"/>
  <c r="O16" i="2" s="1"/>
  <c r="M42" i="2" l="1"/>
  <c r="H42" i="2"/>
  <c r="I42" i="2" s="1"/>
  <c r="J42" i="2" s="1"/>
  <c r="L42" i="2" s="1"/>
  <c r="R43" i="2"/>
  <c r="O44" i="2" s="1"/>
  <c r="Q43" i="2"/>
  <c r="G43" i="2" s="1"/>
  <c r="E43" i="2"/>
  <c r="H43" i="1"/>
  <c r="I43" i="1" s="1"/>
  <c r="J43" i="1" s="1"/>
  <c r="K43" i="1" s="1"/>
  <c r="E19" i="2"/>
  <c r="H19" i="1"/>
  <c r="I19" i="1" s="1"/>
  <c r="J19" i="1" s="1"/>
  <c r="K19" i="1" s="1"/>
  <c r="C44" i="2"/>
  <c r="F44" i="1"/>
  <c r="C20" i="2"/>
  <c r="F20" i="1"/>
  <c r="H15" i="2"/>
  <c r="I15" i="2" s="1"/>
  <c r="J15" i="2" s="1"/>
  <c r="L15" i="2" s="1"/>
  <c r="M15" i="2"/>
  <c r="Q16" i="2"/>
  <c r="G16" i="2" s="1"/>
  <c r="R16" i="2"/>
  <c r="O17" i="2" s="1"/>
  <c r="M43" i="2" l="1"/>
  <c r="H43" i="2"/>
  <c r="I43" i="2" s="1"/>
  <c r="J43" i="2" s="1"/>
  <c r="L43" i="2" s="1"/>
  <c r="E20" i="2"/>
  <c r="H20" i="1"/>
  <c r="I20" i="1" s="1"/>
  <c r="J20" i="1" s="1"/>
  <c r="K20" i="1" s="1"/>
  <c r="C45" i="2"/>
  <c r="F45" i="1"/>
  <c r="E44" i="2"/>
  <c r="H44" i="1"/>
  <c r="I44" i="1" s="1"/>
  <c r="J44" i="1" s="1"/>
  <c r="K44" i="1" s="1"/>
  <c r="R44" i="2"/>
  <c r="Q44" i="2"/>
  <c r="G44" i="2" s="1"/>
  <c r="C21" i="2"/>
  <c r="F21" i="1"/>
  <c r="H16" i="2"/>
  <c r="I16" i="2" s="1"/>
  <c r="M16" i="2"/>
  <c r="Q17" i="2"/>
  <c r="G17" i="2" s="1"/>
  <c r="R17" i="2"/>
  <c r="O18" i="2" s="1"/>
  <c r="M44" i="2" l="1"/>
  <c r="M47" i="2" s="1"/>
  <c r="E45" i="2"/>
  <c r="H45" i="2" s="1"/>
  <c r="I45" i="2" s="1"/>
  <c r="J45" i="2" s="1"/>
  <c r="L45" i="2" s="1"/>
  <c r="H45" i="1"/>
  <c r="E21" i="2"/>
  <c r="H21" i="2" s="1"/>
  <c r="H21" i="1"/>
  <c r="I21" i="1" s="1"/>
  <c r="J21" i="1" s="1"/>
  <c r="K21" i="1" s="1"/>
  <c r="C46" i="2"/>
  <c r="F46" i="1"/>
  <c r="C22" i="2"/>
  <c r="F22" i="1"/>
  <c r="J16" i="2"/>
  <c r="L16" i="2" s="1"/>
  <c r="H44" i="2"/>
  <c r="I44" i="2" s="1"/>
  <c r="J44" i="2" s="1"/>
  <c r="L44" i="2" s="1"/>
  <c r="H17" i="2"/>
  <c r="I17" i="2" s="1"/>
  <c r="M17" i="2"/>
  <c r="Q18" i="2"/>
  <c r="G18" i="2" s="1"/>
  <c r="M18" i="2" s="1"/>
  <c r="R18" i="2"/>
  <c r="O19" i="2" s="1"/>
  <c r="J17" i="2" l="1"/>
  <c r="L17" i="2" s="1"/>
  <c r="E22" i="2"/>
  <c r="H22" i="2" s="1"/>
  <c r="H22" i="1"/>
  <c r="I22" i="1" s="1"/>
  <c r="J22" i="1" s="1"/>
  <c r="K22" i="1" s="1"/>
  <c r="K23" i="1" s="1"/>
  <c r="I21" i="2"/>
  <c r="J21" i="2" s="1"/>
  <c r="L21" i="2" s="1"/>
  <c r="I45" i="1"/>
  <c r="J45" i="1" s="1"/>
  <c r="K45" i="1" s="1"/>
  <c r="E46" i="2"/>
  <c r="H46" i="2" s="1"/>
  <c r="I46" i="2" s="1"/>
  <c r="J46" i="2" s="1"/>
  <c r="L46" i="2" s="1"/>
  <c r="L47" i="2" s="1"/>
  <c r="H46" i="1"/>
  <c r="I46" i="1" s="1"/>
  <c r="J46" i="1" s="1"/>
  <c r="K46" i="1" s="1"/>
  <c r="H18" i="2"/>
  <c r="I18" i="2" s="1"/>
  <c r="Q19" i="2"/>
  <c r="G19" i="2" s="1"/>
  <c r="M19" i="2" s="1"/>
  <c r="R19" i="2"/>
  <c r="O20" i="2" s="1"/>
  <c r="K47" i="1" l="1"/>
  <c r="I22" i="2"/>
  <c r="J22" i="2" s="1"/>
  <c r="L22" i="2" s="1"/>
  <c r="H19" i="2"/>
  <c r="J18" i="2"/>
  <c r="L18" i="2" s="1"/>
  <c r="Q20" i="2"/>
  <c r="G20" i="2" s="1"/>
  <c r="M20" i="2" s="1"/>
  <c r="M23" i="2" s="1"/>
  <c r="R20" i="2"/>
  <c r="H20" i="2" l="1"/>
  <c r="I20" i="2" s="1"/>
  <c r="J20" i="2" s="1"/>
  <c r="L20" i="2" s="1"/>
  <c r="I19" i="2"/>
  <c r="J19" i="2" s="1"/>
  <c r="L19" i="2" s="1"/>
  <c r="L2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Manousos Veisakis</author>
  </authors>
  <commentList>
    <comment ref="B4" authorId="0" shapeId="0" xr:uid="{6544328E-098D-445B-81E5-12F4A355A895}">
      <text>
        <r>
          <rPr>
            <b/>
            <sz val="9"/>
            <color indexed="81"/>
            <rFont val="Tahoma"/>
            <charset val="1"/>
          </rPr>
          <t>Manousos Veisakis:</t>
        </r>
        <r>
          <rPr>
            <sz val="9"/>
            <color indexed="81"/>
            <rFont val="Tahoma"/>
            <charset val="1"/>
          </rPr>
          <t xml:space="preserve">
In case of solo PV, 20% reduction due to connection agreement</t>
        </r>
      </text>
    </comment>
    <comment ref="C9" authorId="0" shapeId="0" xr:uid="{DB686DF8-03F3-4E8F-9980-ED44A106D7F2}">
      <text>
        <r>
          <rPr>
            <b/>
            <sz val="9"/>
            <color indexed="81"/>
            <rFont val="Tahoma"/>
            <charset val="1"/>
          </rPr>
          <t>Manousos Veisakis:</t>
        </r>
        <r>
          <rPr>
            <sz val="9"/>
            <color indexed="81"/>
            <rFont val="Tahoma"/>
            <charset val="1"/>
          </rPr>
          <t xml:space="preserve">
5000€/MW for Substation fix cost</t>
        </r>
      </text>
    </comment>
    <comment ref="E9" authorId="0" shapeId="0" xr:uid="{11F154A7-B956-4BDF-A873-CAEB8E404B1A}">
      <text>
        <r>
          <rPr>
            <b/>
            <sz val="9"/>
            <color indexed="81"/>
            <rFont val="Tahoma"/>
            <charset val="1"/>
          </rPr>
          <t>Manousos Veisakis:</t>
        </r>
        <r>
          <rPr>
            <sz val="9"/>
            <color indexed="81"/>
            <rFont val="Tahoma"/>
            <charset val="1"/>
          </rPr>
          <t xml:space="preserve">
From Unagi</t>
        </r>
      </text>
    </comment>
    <comment ref="E10" authorId="0" shapeId="0" xr:uid="{652696A6-5947-4456-A487-F201341B6706}">
      <text>
        <r>
          <rPr>
            <b/>
            <sz val="9"/>
            <color indexed="81"/>
            <rFont val="Tahoma"/>
            <charset val="1"/>
          </rPr>
          <t>Manousos Veisakis:</t>
        </r>
        <r>
          <rPr>
            <sz val="9"/>
            <color indexed="81"/>
            <rFont val="Tahoma"/>
            <charset val="1"/>
          </rPr>
          <t xml:space="preserve">
From 2nd Round RAE</t>
        </r>
      </text>
    </comment>
    <comment ref="E15" authorId="0" shapeId="0" xr:uid="{593AEDBC-98A3-40BD-8835-9E840044A7A0}">
      <text>
        <r>
          <rPr>
            <b/>
            <sz val="9"/>
            <color indexed="81"/>
            <rFont val="Tahoma"/>
            <charset val="1"/>
          </rPr>
          <t>Manousos Veisakis:</t>
        </r>
        <r>
          <rPr>
            <sz val="9"/>
            <color indexed="81"/>
            <rFont val="Tahoma"/>
            <charset val="1"/>
          </rPr>
          <t xml:space="preserve">
From Unagi</t>
        </r>
      </text>
    </comment>
    <comment ref="E16" authorId="0" shapeId="0" xr:uid="{141E330B-602E-4643-9A03-B33550AF97F9}">
      <text>
        <r>
          <rPr>
            <b/>
            <sz val="9"/>
            <color indexed="81"/>
            <rFont val="Tahoma"/>
            <charset val="1"/>
          </rPr>
          <t>Manousos Veisakis:</t>
        </r>
        <r>
          <rPr>
            <sz val="9"/>
            <color indexed="81"/>
            <rFont val="Tahoma"/>
            <charset val="1"/>
          </rPr>
          <t xml:space="preserve">
From 2nd Round RAE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Manousos Veisakis</author>
  </authors>
  <commentList>
    <comment ref="D3" authorId="0" shapeId="0" xr:uid="{7B9ACDFB-21C2-4B5A-A00D-38B30C0CC1B5}">
      <text>
        <r>
          <rPr>
            <b/>
            <sz val="9"/>
            <color indexed="81"/>
            <rFont val="Tahoma"/>
            <charset val="161"/>
          </rPr>
          <t>Manousos Veisakis:</t>
        </r>
        <r>
          <rPr>
            <sz val="9"/>
            <color indexed="81"/>
            <rFont val="Tahoma"/>
            <charset val="161"/>
          </rPr>
          <t xml:space="preserve">
0.5% Degredation per year (also for BESS considering RTE).</t>
        </r>
      </text>
    </comment>
  </commentList>
</comments>
</file>

<file path=xl/sharedStrings.xml><?xml version="1.0" encoding="utf-8"?>
<sst xmlns="http://schemas.openxmlformats.org/spreadsheetml/2006/main" count="187" uniqueCount="68">
  <si>
    <t>Έτος</t>
  </si>
  <si>
    <t>Κόστος επένδυσης (M€)</t>
  </si>
  <si>
    <t>Συνολικά έσοδα (€)</t>
  </si>
  <si>
    <t>Συνολικά εξοδα (Μ€)</t>
  </si>
  <si>
    <t>Εσοδα - έξοδα (M€)</t>
  </si>
  <si>
    <t>Αποσβέσεις (Μ€)</t>
  </si>
  <si>
    <t>Έσοδα προ φόρων (Μ€)</t>
  </si>
  <si>
    <t>Φόροι (Μ€)</t>
  </si>
  <si>
    <t>Έσοδα μετά φόρων (Μ€)</t>
  </si>
  <si>
    <t>Καθαρές ταμειακές ροές (M€)</t>
  </si>
  <si>
    <t>IRR project</t>
  </si>
  <si>
    <t>Αρχικό υπόλοιπο (Μ€)</t>
  </si>
  <si>
    <t>Δόση αποπληρωμής δανείου (Μ€)</t>
  </si>
  <si>
    <t>Τόκος (Μ€)</t>
  </si>
  <si>
    <t>Τελικό υπόλοιπο (Μ€)</t>
  </si>
  <si>
    <t>Τόκοι (Μ€)</t>
  </si>
  <si>
    <t>MW</t>
  </si>
  <si>
    <t>Προμήθεια και εγκατάσταση μπαταριών</t>
  </si>
  <si>
    <t>Προμήθεια και εγκατάσταση λοιπών συνιστωσών</t>
  </si>
  <si>
    <t>Σύνδεση στο Σύστημα</t>
  </si>
  <si>
    <t>Έργα Πολιτικού Μηχανικού</t>
  </si>
  <si>
    <t>Μελέτες, επίβλεψη και συμβουλευτικές υπηρεσίες</t>
  </si>
  <si>
    <t>Λοιπά κόστη και απρόβλεπτα</t>
  </si>
  <si>
    <t>Σύνολο</t>
  </si>
  <si>
    <t>Προμήθεια και εγκατάσταση νέων μπαταριών</t>
  </si>
  <si>
    <t>Αποξήλωση και ανακύκλωση αρχικού εξοπλισμού</t>
  </si>
  <si>
    <t>Reference</t>
  </si>
  <si>
    <t>Ασφάλιση του έργου</t>
  </si>
  <si>
    <t>Συμβόλαια συντήρησης και υποστήριξης</t>
  </si>
  <si>
    <t>Κόστος προσωπικού</t>
  </si>
  <si>
    <t>Ενοικίαση γης και λοιπές διοικητικές δαπάνες</t>
  </si>
  <si>
    <t>PV</t>
  </si>
  <si>
    <t>BESS</t>
  </si>
  <si>
    <t>CapEx</t>
  </si>
  <si>
    <t>OpEx</t>
  </si>
  <si>
    <t>Annual Production 
[28% Curtailment]</t>
  </si>
  <si>
    <t>€/MWh</t>
  </si>
  <si>
    <t>MWh</t>
  </si>
  <si>
    <t>Annual Production 
[50% Curtailment]</t>
  </si>
  <si>
    <t>Euribor</t>
  </si>
  <si>
    <t>Income Tax Rate</t>
  </si>
  <si>
    <t>Total Interest Rate</t>
  </si>
  <si>
    <t>Interest Rate</t>
  </si>
  <si>
    <t xml:space="preserve">Debt Ratio </t>
  </si>
  <si>
    <t>Aug.</t>
  </si>
  <si>
    <t>Tariff [PV]</t>
  </si>
  <si>
    <t>Cost [€/MW]</t>
  </si>
  <si>
    <t>PV [200MW]</t>
  </si>
  <si>
    <t>PV [160MW]</t>
  </si>
  <si>
    <t>DCSR</t>
  </si>
  <si>
    <t>Curtailment [160 MW]</t>
  </si>
  <si>
    <t>Curtailment [200 MW]</t>
  </si>
  <si>
    <t>PV 
[T]
[28%]</t>
  </si>
  <si>
    <t>PV &amp; BESS [T]
[50%]</t>
  </si>
  <si>
    <t>PV &amp; BESS [M]
[50%]</t>
  </si>
  <si>
    <t>PV &amp; BESS [T-M]
[50%]</t>
  </si>
  <si>
    <t>PV 
[M]
[50%]</t>
  </si>
  <si>
    <t>Merchant Earnings 
[50% Curtailment]</t>
  </si>
  <si>
    <t>PV [200 MW]</t>
  </si>
  <si>
    <t>PV [200MW] + BESS [100MW]</t>
  </si>
  <si>
    <t>Mean Price</t>
  </si>
  <si>
    <t>Degredation</t>
  </si>
  <si>
    <t>PV &amp; BESS [T]
[28%]</t>
  </si>
  <si>
    <t>BESS [50%]</t>
  </si>
  <si>
    <t>BESS [28%]</t>
  </si>
  <si>
    <t>Tariff [PV w/ BESS - 50%]</t>
  </si>
  <si>
    <t>Tariff [PV w/ BESS - 28%]</t>
  </si>
  <si>
    <t>10.42.0.40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</si>
</sst>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_-[$€-2]\ * #,##0.00_-;\-[$€-2]\ * #,##0.00_-;_-[$€-2]\ * &quot;-&quot;??_-;_-@_-"/>
  </numFmts>
  <fonts count="17" x14ac:knownFonts="1">
    <font>
      <sz val="11"/>
      <color theme="1"/>
      <name val="Calibri"/>
      <family val="2"/>
      <charset val="161"/>
      <scheme val="minor"/>
    </font>
    <font>
      <b/>
      <sz val="11"/>
      <name val="Microsoft YaHei Light"/>
      <family val="2"/>
      <charset val="161"/>
    </font>
    <font>
      <sz val="12"/>
      <color rgb="FF203764"/>
      <name val="Microsoft YaHei Light"/>
      <family val="2"/>
      <charset val="161"/>
    </font>
    <font>
      <sz val="11"/>
      <color rgb="FF203764"/>
      <name val="Microsoft YaHei Light"/>
      <family val="2"/>
      <charset val="161"/>
    </font>
    <font>
      <sz val="11"/>
      <color rgb="FF000000"/>
      <name val="Microsoft YaHei Light"/>
      <family val="2"/>
      <charset val="161"/>
    </font>
    <font>
      <sz val="11"/>
      <color theme="1"/>
      <name val="Calibri"/>
      <family val="2"/>
      <charset val="161"/>
      <scheme val="minor"/>
    </font>
    <font>
      <sz val="11"/>
      <color rgb="FF00B050"/>
      <name val="Microsoft YaHei Light"/>
      <family val="2"/>
      <charset val="161"/>
    </font>
    <font>
      <sz val="11"/>
      <name val="Microsoft YaHei Light"/>
      <family val="2"/>
      <charset val="161"/>
    </font>
    <font>
      <sz val="10"/>
      <color rgb="FF595959"/>
      <name val="Century Gothic"/>
      <family val="2"/>
      <charset val="161"/>
    </font>
    <font>
      <b/>
      <sz val="10"/>
      <color rgb="FF595959"/>
      <name val="Century Gothic"/>
      <family val="2"/>
      <charset val="161"/>
    </font>
    <font>
      <sz val="11"/>
      <name val="Calibri"/>
      <family val="2"/>
      <charset val="161"/>
      <scheme val="minor"/>
    </font>
    <font>
      <sz val="11"/>
      <color indexed="8"/>
      <name val="Calibri"/>
      <family val="2"/>
      <scheme val="minor"/>
    </font>
    <font>
      <b/>
      <sz val="9"/>
      <color indexed="81"/>
      <name val="Tahoma"/>
      <charset val="161"/>
    </font>
    <font>
      <sz val="9"/>
      <color indexed="81"/>
      <name val="Tahoma"/>
      <charset val="16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</cellStyleXfs>
  <cellXfs count="9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quotePrefix="1" applyFont="1" applyFill="1" applyBorder="1" applyAlignment="1">
      <alignment horizontal="center" vertical="center" wrapText="1"/>
    </xf>
    <xf numFmtId="3" fontId="2" fillId="2" borderId="4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1" fontId="4" fillId="3" borderId="0" xfId="0" applyNumberFormat="1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164" fontId="4" fillId="3" borderId="15" xfId="0" applyNumberFormat="1" applyFont="1" applyFill="1" applyBorder="1" applyAlignment="1">
      <alignment horizontal="center"/>
    </xf>
    <xf numFmtId="2" fontId="0" fillId="0" borderId="0" xfId="0" applyNumberFormat="1"/>
    <xf numFmtId="0" fontId="2" fillId="2" borderId="1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2" fontId="4" fillId="0" borderId="17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15" xfId="0" applyNumberFormat="1" applyFont="1" applyBorder="1" applyAlignment="1">
      <alignment horizontal="center"/>
    </xf>
    <xf numFmtId="2" fontId="4" fillId="0" borderId="19" xfId="0" applyNumberFormat="1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2" fontId="6" fillId="0" borderId="11" xfId="0" applyNumberFormat="1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2" fontId="7" fillId="0" borderId="11" xfId="0" applyNumberFormat="1" applyFont="1" applyBorder="1" applyAlignment="1">
      <alignment horizontal="center"/>
    </xf>
    <xf numFmtId="2" fontId="7" fillId="0" borderId="7" xfId="0" applyNumberFormat="1" applyFont="1" applyBorder="1" applyAlignment="1">
      <alignment horizontal="center"/>
    </xf>
    <xf numFmtId="2" fontId="7" fillId="0" borderId="12" xfId="0" applyNumberFormat="1" applyFont="1" applyBorder="1" applyAlignment="1">
      <alignment horizontal="center"/>
    </xf>
    <xf numFmtId="2" fontId="7" fillId="0" borderId="13" xfId="0" applyNumberFormat="1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2" fontId="7" fillId="0" borderId="14" xfId="0" applyNumberFormat="1" applyFont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9" fontId="0" fillId="0" borderId="0" xfId="1" applyFont="1"/>
    <xf numFmtId="2" fontId="0" fillId="0" borderId="0" xfId="1" applyNumberFormat="1" applyFont="1"/>
    <xf numFmtId="2" fontId="0" fillId="0" borderId="0" xfId="1" applyNumberFormat="1" applyFont="1" applyFill="1"/>
    <xf numFmtId="0" fontId="9" fillId="0" borderId="1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2" fontId="8" fillId="0" borderId="21" xfId="0" applyNumberFormat="1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8" fillId="4" borderId="21" xfId="0" applyFont="1" applyFill="1" applyBorder="1" applyAlignment="1">
      <alignment horizontal="center" vertical="center" wrapText="1"/>
    </xf>
    <xf numFmtId="2" fontId="8" fillId="4" borderId="21" xfId="0" applyNumberFormat="1" applyFont="1" applyFill="1" applyBorder="1" applyAlignment="1">
      <alignment horizontal="center" vertical="center" wrapText="1"/>
    </xf>
    <xf numFmtId="0" fontId="9" fillId="4" borderId="22" xfId="0" applyFont="1" applyFill="1" applyBorder="1" applyAlignment="1">
      <alignment horizontal="left" vertical="center" wrapText="1"/>
    </xf>
    <xf numFmtId="0" fontId="8" fillId="4" borderId="20" xfId="0" applyFont="1" applyFill="1" applyBorder="1" applyAlignment="1">
      <alignment horizontal="center" vertical="center" wrapText="1"/>
    </xf>
    <xf numFmtId="0" fontId="9" fillId="4" borderId="22" xfId="0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center" vertical="center" wrapText="1"/>
    </xf>
    <xf numFmtId="166" fontId="0" fillId="0" borderId="0" xfId="0" applyNumberFormat="1"/>
    <xf numFmtId="0" fontId="0" fillId="0" borderId="23" xfId="0" applyBorder="1"/>
    <xf numFmtId="0" fontId="0" fillId="0" borderId="23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5" borderId="23" xfId="0" applyNumberFormat="1" applyFill="1" applyBorder="1"/>
    <xf numFmtId="0" fontId="0" fillId="5" borderId="23" xfId="0" applyFill="1" applyBorder="1" applyAlignment="1">
      <alignment horizontal="center" vertical="center"/>
    </xf>
    <xf numFmtId="0" fontId="0" fillId="5" borderId="23" xfId="0" applyFill="1" applyBorder="1"/>
    <xf numFmtId="0" fontId="1" fillId="2" borderId="27" xfId="0" applyFont="1" applyFill="1" applyBorder="1" applyAlignment="1">
      <alignment horizontal="center" vertical="center"/>
    </xf>
    <xf numFmtId="10" fontId="1" fillId="2" borderId="28" xfId="0" applyNumberFormat="1" applyFont="1" applyFill="1" applyBorder="1" applyAlignment="1">
      <alignment horizontal="center" vertical="center"/>
    </xf>
    <xf numFmtId="9" fontId="10" fillId="5" borderId="23" xfId="1" applyFont="1" applyFill="1" applyBorder="1"/>
    <xf numFmtId="165" fontId="10" fillId="5" borderId="23" xfId="1" applyNumberFormat="1" applyFont="1" applyFill="1" applyBorder="1"/>
    <xf numFmtId="0" fontId="1" fillId="2" borderId="19" xfId="0" applyFont="1" applyFill="1" applyBorder="1" applyAlignment="1">
      <alignment horizontal="center" vertical="center"/>
    </xf>
    <xf numFmtId="2" fontId="4" fillId="0" borderId="18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165" fontId="10" fillId="0" borderId="23" xfId="1" applyNumberFormat="1" applyFont="1" applyFill="1" applyBorder="1"/>
    <xf numFmtId="166" fontId="0" fillId="0" borderId="23" xfId="0" applyNumberFormat="1" applyBorder="1"/>
    <xf numFmtId="2" fontId="1" fillId="2" borderId="27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166" fontId="0" fillId="5" borderId="23" xfId="0" applyNumberForma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5" fontId="10" fillId="0" borderId="0" xfId="1" applyNumberFormat="1" applyFont="1" applyFill="1" applyBorder="1"/>
    <xf numFmtId="2" fontId="0" fillId="0" borderId="23" xfId="0" applyNumberFormat="1" applyBorder="1"/>
    <xf numFmtId="2" fontId="0" fillId="0" borderId="0" xfId="0" applyNumberFormat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3" xfId="0" applyBorder="1" applyAlignment="1">
      <alignment horizontal="center"/>
    </xf>
    <xf numFmtId="166" fontId="0" fillId="5" borderId="26" xfId="0" applyNumberFormat="1" applyFill="1" applyBorder="1" applyAlignment="1">
      <alignment horizontal="center"/>
    </xf>
    <xf numFmtId="166" fontId="0" fillId="5" borderId="29" xfId="0" applyNumberFormat="1" applyFill="1" applyBorder="1" applyAlignment="1">
      <alignment horizontal="center"/>
    </xf>
    <xf numFmtId="0" fontId="0" fillId="0" borderId="23" xfId="0" applyBorder="1" applyAlignment="1">
      <alignment horizontal="center" vertical="center" textRotation="90"/>
    </xf>
    <xf numFmtId="0" fontId="0" fillId="0" borderId="24" xfId="0" applyBorder="1" applyAlignment="1">
      <alignment horizontal="center" vertical="center" textRotation="90" wrapText="1"/>
    </xf>
    <xf numFmtId="0" fontId="0" fillId="0" borderId="25" xfId="0" applyBorder="1" applyAlignment="1">
      <alignment horizontal="center" vertical="center" textRotation="90" wrapText="1"/>
    </xf>
    <xf numFmtId="166" fontId="0" fillId="5" borderId="23" xfId="0" applyNumberFormat="1" applyFill="1" applyBorder="1" applyAlignment="1">
      <alignment horizontal="center"/>
    </xf>
    <xf numFmtId="0" fontId="0" fillId="0" borderId="23" xfId="0" applyBorder="1" applyAlignment="1">
      <alignment horizontal="center" vertical="center" textRotation="90" wrapText="1"/>
    </xf>
    <xf numFmtId="0" fontId="0" fillId="0" borderId="2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Alignment="1">
      <alignment horizontal="center"/>
    </xf>
    <xf numFmtId="164" fontId="4" fillId="3" borderId="0" xfId="0" applyNumberFormat="1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 vertical="center"/>
    </xf>
    <xf numFmtId="10" fontId="1" fillId="0" borderId="19" xfId="0" applyNumberFormat="1" applyFont="1" applyFill="1" applyBorder="1" applyAlignment="1">
      <alignment horizontal="center" vertical="center"/>
    </xf>
    <xf numFmtId="0" fontId="0" fillId="0" borderId="0" xfId="0" applyBorder="1"/>
  </cellXfs>
  <cellStyles count="4">
    <cellStyle name="Normal" xfId="0" builtinId="0"/>
    <cellStyle name="Normal 2" xfId="2" xr:uid="{376F947B-8D34-4881-B7F5-D21931A62642}"/>
    <cellStyle name="Percent" xfId="1" builtinId="5"/>
    <cellStyle name="Percent 2" xfId="3" xr:uid="{D68C6AF8-8812-44BC-AD43-59047F2647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57891-84CA-45EA-8928-4BD5498FCF76}">
  <dimension ref="A2:G55"/>
  <sheetViews>
    <sheetView tabSelected="1" workbookViewId="0">
      <selection activeCell="K19" sqref="K19"/>
    </sheetView>
  </sheetViews>
  <sheetFormatPr defaultRowHeight="14.4" x14ac:dyDescent="0.3"/>
  <cols>
    <col min="2" max="2" width="19.44140625" bestFit="1" customWidth="1"/>
    <col min="3" max="3" width="25.77734375" bestFit="1" customWidth="1"/>
    <col min="4" max="4" width="15.33203125" bestFit="1" customWidth="1"/>
    <col min="5" max="5" width="18.44140625" customWidth="1"/>
    <col min="6" max="6" width="15.33203125" bestFit="1" customWidth="1"/>
    <col min="7" max="7" width="10.109375" bestFit="1" customWidth="1"/>
    <col min="8" max="22" width="15.33203125" bestFit="1" customWidth="1"/>
  </cols>
  <sheetData>
    <row r="2" spans="1:6" x14ac:dyDescent="0.3">
      <c r="A2" s="73"/>
      <c r="B2" s="49" t="s">
        <v>50</v>
      </c>
      <c r="C2" s="55">
        <v>0.72</v>
      </c>
    </row>
    <row r="3" spans="1:6" x14ac:dyDescent="0.3">
      <c r="A3" s="73"/>
      <c r="B3" s="49" t="s">
        <v>51</v>
      </c>
      <c r="C3" s="55">
        <v>0.5</v>
      </c>
    </row>
    <row r="4" spans="1:6" x14ac:dyDescent="0.3">
      <c r="A4" s="73"/>
      <c r="B4" s="49" t="s">
        <v>48</v>
      </c>
      <c r="C4" s="55">
        <v>160</v>
      </c>
      <c r="D4" s="50" t="s">
        <v>16</v>
      </c>
    </row>
    <row r="5" spans="1:6" ht="15" customHeight="1" x14ac:dyDescent="0.3">
      <c r="A5" s="73"/>
      <c r="B5" s="49" t="s">
        <v>47</v>
      </c>
      <c r="C5" s="55">
        <v>200</v>
      </c>
      <c r="D5" s="50" t="s">
        <v>16</v>
      </c>
    </row>
    <row r="6" spans="1:6" ht="15" customHeight="1" x14ac:dyDescent="0.3">
      <c r="A6" s="73"/>
      <c r="B6" s="49" t="s">
        <v>64</v>
      </c>
      <c r="C6" s="49">
        <f>200*0.1</f>
        <v>20</v>
      </c>
      <c r="D6" s="50" t="s">
        <v>16</v>
      </c>
    </row>
    <row r="7" spans="1:6" x14ac:dyDescent="0.3">
      <c r="A7" s="74"/>
      <c r="B7" s="49" t="s">
        <v>63</v>
      </c>
      <c r="C7" s="49">
        <f>C5*(1-C3)</f>
        <v>100</v>
      </c>
      <c r="D7" s="50" t="s">
        <v>16</v>
      </c>
    </row>
    <row r="8" spans="1:6" x14ac:dyDescent="0.3">
      <c r="E8" s="75" t="s">
        <v>46</v>
      </c>
      <c r="F8" s="75"/>
    </row>
    <row r="9" spans="1:6" x14ac:dyDescent="0.3">
      <c r="A9" s="78" t="s">
        <v>33</v>
      </c>
      <c r="B9" s="49" t="s">
        <v>48</v>
      </c>
      <c r="C9" s="64">
        <f>(E9*C4)+(5000*C4)</f>
        <v>104448480</v>
      </c>
      <c r="E9" s="76">
        <v>647803</v>
      </c>
      <c r="F9" s="77"/>
    </row>
    <row r="10" spans="1:6" ht="16.5" customHeight="1" x14ac:dyDescent="0.3">
      <c r="A10" s="78"/>
      <c r="B10" s="49" t="s">
        <v>47</v>
      </c>
      <c r="C10" s="64">
        <f>E9*C5</f>
        <v>129560600</v>
      </c>
      <c r="E10" s="81">
        <v>620861.42000000004</v>
      </c>
      <c r="F10" s="81"/>
    </row>
    <row r="11" spans="1:6" ht="16.5" customHeight="1" x14ac:dyDescent="0.3">
      <c r="A11" s="78"/>
      <c r="B11" s="49" t="s">
        <v>64</v>
      </c>
      <c r="C11" s="64">
        <f>E10*C6</f>
        <v>12417228.4</v>
      </c>
      <c r="E11" s="66"/>
      <c r="F11" s="66"/>
    </row>
    <row r="12" spans="1:6" x14ac:dyDescent="0.3">
      <c r="A12" s="78"/>
      <c r="B12" s="49" t="s">
        <v>63</v>
      </c>
      <c r="C12" s="64">
        <f>E10*C7</f>
        <v>62086142.000000007</v>
      </c>
    </row>
    <row r="13" spans="1:6" x14ac:dyDescent="0.3">
      <c r="A13" s="78"/>
      <c r="B13" s="49" t="s">
        <v>44</v>
      </c>
      <c r="C13" s="64">
        <v>0</v>
      </c>
    </row>
    <row r="14" spans="1:6" x14ac:dyDescent="0.3">
      <c r="C14" s="48"/>
      <c r="E14" s="75" t="s">
        <v>46</v>
      </c>
      <c r="F14" s="75"/>
    </row>
    <row r="15" spans="1:6" ht="15" customHeight="1" x14ac:dyDescent="0.3">
      <c r="A15" s="78" t="s">
        <v>34</v>
      </c>
      <c r="B15" s="49" t="s">
        <v>48</v>
      </c>
      <c r="C15" s="64">
        <f>E15*C4</f>
        <v>2017398.4</v>
      </c>
      <c r="E15" s="76">
        <v>12608.74</v>
      </c>
      <c r="F15" s="77"/>
    </row>
    <row r="16" spans="1:6" ht="15" customHeight="1" x14ac:dyDescent="0.3">
      <c r="A16" s="78"/>
      <c r="B16" s="49" t="s">
        <v>47</v>
      </c>
      <c r="C16" s="64">
        <f>C5*E15</f>
        <v>2521748</v>
      </c>
      <c r="E16" s="81">
        <v>13076.73</v>
      </c>
      <c r="F16" s="81"/>
    </row>
    <row r="17" spans="1:6" ht="15" customHeight="1" x14ac:dyDescent="0.3">
      <c r="A17" s="78"/>
      <c r="B17" s="49" t="s">
        <v>64</v>
      </c>
      <c r="C17" s="64">
        <f>C6*E16</f>
        <v>261534.59999999998</v>
      </c>
      <c r="E17" s="66"/>
      <c r="F17" s="66"/>
    </row>
    <row r="18" spans="1:6" x14ac:dyDescent="0.3">
      <c r="A18" s="78"/>
      <c r="B18" s="49" t="s">
        <v>63</v>
      </c>
      <c r="C18" s="64">
        <f>C7*E16</f>
        <v>1307673</v>
      </c>
    </row>
    <row r="19" spans="1:6" ht="13.5" customHeight="1" x14ac:dyDescent="0.3"/>
    <row r="20" spans="1:6" ht="59.25" customHeight="1" x14ac:dyDescent="0.3">
      <c r="A20" s="79" t="s">
        <v>35</v>
      </c>
      <c r="B20" s="51" t="s">
        <v>31</v>
      </c>
      <c r="C20" s="54">
        <v>293759.26</v>
      </c>
      <c r="D20" s="51" t="s">
        <v>37</v>
      </c>
    </row>
    <row r="21" spans="1:6" ht="60" customHeight="1" x14ac:dyDescent="0.3">
      <c r="A21" s="80"/>
      <c r="B21" s="51" t="s">
        <v>32</v>
      </c>
      <c r="C21" s="54">
        <f>298986.08-C20</f>
        <v>5226.820000000007</v>
      </c>
      <c r="D21" s="51" t="s">
        <v>37</v>
      </c>
    </row>
    <row r="22" spans="1:6" x14ac:dyDescent="0.3">
      <c r="D22" s="52"/>
    </row>
    <row r="23" spans="1:6" ht="64.5" customHeight="1" x14ac:dyDescent="0.3">
      <c r="A23" s="79" t="s">
        <v>38</v>
      </c>
      <c r="B23" s="51" t="s">
        <v>31</v>
      </c>
      <c r="C23" s="54">
        <v>244911.89</v>
      </c>
      <c r="D23" s="51" t="s">
        <v>37</v>
      </c>
    </row>
    <row r="24" spans="1:6" ht="65.25" customHeight="1" x14ac:dyDescent="0.3">
      <c r="A24" s="80"/>
      <c r="B24" s="51" t="s">
        <v>32</v>
      </c>
      <c r="C24" s="54">
        <f>285086.26-C23</f>
        <v>40174.369999999995</v>
      </c>
      <c r="D24" s="51" t="s">
        <v>37</v>
      </c>
    </row>
    <row r="26" spans="1:6" x14ac:dyDescent="0.3">
      <c r="A26" s="83" t="s">
        <v>45</v>
      </c>
      <c r="B26" s="84"/>
      <c r="C26" s="53">
        <v>55</v>
      </c>
      <c r="D26" s="50" t="s">
        <v>36</v>
      </c>
    </row>
    <row r="27" spans="1:6" x14ac:dyDescent="0.3">
      <c r="A27" s="83" t="s">
        <v>66</v>
      </c>
      <c r="B27" s="84"/>
      <c r="C27" s="53">
        <v>60</v>
      </c>
      <c r="D27" s="50" t="s">
        <v>36</v>
      </c>
    </row>
    <row r="28" spans="1:6" x14ac:dyDescent="0.3">
      <c r="A28" s="83" t="s">
        <v>65</v>
      </c>
      <c r="B28" s="84"/>
      <c r="C28" s="53">
        <v>85</v>
      </c>
      <c r="D28" s="50" t="s">
        <v>36</v>
      </c>
    </row>
    <row r="29" spans="1:6" x14ac:dyDescent="0.3">
      <c r="A29" s="75" t="s">
        <v>43</v>
      </c>
      <c r="B29" s="75"/>
      <c r="C29" s="58">
        <v>0.8</v>
      </c>
      <c r="F29" t="s">
        <v>67</v>
      </c>
    </row>
    <row r="30" spans="1:6" x14ac:dyDescent="0.3">
      <c r="A30" s="75" t="s">
        <v>39</v>
      </c>
      <c r="B30" s="75"/>
      <c r="C30" s="59">
        <v>2.5000000000000001E-2</v>
      </c>
    </row>
    <row r="31" spans="1:6" x14ac:dyDescent="0.3">
      <c r="A31" s="75" t="s">
        <v>42</v>
      </c>
      <c r="B31" s="75"/>
      <c r="C31" s="59">
        <v>0.03</v>
      </c>
    </row>
    <row r="32" spans="1:6" x14ac:dyDescent="0.3">
      <c r="A32" s="75" t="s">
        <v>41</v>
      </c>
      <c r="B32" s="75"/>
      <c r="C32" s="63">
        <f>C30+C31</f>
        <v>5.5E-2</v>
      </c>
    </row>
    <row r="33" spans="1:7" x14ac:dyDescent="0.3">
      <c r="A33" s="75" t="s">
        <v>40</v>
      </c>
      <c r="B33" s="75"/>
      <c r="C33" s="59">
        <v>0.22</v>
      </c>
    </row>
    <row r="34" spans="1:7" x14ac:dyDescent="0.3">
      <c r="A34" s="69"/>
      <c r="B34" s="69"/>
      <c r="C34" s="70"/>
    </row>
    <row r="35" spans="1:7" x14ac:dyDescent="0.3">
      <c r="C35" s="51" t="s">
        <v>59</v>
      </c>
      <c r="D35" s="51" t="s">
        <v>61</v>
      </c>
      <c r="E35" s="51" t="s">
        <v>58</v>
      </c>
      <c r="G35" s="51" t="s">
        <v>60</v>
      </c>
    </row>
    <row r="36" spans="1:7" x14ac:dyDescent="0.3">
      <c r="A36" s="82" t="s">
        <v>57</v>
      </c>
      <c r="B36">
        <v>2026</v>
      </c>
      <c r="C36" s="67">
        <v>21739215.32</v>
      </c>
      <c r="D36" s="72">
        <v>5.0000000000000001E-3</v>
      </c>
      <c r="E36" s="67">
        <v>17484252.670000002</v>
      </c>
      <c r="G36" s="71">
        <v>88.647648000000004</v>
      </c>
    </row>
    <row r="37" spans="1:7" x14ac:dyDescent="0.3">
      <c r="A37" s="82"/>
      <c r="B37">
        <v>2027</v>
      </c>
      <c r="C37" s="67">
        <v>19380872.98</v>
      </c>
      <c r="D37" s="72">
        <f>D36+0.005</f>
        <v>0.01</v>
      </c>
      <c r="E37" s="67">
        <v>15489282.210000001</v>
      </c>
      <c r="G37" s="71">
        <v>79.312653999999995</v>
      </c>
    </row>
    <row r="38" spans="1:7" x14ac:dyDescent="0.3">
      <c r="A38" s="82"/>
      <c r="B38">
        <v>2028</v>
      </c>
      <c r="C38" s="67">
        <v>18149243.969999999</v>
      </c>
      <c r="D38" s="72">
        <f t="shared" ref="D38:D55" si="0">D37+0.005</f>
        <v>1.4999999999999999E-2</v>
      </c>
      <c r="E38" s="67">
        <v>14396387.59</v>
      </c>
      <c r="G38" s="71">
        <v>75.387046999999995</v>
      </c>
    </row>
    <row r="39" spans="1:7" x14ac:dyDescent="0.3">
      <c r="A39" s="82"/>
      <c r="B39">
        <v>2029</v>
      </c>
      <c r="C39" s="67">
        <v>17373717.289999999</v>
      </c>
      <c r="D39" s="72">
        <f t="shared" si="0"/>
        <v>0.02</v>
      </c>
      <c r="E39" s="67">
        <v>13730583.49</v>
      </c>
      <c r="G39" s="71">
        <v>74.995880999999997</v>
      </c>
    </row>
    <row r="40" spans="1:7" x14ac:dyDescent="0.3">
      <c r="A40" s="82"/>
      <c r="B40">
        <v>2030</v>
      </c>
      <c r="C40" s="67">
        <v>16431716.300000001</v>
      </c>
      <c r="D40" s="72">
        <f t="shared" si="0"/>
        <v>2.5000000000000001E-2</v>
      </c>
      <c r="E40" s="67">
        <v>12896769.1</v>
      </c>
      <c r="G40" s="71">
        <v>72.896551000000002</v>
      </c>
    </row>
    <row r="41" spans="1:7" x14ac:dyDescent="0.3">
      <c r="A41" s="82"/>
      <c r="B41">
        <v>2031</v>
      </c>
      <c r="C41" s="67">
        <v>15073451.83</v>
      </c>
      <c r="D41" s="72">
        <f t="shared" si="0"/>
        <v>3.0000000000000002E-2</v>
      </c>
      <c r="E41" s="67">
        <v>11556485.6</v>
      </c>
      <c r="G41" s="71">
        <v>68.396629000000004</v>
      </c>
    </row>
    <row r="42" spans="1:7" x14ac:dyDescent="0.3">
      <c r="A42" s="82"/>
      <c r="B42">
        <v>2032</v>
      </c>
      <c r="C42" s="67">
        <v>14905749.689999999</v>
      </c>
      <c r="D42" s="72">
        <f t="shared" si="0"/>
        <v>3.5000000000000003E-2</v>
      </c>
      <c r="E42" s="67">
        <v>11441351.25</v>
      </c>
      <c r="G42" s="71">
        <v>67.784240999999994</v>
      </c>
    </row>
    <row r="43" spans="1:7" x14ac:dyDescent="0.3">
      <c r="A43" s="82"/>
      <c r="B43">
        <v>2033</v>
      </c>
      <c r="C43" s="67">
        <v>14709564.57</v>
      </c>
      <c r="D43" s="72">
        <f t="shared" si="0"/>
        <v>0.04</v>
      </c>
      <c r="E43" s="67">
        <v>11194866.439999999</v>
      </c>
      <c r="G43" s="71">
        <v>67.917627999999993</v>
      </c>
    </row>
    <row r="44" spans="1:7" x14ac:dyDescent="0.3">
      <c r="A44" s="82"/>
      <c r="B44">
        <v>2034</v>
      </c>
      <c r="C44" s="67">
        <v>14453856.65</v>
      </c>
      <c r="D44" s="72">
        <f t="shared" si="0"/>
        <v>4.4999999999999998E-2</v>
      </c>
      <c r="E44" s="67">
        <v>11011983.4</v>
      </c>
      <c r="G44" s="71">
        <v>67.199123</v>
      </c>
    </row>
    <row r="45" spans="1:7" x14ac:dyDescent="0.3">
      <c r="A45" s="82"/>
      <c r="B45">
        <v>2035</v>
      </c>
      <c r="C45" s="67">
        <v>14425619.76</v>
      </c>
      <c r="D45" s="72">
        <f t="shared" si="0"/>
        <v>4.9999999999999996E-2</v>
      </c>
      <c r="E45" s="67">
        <v>10917295.35</v>
      </c>
      <c r="G45" s="71">
        <v>67.193383999999995</v>
      </c>
    </row>
    <row r="46" spans="1:7" x14ac:dyDescent="0.3">
      <c r="A46" s="82"/>
      <c r="B46">
        <v>2036</v>
      </c>
      <c r="C46" s="67">
        <v>13906793.369999999</v>
      </c>
      <c r="D46" s="72">
        <f t="shared" si="0"/>
        <v>5.4999999999999993E-2</v>
      </c>
      <c r="E46" s="67">
        <v>10470159.66</v>
      </c>
      <c r="G46" s="71">
        <v>65.369217000000006</v>
      </c>
    </row>
    <row r="47" spans="1:7" x14ac:dyDescent="0.3">
      <c r="A47" s="82"/>
      <c r="B47">
        <v>2037</v>
      </c>
      <c r="C47" s="67">
        <v>13543147.140000001</v>
      </c>
      <c r="D47" s="72">
        <f t="shared" si="0"/>
        <v>5.9999999999999991E-2</v>
      </c>
      <c r="E47" s="67">
        <v>10129983.460000001</v>
      </c>
      <c r="G47" s="71">
        <v>64.911202000000003</v>
      </c>
    </row>
    <row r="48" spans="1:7" x14ac:dyDescent="0.3">
      <c r="A48" s="82"/>
      <c r="B48">
        <v>2038</v>
      </c>
      <c r="C48" s="67">
        <v>13220946.41</v>
      </c>
      <c r="D48" s="72">
        <f t="shared" si="0"/>
        <v>6.4999999999999988E-2</v>
      </c>
      <c r="E48" s="67">
        <v>9916156.5600000005</v>
      </c>
      <c r="G48" s="71">
        <v>64.409567999999993</v>
      </c>
    </row>
    <row r="49" spans="1:7" x14ac:dyDescent="0.3">
      <c r="A49" s="82"/>
      <c r="B49">
        <v>2039</v>
      </c>
      <c r="C49" s="67">
        <v>13043895.199999999</v>
      </c>
      <c r="D49" s="72">
        <f t="shared" si="0"/>
        <v>6.9999999999999993E-2</v>
      </c>
      <c r="E49" s="67">
        <v>9767282.4399999995</v>
      </c>
      <c r="G49" s="71">
        <v>63.824801000000001</v>
      </c>
    </row>
    <row r="50" spans="1:7" x14ac:dyDescent="0.3">
      <c r="A50" s="82"/>
      <c r="B50">
        <v>2040</v>
      </c>
      <c r="C50" s="67">
        <v>12681300.65</v>
      </c>
      <c r="D50" s="72">
        <f t="shared" si="0"/>
        <v>7.4999999999999997E-2</v>
      </c>
      <c r="E50" s="67">
        <v>9417572.7899999991</v>
      </c>
      <c r="G50" s="71">
        <v>63.281973999999998</v>
      </c>
    </row>
    <row r="51" spans="1:7" x14ac:dyDescent="0.3">
      <c r="A51" s="82"/>
      <c r="B51">
        <v>2041</v>
      </c>
      <c r="C51" s="67">
        <v>12367657.369999999</v>
      </c>
      <c r="D51" s="72">
        <f t="shared" si="0"/>
        <v>0.08</v>
      </c>
      <c r="E51" s="67">
        <v>9087111.0399999991</v>
      </c>
      <c r="G51" s="71">
        <v>62.745396</v>
      </c>
    </row>
    <row r="52" spans="1:7" x14ac:dyDescent="0.3">
      <c r="A52" s="82"/>
      <c r="B52">
        <v>2042</v>
      </c>
      <c r="C52" s="67">
        <v>12033178.58</v>
      </c>
      <c r="D52" s="72">
        <f t="shared" si="0"/>
        <v>8.5000000000000006E-2</v>
      </c>
      <c r="E52" s="67">
        <v>8800152.0500000007</v>
      </c>
      <c r="G52" s="71">
        <v>62.206187</v>
      </c>
    </row>
    <row r="53" spans="1:7" x14ac:dyDescent="0.3">
      <c r="A53" s="82"/>
      <c r="B53">
        <v>2043</v>
      </c>
      <c r="C53" s="67">
        <v>11913725.9</v>
      </c>
      <c r="D53" s="72">
        <f t="shared" si="0"/>
        <v>9.0000000000000011E-2</v>
      </c>
      <c r="E53" s="67">
        <v>8712793.4399999995</v>
      </c>
      <c r="G53" s="71">
        <v>61.58867</v>
      </c>
    </row>
    <row r="54" spans="1:7" x14ac:dyDescent="0.3">
      <c r="A54" s="82"/>
      <c r="B54">
        <v>2044</v>
      </c>
      <c r="C54" s="67">
        <v>11913725.9</v>
      </c>
      <c r="D54" s="72">
        <f t="shared" si="0"/>
        <v>9.5000000000000015E-2</v>
      </c>
      <c r="E54" s="67">
        <v>8712793.4399999995</v>
      </c>
      <c r="G54" s="71">
        <v>61.58867</v>
      </c>
    </row>
    <row r="55" spans="1:7" x14ac:dyDescent="0.3">
      <c r="A55" s="82"/>
      <c r="B55">
        <v>2045</v>
      </c>
      <c r="C55" s="67">
        <v>11913725.9</v>
      </c>
      <c r="D55" s="72">
        <f t="shared" si="0"/>
        <v>0.10000000000000002</v>
      </c>
      <c r="E55" s="67">
        <v>8712793.4399999995</v>
      </c>
      <c r="G55" s="71">
        <v>61.58867</v>
      </c>
    </row>
  </sheetData>
  <mergeCells count="20">
    <mergeCell ref="A36:A55"/>
    <mergeCell ref="A33:B33"/>
    <mergeCell ref="A26:B26"/>
    <mergeCell ref="A28:B28"/>
    <mergeCell ref="E14:F14"/>
    <mergeCell ref="E16:F16"/>
    <mergeCell ref="E15:F15"/>
    <mergeCell ref="A29:B29"/>
    <mergeCell ref="A30:B30"/>
    <mergeCell ref="A31:B31"/>
    <mergeCell ref="A27:B27"/>
    <mergeCell ref="A2:A7"/>
    <mergeCell ref="A32:B32"/>
    <mergeCell ref="E9:F9"/>
    <mergeCell ref="A9:A13"/>
    <mergeCell ref="E8:F8"/>
    <mergeCell ref="A20:A21"/>
    <mergeCell ref="A23:A24"/>
    <mergeCell ref="E10:F10"/>
    <mergeCell ref="A15:A18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8FFAC-0909-4E1E-82B0-333BB93DF330}">
  <dimension ref="A1:M144"/>
  <sheetViews>
    <sheetView topLeftCell="A46" zoomScale="80" zoomScaleNormal="80" workbookViewId="0">
      <selection activeCell="M71" sqref="M71"/>
    </sheetView>
  </sheetViews>
  <sheetFormatPr defaultRowHeight="14.4" x14ac:dyDescent="0.3"/>
  <cols>
    <col min="1" max="1" width="10.33203125" customWidth="1"/>
    <col min="3" max="11" width="13.5546875" customWidth="1"/>
  </cols>
  <sheetData>
    <row r="1" spans="1:13" ht="52.8" thickBot="1" x14ac:dyDescent="0.35">
      <c r="A1" s="68" t="s">
        <v>52</v>
      </c>
      <c r="B1" s="1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5" t="s">
        <v>9</v>
      </c>
    </row>
    <row r="2" spans="1:13" ht="15.6" x14ac:dyDescent="0.35">
      <c r="B2" s="6">
        <v>2025</v>
      </c>
      <c r="C2" s="23">
        <f>-Input!$C$10/1000000</f>
        <v>-129.56059999999999</v>
      </c>
      <c r="D2" s="25">
        <v>0</v>
      </c>
      <c r="E2" s="25">
        <v>0</v>
      </c>
      <c r="F2" s="25">
        <v>0</v>
      </c>
      <c r="G2" s="28">
        <v>0</v>
      </c>
      <c r="H2" s="25">
        <v>0</v>
      </c>
      <c r="I2" s="25">
        <f>IF(H2&gt;0,H2*0.22,0)</f>
        <v>0</v>
      </c>
      <c r="J2" s="25">
        <v>0</v>
      </c>
      <c r="K2" s="30">
        <f>J2+G2+C2</f>
        <v>-129.56059999999999</v>
      </c>
    </row>
    <row r="3" spans="1:13" ht="15.6" x14ac:dyDescent="0.35">
      <c r="B3" s="8">
        <v>2026</v>
      </c>
      <c r="C3" s="24"/>
      <c r="D3" s="26">
        <f>Input!$C$20*Input!$C$26/1000000</f>
        <v>16.156759300000001</v>
      </c>
      <c r="E3" s="26">
        <f>Input!$C$16/1000000</f>
        <v>2.5217480000000001</v>
      </c>
      <c r="F3" s="26">
        <f>D3-E3</f>
        <v>13.6350113</v>
      </c>
      <c r="G3" s="27">
        <f>-$C$2/20</f>
        <v>6.4780299999999995</v>
      </c>
      <c r="H3" s="26">
        <f>F3-G3</f>
        <v>7.1569813000000009</v>
      </c>
      <c r="I3" s="26">
        <f>IF(H3&gt;0,H3*0.22,0)</f>
        <v>1.5745358860000003</v>
      </c>
      <c r="J3" s="26">
        <f>H3-I3</f>
        <v>5.5824454140000004</v>
      </c>
      <c r="K3" s="29">
        <f t="shared" ref="K3:K22" si="0">J3+G3+C3</f>
        <v>12.060475413999999</v>
      </c>
    </row>
    <row r="4" spans="1:13" ht="15.6" x14ac:dyDescent="0.35">
      <c r="B4" s="8">
        <v>2027</v>
      </c>
      <c r="C4" s="24"/>
      <c r="D4" s="26">
        <f>D3*(1-0.01)</f>
        <v>15.995191707</v>
      </c>
      <c r="E4" s="26">
        <f>Input!$C$16/1000000</f>
        <v>2.5217480000000001</v>
      </c>
      <c r="F4" s="26">
        <f>D4-E4</f>
        <v>13.473443706999999</v>
      </c>
      <c r="G4" s="27">
        <f t="shared" ref="G4:G22" si="1">-$C$2/20</f>
        <v>6.4780299999999995</v>
      </c>
      <c r="H4" s="26">
        <f t="shared" ref="H4:H22" si="2">F4-G4</f>
        <v>6.995413707</v>
      </c>
      <c r="I4" s="26">
        <f t="shared" ref="I4:I22" si="3">IF(H4&gt;0,H4*0.22,0)</f>
        <v>1.53899101554</v>
      </c>
      <c r="J4" s="26">
        <f t="shared" ref="J4:J22" si="4">H4-I4</f>
        <v>5.4564226914600003</v>
      </c>
      <c r="K4" s="29">
        <f t="shared" si="0"/>
        <v>11.934452691459999</v>
      </c>
      <c r="M4" s="31"/>
    </row>
    <row r="5" spans="1:13" ht="15.6" x14ac:dyDescent="0.35">
      <c r="B5" s="8">
        <v>2028</v>
      </c>
      <c r="C5" s="24"/>
      <c r="D5" s="26">
        <f t="shared" ref="D5:D22" si="5">D4*(1-0.01)</f>
        <v>15.83523978993</v>
      </c>
      <c r="E5" s="26">
        <f>Input!$C$16/1000000</f>
        <v>2.5217480000000001</v>
      </c>
      <c r="F5" s="26">
        <f t="shared" ref="F5:F22" si="6">D5-E5</f>
        <v>13.31349178993</v>
      </c>
      <c r="G5" s="27">
        <f t="shared" si="1"/>
        <v>6.4780299999999995</v>
      </c>
      <c r="H5" s="26">
        <f t="shared" si="2"/>
        <v>6.8354617899300001</v>
      </c>
      <c r="I5" s="26">
        <f t="shared" si="3"/>
        <v>1.5038015937846001</v>
      </c>
      <c r="J5" s="26">
        <f t="shared" si="4"/>
        <v>5.3316601961453998</v>
      </c>
      <c r="K5" s="29">
        <f t="shared" si="0"/>
        <v>11.8096901961454</v>
      </c>
    </row>
    <row r="6" spans="1:13" ht="15.6" x14ac:dyDescent="0.35">
      <c r="B6" s="8">
        <v>2029</v>
      </c>
      <c r="C6" s="24"/>
      <c r="D6" s="26">
        <f t="shared" si="5"/>
        <v>15.6768873920307</v>
      </c>
      <c r="E6" s="26">
        <f>Input!$C$16/1000000</f>
        <v>2.5217480000000001</v>
      </c>
      <c r="F6" s="26">
        <f t="shared" si="6"/>
        <v>13.1551393920307</v>
      </c>
      <c r="G6" s="27">
        <f t="shared" si="1"/>
        <v>6.4780299999999995</v>
      </c>
      <c r="H6" s="26">
        <f t="shared" si="2"/>
        <v>6.6771093920307001</v>
      </c>
      <c r="I6" s="26">
        <f t="shared" si="3"/>
        <v>1.468964066246754</v>
      </c>
      <c r="J6" s="26">
        <f t="shared" si="4"/>
        <v>5.2081453257839456</v>
      </c>
      <c r="K6" s="29">
        <f t="shared" si="0"/>
        <v>11.686175325783946</v>
      </c>
    </row>
    <row r="7" spans="1:13" ht="15.6" x14ac:dyDescent="0.35">
      <c r="B7" s="8">
        <v>2030</v>
      </c>
      <c r="C7" s="24"/>
      <c r="D7" s="26">
        <f t="shared" si="5"/>
        <v>15.520118518110394</v>
      </c>
      <c r="E7" s="26">
        <f>Input!$C$16/1000000</f>
        <v>2.5217480000000001</v>
      </c>
      <c r="F7" s="26">
        <f t="shared" si="6"/>
        <v>12.998370518110393</v>
      </c>
      <c r="G7" s="27">
        <f t="shared" si="1"/>
        <v>6.4780299999999995</v>
      </c>
      <c r="H7" s="26">
        <f t="shared" si="2"/>
        <v>6.5203405181103937</v>
      </c>
      <c r="I7" s="26">
        <f t="shared" si="3"/>
        <v>1.4344749139842867</v>
      </c>
      <c r="J7" s="26">
        <f t="shared" si="4"/>
        <v>5.0858656041261074</v>
      </c>
      <c r="K7" s="29">
        <f t="shared" si="0"/>
        <v>11.563895604126106</v>
      </c>
    </row>
    <row r="8" spans="1:13" ht="15.6" x14ac:dyDescent="0.35">
      <c r="B8" s="8">
        <v>2031</v>
      </c>
      <c r="C8" s="24"/>
      <c r="D8" s="26">
        <f t="shared" si="5"/>
        <v>15.36491733292929</v>
      </c>
      <c r="E8" s="26">
        <f>Input!$C$16/1000000</f>
        <v>2.5217480000000001</v>
      </c>
      <c r="F8" s="26">
        <f t="shared" si="6"/>
        <v>12.843169332929289</v>
      </c>
      <c r="G8" s="27">
        <f t="shared" si="1"/>
        <v>6.4780299999999995</v>
      </c>
      <c r="H8" s="26">
        <f t="shared" si="2"/>
        <v>6.3651393329292896</v>
      </c>
      <c r="I8" s="26">
        <f t="shared" si="3"/>
        <v>1.4003306532444437</v>
      </c>
      <c r="J8" s="26">
        <f t="shared" si="4"/>
        <v>4.9648086796848458</v>
      </c>
      <c r="K8" s="29">
        <f t="shared" si="0"/>
        <v>11.442838679684845</v>
      </c>
    </row>
    <row r="9" spans="1:13" ht="15.6" x14ac:dyDescent="0.35">
      <c r="B9" s="8">
        <v>2032</v>
      </c>
      <c r="C9" s="24"/>
      <c r="D9" s="26">
        <f t="shared" si="5"/>
        <v>15.211268159599996</v>
      </c>
      <c r="E9" s="26">
        <f>Input!$C$16/1000000</f>
        <v>2.5217480000000001</v>
      </c>
      <c r="F9" s="26">
        <f t="shared" si="6"/>
        <v>12.689520159599995</v>
      </c>
      <c r="G9" s="27">
        <f t="shared" si="1"/>
        <v>6.4780299999999995</v>
      </c>
      <c r="H9" s="26">
        <f t="shared" si="2"/>
        <v>6.2114901595999958</v>
      </c>
      <c r="I9" s="26">
        <f t="shared" si="3"/>
        <v>1.3665278351119992</v>
      </c>
      <c r="J9" s="26">
        <f t="shared" si="4"/>
        <v>4.8449623244879962</v>
      </c>
      <c r="K9" s="29">
        <f t="shared" si="0"/>
        <v>11.322992324487995</v>
      </c>
    </row>
    <row r="10" spans="1:13" ht="15.6" x14ac:dyDescent="0.35">
      <c r="B10" s="8">
        <v>2033</v>
      </c>
      <c r="C10" s="24"/>
      <c r="D10" s="26">
        <f t="shared" si="5"/>
        <v>15.059155478003996</v>
      </c>
      <c r="E10" s="26">
        <f>Input!$C$16/1000000</f>
        <v>2.5217480000000001</v>
      </c>
      <c r="F10" s="26">
        <f t="shared" si="6"/>
        <v>12.537407478003995</v>
      </c>
      <c r="G10" s="27">
        <f t="shared" si="1"/>
        <v>6.4780299999999995</v>
      </c>
      <c r="H10" s="26">
        <f t="shared" si="2"/>
        <v>6.059377478003996</v>
      </c>
      <c r="I10" s="26">
        <f t="shared" si="3"/>
        <v>1.3330630451608791</v>
      </c>
      <c r="J10" s="26">
        <f t="shared" si="4"/>
        <v>4.7263144328431164</v>
      </c>
      <c r="K10" s="29">
        <f t="shared" si="0"/>
        <v>11.204344432843115</v>
      </c>
    </row>
    <row r="11" spans="1:13" ht="15.6" x14ac:dyDescent="0.35">
      <c r="B11" s="8">
        <v>2034</v>
      </c>
      <c r="C11" s="24"/>
      <c r="D11" s="26">
        <f t="shared" si="5"/>
        <v>14.908563923223955</v>
      </c>
      <c r="E11" s="26">
        <f>Input!$C$16/1000000</f>
        <v>2.5217480000000001</v>
      </c>
      <c r="F11" s="26">
        <f t="shared" si="6"/>
        <v>12.386815923223955</v>
      </c>
      <c r="G11" s="27">
        <f t="shared" si="1"/>
        <v>6.4780299999999995</v>
      </c>
      <c r="H11" s="26">
        <f t="shared" si="2"/>
        <v>5.908785923223955</v>
      </c>
      <c r="I11" s="26">
        <f t="shared" si="3"/>
        <v>1.2999329031092701</v>
      </c>
      <c r="J11" s="26">
        <f t="shared" si="4"/>
        <v>4.6088530201146849</v>
      </c>
      <c r="K11" s="29">
        <f t="shared" si="0"/>
        <v>11.086883020114684</v>
      </c>
    </row>
    <row r="12" spans="1:13" ht="15.6" x14ac:dyDescent="0.35">
      <c r="B12" s="8">
        <v>2035</v>
      </c>
      <c r="C12" s="24"/>
      <c r="D12" s="26">
        <f t="shared" si="5"/>
        <v>14.759478283991715</v>
      </c>
      <c r="E12" s="26">
        <f>Input!$C$16/1000000</f>
        <v>2.5217480000000001</v>
      </c>
      <c r="F12" s="26">
        <f t="shared" si="6"/>
        <v>12.237730283991715</v>
      </c>
      <c r="G12" s="27">
        <f t="shared" si="1"/>
        <v>6.4780299999999995</v>
      </c>
      <c r="H12" s="26">
        <f t="shared" si="2"/>
        <v>5.7597002839917151</v>
      </c>
      <c r="I12" s="26">
        <f t="shared" si="3"/>
        <v>1.2671340624781773</v>
      </c>
      <c r="J12" s="26">
        <f t="shared" si="4"/>
        <v>4.4925662215135382</v>
      </c>
      <c r="K12" s="29">
        <f t="shared" si="0"/>
        <v>10.970596221513539</v>
      </c>
    </row>
    <row r="13" spans="1:13" ht="15.6" x14ac:dyDescent="0.35">
      <c r="B13" s="8">
        <v>2036</v>
      </c>
      <c r="C13" s="24"/>
      <c r="D13" s="26">
        <f t="shared" si="5"/>
        <v>14.611883501151798</v>
      </c>
      <c r="E13" s="26">
        <f>Input!$C$16/1000000</f>
        <v>2.5217480000000001</v>
      </c>
      <c r="F13" s="26">
        <f t="shared" si="6"/>
        <v>12.090135501151797</v>
      </c>
      <c r="G13" s="27">
        <f t="shared" si="1"/>
        <v>6.4780299999999995</v>
      </c>
      <c r="H13" s="26">
        <f t="shared" si="2"/>
        <v>5.612105501151798</v>
      </c>
      <c r="I13" s="26">
        <f t="shared" si="3"/>
        <v>1.2346632102533956</v>
      </c>
      <c r="J13" s="26">
        <f t="shared" si="4"/>
        <v>4.3774422908984025</v>
      </c>
      <c r="K13" s="29">
        <f t="shared" si="0"/>
        <v>10.855472290898401</v>
      </c>
    </row>
    <row r="14" spans="1:13" ht="15.6" x14ac:dyDescent="0.35">
      <c r="B14" s="8">
        <v>2037</v>
      </c>
      <c r="C14" s="24"/>
      <c r="D14" s="26">
        <f t="shared" si="5"/>
        <v>14.465764666140281</v>
      </c>
      <c r="E14" s="26">
        <f>Input!$C$16/1000000</f>
        <v>2.5217480000000001</v>
      </c>
      <c r="F14" s="26">
        <f t="shared" si="6"/>
        <v>11.94401666614028</v>
      </c>
      <c r="G14" s="27">
        <f t="shared" si="1"/>
        <v>6.4780299999999995</v>
      </c>
      <c r="H14" s="26">
        <f t="shared" si="2"/>
        <v>5.4659866661402807</v>
      </c>
      <c r="I14" s="26">
        <f t="shared" si="3"/>
        <v>1.2025170665508618</v>
      </c>
      <c r="J14" s="26">
        <f t="shared" si="4"/>
        <v>4.2634695995894187</v>
      </c>
      <c r="K14" s="29">
        <f t="shared" si="0"/>
        <v>10.741499599589417</v>
      </c>
    </row>
    <row r="15" spans="1:13" ht="15.6" x14ac:dyDescent="0.35">
      <c r="B15" s="8">
        <v>2038</v>
      </c>
      <c r="C15" s="24"/>
      <c r="D15" s="26">
        <f t="shared" si="5"/>
        <v>14.321107019478879</v>
      </c>
      <c r="E15" s="26">
        <f>Input!$C$16/1000000</f>
        <v>2.5217480000000001</v>
      </c>
      <c r="F15" s="26">
        <f t="shared" si="6"/>
        <v>11.799359019478878</v>
      </c>
      <c r="G15" s="27">
        <f t="shared" si="1"/>
        <v>6.4780299999999995</v>
      </c>
      <c r="H15" s="26">
        <f t="shared" si="2"/>
        <v>5.3213290194788785</v>
      </c>
      <c r="I15" s="26">
        <f t="shared" si="3"/>
        <v>1.1706923842853534</v>
      </c>
      <c r="J15" s="26">
        <f t="shared" si="4"/>
        <v>4.1506366351935249</v>
      </c>
      <c r="K15" s="29">
        <f t="shared" si="0"/>
        <v>10.628666635193525</v>
      </c>
    </row>
    <row r="16" spans="1:13" ht="15.6" x14ac:dyDescent="0.35">
      <c r="B16" s="8">
        <v>2039</v>
      </c>
      <c r="C16" s="24"/>
      <c r="D16" s="26">
        <f t="shared" si="5"/>
        <v>14.177895949284089</v>
      </c>
      <c r="E16" s="26">
        <f>Input!$C$16/1000000</f>
        <v>2.5217480000000001</v>
      </c>
      <c r="F16" s="26">
        <f t="shared" si="6"/>
        <v>11.656147949284088</v>
      </c>
      <c r="G16" s="27">
        <f t="shared" si="1"/>
        <v>6.4780299999999995</v>
      </c>
      <c r="H16" s="26">
        <f t="shared" si="2"/>
        <v>5.178117949284089</v>
      </c>
      <c r="I16" s="26">
        <f t="shared" si="3"/>
        <v>1.1391859488424996</v>
      </c>
      <c r="J16" s="26">
        <f t="shared" si="4"/>
        <v>4.038932000441589</v>
      </c>
      <c r="K16" s="29">
        <f t="shared" si="0"/>
        <v>10.516962000441588</v>
      </c>
    </row>
    <row r="17" spans="1:11" ht="15.6" x14ac:dyDescent="0.35">
      <c r="B17" s="8">
        <v>2040</v>
      </c>
      <c r="C17" s="22"/>
      <c r="D17" s="26">
        <f t="shared" si="5"/>
        <v>14.036116989791248</v>
      </c>
      <c r="E17" s="26">
        <f>Input!$C$16/1000000</f>
        <v>2.5217480000000001</v>
      </c>
      <c r="F17" s="26">
        <f t="shared" si="6"/>
        <v>11.514368989791247</v>
      </c>
      <c r="G17" s="27">
        <f t="shared" si="1"/>
        <v>6.4780299999999995</v>
      </c>
      <c r="H17" s="26">
        <f t="shared" si="2"/>
        <v>5.0363389897912478</v>
      </c>
      <c r="I17" s="26">
        <f t="shared" si="3"/>
        <v>1.1079945777540745</v>
      </c>
      <c r="J17" s="26">
        <f t="shared" si="4"/>
        <v>3.9283444120371733</v>
      </c>
      <c r="K17" s="29">
        <f t="shared" si="0"/>
        <v>10.406374412037174</v>
      </c>
    </row>
    <row r="18" spans="1:11" ht="15.6" x14ac:dyDescent="0.35">
      <c r="B18" s="8">
        <v>2041</v>
      </c>
      <c r="C18" s="22"/>
      <c r="D18" s="26">
        <f t="shared" si="5"/>
        <v>13.895755819893335</v>
      </c>
      <c r="E18" s="26">
        <f>Input!$C$16/1000000</f>
        <v>2.5217480000000001</v>
      </c>
      <c r="F18" s="26">
        <f t="shared" si="6"/>
        <v>11.374007819893334</v>
      </c>
      <c r="G18" s="27">
        <f t="shared" si="1"/>
        <v>6.4780299999999995</v>
      </c>
      <c r="H18" s="26">
        <f t="shared" si="2"/>
        <v>4.8959778198933348</v>
      </c>
      <c r="I18" s="26">
        <f t="shared" si="3"/>
        <v>1.0771151203765337</v>
      </c>
      <c r="J18" s="26">
        <f t="shared" si="4"/>
        <v>3.8188626995168011</v>
      </c>
      <c r="K18" s="29">
        <f t="shared" si="0"/>
        <v>10.2968926995168</v>
      </c>
    </row>
    <row r="19" spans="1:11" ht="15.6" x14ac:dyDescent="0.35">
      <c r="B19" s="8">
        <v>2042</v>
      </c>
      <c r="C19" s="22"/>
      <c r="D19" s="26">
        <f t="shared" si="5"/>
        <v>13.756798261694401</v>
      </c>
      <c r="E19" s="26">
        <f>Input!$C$16/1000000</f>
        <v>2.5217480000000001</v>
      </c>
      <c r="F19" s="26">
        <f t="shared" si="6"/>
        <v>11.235050261694401</v>
      </c>
      <c r="G19" s="27">
        <f t="shared" si="1"/>
        <v>6.4780299999999995</v>
      </c>
      <c r="H19" s="26">
        <f t="shared" si="2"/>
        <v>4.7570202616944011</v>
      </c>
      <c r="I19" s="26">
        <f t="shared" si="3"/>
        <v>1.0465444575727683</v>
      </c>
      <c r="J19" s="26">
        <f t="shared" si="4"/>
        <v>3.710475804121633</v>
      </c>
      <c r="K19" s="29">
        <f t="shared" si="0"/>
        <v>10.188505804121633</v>
      </c>
    </row>
    <row r="20" spans="1:11" ht="15.6" x14ac:dyDescent="0.35">
      <c r="B20" s="8">
        <v>2043</v>
      </c>
      <c r="C20" s="22"/>
      <c r="D20" s="26">
        <f t="shared" si="5"/>
        <v>13.619230279077456</v>
      </c>
      <c r="E20" s="26">
        <f>Input!$C$16/1000000</f>
        <v>2.5217480000000001</v>
      </c>
      <c r="F20" s="26">
        <f t="shared" si="6"/>
        <v>11.097482279077456</v>
      </c>
      <c r="G20" s="27">
        <f t="shared" si="1"/>
        <v>6.4780299999999995</v>
      </c>
      <c r="H20" s="26">
        <f t="shared" si="2"/>
        <v>4.6194522790774561</v>
      </c>
      <c r="I20" s="26">
        <f t="shared" si="3"/>
        <v>1.0162795013970403</v>
      </c>
      <c r="J20" s="26">
        <f t="shared" si="4"/>
        <v>3.6031727776804159</v>
      </c>
      <c r="K20" s="29">
        <f t="shared" si="0"/>
        <v>10.081202777680415</v>
      </c>
    </row>
    <row r="21" spans="1:11" ht="15.6" x14ac:dyDescent="0.35">
      <c r="B21" s="8">
        <v>2044</v>
      </c>
      <c r="C21" s="22"/>
      <c r="D21" s="26">
        <f t="shared" si="5"/>
        <v>13.483037976286681</v>
      </c>
      <c r="E21" s="26">
        <f>Input!$C$16/1000000</f>
        <v>2.5217480000000001</v>
      </c>
      <c r="F21" s="26">
        <f t="shared" si="6"/>
        <v>10.961289976286681</v>
      </c>
      <c r="G21" s="27">
        <f t="shared" si="1"/>
        <v>6.4780299999999995</v>
      </c>
      <c r="H21" s="26">
        <f t="shared" si="2"/>
        <v>4.4832599762866812</v>
      </c>
      <c r="I21" s="26">
        <f t="shared" si="3"/>
        <v>0.98631719478306989</v>
      </c>
      <c r="J21" s="26">
        <f t="shared" si="4"/>
        <v>3.4969427815036114</v>
      </c>
      <c r="K21" s="29">
        <f t="shared" si="0"/>
        <v>9.9749727815036113</v>
      </c>
    </row>
    <row r="22" spans="1:11" ht="15.6" x14ac:dyDescent="0.35">
      <c r="B22" s="8">
        <v>2045</v>
      </c>
      <c r="C22" s="22"/>
      <c r="D22" s="26">
        <f t="shared" si="5"/>
        <v>13.348207596523814</v>
      </c>
      <c r="E22" s="26">
        <f>Input!$C$16/1000000</f>
        <v>2.5217480000000001</v>
      </c>
      <c r="F22" s="26">
        <f t="shared" si="6"/>
        <v>10.826459596523813</v>
      </c>
      <c r="G22" s="27">
        <f t="shared" si="1"/>
        <v>6.4780299999999995</v>
      </c>
      <c r="H22" s="26">
        <f t="shared" si="2"/>
        <v>4.3484295965238138</v>
      </c>
      <c r="I22" s="26">
        <f t="shared" si="3"/>
        <v>0.95665451123523904</v>
      </c>
      <c r="J22" s="26">
        <f t="shared" si="4"/>
        <v>3.3917750852885749</v>
      </c>
      <c r="K22" s="29">
        <f t="shared" si="0"/>
        <v>9.8698050852885739</v>
      </c>
    </row>
    <row r="23" spans="1:11" ht="16.2" thickBot="1" x14ac:dyDescent="0.4">
      <c r="B23" s="10"/>
      <c r="C23" s="11"/>
      <c r="D23" s="12"/>
      <c r="E23" s="12"/>
      <c r="F23" s="12"/>
      <c r="G23" s="12"/>
      <c r="H23" s="12"/>
      <c r="I23" s="13"/>
      <c r="J23" s="56" t="s">
        <v>10</v>
      </c>
      <c r="K23" s="57">
        <f>IRR(K2:K22)</f>
        <v>5.8359637918084184E-2</v>
      </c>
    </row>
    <row r="24" spans="1:11" ht="15" thickBot="1" x14ac:dyDescent="0.35"/>
    <row r="25" spans="1:11" ht="52.8" thickBot="1" x14ac:dyDescent="0.35">
      <c r="A25" s="68" t="s">
        <v>53</v>
      </c>
      <c r="B25" s="1" t="s">
        <v>0</v>
      </c>
      <c r="C25" s="2" t="s">
        <v>1</v>
      </c>
      <c r="D25" s="3" t="s">
        <v>2</v>
      </c>
      <c r="E25" s="3" t="s">
        <v>3</v>
      </c>
      <c r="F25" s="4" t="s">
        <v>4</v>
      </c>
      <c r="G25" s="3" t="s">
        <v>5</v>
      </c>
      <c r="H25" s="3" t="s">
        <v>6</v>
      </c>
      <c r="I25" s="3" t="s">
        <v>7</v>
      </c>
      <c r="J25" s="3" t="s">
        <v>8</v>
      </c>
      <c r="K25" s="5" t="s">
        <v>9</v>
      </c>
    </row>
    <row r="26" spans="1:11" ht="15.6" x14ac:dyDescent="0.35">
      <c r="B26" s="6">
        <v>2025</v>
      </c>
      <c r="C26" s="23">
        <f>-(Input!$C$10+Input!$C$12)/1000000</f>
        <v>-191.64674199999999</v>
      </c>
      <c r="D26" s="25">
        <v>0</v>
      </c>
      <c r="E26" s="25">
        <v>0</v>
      </c>
      <c r="F26" s="25">
        <v>0</v>
      </c>
      <c r="G26" s="28">
        <v>0</v>
      </c>
      <c r="H26" s="25">
        <v>0</v>
      </c>
      <c r="I26" s="25">
        <f>IF(H26&gt;0,H26*0.22,0)</f>
        <v>0</v>
      </c>
      <c r="J26" s="25">
        <v>0</v>
      </c>
      <c r="K26" s="30">
        <f>J26+G26+C26</f>
        <v>-191.64674199999999</v>
      </c>
    </row>
    <row r="27" spans="1:11" ht="15.6" x14ac:dyDescent="0.35">
      <c r="B27" s="8">
        <v>2026</v>
      </c>
      <c r="C27" s="24"/>
      <c r="D27" s="26">
        <f>(Input!$C$23+Input!$C$24)*(Input!$C$28/1000000)</f>
        <v>24.232332100000004</v>
      </c>
      <c r="E27" s="26">
        <f>(Input!$C$16+Input!$C$18)/1000000</f>
        <v>3.829421</v>
      </c>
      <c r="F27" s="26">
        <f>D27-E27</f>
        <v>20.402911100000004</v>
      </c>
      <c r="G27" s="27">
        <f>-SUM($C$26:$C$46)/20</f>
        <v>9.5823371000000002</v>
      </c>
      <c r="H27" s="26">
        <f>F27-G27</f>
        <v>10.820574000000004</v>
      </c>
      <c r="I27" s="26">
        <f>IF(H27&gt;0,H27*0.22,0)</f>
        <v>2.3805262800000011</v>
      </c>
      <c r="J27" s="26">
        <f>H27-I27</f>
        <v>8.4400477200000026</v>
      </c>
      <c r="K27" s="29">
        <f t="shared" ref="K27:K46" si="7">J27+G27+C27</f>
        <v>18.022384820000003</v>
      </c>
    </row>
    <row r="28" spans="1:11" ht="15.6" x14ac:dyDescent="0.35">
      <c r="B28" s="8">
        <v>2027</v>
      </c>
      <c r="C28" s="24"/>
      <c r="D28" s="26">
        <f>D27*(1-0.01)</f>
        <v>23.990008779000004</v>
      </c>
      <c r="E28" s="26">
        <f>(Input!$C$16+Input!$C$18)/1000000</f>
        <v>3.829421</v>
      </c>
      <c r="F28" s="26">
        <f>D28-E28</f>
        <v>20.160587779000004</v>
      </c>
      <c r="G28" s="27">
        <f t="shared" ref="G28:G46" si="8">-SUM($C$26:$C$46)/20</f>
        <v>9.5823371000000002</v>
      </c>
      <c r="H28" s="26">
        <f t="shared" ref="H28:H46" si="9">F28-G28</f>
        <v>10.578250679000003</v>
      </c>
      <c r="I28" s="26">
        <f t="shared" ref="I28:I46" si="10">IF(H28&gt;0,H28*0.22,0)</f>
        <v>2.3272151493800006</v>
      </c>
      <c r="J28" s="26">
        <f t="shared" ref="J28:J46" si="11">H28-I28</f>
        <v>8.2510355296200029</v>
      </c>
      <c r="K28" s="29">
        <f t="shared" si="7"/>
        <v>17.833372629620001</v>
      </c>
    </row>
    <row r="29" spans="1:11" ht="15.6" x14ac:dyDescent="0.35">
      <c r="B29" s="8">
        <v>2028</v>
      </c>
      <c r="C29" s="24"/>
      <c r="D29" s="26">
        <f t="shared" ref="D29:D46" si="12">D28*(1-0.01)</f>
        <v>23.750108691210002</v>
      </c>
      <c r="E29" s="26">
        <f>(Input!$C$16+Input!$C$18)/1000000</f>
        <v>3.829421</v>
      </c>
      <c r="F29" s="26">
        <f t="shared" ref="F29:F46" si="13">D29-E29</f>
        <v>19.920687691210002</v>
      </c>
      <c r="G29" s="27">
        <f t="shared" si="8"/>
        <v>9.5823371000000002</v>
      </c>
      <c r="H29" s="26">
        <f t="shared" si="9"/>
        <v>10.338350591210002</v>
      </c>
      <c r="I29" s="26">
        <f t="shared" si="10"/>
        <v>2.2744371300662003</v>
      </c>
      <c r="J29" s="26">
        <f t="shared" si="11"/>
        <v>8.0639134611438017</v>
      </c>
      <c r="K29" s="29">
        <f t="shared" si="7"/>
        <v>17.646250561143802</v>
      </c>
    </row>
    <row r="30" spans="1:11" ht="15.6" x14ac:dyDescent="0.35">
      <c r="B30" s="8">
        <v>2029</v>
      </c>
      <c r="C30" s="24"/>
      <c r="D30" s="26">
        <f t="shared" si="12"/>
        <v>23.512607604297902</v>
      </c>
      <c r="E30" s="26">
        <f>(Input!$C$16+Input!$C$18)/1000000</f>
        <v>3.829421</v>
      </c>
      <c r="F30" s="26">
        <f t="shared" si="13"/>
        <v>19.683186604297902</v>
      </c>
      <c r="G30" s="27">
        <f t="shared" si="8"/>
        <v>9.5823371000000002</v>
      </c>
      <c r="H30" s="26">
        <f t="shared" si="9"/>
        <v>10.100849504297901</v>
      </c>
      <c r="I30" s="26">
        <f t="shared" si="10"/>
        <v>2.2221868909455385</v>
      </c>
      <c r="J30" s="26">
        <f t="shared" si="11"/>
        <v>7.878662613352363</v>
      </c>
      <c r="K30" s="29">
        <f t="shared" si="7"/>
        <v>17.460999713352365</v>
      </c>
    </row>
    <row r="31" spans="1:11" ht="15.6" x14ac:dyDescent="0.35">
      <c r="B31" s="8">
        <v>2030</v>
      </c>
      <c r="C31" s="24"/>
      <c r="D31" s="26">
        <f t="shared" si="12"/>
        <v>23.277481528254921</v>
      </c>
      <c r="E31" s="26">
        <f>(Input!$C$16+Input!$C$18)/1000000</f>
        <v>3.829421</v>
      </c>
      <c r="F31" s="26">
        <f t="shared" si="13"/>
        <v>19.448060528254921</v>
      </c>
      <c r="G31" s="27">
        <f t="shared" si="8"/>
        <v>9.5823371000000002</v>
      </c>
      <c r="H31" s="26">
        <f t="shared" si="9"/>
        <v>9.8657234282549204</v>
      </c>
      <c r="I31" s="26">
        <f t="shared" si="10"/>
        <v>2.1704591542160827</v>
      </c>
      <c r="J31" s="26">
        <f t="shared" si="11"/>
        <v>7.6952642740388377</v>
      </c>
      <c r="K31" s="29">
        <f t="shared" si="7"/>
        <v>17.277601374038838</v>
      </c>
    </row>
    <row r="32" spans="1:11" ht="15.6" x14ac:dyDescent="0.35">
      <c r="B32" s="8">
        <v>2031</v>
      </c>
      <c r="C32" s="24"/>
      <c r="D32" s="26">
        <f t="shared" si="12"/>
        <v>23.044706712972371</v>
      </c>
      <c r="E32" s="26">
        <f>(Input!$C$16+Input!$C$18)/1000000</f>
        <v>3.829421</v>
      </c>
      <c r="F32" s="26">
        <f t="shared" si="13"/>
        <v>19.215285712972371</v>
      </c>
      <c r="G32" s="27">
        <f t="shared" si="8"/>
        <v>9.5823371000000002</v>
      </c>
      <c r="H32" s="26">
        <f t="shared" si="9"/>
        <v>9.6329486129723705</v>
      </c>
      <c r="I32" s="26">
        <f t="shared" si="10"/>
        <v>2.1192486948539213</v>
      </c>
      <c r="J32" s="26">
        <f t="shared" si="11"/>
        <v>7.5136999181184496</v>
      </c>
      <c r="K32" s="29">
        <f t="shared" si="7"/>
        <v>17.096037018118452</v>
      </c>
    </row>
    <row r="33" spans="2:12" ht="15.6" x14ac:dyDescent="0.35">
      <c r="B33" s="8">
        <v>2032</v>
      </c>
      <c r="C33" s="24"/>
      <c r="D33" s="26">
        <f t="shared" si="12"/>
        <v>22.814259645842647</v>
      </c>
      <c r="E33" s="26">
        <f>(Input!$C$16+Input!$C$18)/1000000</f>
        <v>3.829421</v>
      </c>
      <c r="F33" s="26">
        <f t="shared" si="13"/>
        <v>18.984838645842647</v>
      </c>
      <c r="G33" s="27">
        <f t="shared" si="8"/>
        <v>9.5823371000000002</v>
      </c>
      <c r="H33" s="26">
        <f t="shared" si="9"/>
        <v>9.4025015458426466</v>
      </c>
      <c r="I33" s="26">
        <f t="shared" si="10"/>
        <v>2.0685503400853822</v>
      </c>
      <c r="J33" s="26">
        <f t="shared" si="11"/>
        <v>7.3339512057572644</v>
      </c>
      <c r="K33" s="29">
        <f t="shared" si="7"/>
        <v>16.916288305757263</v>
      </c>
    </row>
    <row r="34" spans="2:12" ht="15.6" x14ac:dyDescent="0.35">
      <c r="B34" s="8">
        <v>2033</v>
      </c>
      <c r="C34" s="24"/>
      <c r="D34" s="26">
        <f t="shared" si="12"/>
        <v>22.586117049384221</v>
      </c>
      <c r="E34" s="26">
        <f>(Input!$C$16+Input!$C$18)/1000000</f>
        <v>3.829421</v>
      </c>
      <c r="F34" s="26">
        <f t="shared" si="13"/>
        <v>18.756696049384221</v>
      </c>
      <c r="G34" s="27">
        <f t="shared" si="8"/>
        <v>9.5823371000000002</v>
      </c>
      <c r="H34" s="26">
        <f t="shared" si="9"/>
        <v>9.1743589493842208</v>
      </c>
      <c r="I34" s="26">
        <f t="shared" si="10"/>
        <v>2.0183589688645287</v>
      </c>
      <c r="J34" s="26">
        <f t="shared" si="11"/>
        <v>7.1559999805196917</v>
      </c>
      <c r="K34" s="29">
        <f t="shared" si="7"/>
        <v>16.738337080519692</v>
      </c>
    </row>
    <row r="35" spans="2:12" ht="15.6" x14ac:dyDescent="0.35">
      <c r="B35" s="8">
        <v>2034</v>
      </c>
      <c r="C35" s="24"/>
      <c r="D35" s="26">
        <f t="shared" si="12"/>
        <v>22.360255878890378</v>
      </c>
      <c r="E35" s="26">
        <f>(Input!$C$16+Input!$C$18)/1000000</f>
        <v>3.829421</v>
      </c>
      <c r="F35" s="26">
        <f t="shared" si="13"/>
        <v>18.530834878890378</v>
      </c>
      <c r="G35" s="27">
        <f t="shared" si="8"/>
        <v>9.5823371000000002</v>
      </c>
      <c r="H35" s="26">
        <f t="shared" si="9"/>
        <v>8.9484977788903777</v>
      </c>
      <c r="I35" s="26">
        <f t="shared" si="10"/>
        <v>1.9686695113558832</v>
      </c>
      <c r="J35" s="26">
        <f t="shared" si="11"/>
        <v>6.9798282675344945</v>
      </c>
      <c r="K35" s="29">
        <f t="shared" si="7"/>
        <v>16.562165367534494</v>
      </c>
    </row>
    <row r="36" spans="2:12" ht="15.6" x14ac:dyDescent="0.35">
      <c r="B36" s="8">
        <v>2035</v>
      </c>
      <c r="C36" s="24"/>
      <c r="D36" s="26">
        <f t="shared" si="12"/>
        <v>22.136653320101473</v>
      </c>
      <c r="E36" s="26">
        <f>(Input!$C$16+Input!$C$18)/1000000</f>
        <v>3.829421</v>
      </c>
      <c r="F36" s="26">
        <f t="shared" si="13"/>
        <v>18.307232320101473</v>
      </c>
      <c r="G36" s="27">
        <f t="shared" si="8"/>
        <v>9.5823371000000002</v>
      </c>
      <c r="H36" s="26">
        <f t="shared" si="9"/>
        <v>8.7248952201014731</v>
      </c>
      <c r="I36" s="26">
        <f t="shared" si="10"/>
        <v>1.9194769484223242</v>
      </c>
      <c r="J36" s="26">
        <f t="shared" si="11"/>
        <v>6.8054182716791489</v>
      </c>
      <c r="K36" s="29">
        <f t="shared" si="7"/>
        <v>16.387755371679148</v>
      </c>
    </row>
    <row r="37" spans="2:12" ht="15.6" x14ac:dyDescent="0.35">
      <c r="B37" s="8">
        <v>2036</v>
      </c>
      <c r="C37" s="24"/>
      <c r="D37" s="26">
        <f t="shared" si="12"/>
        <v>21.91528678690046</v>
      </c>
      <c r="E37" s="26">
        <f>(Input!$C$16+Input!$C$18)/1000000</f>
        <v>3.829421</v>
      </c>
      <c r="F37" s="26">
        <f t="shared" si="13"/>
        <v>18.08586578690046</v>
      </c>
      <c r="G37" s="27">
        <f t="shared" si="8"/>
        <v>9.5823371000000002</v>
      </c>
      <c r="H37" s="26">
        <f t="shared" si="9"/>
        <v>8.5035286869004594</v>
      </c>
      <c r="I37" s="26">
        <f t="shared" si="10"/>
        <v>1.8707763111181011</v>
      </c>
      <c r="J37" s="26">
        <f t="shared" si="11"/>
        <v>6.6327523757823581</v>
      </c>
      <c r="K37" s="29">
        <f t="shared" si="7"/>
        <v>16.215089475782356</v>
      </c>
    </row>
    <row r="38" spans="2:12" ht="15.6" x14ac:dyDescent="0.35">
      <c r="B38" s="8">
        <v>2037</v>
      </c>
      <c r="C38" s="24"/>
      <c r="D38" s="26">
        <f t="shared" si="12"/>
        <v>21.696133919031453</v>
      </c>
      <c r="E38" s="26">
        <f>(Input!$C$16+Input!$C$18)/1000000</f>
        <v>3.829421</v>
      </c>
      <c r="F38" s="26">
        <f t="shared" si="13"/>
        <v>17.866712919031453</v>
      </c>
      <c r="G38" s="27">
        <f t="shared" si="8"/>
        <v>9.5823371000000002</v>
      </c>
      <c r="H38" s="26">
        <f t="shared" si="9"/>
        <v>8.2843758190314531</v>
      </c>
      <c r="I38" s="26">
        <f t="shared" si="10"/>
        <v>1.8225626801869197</v>
      </c>
      <c r="J38" s="26">
        <f t="shared" si="11"/>
        <v>6.4618131388445335</v>
      </c>
      <c r="K38" s="29">
        <f t="shared" si="7"/>
        <v>16.044150238844534</v>
      </c>
    </row>
    <row r="39" spans="2:12" ht="15.6" x14ac:dyDescent="0.35">
      <c r="B39" s="8">
        <v>2038</v>
      </c>
      <c r="C39" s="24"/>
      <c r="D39" s="26">
        <f t="shared" si="12"/>
        <v>21.479172579841137</v>
      </c>
      <c r="E39" s="26">
        <f>(Input!$C$16+Input!$C$18)/1000000</f>
        <v>3.829421</v>
      </c>
      <c r="F39" s="26">
        <f t="shared" si="13"/>
        <v>17.649751579841137</v>
      </c>
      <c r="G39" s="27">
        <f t="shared" si="8"/>
        <v>9.5823371000000002</v>
      </c>
      <c r="H39" s="26">
        <f t="shared" si="9"/>
        <v>8.0674144798411369</v>
      </c>
      <c r="I39" s="26">
        <f t="shared" si="10"/>
        <v>1.77483118556505</v>
      </c>
      <c r="J39" s="26">
        <f t="shared" si="11"/>
        <v>6.2925832942760866</v>
      </c>
      <c r="K39" s="29">
        <f t="shared" si="7"/>
        <v>15.874920394276087</v>
      </c>
    </row>
    <row r="40" spans="2:12" ht="15.6" x14ac:dyDescent="0.35">
      <c r="B40" s="8">
        <v>2039</v>
      </c>
      <c r="C40" s="24"/>
      <c r="D40" s="26">
        <f t="shared" si="12"/>
        <v>21.264380854042724</v>
      </c>
      <c r="E40" s="26">
        <f>(Input!$C$16+Input!$C$18)/1000000</f>
        <v>3.829421</v>
      </c>
      <c r="F40" s="26">
        <f t="shared" si="13"/>
        <v>17.434959854042724</v>
      </c>
      <c r="G40" s="27">
        <f t="shared" si="8"/>
        <v>9.5823371000000002</v>
      </c>
      <c r="H40" s="26">
        <f t="shared" si="9"/>
        <v>7.8526227540427236</v>
      </c>
      <c r="I40" s="26">
        <f t="shared" si="10"/>
        <v>1.7275770058893991</v>
      </c>
      <c r="J40" s="26">
        <f t="shared" si="11"/>
        <v>6.1250457481533243</v>
      </c>
      <c r="K40" s="29">
        <f t="shared" si="7"/>
        <v>15.707382848153324</v>
      </c>
    </row>
    <row r="41" spans="2:12" ht="15.6" x14ac:dyDescent="0.35">
      <c r="B41" s="8">
        <v>2040</v>
      </c>
      <c r="C41" s="22"/>
      <c r="D41" s="26">
        <f t="shared" si="12"/>
        <v>21.051737045502296</v>
      </c>
      <c r="E41" s="26">
        <f>(Input!$C$16+Input!$C$18)/1000000</f>
        <v>3.829421</v>
      </c>
      <c r="F41" s="26">
        <f t="shared" si="13"/>
        <v>17.222316045502296</v>
      </c>
      <c r="G41" s="27">
        <f t="shared" si="8"/>
        <v>9.5823371000000002</v>
      </c>
      <c r="H41" s="26">
        <f t="shared" si="9"/>
        <v>7.6399789455022962</v>
      </c>
      <c r="I41" s="26">
        <f t="shared" si="10"/>
        <v>1.6807953680105052</v>
      </c>
      <c r="J41" s="26">
        <f t="shared" si="11"/>
        <v>5.9591835774917907</v>
      </c>
      <c r="K41" s="29">
        <f t="shared" si="7"/>
        <v>15.541520677491791</v>
      </c>
    </row>
    <row r="42" spans="2:12" ht="15.6" x14ac:dyDescent="0.35">
      <c r="B42" s="8">
        <v>2041</v>
      </c>
      <c r="C42" s="22"/>
      <c r="D42" s="26">
        <f t="shared" si="12"/>
        <v>20.841219675047274</v>
      </c>
      <c r="E42" s="26">
        <f>(Input!$C$16+Input!$C$18)/1000000</f>
        <v>3.829421</v>
      </c>
      <c r="F42" s="26">
        <f t="shared" si="13"/>
        <v>17.011798675047274</v>
      </c>
      <c r="G42" s="27">
        <f t="shared" si="8"/>
        <v>9.5823371000000002</v>
      </c>
      <c r="H42" s="26">
        <f t="shared" si="9"/>
        <v>7.4294615750472737</v>
      </c>
      <c r="I42" s="26">
        <f t="shared" si="10"/>
        <v>1.6344815465104001</v>
      </c>
      <c r="J42" s="26">
        <f t="shared" si="11"/>
        <v>5.7949800285368731</v>
      </c>
      <c r="K42" s="29">
        <f t="shared" si="7"/>
        <v>15.377317128536873</v>
      </c>
    </row>
    <row r="43" spans="2:12" ht="15.6" x14ac:dyDescent="0.35">
      <c r="B43" s="8">
        <v>2042</v>
      </c>
      <c r="C43" s="22"/>
      <c r="D43" s="26">
        <f t="shared" si="12"/>
        <v>20.632807478296801</v>
      </c>
      <c r="E43" s="26">
        <f>(Input!$C$16+Input!$C$18)/1000000</f>
        <v>3.829421</v>
      </c>
      <c r="F43" s="26">
        <f t="shared" si="13"/>
        <v>16.803386478296801</v>
      </c>
      <c r="G43" s="27">
        <f t="shared" si="8"/>
        <v>9.5823371000000002</v>
      </c>
      <c r="H43" s="26">
        <f t="shared" si="9"/>
        <v>7.2210493782968008</v>
      </c>
      <c r="I43" s="26">
        <f t="shared" si="10"/>
        <v>1.5886308632252961</v>
      </c>
      <c r="J43" s="26">
        <f t="shared" si="11"/>
        <v>5.6324185150715049</v>
      </c>
      <c r="K43" s="29">
        <f t="shared" si="7"/>
        <v>15.214755615071505</v>
      </c>
    </row>
    <row r="44" spans="2:12" ht="15.6" x14ac:dyDescent="0.35">
      <c r="B44" s="8">
        <v>2043</v>
      </c>
      <c r="C44" s="22"/>
      <c r="D44" s="26">
        <f t="shared" si="12"/>
        <v>20.426479403513834</v>
      </c>
      <c r="E44" s="26">
        <f>(Input!$C$16+Input!$C$18)/1000000</f>
        <v>3.829421</v>
      </c>
      <c r="F44" s="26">
        <f t="shared" si="13"/>
        <v>16.597058403513834</v>
      </c>
      <c r="G44" s="27">
        <f t="shared" si="8"/>
        <v>9.5823371000000002</v>
      </c>
      <c r="H44" s="26">
        <f t="shared" si="9"/>
        <v>7.0147213035138343</v>
      </c>
      <c r="I44" s="26">
        <f t="shared" si="10"/>
        <v>1.5432386867730437</v>
      </c>
      <c r="J44" s="26">
        <f t="shared" si="11"/>
        <v>5.4714826167407908</v>
      </c>
      <c r="K44" s="29">
        <f t="shared" si="7"/>
        <v>15.05381971674079</v>
      </c>
    </row>
    <row r="45" spans="2:12" ht="15.6" x14ac:dyDescent="0.35">
      <c r="B45" s="8">
        <v>2044</v>
      </c>
      <c r="C45" s="22"/>
      <c r="D45" s="26">
        <f t="shared" si="12"/>
        <v>20.222214609478694</v>
      </c>
      <c r="E45" s="26">
        <f>(Input!$C$16+Input!$C$18)/1000000</f>
        <v>3.829421</v>
      </c>
      <c r="F45" s="26">
        <f t="shared" si="13"/>
        <v>16.392793609478694</v>
      </c>
      <c r="G45" s="27">
        <f t="shared" si="8"/>
        <v>9.5823371000000002</v>
      </c>
      <c r="H45" s="26">
        <f t="shared" si="9"/>
        <v>6.8104565094786942</v>
      </c>
      <c r="I45" s="26">
        <f t="shared" si="10"/>
        <v>1.4983004320853128</v>
      </c>
      <c r="J45" s="26">
        <f t="shared" si="11"/>
        <v>5.3121560773933814</v>
      </c>
      <c r="K45" s="29">
        <f t="shared" si="7"/>
        <v>14.894493177393382</v>
      </c>
    </row>
    <row r="46" spans="2:12" ht="15.6" x14ac:dyDescent="0.35">
      <c r="B46" s="8">
        <v>2045</v>
      </c>
      <c r="C46" s="22"/>
      <c r="D46" s="26">
        <f t="shared" si="12"/>
        <v>20.019992463383907</v>
      </c>
      <c r="E46" s="26">
        <f>(Input!$C$16+Input!$C$18)/1000000</f>
        <v>3.829421</v>
      </c>
      <c r="F46" s="26">
        <f t="shared" si="13"/>
        <v>16.190571463383908</v>
      </c>
      <c r="G46" s="27">
        <f t="shared" si="8"/>
        <v>9.5823371000000002</v>
      </c>
      <c r="H46" s="26">
        <f t="shared" si="9"/>
        <v>6.6082343633839074</v>
      </c>
      <c r="I46" s="26">
        <f t="shared" si="10"/>
        <v>1.4538115599444597</v>
      </c>
      <c r="J46" s="26">
        <f t="shared" si="11"/>
        <v>5.1544228034394477</v>
      </c>
      <c r="K46" s="29">
        <f t="shared" si="7"/>
        <v>14.736759903439449</v>
      </c>
    </row>
    <row r="47" spans="2:12" ht="16.2" thickBot="1" x14ac:dyDescent="0.4">
      <c r="B47" s="10"/>
      <c r="C47" s="11"/>
      <c r="D47" s="12"/>
      <c r="E47" s="12"/>
      <c r="F47" s="12"/>
      <c r="G47" s="12"/>
      <c r="H47" s="12"/>
      <c r="I47" s="13"/>
      <c r="J47" s="56" t="s">
        <v>10</v>
      </c>
      <c r="K47" s="57">
        <f>IRR(K26:K46)</f>
        <v>5.9618131848736766E-2</v>
      </c>
    </row>
    <row r="48" spans="2:12" ht="16.2" thickBot="1" x14ac:dyDescent="0.4">
      <c r="B48" s="10"/>
      <c r="C48" s="11"/>
      <c r="D48" s="12"/>
      <c r="E48" s="12"/>
      <c r="F48" s="12"/>
      <c r="G48" s="12"/>
      <c r="H48" s="12"/>
      <c r="I48" s="86"/>
      <c r="J48" s="87"/>
      <c r="K48" s="88"/>
      <c r="L48" s="89"/>
    </row>
    <row r="49" spans="1:11" ht="52.8" thickBot="1" x14ac:dyDescent="0.35">
      <c r="A49" s="68" t="s">
        <v>62</v>
      </c>
      <c r="B49" s="1" t="s">
        <v>0</v>
      </c>
      <c r="C49" s="2" t="s">
        <v>1</v>
      </c>
      <c r="D49" s="3" t="s">
        <v>2</v>
      </c>
      <c r="E49" s="3" t="s">
        <v>3</v>
      </c>
      <c r="F49" s="4" t="s">
        <v>4</v>
      </c>
      <c r="G49" s="3" t="s">
        <v>5</v>
      </c>
      <c r="H49" s="3" t="s">
        <v>6</v>
      </c>
      <c r="I49" s="3" t="s">
        <v>7</v>
      </c>
      <c r="J49" s="3" t="s">
        <v>8</v>
      </c>
      <c r="K49" s="5" t="s">
        <v>9</v>
      </c>
    </row>
    <row r="50" spans="1:11" ht="15.6" x14ac:dyDescent="0.35">
      <c r="B50" s="6">
        <v>2025</v>
      </c>
      <c r="C50" s="23">
        <f>-(Input!$C$10+Input!$C$11)/1000000</f>
        <v>-141.97782839999999</v>
      </c>
      <c r="D50" s="25">
        <v>0</v>
      </c>
      <c r="E50" s="25">
        <v>0</v>
      </c>
      <c r="F50" s="25">
        <v>0</v>
      </c>
      <c r="G50" s="28">
        <v>0</v>
      </c>
      <c r="H50" s="25">
        <v>0</v>
      </c>
      <c r="I50" s="25">
        <f>IF(H50&gt;0,H50*0.22,0)</f>
        <v>0</v>
      </c>
      <c r="J50" s="25">
        <v>0</v>
      </c>
      <c r="K50" s="30">
        <f>J50+G50+C50</f>
        <v>-141.97782839999999</v>
      </c>
    </row>
    <row r="51" spans="1:11" ht="15.6" x14ac:dyDescent="0.35">
      <c r="B51" s="8">
        <v>2026</v>
      </c>
      <c r="C51" s="24"/>
      <c r="D51" s="26">
        <f>(Input!$C$20+Input!$C$21)*(Input!$C$27/1000000)</f>
        <v>17.9391648</v>
      </c>
      <c r="E51" s="26">
        <f>(Input!$C$16+Input!$C$17)/1000000</f>
        <v>2.7832826000000002</v>
      </c>
      <c r="F51" s="26">
        <f>D51-E51</f>
        <v>15.155882200000001</v>
      </c>
      <c r="G51" s="27">
        <f>-SUM($C$26:$C$46)/20</f>
        <v>9.5823371000000002</v>
      </c>
      <c r="H51" s="26">
        <f>F51-G51</f>
        <v>5.5735451000000005</v>
      </c>
      <c r="I51" s="26">
        <f>IF(H51&gt;0,H51*0.22,0)</f>
        <v>1.226179922</v>
      </c>
      <c r="J51" s="26">
        <f>H51-I51</f>
        <v>4.3473651780000004</v>
      </c>
      <c r="K51" s="29">
        <f t="shared" ref="K51:K70" si="14">J51+G51+C51</f>
        <v>13.929702278000001</v>
      </c>
    </row>
    <row r="52" spans="1:11" ht="15.6" x14ac:dyDescent="0.35">
      <c r="B52" s="8">
        <v>2027</v>
      </c>
      <c r="C52" s="24"/>
      <c r="D52" s="26">
        <f>D51*(1-0.01)</f>
        <v>17.759773152000001</v>
      </c>
      <c r="E52" s="26">
        <f>(Input!$C$16+Input!$C$17)/1000000</f>
        <v>2.7832826000000002</v>
      </c>
      <c r="F52" s="26">
        <f>D52-E52</f>
        <v>14.976490552000001</v>
      </c>
      <c r="G52" s="27">
        <f t="shared" ref="G52:G70" si="15">-SUM($C$26:$C$46)/20</f>
        <v>9.5823371000000002</v>
      </c>
      <c r="H52" s="26">
        <f t="shared" ref="H52:H70" si="16">F52-G52</f>
        <v>5.3941534520000012</v>
      </c>
      <c r="I52" s="26">
        <f t="shared" ref="I52:I70" si="17">IF(H52&gt;0,H52*0.22,0)</f>
        <v>1.1867137594400003</v>
      </c>
      <c r="J52" s="26">
        <f t="shared" ref="J52:J70" si="18">H52-I52</f>
        <v>4.2074396925600013</v>
      </c>
      <c r="K52" s="29">
        <f t="shared" si="14"/>
        <v>13.789776792560001</v>
      </c>
    </row>
    <row r="53" spans="1:11" ht="15.6" x14ac:dyDescent="0.35">
      <c r="B53" s="8">
        <v>2028</v>
      </c>
      <c r="C53" s="24"/>
      <c r="D53" s="26">
        <f t="shared" ref="D53:D70" si="19">D52*(1-0.01)</f>
        <v>17.582175420480002</v>
      </c>
      <c r="E53" s="26">
        <f>(Input!$C$16+Input!$C$17)/1000000</f>
        <v>2.7832826000000002</v>
      </c>
      <c r="F53" s="26">
        <f t="shared" ref="F53:F70" si="20">D53-E53</f>
        <v>14.798892820480003</v>
      </c>
      <c r="G53" s="27">
        <f t="shared" si="15"/>
        <v>9.5823371000000002</v>
      </c>
      <c r="H53" s="26">
        <f t="shared" si="16"/>
        <v>5.2165557204800024</v>
      </c>
      <c r="I53" s="26">
        <f t="shared" si="17"/>
        <v>1.1476422585056005</v>
      </c>
      <c r="J53" s="26">
        <f t="shared" si="18"/>
        <v>4.0689134619744021</v>
      </c>
      <c r="K53" s="29">
        <f t="shared" si="14"/>
        <v>13.651250561974402</v>
      </c>
    </row>
    <row r="54" spans="1:11" ht="15.6" x14ac:dyDescent="0.35">
      <c r="B54" s="8">
        <v>2029</v>
      </c>
      <c r="C54" s="24"/>
      <c r="D54" s="26">
        <f t="shared" si="19"/>
        <v>17.406353666275201</v>
      </c>
      <c r="E54" s="26">
        <f>(Input!$C$16+Input!$C$17)/1000000</f>
        <v>2.7832826000000002</v>
      </c>
      <c r="F54" s="26">
        <f t="shared" si="20"/>
        <v>14.623071066275202</v>
      </c>
      <c r="G54" s="27">
        <f t="shared" si="15"/>
        <v>9.5823371000000002</v>
      </c>
      <c r="H54" s="26">
        <f t="shared" si="16"/>
        <v>5.0407339662752015</v>
      </c>
      <c r="I54" s="26">
        <f t="shared" si="17"/>
        <v>1.1089614725805443</v>
      </c>
      <c r="J54" s="26">
        <f t="shared" si="18"/>
        <v>3.9317724936946572</v>
      </c>
      <c r="K54" s="29">
        <f t="shared" si="14"/>
        <v>13.514109593694657</v>
      </c>
    </row>
    <row r="55" spans="1:11" ht="15.6" x14ac:dyDescent="0.35">
      <c r="B55" s="8">
        <v>2030</v>
      </c>
      <c r="C55" s="24"/>
      <c r="D55" s="26">
        <f t="shared" si="19"/>
        <v>17.232290129612448</v>
      </c>
      <c r="E55" s="26">
        <f>(Input!$C$16+Input!$C$17)/1000000</f>
        <v>2.7832826000000002</v>
      </c>
      <c r="F55" s="26">
        <f t="shared" si="20"/>
        <v>14.449007529612448</v>
      </c>
      <c r="G55" s="27">
        <f t="shared" si="15"/>
        <v>9.5823371000000002</v>
      </c>
      <c r="H55" s="26">
        <f t="shared" si="16"/>
        <v>4.8666704296124479</v>
      </c>
      <c r="I55" s="26">
        <f t="shared" si="17"/>
        <v>1.0706674945147385</v>
      </c>
      <c r="J55" s="26">
        <f t="shared" si="18"/>
        <v>3.7960029350977091</v>
      </c>
      <c r="K55" s="29">
        <f t="shared" si="14"/>
        <v>13.378340035097709</v>
      </c>
    </row>
    <row r="56" spans="1:11" ht="15.6" x14ac:dyDescent="0.35">
      <c r="B56" s="8">
        <v>2031</v>
      </c>
      <c r="C56" s="24"/>
      <c r="D56" s="26">
        <f t="shared" si="19"/>
        <v>17.059967228316324</v>
      </c>
      <c r="E56" s="26">
        <f>(Input!$C$16+Input!$C$17)/1000000</f>
        <v>2.7832826000000002</v>
      </c>
      <c r="F56" s="26">
        <f t="shared" si="20"/>
        <v>14.276684628316325</v>
      </c>
      <c r="G56" s="27">
        <f t="shared" si="15"/>
        <v>9.5823371000000002</v>
      </c>
      <c r="H56" s="26">
        <f t="shared" si="16"/>
        <v>4.6943475283163245</v>
      </c>
      <c r="I56" s="26">
        <f t="shared" si="17"/>
        <v>1.0327564562295914</v>
      </c>
      <c r="J56" s="26">
        <f t="shared" si="18"/>
        <v>3.6615910720867331</v>
      </c>
      <c r="K56" s="29">
        <f t="shared" si="14"/>
        <v>13.243928172086733</v>
      </c>
    </row>
    <row r="57" spans="1:11" ht="15.6" x14ac:dyDescent="0.35">
      <c r="B57" s="8">
        <v>2032</v>
      </c>
      <c r="C57" s="24"/>
      <c r="D57" s="26">
        <f t="shared" si="19"/>
        <v>16.889367556033161</v>
      </c>
      <c r="E57" s="26">
        <f>(Input!$C$16+Input!$C$17)/1000000</f>
        <v>2.7832826000000002</v>
      </c>
      <c r="F57" s="26">
        <f t="shared" si="20"/>
        <v>14.106084956033161</v>
      </c>
      <c r="G57" s="27">
        <f t="shared" si="15"/>
        <v>9.5823371000000002</v>
      </c>
      <c r="H57" s="26">
        <f t="shared" si="16"/>
        <v>4.523747856033161</v>
      </c>
      <c r="I57" s="26">
        <f t="shared" si="17"/>
        <v>0.99522452832729547</v>
      </c>
      <c r="J57" s="26">
        <f t="shared" si="18"/>
        <v>3.5285233277058654</v>
      </c>
      <c r="K57" s="29">
        <f t="shared" si="14"/>
        <v>13.110860427705866</v>
      </c>
    </row>
    <row r="58" spans="1:11" ht="15.6" x14ac:dyDescent="0.35">
      <c r="B58" s="8">
        <v>2033</v>
      </c>
      <c r="C58" s="24"/>
      <c r="D58" s="26">
        <f t="shared" si="19"/>
        <v>16.720473880472831</v>
      </c>
      <c r="E58" s="26">
        <f>(Input!$C$16+Input!$C$17)/1000000</f>
        <v>2.7832826000000002</v>
      </c>
      <c r="F58" s="26">
        <f t="shared" si="20"/>
        <v>13.937191280472831</v>
      </c>
      <c r="G58" s="27">
        <f t="shared" si="15"/>
        <v>9.5823371000000002</v>
      </c>
      <c r="H58" s="26">
        <f t="shared" si="16"/>
        <v>4.3548541804728309</v>
      </c>
      <c r="I58" s="26">
        <f t="shared" si="17"/>
        <v>0.95806791970402283</v>
      </c>
      <c r="J58" s="26">
        <f t="shared" si="18"/>
        <v>3.396786260768808</v>
      </c>
      <c r="K58" s="29">
        <f t="shared" si="14"/>
        <v>12.979123360768808</v>
      </c>
    </row>
    <row r="59" spans="1:11" ht="15.6" x14ac:dyDescent="0.35">
      <c r="B59" s="8">
        <v>2034</v>
      </c>
      <c r="C59" s="24"/>
      <c r="D59" s="26">
        <f t="shared" si="19"/>
        <v>16.553269141668103</v>
      </c>
      <c r="E59" s="26">
        <f>(Input!$C$16+Input!$C$17)/1000000</f>
        <v>2.7832826000000002</v>
      </c>
      <c r="F59" s="26">
        <f t="shared" si="20"/>
        <v>13.769986541668104</v>
      </c>
      <c r="G59" s="27">
        <f t="shared" si="15"/>
        <v>9.5823371000000002</v>
      </c>
      <c r="H59" s="26">
        <f t="shared" si="16"/>
        <v>4.1876494416681034</v>
      </c>
      <c r="I59" s="26">
        <f t="shared" si="17"/>
        <v>0.92128287716698276</v>
      </c>
      <c r="J59" s="26">
        <f t="shared" si="18"/>
        <v>3.2663665645011206</v>
      </c>
      <c r="K59" s="29">
        <f t="shared" si="14"/>
        <v>12.848703664501121</v>
      </c>
    </row>
    <row r="60" spans="1:11" ht="15.6" x14ac:dyDescent="0.35">
      <c r="B60" s="8">
        <v>2035</v>
      </c>
      <c r="C60" s="24"/>
      <c r="D60" s="26">
        <f t="shared" si="19"/>
        <v>16.38773645025142</v>
      </c>
      <c r="E60" s="26">
        <f>(Input!$C$16+Input!$C$17)/1000000</f>
        <v>2.7832826000000002</v>
      </c>
      <c r="F60" s="26">
        <f t="shared" si="20"/>
        <v>13.604453850251421</v>
      </c>
      <c r="G60" s="27">
        <f t="shared" si="15"/>
        <v>9.5823371000000002</v>
      </c>
      <c r="H60" s="26">
        <f t="shared" si="16"/>
        <v>4.0221167502514206</v>
      </c>
      <c r="I60" s="26">
        <f t="shared" si="17"/>
        <v>0.88486568505531249</v>
      </c>
      <c r="J60" s="26">
        <f t="shared" si="18"/>
        <v>3.1372510651961081</v>
      </c>
      <c r="K60" s="29">
        <f t="shared" si="14"/>
        <v>12.719588165196107</v>
      </c>
    </row>
    <row r="61" spans="1:11" ht="15.6" x14ac:dyDescent="0.35">
      <c r="B61" s="8">
        <v>2036</v>
      </c>
      <c r="C61" s="24"/>
      <c r="D61" s="26">
        <f t="shared" si="19"/>
        <v>16.223859085748906</v>
      </c>
      <c r="E61" s="26">
        <f>(Input!$C$16+Input!$C$17)/1000000</f>
        <v>2.7832826000000002</v>
      </c>
      <c r="F61" s="26">
        <f t="shared" si="20"/>
        <v>13.440576485748906</v>
      </c>
      <c r="G61" s="27">
        <f t="shared" si="15"/>
        <v>9.5823371000000002</v>
      </c>
      <c r="H61" s="26">
        <f t="shared" si="16"/>
        <v>3.8582393857489059</v>
      </c>
      <c r="I61" s="26">
        <f t="shared" si="17"/>
        <v>0.84881266486475926</v>
      </c>
      <c r="J61" s="26">
        <f t="shared" si="18"/>
        <v>3.0094267208841465</v>
      </c>
      <c r="K61" s="29">
        <f t="shared" si="14"/>
        <v>12.591763820884147</v>
      </c>
    </row>
    <row r="62" spans="1:11" ht="15.6" x14ac:dyDescent="0.35">
      <c r="B62" s="8">
        <v>2037</v>
      </c>
      <c r="C62" s="24"/>
      <c r="D62" s="26">
        <f t="shared" si="19"/>
        <v>16.061620494891418</v>
      </c>
      <c r="E62" s="26">
        <f>(Input!$C$16+Input!$C$17)/1000000</f>
        <v>2.7832826000000002</v>
      </c>
      <c r="F62" s="26">
        <f t="shared" si="20"/>
        <v>13.278337894891418</v>
      </c>
      <c r="G62" s="27">
        <f t="shared" si="15"/>
        <v>9.5823371000000002</v>
      </c>
      <c r="H62" s="26">
        <f t="shared" si="16"/>
        <v>3.6960007948914182</v>
      </c>
      <c r="I62" s="26">
        <f t="shared" si="17"/>
        <v>0.81312017487611199</v>
      </c>
      <c r="J62" s="26">
        <f t="shared" si="18"/>
        <v>2.8828806200153063</v>
      </c>
      <c r="K62" s="29">
        <f t="shared" si="14"/>
        <v>12.465217720015307</v>
      </c>
    </row>
    <row r="63" spans="1:11" ht="15.6" x14ac:dyDescent="0.35">
      <c r="B63" s="8">
        <v>2038</v>
      </c>
      <c r="C63" s="24"/>
      <c r="D63" s="26">
        <f t="shared" si="19"/>
        <v>15.901004289942504</v>
      </c>
      <c r="E63" s="26">
        <f>(Input!$C$16+Input!$C$17)/1000000</f>
        <v>2.7832826000000002</v>
      </c>
      <c r="F63" s="26">
        <f t="shared" si="20"/>
        <v>13.117721689942504</v>
      </c>
      <c r="G63" s="27">
        <f t="shared" si="15"/>
        <v>9.5823371000000002</v>
      </c>
      <c r="H63" s="26">
        <f t="shared" si="16"/>
        <v>3.5353845899425043</v>
      </c>
      <c r="I63" s="26">
        <f t="shared" si="17"/>
        <v>0.77778460978735098</v>
      </c>
      <c r="J63" s="26">
        <f t="shared" si="18"/>
        <v>2.7575999801551534</v>
      </c>
      <c r="K63" s="29">
        <f t="shared" si="14"/>
        <v>12.339937080155153</v>
      </c>
    </row>
    <row r="64" spans="1:11" ht="15.6" x14ac:dyDescent="0.35">
      <c r="B64" s="8">
        <v>2039</v>
      </c>
      <c r="C64" s="24"/>
      <c r="D64" s="26">
        <f t="shared" si="19"/>
        <v>15.741994247043079</v>
      </c>
      <c r="E64" s="26">
        <f>(Input!$C$16+Input!$C$17)/1000000</f>
        <v>2.7832826000000002</v>
      </c>
      <c r="F64" s="26">
        <f t="shared" si="20"/>
        <v>12.95871164704308</v>
      </c>
      <c r="G64" s="27">
        <f t="shared" si="15"/>
        <v>9.5823371000000002</v>
      </c>
      <c r="H64" s="26">
        <f t="shared" si="16"/>
        <v>3.3763745470430795</v>
      </c>
      <c r="I64" s="26">
        <f t="shared" si="17"/>
        <v>0.74280240034947753</v>
      </c>
      <c r="J64" s="26">
        <f t="shared" si="18"/>
        <v>2.6335721466936022</v>
      </c>
      <c r="K64" s="29">
        <f t="shared" si="14"/>
        <v>12.215909246693602</v>
      </c>
    </row>
    <row r="65" spans="1:11" ht="15.6" x14ac:dyDescent="0.35">
      <c r="B65" s="8">
        <v>2040</v>
      </c>
      <c r="C65" s="22"/>
      <c r="D65" s="26">
        <f t="shared" si="19"/>
        <v>15.584574304572648</v>
      </c>
      <c r="E65" s="26">
        <f>(Input!$C$16+Input!$C$17)/1000000</f>
        <v>2.7832826000000002</v>
      </c>
      <c r="F65" s="26">
        <f t="shared" si="20"/>
        <v>12.801291704572648</v>
      </c>
      <c r="G65" s="27">
        <f t="shared" si="15"/>
        <v>9.5823371000000002</v>
      </c>
      <c r="H65" s="26">
        <f t="shared" si="16"/>
        <v>3.218954604572648</v>
      </c>
      <c r="I65" s="26">
        <f t="shared" si="17"/>
        <v>0.70817001300598259</v>
      </c>
      <c r="J65" s="26">
        <f t="shared" si="18"/>
        <v>2.5107845915666656</v>
      </c>
      <c r="K65" s="29">
        <f t="shared" si="14"/>
        <v>12.093121691566665</v>
      </c>
    </row>
    <row r="66" spans="1:11" ht="15.6" x14ac:dyDescent="0.35">
      <c r="B66" s="8">
        <v>2041</v>
      </c>
      <c r="C66" s="22"/>
      <c r="D66" s="26">
        <f t="shared" si="19"/>
        <v>15.428728561526921</v>
      </c>
      <c r="E66" s="26">
        <f>(Input!$C$16+Input!$C$17)/1000000</f>
        <v>2.7832826000000002</v>
      </c>
      <c r="F66" s="26">
        <f t="shared" si="20"/>
        <v>12.645445961526921</v>
      </c>
      <c r="G66" s="27">
        <f t="shared" si="15"/>
        <v>9.5823371000000002</v>
      </c>
      <c r="H66" s="26">
        <f t="shared" si="16"/>
        <v>3.0631088615269206</v>
      </c>
      <c r="I66" s="26">
        <f t="shared" si="17"/>
        <v>0.67388394953592257</v>
      </c>
      <c r="J66" s="26">
        <f t="shared" si="18"/>
        <v>2.3892249119909978</v>
      </c>
      <c r="K66" s="29">
        <f t="shared" si="14"/>
        <v>11.971562011990997</v>
      </c>
    </row>
    <row r="67" spans="1:11" ht="15.6" x14ac:dyDescent="0.35">
      <c r="B67" s="8">
        <v>2042</v>
      </c>
      <c r="C67" s="22"/>
      <c r="D67" s="26">
        <f t="shared" si="19"/>
        <v>15.27444127591165</v>
      </c>
      <c r="E67" s="26">
        <f>(Input!$C$16+Input!$C$17)/1000000</f>
        <v>2.7832826000000002</v>
      </c>
      <c r="F67" s="26">
        <f t="shared" si="20"/>
        <v>12.491158675911651</v>
      </c>
      <c r="G67" s="27">
        <f t="shared" si="15"/>
        <v>9.5823371000000002</v>
      </c>
      <c r="H67" s="26">
        <f t="shared" si="16"/>
        <v>2.9088215759116505</v>
      </c>
      <c r="I67" s="26">
        <f t="shared" si="17"/>
        <v>0.63994074670056311</v>
      </c>
      <c r="J67" s="26">
        <f t="shared" si="18"/>
        <v>2.2688808292110876</v>
      </c>
      <c r="K67" s="29">
        <f t="shared" si="14"/>
        <v>11.851217929211089</v>
      </c>
    </row>
    <row r="68" spans="1:11" ht="15.6" x14ac:dyDescent="0.35">
      <c r="B68" s="8">
        <v>2043</v>
      </c>
      <c r="C68" s="22"/>
      <c r="D68" s="26">
        <f t="shared" si="19"/>
        <v>15.121696863152534</v>
      </c>
      <c r="E68" s="26">
        <f>(Input!$C$16+Input!$C$17)/1000000</f>
        <v>2.7832826000000002</v>
      </c>
      <c r="F68" s="26">
        <f t="shared" si="20"/>
        <v>12.338414263152535</v>
      </c>
      <c r="G68" s="27">
        <f t="shared" si="15"/>
        <v>9.5823371000000002</v>
      </c>
      <c r="H68" s="26">
        <f t="shared" si="16"/>
        <v>2.7560771631525345</v>
      </c>
      <c r="I68" s="26">
        <f t="shared" si="17"/>
        <v>0.60633697589355762</v>
      </c>
      <c r="J68" s="26">
        <f t="shared" si="18"/>
        <v>2.1497401872589768</v>
      </c>
      <c r="K68" s="29">
        <f t="shared" si="14"/>
        <v>11.732077287258978</v>
      </c>
    </row>
    <row r="69" spans="1:11" ht="15.6" x14ac:dyDescent="0.35">
      <c r="B69" s="8">
        <v>2044</v>
      </c>
      <c r="C69" s="22"/>
      <c r="D69" s="26">
        <f t="shared" si="19"/>
        <v>14.970479894521009</v>
      </c>
      <c r="E69" s="26">
        <f>(Input!$C$16+Input!$C$17)/1000000</f>
        <v>2.7832826000000002</v>
      </c>
      <c r="F69" s="26">
        <f t="shared" si="20"/>
        <v>12.18719729452101</v>
      </c>
      <c r="G69" s="27">
        <f t="shared" si="15"/>
        <v>9.5823371000000002</v>
      </c>
      <c r="H69" s="26">
        <f t="shared" si="16"/>
        <v>2.6048601945210095</v>
      </c>
      <c r="I69" s="26">
        <f t="shared" si="17"/>
        <v>0.57306924279462212</v>
      </c>
      <c r="J69" s="26">
        <f t="shared" si="18"/>
        <v>2.0317909517263875</v>
      </c>
      <c r="K69" s="29">
        <f t="shared" si="14"/>
        <v>11.614128051726388</v>
      </c>
    </row>
    <row r="70" spans="1:11" ht="15.6" x14ac:dyDescent="0.35">
      <c r="B70" s="8">
        <v>2045</v>
      </c>
      <c r="C70" s="22"/>
      <c r="D70" s="26">
        <f t="shared" si="19"/>
        <v>14.820775095575799</v>
      </c>
      <c r="E70" s="26">
        <f>(Input!$C$16+Input!$C$17)/1000000</f>
        <v>2.7832826000000002</v>
      </c>
      <c r="F70" s="26">
        <f t="shared" si="20"/>
        <v>12.037492495575799</v>
      </c>
      <c r="G70" s="27">
        <f t="shared" si="15"/>
        <v>9.5823371000000002</v>
      </c>
      <c r="H70" s="26">
        <f t="shared" si="16"/>
        <v>2.4551553955757992</v>
      </c>
      <c r="I70" s="26">
        <f t="shared" si="17"/>
        <v>0.54013418702667582</v>
      </c>
      <c r="J70" s="26">
        <f t="shared" si="18"/>
        <v>1.9150212085491234</v>
      </c>
      <c r="K70" s="29">
        <f t="shared" si="14"/>
        <v>11.497358308549124</v>
      </c>
    </row>
    <row r="71" spans="1:11" ht="16.2" thickBot="1" x14ac:dyDescent="0.4">
      <c r="B71" s="10"/>
      <c r="C71" s="11"/>
      <c r="D71" s="12"/>
      <c r="E71" s="12"/>
      <c r="F71" s="12"/>
      <c r="G71" s="12"/>
      <c r="H71" s="12"/>
      <c r="I71" s="13"/>
      <c r="J71" s="56" t="s">
        <v>10</v>
      </c>
      <c r="K71" s="57">
        <f>IRR(K50:K70)</f>
        <v>6.5543365714973989E-2</v>
      </c>
    </row>
    <row r="73" spans="1:11" ht="15" thickBot="1" x14ac:dyDescent="0.35"/>
    <row r="74" spans="1:11" ht="52.8" thickBot="1" x14ac:dyDescent="0.35">
      <c r="A74" s="68" t="s">
        <v>54</v>
      </c>
      <c r="B74" s="1" t="s">
        <v>0</v>
      </c>
      <c r="C74" s="2" t="s">
        <v>1</v>
      </c>
      <c r="D74" s="3" t="s">
        <v>2</v>
      </c>
      <c r="E74" s="3" t="s">
        <v>3</v>
      </c>
      <c r="F74" s="4" t="s">
        <v>4</v>
      </c>
      <c r="G74" s="3" t="s">
        <v>5</v>
      </c>
      <c r="H74" s="3" t="s">
        <v>6</v>
      </c>
      <c r="I74" s="3" t="s">
        <v>7</v>
      </c>
      <c r="J74" s="3" t="s">
        <v>8</v>
      </c>
      <c r="K74" s="5" t="s">
        <v>9</v>
      </c>
    </row>
    <row r="75" spans="1:11" ht="15.6" x14ac:dyDescent="0.35">
      <c r="B75" s="6">
        <v>2025</v>
      </c>
      <c r="C75" s="23">
        <f>-SUM(Input!C10,Input!C12)/1000000</f>
        <v>-191.64674199999999</v>
      </c>
      <c r="D75" s="25">
        <v>0</v>
      </c>
      <c r="E75" s="25">
        <v>0</v>
      </c>
      <c r="F75" s="25">
        <v>0</v>
      </c>
      <c r="G75" s="28">
        <v>0</v>
      </c>
      <c r="H75" s="25">
        <v>0</v>
      </c>
      <c r="I75" s="25">
        <f>IF(H75&gt;0,H75*0.22,0)</f>
        <v>0</v>
      </c>
      <c r="J75" s="25">
        <v>0</v>
      </c>
      <c r="K75" s="30">
        <f>J75+G75+C75</f>
        <v>-191.64674199999999</v>
      </c>
    </row>
    <row r="76" spans="1:11" ht="15.6" x14ac:dyDescent="0.35">
      <c r="B76" s="8">
        <v>2026</v>
      </c>
      <c r="C76" s="24"/>
      <c r="D76" s="26">
        <f>Input!C36/1000000</f>
        <v>21.73921532</v>
      </c>
      <c r="E76" s="26">
        <f>(Input!$C$16+Input!$C$18)/1000000</f>
        <v>3.829421</v>
      </c>
      <c r="F76" s="26">
        <f>D76-E76</f>
        <v>17.90979432</v>
      </c>
      <c r="G76" s="27">
        <f>-SUM($C$26:$C$46)/20</f>
        <v>9.5823371000000002</v>
      </c>
      <c r="H76" s="26">
        <f>F76-G76</f>
        <v>8.3274572199999994</v>
      </c>
      <c r="I76" s="26">
        <f>IF(H76&gt;0,H76*0.22,0)</f>
        <v>1.8320405883999999</v>
      </c>
      <c r="J76" s="26">
        <f>H76-I76</f>
        <v>6.4954166315999995</v>
      </c>
      <c r="K76" s="29">
        <f t="shared" ref="K76:K95" si="21">J76+G76+C76</f>
        <v>16.077753731599998</v>
      </c>
    </row>
    <row r="77" spans="1:11" ht="15.6" x14ac:dyDescent="0.35">
      <c r="B77" s="8">
        <v>2027</v>
      </c>
      <c r="C77" s="24"/>
      <c r="D77" s="26">
        <f>(Input!C37/1000000)*(1-Input!D37)</f>
        <v>19.187064250199999</v>
      </c>
      <c r="E77" s="26">
        <f>(Input!$C$16+Input!$C$18)/1000000</f>
        <v>3.829421</v>
      </c>
      <c r="F77" s="26">
        <f>D77-E77</f>
        <v>15.357643250199999</v>
      </c>
      <c r="G77" s="27">
        <f t="shared" ref="G77:G95" si="22">-SUM($C$26:$C$46)/20</f>
        <v>9.5823371000000002</v>
      </c>
      <c r="H77" s="26">
        <f t="shared" ref="H77:H95" si="23">F77-G77</f>
        <v>5.7753061501999987</v>
      </c>
      <c r="I77" s="26">
        <f t="shared" ref="I77:I95" si="24">IF(H77&gt;0,H77*0.22,0)</f>
        <v>1.2705673530439998</v>
      </c>
      <c r="J77" s="26">
        <f t="shared" ref="J77:J95" si="25">H77-I77</f>
        <v>4.5047387971559987</v>
      </c>
      <c r="K77" s="29">
        <f t="shared" si="21"/>
        <v>14.087075897155998</v>
      </c>
    </row>
    <row r="78" spans="1:11" ht="15.6" x14ac:dyDescent="0.35">
      <c r="B78" s="8">
        <v>2028</v>
      </c>
      <c r="C78" s="24"/>
      <c r="D78" s="26">
        <f>(Input!C38/1000000)*(1-Input!D38)</f>
        <v>17.877005310449999</v>
      </c>
      <c r="E78" s="26">
        <f>(Input!$C$16+Input!$C$18)/1000000</f>
        <v>3.829421</v>
      </c>
      <c r="F78" s="26">
        <f t="shared" ref="F78:F95" si="26">D78-E78</f>
        <v>14.047584310449999</v>
      </c>
      <c r="G78" s="27">
        <f t="shared" si="22"/>
        <v>9.5823371000000002</v>
      </c>
      <c r="H78" s="26">
        <f t="shared" si="23"/>
        <v>4.4652472104499985</v>
      </c>
      <c r="I78" s="26">
        <f t="shared" si="24"/>
        <v>0.98235438629899963</v>
      </c>
      <c r="J78" s="26">
        <f t="shared" si="25"/>
        <v>3.4828928241509987</v>
      </c>
      <c r="K78" s="29">
        <f t="shared" si="21"/>
        <v>13.065229924150998</v>
      </c>
    </row>
    <row r="79" spans="1:11" ht="15.6" x14ac:dyDescent="0.35">
      <c r="B79" s="8">
        <v>2029</v>
      </c>
      <c r="C79" s="24"/>
      <c r="D79" s="26">
        <f>(Input!C39/1000000)*(1-Input!D39)</f>
        <v>17.026242944199996</v>
      </c>
      <c r="E79" s="26">
        <f>(Input!$C$16+Input!$C$18)/1000000</f>
        <v>3.829421</v>
      </c>
      <c r="F79" s="26">
        <f t="shared" si="26"/>
        <v>13.196821944199996</v>
      </c>
      <c r="G79" s="27">
        <f t="shared" si="22"/>
        <v>9.5823371000000002</v>
      </c>
      <c r="H79" s="26">
        <f t="shared" si="23"/>
        <v>3.6144848441999962</v>
      </c>
      <c r="I79" s="26">
        <f t="shared" si="24"/>
        <v>0.79518666572399921</v>
      </c>
      <c r="J79" s="26">
        <f t="shared" si="25"/>
        <v>2.819298178475997</v>
      </c>
      <c r="K79" s="29">
        <f t="shared" si="21"/>
        <v>12.401635278475997</v>
      </c>
    </row>
    <row r="80" spans="1:11" ht="15.6" x14ac:dyDescent="0.35">
      <c r="B80" s="8">
        <v>2030</v>
      </c>
      <c r="C80" s="24"/>
      <c r="D80" s="26">
        <f>(Input!C40/1000000)*(1-Input!D40)</f>
        <v>16.020923392500002</v>
      </c>
      <c r="E80" s="26">
        <f>(Input!$C$16+Input!$C$18)/1000000</f>
        <v>3.829421</v>
      </c>
      <c r="F80" s="26">
        <f t="shared" si="26"/>
        <v>12.191502392500002</v>
      </c>
      <c r="G80" s="27">
        <f t="shared" si="22"/>
        <v>9.5823371000000002</v>
      </c>
      <c r="H80" s="26">
        <f t="shared" si="23"/>
        <v>2.609165292500002</v>
      </c>
      <c r="I80" s="26">
        <f t="shared" si="24"/>
        <v>0.57401636435000047</v>
      </c>
      <c r="J80" s="26">
        <f t="shared" si="25"/>
        <v>2.0351489281500017</v>
      </c>
      <c r="K80" s="29">
        <f t="shared" si="21"/>
        <v>11.617486028150001</v>
      </c>
    </row>
    <row r="81" spans="2:11" ht="15.6" x14ac:dyDescent="0.35">
      <c r="B81" s="8">
        <v>2031</v>
      </c>
      <c r="C81" s="24"/>
      <c r="D81" s="26">
        <f>(Input!C41/1000000)*(1-Input!D41)</f>
        <v>14.621248275099999</v>
      </c>
      <c r="E81" s="26">
        <f>(Input!$C$16+Input!$C$18)/1000000</f>
        <v>3.829421</v>
      </c>
      <c r="F81" s="26">
        <f t="shared" si="26"/>
        <v>10.791827275099999</v>
      </c>
      <c r="G81" s="27">
        <f t="shared" si="22"/>
        <v>9.5823371000000002</v>
      </c>
      <c r="H81" s="26">
        <f t="shared" si="23"/>
        <v>1.2094901750999991</v>
      </c>
      <c r="I81" s="26">
        <f t="shared" si="24"/>
        <v>0.2660878385219998</v>
      </c>
      <c r="J81" s="26">
        <f t="shared" si="25"/>
        <v>0.94340233657799932</v>
      </c>
      <c r="K81" s="29">
        <f t="shared" si="21"/>
        <v>10.525739436578</v>
      </c>
    </row>
    <row r="82" spans="2:11" ht="15.6" x14ac:dyDescent="0.35">
      <c r="B82" s="8">
        <v>2032</v>
      </c>
      <c r="C82" s="24"/>
      <c r="D82" s="26">
        <f>(Input!C42/1000000)*(1-Input!D42)</f>
        <v>14.384048450849999</v>
      </c>
      <c r="E82" s="26">
        <f>(Input!$C$16+Input!$C$18)/1000000</f>
        <v>3.829421</v>
      </c>
      <c r="F82" s="26">
        <f t="shared" si="26"/>
        <v>10.554627450849999</v>
      </c>
      <c r="G82" s="27">
        <f t="shared" si="22"/>
        <v>9.5823371000000002</v>
      </c>
      <c r="H82" s="26">
        <f t="shared" si="23"/>
        <v>0.97229035084999893</v>
      </c>
      <c r="I82" s="26">
        <f t="shared" si="24"/>
        <v>0.21390387718699977</v>
      </c>
      <c r="J82" s="26">
        <f t="shared" si="25"/>
        <v>0.75838647366299916</v>
      </c>
      <c r="K82" s="29">
        <f t="shared" si="21"/>
        <v>10.340723573662999</v>
      </c>
    </row>
    <row r="83" spans="2:11" ht="15.6" x14ac:dyDescent="0.35">
      <c r="B83" s="8">
        <v>2033</v>
      </c>
      <c r="C83" s="24"/>
      <c r="D83" s="26">
        <f>(Input!C43/1000000)*(1-Input!D43)</f>
        <v>14.121181987199998</v>
      </c>
      <c r="E83" s="26">
        <f>(Input!$C$16+Input!$C$18)/1000000</f>
        <v>3.829421</v>
      </c>
      <c r="F83" s="26">
        <f t="shared" si="26"/>
        <v>10.291760987199998</v>
      </c>
      <c r="G83" s="27">
        <f t="shared" si="22"/>
        <v>9.5823371000000002</v>
      </c>
      <c r="H83" s="26">
        <f t="shared" si="23"/>
        <v>0.70942388719999805</v>
      </c>
      <c r="I83" s="26">
        <f t="shared" si="24"/>
        <v>0.15607325518399956</v>
      </c>
      <c r="J83" s="26">
        <f t="shared" si="25"/>
        <v>0.55335063201599843</v>
      </c>
      <c r="K83" s="29">
        <f t="shared" si="21"/>
        <v>10.135687732015999</v>
      </c>
    </row>
    <row r="84" spans="2:11" ht="15.6" x14ac:dyDescent="0.35">
      <c r="B84" s="8">
        <v>2034</v>
      </c>
      <c r="C84" s="24"/>
      <c r="D84" s="26">
        <f>(Input!C44/1000000)*(1-Input!D44)</f>
        <v>13.80343310075</v>
      </c>
      <c r="E84" s="26">
        <f>(Input!$C$16+Input!$C$18)/1000000</f>
        <v>3.829421</v>
      </c>
      <c r="F84" s="26">
        <f t="shared" si="26"/>
        <v>9.9740121007500004</v>
      </c>
      <c r="G84" s="27">
        <f t="shared" si="22"/>
        <v>9.5823371000000002</v>
      </c>
      <c r="H84" s="26">
        <f t="shared" si="23"/>
        <v>0.39167500075000028</v>
      </c>
      <c r="I84" s="26">
        <f t="shared" si="24"/>
        <v>8.6168500165000064E-2</v>
      </c>
      <c r="J84" s="26">
        <f t="shared" si="25"/>
        <v>0.30550650058500023</v>
      </c>
      <c r="K84" s="29">
        <f t="shared" si="21"/>
        <v>9.8878436005850006</v>
      </c>
    </row>
    <row r="85" spans="2:11" ht="15.6" x14ac:dyDescent="0.35">
      <c r="B85" s="8">
        <v>2035</v>
      </c>
      <c r="C85" s="24"/>
      <c r="D85" s="26">
        <f>(Input!C45/1000000)*(1-Input!D45)</f>
        <v>13.704338772</v>
      </c>
      <c r="E85" s="26">
        <f>(Input!$C$16+Input!$C$18)/1000000</f>
        <v>3.829421</v>
      </c>
      <c r="F85" s="26">
        <f t="shared" si="26"/>
        <v>9.8749177719999999</v>
      </c>
      <c r="G85" s="27">
        <f t="shared" si="22"/>
        <v>9.5823371000000002</v>
      </c>
      <c r="H85" s="26">
        <f t="shared" si="23"/>
        <v>0.29258067199999971</v>
      </c>
      <c r="I85" s="26">
        <f t="shared" si="24"/>
        <v>6.4367747839999934E-2</v>
      </c>
      <c r="J85" s="26">
        <f t="shared" si="25"/>
        <v>0.22821292415999977</v>
      </c>
      <c r="K85" s="29">
        <f t="shared" si="21"/>
        <v>9.8105500241599994</v>
      </c>
    </row>
    <row r="86" spans="2:11" ht="15.6" x14ac:dyDescent="0.35">
      <c r="B86" s="8">
        <v>2036</v>
      </c>
      <c r="C86" s="24"/>
      <c r="D86" s="26">
        <f>(Input!C46/1000000)*(1-Input!D46)</f>
        <v>13.141919734649999</v>
      </c>
      <c r="E86" s="26">
        <f>(Input!$C$16+Input!$C$18)/1000000</f>
        <v>3.829421</v>
      </c>
      <c r="F86" s="26">
        <f t="shared" si="26"/>
        <v>9.3124987346499992</v>
      </c>
      <c r="G86" s="27">
        <f t="shared" si="22"/>
        <v>9.5823371000000002</v>
      </c>
      <c r="H86" s="26">
        <f t="shared" si="23"/>
        <v>-0.26983836535000094</v>
      </c>
      <c r="I86" s="26">
        <f t="shared" si="24"/>
        <v>0</v>
      </c>
      <c r="J86" s="26">
        <f t="shared" si="25"/>
        <v>-0.26983836535000094</v>
      </c>
      <c r="K86" s="29">
        <f t="shared" si="21"/>
        <v>9.3124987346499992</v>
      </c>
    </row>
    <row r="87" spans="2:11" ht="15.6" x14ac:dyDescent="0.35">
      <c r="B87" s="8">
        <v>2037</v>
      </c>
      <c r="C87" s="24"/>
      <c r="D87" s="26">
        <f>(Input!C47/1000000)*(1-Input!D47)</f>
        <v>12.730558311600001</v>
      </c>
      <c r="E87" s="26">
        <f>(Input!$C$16+Input!$C$18)/1000000</f>
        <v>3.829421</v>
      </c>
      <c r="F87" s="26">
        <f t="shared" si="26"/>
        <v>8.9011373116000012</v>
      </c>
      <c r="G87" s="27">
        <f t="shared" si="22"/>
        <v>9.5823371000000002</v>
      </c>
      <c r="H87" s="26">
        <f t="shared" si="23"/>
        <v>-0.68119978839999895</v>
      </c>
      <c r="I87" s="26">
        <f t="shared" si="24"/>
        <v>0</v>
      </c>
      <c r="J87" s="26">
        <f t="shared" si="25"/>
        <v>-0.68119978839999895</v>
      </c>
      <c r="K87" s="29">
        <f t="shared" si="21"/>
        <v>8.9011373116000012</v>
      </c>
    </row>
    <row r="88" spans="2:11" ht="15.6" x14ac:dyDescent="0.35">
      <c r="B88" s="8">
        <v>2038</v>
      </c>
      <c r="C88" s="24"/>
      <c r="D88" s="26">
        <f>(Input!C48/1000000)*(1-Input!D48)</f>
        <v>12.361584893350001</v>
      </c>
      <c r="E88" s="26">
        <f>(Input!$C$16+Input!$C$18)/1000000</f>
        <v>3.829421</v>
      </c>
      <c r="F88" s="26">
        <f t="shared" si="26"/>
        <v>8.5321638933500008</v>
      </c>
      <c r="G88" s="27">
        <f t="shared" si="22"/>
        <v>9.5823371000000002</v>
      </c>
      <c r="H88" s="26">
        <f t="shared" si="23"/>
        <v>-1.0501732066499994</v>
      </c>
      <c r="I88" s="26">
        <f t="shared" si="24"/>
        <v>0</v>
      </c>
      <c r="J88" s="26">
        <f t="shared" si="25"/>
        <v>-1.0501732066499994</v>
      </c>
      <c r="K88" s="29">
        <f t="shared" si="21"/>
        <v>8.5321638933500008</v>
      </c>
    </row>
    <row r="89" spans="2:11" ht="15.6" x14ac:dyDescent="0.35">
      <c r="B89" s="8">
        <v>2039</v>
      </c>
      <c r="C89" s="24"/>
      <c r="D89" s="26">
        <f>(Input!C49/1000000)*(1-Input!D49)</f>
        <v>12.130822536</v>
      </c>
      <c r="E89" s="26">
        <f>(Input!$C$16+Input!$C$18)/1000000</f>
        <v>3.829421</v>
      </c>
      <c r="F89" s="26">
        <f t="shared" si="26"/>
        <v>8.3014015360000002</v>
      </c>
      <c r="G89" s="27">
        <f t="shared" si="22"/>
        <v>9.5823371000000002</v>
      </c>
      <c r="H89" s="26">
        <f t="shared" si="23"/>
        <v>-1.280935564</v>
      </c>
      <c r="I89" s="26">
        <f t="shared" si="24"/>
        <v>0</v>
      </c>
      <c r="J89" s="26">
        <f t="shared" si="25"/>
        <v>-1.280935564</v>
      </c>
      <c r="K89" s="29">
        <f t="shared" si="21"/>
        <v>8.3014015360000002</v>
      </c>
    </row>
    <row r="90" spans="2:11" ht="15.6" x14ac:dyDescent="0.35">
      <c r="B90" s="8">
        <v>2040</v>
      </c>
      <c r="C90" s="22"/>
      <c r="D90" s="26">
        <f>(Input!C50/1000000)*(1-Input!D50)</f>
        <v>11.730203101250002</v>
      </c>
      <c r="E90" s="26">
        <f>(Input!$C$16+Input!$C$18)/1000000</f>
        <v>3.829421</v>
      </c>
      <c r="F90" s="26">
        <f t="shared" si="26"/>
        <v>7.9007821012500017</v>
      </c>
      <c r="G90" s="27">
        <f t="shared" si="22"/>
        <v>9.5823371000000002</v>
      </c>
      <c r="H90" s="26">
        <f t="shared" si="23"/>
        <v>-1.6815549987499985</v>
      </c>
      <c r="I90" s="26">
        <f t="shared" si="24"/>
        <v>0</v>
      </c>
      <c r="J90" s="26">
        <f t="shared" si="25"/>
        <v>-1.6815549987499985</v>
      </c>
      <c r="K90" s="29">
        <f t="shared" si="21"/>
        <v>7.9007821012500017</v>
      </c>
    </row>
    <row r="91" spans="2:11" ht="15.6" x14ac:dyDescent="0.35">
      <c r="B91" s="8">
        <v>2041</v>
      </c>
      <c r="C91" s="22"/>
      <c r="D91" s="26">
        <f>(Input!C51/1000000)*(1-Input!D51)</f>
        <v>11.378244780400001</v>
      </c>
      <c r="E91" s="26">
        <f>(Input!$C$16+Input!$C$18)/1000000</f>
        <v>3.829421</v>
      </c>
      <c r="F91" s="26">
        <f t="shared" si="26"/>
        <v>7.5488237804000011</v>
      </c>
      <c r="G91" s="27">
        <f t="shared" si="22"/>
        <v>9.5823371000000002</v>
      </c>
      <c r="H91" s="26">
        <f t="shared" si="23"/>
        <v>-2.033513319599999</v>
      </c>
      <c r="I91" s="26">
        <f t="shared" si="24"/>
        <v>0</v>
      </c>
      <c r="J91" s="26">
        <f t="shared" si="25"/>
        <v>-2.033513319599999</v>
      </c>
      <c r="K91" s="29">
        <f t="shared" si="21"/>
        <v>7.5488237804000011</v>
      </c>
    </row>
    <row r="92" spans="2:11" ht="15.6" x14ac:dyDescent="0.35">
      <c r="B92" s="8">
        <v>2042</v>
      </c>
      <c r="C92" s="22"/>
      <c r="D92" s="26">
        <f>(Input!C52/1000000)*(1-Input!D52)</f>
        <v>11.010358400699999</v>
      </c>
      <c r="E92" s="26">
        <f>(Input!$C$16+Input!$C$18)/1000000</f>
        <v>3.829421</v>
      </c>
      <c r="F92" s="26">
        <f t="shared" si="26"/>
        <v>7.1809374006999995</v>
      </c>
      <c r="G92" s="27">
        <f t="shared" si="22"/>
        <v>9.5823371000000002</v>
      </c>
      <c r="H92" s="26">
        <f t="shared" si="23"/>
        <v>-2.4013996993000006</v>
      </c>
      <c r="I92" s="26">
        <f t="shared" si="24"/>
        <v>0</v>
      </c>
      <c r="J92" s="26">
        <f t="shared" si="25"/>
        <v>-2.4013996993000006</v>
      </c>
      <c r="K92" s="29">
        <f t="shared" si="21"/>
        <v>7.1809374006999995</v>
      </c>
    </row>
    <row r="93" spans="2:11" ht="15.6" x14ac:dyDescent="0.35">
      <c r="B93" s="8">
        <v>2043</v>
      </c>
      <c r="C93" s="22"/>
      <c r="D93" s="26">
        <f>(Input!C53/1000000)*(1-Input!D53)</f>
        <v>10.841490569000001</v>
      </c>
      <c r="E93" s="26">
        <f>(Input!$C$16+Input!$C$18)/1000000</f>
        <v>3.829421</v>
      </c>
      <c r="F93" s="26">
        <f t="shared" si="26"/>
        <v>7.0120695690000012</v>
      </c>
      <c r="G93" s="27">
        <f t="shared" si="22"/>
        <v>9.5823371000000002</v>
      </c>
      <c r="H93" s="26">
        <f t="shared" si="23"/>
        <v>-2.5702675309999989</v>
      </c>
      <c r="I93" s="26">
        <f t="shared" si="24"/>
        <v>0</v>
      </c>
      <c r="J93" s="26">
        <f t="shared" si="25"/>
        <v>-2.5702675309999989</v>
      </c>
      <c r="K93" s="29">
        <f t="shared" si="21"/>
        <v>7.0120695690000012</v>
      </c>
    </row>
    <row r="94" spans="2:11" ht="15.6" x14ac:dyDescent="0.35">
      <c r="B94" s="8">
        <v>2044</v>
      </c>
      <c r="C94" s="22"/>
      <c r="D94" s="26">
        <f>(Input!C54/1000000)*(1-Input!D54)</f>
        <v>10.781921939500002</v>
      </c>
      <c r="E94" s="26">
        <f>(Input!$C$16+Input!$C$18)/1000000</f>
        <v>3.829421</v>
      </c>
      <c r="F94" s="26">
        <f t="shared" si="26"/>
        <v>6.9525009395000019</v>
      </c>
      <c r="G94" s="27">
        <f t="shared" si="22"/>
        <v>9.5823371000000002</v>
      </c>
      <c r="H94" s="26">
        <f t="shared" si="23"/>
        <v>-2.6298361604999982</v>
      </c>
      <c r="I94" s="26">
        <f t="shared" si="24"/>
        <v>0</v>
      </c>
      <c r="J94" s="26">
        <f t="shared" si="25"/>
        <v>-2.6298361604999982</v>
      </c>
      <c r="K94" s="29">
        <f t="shared" si="21"/>
        <v>6.9525009395000019</v>
      </c>
    </row>
    <row r="95" spans="2:11" ht="15.6" x14ac:dyDescent="0.35">
      <c r="B95" s="8">
        <v>2045</v>
      </c>
      <c r="C95" s="22"/>
      <c r="D95" s="26">
        <f>(Input!C55/1000000)*(1-Input!D55)</f>
        <v>10.722353310000001</v>
      </c>
      <c r="E95" s="26">
        <f>(Input!$C$16+Input!$C$18)/1000000</f>
        <v>3.829421</v>
      </c>
      <c r="F95" s="26">
        <f t="shared" si="26"/>
        <v>6.8929323100000008</v>
      </c>
      <c r="G95" s="27">
        <f t="shared" si="22"/>
        <v>9.5823371000000002</v>
      </c>
      <c r="H95" s="26">
        <f t="shared" si="23"/>
        <v>-2.6894047899999993</v>
      </c>
      <c r="I95" s="26">
        <f t="shared" si="24"/>
        <v>0</v>
      </c>
      <c r="J95" s="26">
        <f t="shared" si="25"/>
        <v>-2.6894047899999993</v>
      </c>
      <c r="K95" s="29">
        <f t="shared" si="21"/>
        <v>6.8929323100000008</v>
      </c>
    </row>
    <row r="96" spans="2:11" ht="16.2" thickBot="1" x14ac:dyDescent="0.4">
      <c r="B96" s="10"/>
      <c r="C96" s="11"/>
      <c r="D96" s="12"/>
      <c r="E96" s="12"/>
      <c r="F96" s="12"/>
      <c r="G96" s="12"/>
      <c r="H96" s="12"/>
      <c r="I96" s="13"/>
      <c r="J96" s="56" t="s">
        <v>10</v>
      </c>
      <c r="K96" s="57">
        <f>IRR(K75:K95)</f>
        <v>2.7561621581082552E-3</v>
      </c>
    </row>
    <row r="97" spans="1:11" ht="15" thickBot="1" x14ac:dyDescent="0.35"/>
    <row r="98" spans="1:11" ht="52.8" thickBot="1" x14ac:dyDescent="0.35">
      <c r="A98" s="68" t="s">
        <v>55</v>
      </c>
      <c r="B98" s="1" t="s">
        <v>0</v>
      </c>
      <c r="C98" s="2" t="s">
        <v>1</v>
      </c>
      <c r="D98" s="3" t="s">
        <v>2</v>
      </c>
      <c r="E98" s="3" t="s">
        <v>3</v>
      </c>
      <c r="F98" s="4" t="s">
        <v>4</v>
      </c>
      <c r="G98" s="3" t="s">
        <v>5</v>
      </c>
      <c r="H98" s="3" t="s">
        <v>6</v>
      </c>
      <c r="I98" s="3" t="s">
        <v>7</v>
      </c>
      <c r="J98" s="3" t="s">
        <v>8</v>
      </c>
      <c r="K98" s="5" t="s">
        <v>9</v>
      </c>
    </row>
    <row r="99" spans="1:11" ht="15.6" x14ac:dyDescent="0.35">
      <c r="B99" s="6">
        <v>2025</v>
      </c>
      <c r="C99" s="23">
        <f>-SUM(Input!C10,Input!C12)/1000000</f>
        <v>-191.64674199999999</v>
      </c>
      <c r="D99" s="25">
        <v>0</v>
      </c>
      <c r="E99" s="25">
        <v>0</v>
      </c>
      <c r="F99" s="25">
        <v>0</v>
      </c>
      <c r="G99" s="28">
        <v>0</v>
      </c>
      <c r="H99" s="25">
        <v>0</v>
      </c>
      <c r="I99" s="25">
        <f>IF(H99&gt;0,H99*0.22,0)</f>
        <v>0</v>
      </c>
      <c r="J99" s="25">
        <v>0</v>
      </c>
      <c r="K99" s="30">
        <f>J99+G99+C99</f>
        <v>-191.64674199999999</v>
      </c>
    </row>
    <row r="100" spans="1:11" ht="15.6" x14ac:dyDescent="0.35">
      <c r="B100" s="8">
        <v>2026</v>
      </c>
      <c r="C100" s="24"/>
      <c r="D100" s="26">
        <f>(Input!$C$23+Input!$C$24)*(Input!$C$28/1000000)</f>
        <v>24.232332100000004</v>
      </c>
      <c r="E100" s="26">
        <f>(Input!$C$16+Input!$C$18)/1000000</f>
        <v>3.829421</v>
      </c>
      <c r="F100" s="26">
        <f>D100-E100</f>
        <v>20.402911100000004</v>
      </c>
      <c r="G100" s="27">
        <f>-SUM($C$26:$C$46)/20</f>
        <v>9.5823371000000002</v>
      </c>
      <c r="H100" s="26">
        <f>F100-G100</f>
        <v>10.820574000000004</v>
      </c>
      <c r="I100" s="26">
        <f>IF(H100&gt;0,H100*0.22,0)</f>
        <v>2.3805262800000011</v>
      </c>
      <c r="J100" s="26">
        <f>H100-I100</f>
        <v>8.4400477200000026</v>
      </c>
      <c r="K100" s="29">
        <f t="shared" ref="K100:K119" si="27">J100+G100+C100</f>
        <v>18.022384820000003</v>
      </c>
    </row>
    <row r="101" spans="1:11" ht="15.6" x14ac:dyDescent="0.35">
      <c r="B101" s="8">
        <v>2027</v>
      </c>
      <c r="C101" s="24"/>
      <c r="D101" s="26">
        <f>D100*(1-0.005)</f>
        <v>24.111170439500004</v>
      </c>
      <c r="E101" s="26">
        <f>(Input!$C$16+Input!$C$18)/1000000</f>
        <v>3.829421</v>
      </c>
      <c r="F101" s="26">
        <f>D101-E101</f>
        <v>20.281749439500004</v>
      </c>
      <c r="G101" s="27">
        <f t="shared" ref="G101:G119" si="28">-SUM($C$26:$C$46)/20</f>
        <v>9.5823371000000002</v>
      </c>
      <c r="H101" s="26">
        <f t="shared" ref="H101:H119" si="29">F101-G101</f>
        <v>10.699412339500004</v>
      </c>
      <c r="I101" s="26">
        <f t="shared" ref="I101:I119" si="30">IF(H101&gt;0,H101*0.22,0)</f>
        <v>2.3538707146900006</v>
      </c>
      <c r="J101" s="26">
        <f t="shared" ref="J101:J119" si="31">H101-I101</f>
        <v>8.3455416248100036</v>
      </c>
      <c r="K101" s="29">
        <f t="shared" si="27"/>
        <v>17.927878724810004</v>
      </c>
    </row>
    <row r="102" spans="1:11" ht="15.6" x14ac:dyDescent="0.35">
      <c r="B102" s="8">
        <v>2028</v>
      </c>
      <c r="C102" s="24"/>
      <c r="D102" s="26">
        <f t="shared" ref="D102:D107" si="32">D101*(1-0.005)</f>
        <v>23.990614587302503</v>
      </c>
      <c r="E102" s="26">
        <f>(Input!$C$16+Input!$C$18)/1000000</f>
        <v>3.829421</v>
      </c>
      <c r="F102" s="26">
        <f t="shared" ref="F102:F119" si="33">D102-E102</f>
        <v>20.161193587302503</v>
      </c>
      <c r="G102" s="27">
        <f t="shared" si="28"/>
        <v>9.5823371000000002</v>
      </c>
      <c r="H102" s="26">
        <f t="shared" si="29"/>
        <v>10.578856487302502</v>
      </c>
      <c r="I102" s="26">
        <f t="shared" si="30"/>
        <v>2.3273484272065503</v>
      </c>
      <c r="J102" s="26">
        <f t="shared" si="31"/>
        <v>8.2515080600959525</v>
      </c>
      <c r="K102" s="29">
        <f t="shared" si="27"/>
        <v>17.833845160095954</v>
      </c>
    </row>
    <row r="103" spans="1:11" ht="15.6" x14ac:dyDescent="0.35">
      <c r="B103" s="8">
        <v>2029</v>
      </c>
      <c r="C103" s="24"/>
      <c r="D103" s="26">
        <f t="shared" si="32"/>
        <v>23.870661514365988</v>
      </c>
      <c r="E103" s="26">
        <f>(Input!$C$16+Input!$C$18)/1000000</f>
        <v>3.829421</v>
      </c>
      <c r="F103" s="26">
        <f t="shared" si="33"/>
        <v>20.041240514365988</v>
      </c>
      <c r="G103" s="27">
        <f t="shared" si="28"/>
        <v>9.5823371000000002</v>
      </c>
      <c r="H103" s="26">
        <f t="shared" si="29"/>
        <v>10.458903414365988</v>
      </c>
      <c r="I103" s="26">
        <f t="shared" si="30"/>
        <v>2.3009587511605174</v>
      </c>
      <c r="J103" s="26">
        <f t="shared" si="31"/>
        <v>8.1579446632054697</v>
      </c>
      <c r="K103" s="29">
        <f t="shared" si="27"/>
        <v>17.74028176320547</v>
      </c>
    </row>
    <row r="104" spans="1:11" ht="15.6" x14ac:dyDescent="0.35">
      <c r="B104" s="8">
        <v>2030</v>
      </c>
      <c r="C104" s="24"/>
      <c r="D104" s="26">
        <f t="shared" si="32"/>
        <v>23.751308206794157</v>
      </c>
      <c r="E104" s="26">
        <f>(Input!$C$16+Input!$C$18)/1000000</f>
        <v>3.829421</v>
      </c>
      <c r="F104" s="26">
        <f t="shared" si="33"/>
        <v>19.921887206794157</v>
      </c>
      <c r="G104" s="27">
        <f t="shared" si="28"/>
        <v>9.5823371000000002</v>
      </c>
      <c r="H104" s="26">
        <f t="shared" si="29"/>
        <v>10.339550106794157</v>
      </c>
      <c r="I104" s="26">
        <f t="shared" si="30"/>
        <v>2.2747010234947145</v>
      </c>
      <c r="J104" s="26">
        <f t="shared" si="31"/>
        <v>8.0648490832994426</v>
      </c>
      <c r="K104" s="29">
        <f t="shared" si="27"/>
        <v>17.647186183299443</v>
      </c>
    </row>
    <row r="105" spans="1:11" ht="15.6" x14ac:dyDescent="0.35">
      <c r="B105" s="8">
        <v>2031</v>
      </c>
      <c r="C105" s="24"/>
      <c r="D105" s="26">
        <f t="shared" si="32"/>
        <v>23.632551665760186</v>
      </c>
      <c r="E105" s="26">
        <f>(Input!$C$16+Input!$C$18)/1000000</f>
        <v>3.829421</v>
      </c>
      <c r="F105" s="26">
        <f t="shared" si="33"/>
        <v>19.803130665760186</v>
      </c>
      <c r="G105" s="27">
        <f t="shared" si="28"/>
        <v>9.5823371000000002</v>
      </c>
      <c r="H105" s="26">
        <f t="shared" si="29"/>
        <v>10.220793565760186</v>
      </c>
      <c r="I105" s="26">
        <f t="shared" si="30"/>
        <v>2.2485745844672409</v>
      </c>
      <c r="J105" s="26">
        <f t="shared" si="31"/>
        <v>7.9722189812929454</v>
      </c>
      <c r="K105" s="29">
        <f t="shared" si="27"/>
        <v>17.554556081292944</v>
      </c>
    </row>
    <row r="106" spans="1:11" ht="15.6" x14ac:dyDescent="0.35">
      <c r="B106" s="8">
        <v>2032</v>
      </c>
      <c r="C106" s="24"/>
      <c r="D106" s="26">
        <f t="shared" si="32"/>
        <v>23.514388907431385</v>
      </c>
      <c r="E106" s="26">
        <f>(Input!$C$16+Input!$C$18)/1000000</f>
        <v>3.829421</v>
      </c>
      <c r="F106" s="26">
        <f t="shared" si="33"/>
        <v>19.684967907431385</v>
      </c>
      <c r="G106" s="27">
        <f t="shared" si="28"/>
        <v>9.5823371000000002</v>
      </c>
      <c r="H106" s="26">
        <f t="shared" si="29"/>
        <v>10.102630807431385</v>
      </c>
      <c r="I106" s="26">
        <f t="shared" si="30"/>
        <v>2.2225787776349049</v>
      </c>
      <c r="J106" s="26">
        <f t="shared" si="31"/>
        <v>7.8800520297964809</v>
      </c>
      <c r="K106" s="29">
        <f t="shared" si="27"/>
        <v>17.462389129796481</v>
      </c>
    </row>
    <row r="107" spans="1:11" ht="15.6" x14ac:dyDescent="0.35">
      <c r="B107" s="8">
        <v>2033</v>
      </c>
      <c r="C107" s="24"/>
      <c r="D107" s="26">
        <f t="shared" si="32"/>
        <v>23.396816962894228</v>
      </c>
      <c r="E107" s="26">
        <f>(Input!$C$16+Input!$C$18)/1000000</f>
        <v>3.829421</v>
      </c>
      <c r="F107" s="26">
        <f t="shared" si="33"/>
        <v>19.567395962894228</v>
      </c>
      <c r="G107" s="27">
        <f t="shared" si="28"/>
        <v>9.5823371000000002</v>
      </c>
      <c r="H107" s="26">
        <f t="shared" si="29"/>
        <v>9.9850588628942276</v>
      </c>
      <c r="I107" s="26">
        <f t="shared" si="30"/>
        <v>2.1967129498367299</v>
      </c>
      <c r="J107" s="26">
        <f t="shared" si="31"/>
        <v>7.7883459130574977</v>
      </c>
      <c r="K107" s="29">
        <f t="shared" si="27"/>
        <v>17.370683013057498</v>
      </c>
    </row>
    <row r="108" spans="1:11" ht="15.6" x14ac:dyDescent="0.35">
      <c r="B108" s="8">
        <v>2034</v>
      </c>
      <c r="C108" s="24"/>
      <c r="D108" s="26">
        <f>(Input!C44/1000000)*(1-Input!D44)</f>
        <v>13.80343310075</v>
      </c>
      <c r="E108" s="26">
        <f>(Input!$C$16+Input!$C$18)/1000000</f>
        <v>3.829421</v>
      </c>
      <c r="F108" s="26">
        <f t="shared" si="33"/>
        <v>9.9740121007500004</v>
      </c>
      <c r="G108" s="27">
        <f t="shared" si="28"/>
        <v>9.5823371000000002</v>
      </c>
      <c r="H108" s="26">
        <f t="shared" si="29"/>
        <v>0.39167500075000028</v>
      </c>
      <c r="I108" s="26">
        <f t="shared" si="30"/>
        <v>8.6168500165000064E-2</v>
      </c>
      <c r="J108" s="26">
        <f t="shared" si="31"/>
        <v>0.30550650058500023</v>
      </c>
      <c r="K108" s="29">
        <f t="shared" si="27"/>
        <v>9.8878436005850006</v>
      </c>
    </row>
    <row r="109" spans="1:11" ht="15.6" x14ac:dyDescent="0.35">
      <c r="B109" s="8">
        <v>2035</v>
      </c>
      <c r="C109" s="24"/>
      <c r="D109" s="26">
        <f>(Input!C45/1000000)*(1-Input!D45)</f>
        <v>13.704338772</v>
      </c>
      <c r="E109" s="26">
        <f>(Input!$C$16+Input!$C$18)/1000000</f>
        <v>3.829421</v>
      </c>
      <c r="F109" s="26">
        <f t="shared" si="33"/>
        <v>9.8749177719999999</v>
      </c>
      <c r="G109" s="27">
        <f t="shared" si="28"/>
        <v>9.5823371000000002</v>
      </c>
      <c r="H109" s="26">
        <f t="shared" si="29"/>
        <v>0.29258067199999971</v>
      </c>
      <c r="I109" s="26">
        <f t="shared" si="30"/>
        <v>6.4367747839999934E-2</v>
      </c>
      <c r="J109" s="26">
        <f t="shared" si="31"/>
        <v>0.22821292415999977</v>
      </c>
      <c r="K109" s="29">
        <f t="shared" si="27"/>
        <v>9.8105500241599994</v>
      </c>
    </row>
    <row r="110" spans="1:11" ht="15.6" x14ac:dyDescent="0.35">
      <c r="B110" s="8">
        <v>2036</v>
      </c>
      <c r="C110" s="24"/>
      <c r="D110" s="26">
        <f>(Input!C46/1000000)*(1-Input!D46)</f>
        <v>13.141919734649999</v>
      </c>
      <c r="E110" s="26">
        <f>(Input!$C$16+Input!$C$18)/1000000</f>
        <v>3.829421</v>
      </c>
      <c r="F110" s="26">
        <f t="shared" si="33"/>
        <v>9.3124987346499992</v>
      </c>
      <c r="G110" s="27">
        <f t="shared" si="28"/>
        <v>9.5823371000000002</v>
      </c>
      <c r="H110" s="26">
        <f t="shared" si="29"/>
        <v>-0.26983836535000094</v>
      </c>
      <c r="I110" s="26">
        <f t="shared" si="30"/>
        <v>0</v>
      </c>
      <c r="J110" s="26">
        <f t="shared" si="31"/>
        <v>-0.26983836535000094</v>
      </c>
      <c r="K110" s="29">
        <f t="shared" si="27"/>
        <v>9.3124987346499992</v>
      </c>
    </row>
    <row r="111" spans="1:11" ht="15.6" x14ac:dyDescent="0.35">
      <c r="B111" s="8">
        <v>2037</v>
      </c>
      <c r="C111" s="24"/>
      <c r="D111" s="26">
        <f>(Input!C47/1000000)*(1-Input!D47)</f>
        <v>12.730558311600001</v>
      </c>
      <c r="E111" s="26">
        <f>(Input!$C$16+Input!$C$18)/1000000</f>
        <v>3.829421</v>
      </c>
      <c r="F111" s="26">
        <f t="shared" si="33"/>
        <v>8.9011373116000012</v>
      </c>
      <c r="G111" s="27">
        <f t="shared" si="28"/>
        <v>9.5823371000000002</v>
      </c>
      <c r="H111" s="26">
        <f t="shared" si="29"/>
        <v>-0.68119978839999895</v>
      </c>
      <c r="I111" s="26">
        <f t="shared" si="30"/>
        <v>0</v>
      </c>
      <c r="J111" s="26">
        <f t="shared" si="31"/>
        <v>-0.68119978839999895</v>
      </c>
      <c r="K111" s="29">
        <f t="shared" si="27"/>
        <v>8.9011373116000012</v>
      </c>
    </row>
    <row r="112" spans="1:11" ht="15.6" x14ac:dyDescent="0.35">
      <c r="B112" s="8">
        <v>2038</v>
      </c>
      <c r="C112" s="24"/>
      <c r="D112" s="26">
        <f>(Input!C48/1000000)*(1-Input!D48)</f>
        <v>12.361584893350001</v>
      </c>
      <c r="E112" s="26">
        <f>(Input!$C$16+Input!$C$18)/1000000</f>
        <v>3.829421</v>
      </c>
      <c r="F112" s="26">
        <f t="shared" si="33"/>
        <v>8.5321638933500008</v>
      </c>
      <c r="G112" s="27">
        <f t="shared" si="28"/>
        <v>9.5823371000000002</v>
      </c>
      <c r="H112" s="26">
        <f t="shared" si="29"/>
        <v>-1.0501732066499994</v>
      </c>
      <c r="I112" s="26">
        <f t="shared" si="30"/>
        <v>0</v>
      </c>
      <c r="J112" s="26">
        <f t="shared" si="31"/>
        <v>-1.0501732066499994</v>
      </c>
      <c r="K112" s="29">
        <f t="shared" si="27"/>
        <v>8.5321638933500008</v>
      </c>
    </row>
    <row r="113" spans="1:11" ht="15.6" x14ac:dyDescent="0.35">
      <c r="B113" s="8">
        <v>2039</v>
      </c>
      <c r="C113" s="24"/>
      <c r="D113" s="26">
        <f>(Input!C49/1000000)*(1-Input!D49)</f>
        <v>12.130822536</v>
      </c>
      <c r="E113" s="26">
        <f>(Input!$C$16+Input!$C$18)/1000000</f>
        <v>3.829421</v>
      </c>
      <c r="F113" s="26">
        <f t="shared" si="33"/>
        <v>8.3014015360000002</v>
      </c>
      <c r="G113" s="27">
        <f t="shared" si="28"/>
        <v>9.5823371000000002</v>
      </c>
      <c r="H113" s="26">
        <f t="shared" si="29"/>
        <v>-1.280935564</v>
      </c>
      <c r="I113" s="26">
        <f t="shared" si="30"/>
        <v>0</v>
      </c>
      <c r="J113" s="26">
        <f t="shared" si="31"/>
        <v>-1.280935564</v>
      </c>
      <c r="K113" s="29">
        <f t="shared" si="27"/>
        <v>8.3014015360000002</v>
      </c>
    </row>
    <row r="114" spans="1:11" ht="15.6" x14ac:dyDescent="0.35">
      <c r="B114" s="8">
        <v>2040</v>
      </c>
      <c r="C114" s="22"/>
      <c r="D114" s="26">
        <f>(Input!C50/1000000)*(1-Input!D50)</f>
        <v>11.730203101250002</v>
      </c>
      <c r="E114" s="26">
        <f>(Input!$C$16+Input!$C$18)/1000000</f>
        <v>3.829421</v>
      </c>
      <c r="F114" s="26">
        <f t="shared" si="33"/>
        <v>7.9007821012500017</v>
      </c>
      <c r="G114" s="27">
        <f t="shared" si="28"/>
        <v>9.5823371000000002</v>
      </c>
      <c r="H114" s="26">
        <f t="shared" si="29"/>
        <v>-1.6815549987499985</v>
      </c>
      <c r="I114" s="26">
        <f t="shared" si="30"/>
        <v>0</v>
      </c>
      <c r="J114" s="26">
        <f t="shared" si="31"/>
        <v>-1.6815549987499985</v>
      </c>
      <c r="K114" s="29">
        <f t="shared" si="27"/>
        <v>7.9007821012500017</v>
      </c>
    </row>
    <row r="115" spans="1:11" ht="15.6" x14ac:dyDescent="0.35">
      <c r="B115" s="8">
        <v>2041</v>
      </c>
      <c r="C115" s="22"/>
      <c r="D115" s="26">
        <f>(Input!C51/1000000)*(1-Input!D51)</f>
        <v>11.378244780400001</v>
      </c>
      <c r="E115" s="26">
        <f>(Input!$C$16+Input!$C$18)/1000000</f>
        <v>3.829421</v>
      </c>
      <c r="F115" s="26">
        <f t="shared" si="33"/>
        <v>7.5488237804000011</v>
      </c>
      <c r="G115" s="27">
        <f t="shared" si="28"/>
        <v>9.5823371000000002</v>
      </c>
      <c r="H115" s="26">
        <f t="shared" si="29"/>
        <v>-2.033513319599999</v>
      </c>
      <c r="I115" s="26">
        <f t="shared" si="30"/>
        <v>0</v>
      </c>
      <c r="J115" s="26">
        <f t="shared" si="31"/>
        <v>-2.033513319599999</v>
      </c>
      <c r="K115" s="29">
        <f t="shared" si="27"/>
        <v>7.5488237804000011</v>
      </c>
    </row>
    <row r="116" spans="1:11" ht="15.6" x14ac:dyDescent="0.35">
      <c r="B116" s="8">
        <v>2042</v>
      </c>
      <c r="C116" s="22"/>
      <c r="D116" s="26">
        <f>(Input!C52/1000000)*(1-Input!D52)</f>
        <v>11.010358400699999</v>
      </c>
      <c r="E116" s="26">
        <f>(Input!$C$16+Input!$C$18)/1000000</f>
        <v>3.829421</v>
      </c>
      <c r="F116" s="26">
        <f t="shared" si="33"/>
        <v>7.1809374006999995</v>
      </c>
      <c r="G116" s="27">
        <f t="shared" si="28"/>
        <v>9.5823371000000002</v>
      </c>
      <c r="H116" s="26">
        <f t="shared" si="29"/>
        <v>-2.4013996993000006</v>
      </c>
      <c r="I116" s="26">
        <f t="shared" si="30"/>
        <v>0</v>
      </c>
      <c r="J116" s="26">
        <f t="shared" si="31"/>
        <v>-2.4013996993000006</v>
      </c>
      <c r="K116" s="29">
        <f t="shared" si="27"/>
        <v>7.1809374006999995</v>
      </c>
    </row>
    <row r="117" spans="1:11" ht="15.6" x14ac:dyDescent="0.35">
      <c r="B117" s="8">
        <v>2043</v>
      </c>
      <c r="C117" s="22"/>
      <c r="D117" s="26">
        <f>(Input!C53/1000000)*(1-Input!D53)</f>
        <v>10.841490569000001</v>
      </c>
      <c r="E117" s="26">
        <f>(Input!$C$16+Input!$C$18)/1000000</f>
        <v>3.829421</v>
      </c>
      <c r="F117" s="26">
        <f t="shared" si="33"/>
        <v>7.0120695690000012</v>
      </c>
      <c r="G117" s="27">
        <f t="shared" si="28"/>
        <v>9.5823371000000002</v>
      </c>
      <c r="H117" s="26">
        <f t="shared" si="29"/>
        <v>-2.5702675309999989</v>
      </c>
      <c r="I117" s="26">
        <f t="shared" si="30"/>
        <v>0</v>
      </c>
      <c r="J117" s="26">
        <f t="shared" si="31"/>
        <v>-2.5702675309999989</v>
      </c>
      <c r="K117" s="29">
        <f t="shared" si="27"/>
        <v>7.0120695690000012</v>
      </c>
    </row>
    <row r="118" spans="1:11" ht="15.6" x14ac:dyDescent="0.35">
      <c r="B118" s="8">
        <v>2044</v>
      </c>
      <c r="C118" s="22"/>
      <c r="D118" s="26">
        <f>(Input!C54/1000000)*(1-Input!D54)</f>
        <v>10.781921939500002</v>
      </c>
      <c r="E118" s="26">
        <f>(Input!$C$16+Input!$C$18)/1000000</f>
        <v>3.829421</v>
      </c>
      <c r="F118" s="26">
        <f t="shared" si="33"/>
        <v>6.9525009395000019</v>
      </c>
      <c r="G118" s="27">
        <f t="shared" si="28"/>
        <v>9.5823371000000002</v>
      </c>
      <c r="H118" s="26">
        <f t="shared" si="29"/>
        <v>-2.6298361604999982</v>
      </c>
      <c r="I118" s="26">
        <f t="shared" si="30"/>
        <v>0</v>
      </c>
      <c r="J118" s="26">
        <f t="shared" si="31"/>
        <v>-2.6298361604999982</v>
      </c>
      <c r="K118" s="29">
        <f t="shared" si="27"/>
        <v>6.9525009395000019</v>
      </c>
    </row>
    <row r="119" spans="1:11" ht="15.6" x14ac:dyDescent="0.35">
      <c r="B119" s="8">
        <v>2045</v>
      </c>
      <c r="C119" s="22"/>
      <c r="D119" s="26">
        <f>(Input!C55/1000000)*(1-Input!D55)</f>
        <v>10.722353310000001</v>
      </c>
      <c r="E119" s="26">
        <f>(Input!$C$16+Input!$C$18)/1000000</f>
        <v>3.829421</v>
      </c>
      <c r="F119" s="26">
        <f t="shared" si="33"/>
        <v>6.8929323100000008</v>
      </c>
      <c r="G119" s="27">
        <f t="shared" si="28"/>
        <v>9.5823371000000002</v>
      </c>
      <c r="H119" s="26">
        <f t="shared" si="29"/>
        <v>-2.6894047899999993</v>
      </c>
      <c r="I119" s="26">
        <f t="shared" si="30"/>
        <v>0</v>
      </c>
      <c r="J119" s="26">
        <f t="shared" si="31"/>
        <v>-2.6894047899999993</v>
      </c>
      <c r="K119" s="29">
        <f t="shared" si="27"/>
        <v>6.8929323100000008</v>
      </c>
    </row>
    <row r="120" spans="1:11" ht="16.2" thickBot="1" x14ac:dyDescent="0.4">
      <c r="B120" s="10"/>
      <c r="C120" s="11"/>
      <c r="D120" s="12"/>
      <c r="E120" s="12"/>
      <c r="F120" s="12"/>
      <c r="G120" s="12"/>
      <c r="H120" s="12"/>
      <c r="I120" s="13"/>
      <c r="J120" s="56" t="s">
        <v>10</v>
      </c>
      <c r="K120" s="57">
        <f>IRR(K99:K119)</f>
        <v>2.8454696981365935E-2</v>
      </c>
    </row>
    <row r="121" spans="1:11" ht="15" thickBot="1" x14ac:dyDescent="0.35"/>
    <row r="122" spans="1:11" ht="52.8" thickBot="1" x14ac:dyDescent="0.35">
      <c r="A122" s="68" t="s">
        <v>56</v>
      </c>
      <c r="B122" s="1" t="s">
        <v>0</v>
      </c>
      <c r="C122" s="2" t="s">
        <v>1</v>
      </c>
      <c r="D122" s="3" t="s">
        <v>2</v>
      </c>
      <c r="E122" s="3" t="s">
        <v>3</v>
      </c>
      <c r="F122" s="4" t="s">
        <v>4</v>
      </c>
      <c r="G122" s="3" t="s">
        <v>5</v>
      </c>
      <c r="H122" s="3" t="s">
        <v>6</v>
      </c>
      <c r="I122" s="3" t="s">
        <v>7</v>
      </c>
      <c r="J122" s="3" t="s">
        <v>8</v>
      </c>
      <c r="K122" s="5" t="s">
        <v>9</v>
      </c>
    </row>
    <row r="123" spans="1:11" ht="15.6" x14ac:dyDescent="0.35">
      <c r="B123" s="6">
        <v>2025</v>
      </c>
      <c r="C123" s="23">
        <f>-Input!C10/1000000</f>
        <v>-129.56059999999999</v>
      </c>
      <c r="D123" s="25">
        <v>0</v>
      </c>
      <c r="E123" s="25">
        <v>0</v>
      </c>
      <c r="F123" s="25">
        <v>0</v>
      </c>
      <c r="G123" s="28">
        <v>0</v>
      </c>
      <c r="H123" s="25">
        <v>0</v>
      </c>
      <c r="I123" s="25">
        <f>IF(H123&gt;0,H123*0.22,0)</f>
        <v>0</v>
      </c>
      <c r="J123" s="25">
        <v>0</v>
      </c>
      <c r="K123" s="30">
        <f>J123+G123+C123</f>
        <v>-129.56059999999999</v>
      </c>
    </row>
    <row r="124" spans="1:11" ht="15.6" x14ac:dyDescent="0.35">
      <c r="B124" s="8">
        <v>2026</v>
      </c>
      <c r="C124" s="24"/>
      <c r="D124" s="26">
        <f>Input!E36/1000000</f>
        <v>17.48425267</v>
      </c>
      <c r="E124" s="26">
        <f>(Input!$C$16+Input!$C$18)/1000000</f>
        <v>3.829421</v>
      </c>
      <c r="F124" s="26">
        <f>D124-E124</f>
        <v>13.65483167</v>
      </c>
      <c r="G124" s="27">
        <f>-SUM($C$26:$C$46)/20</f>
        <v>9.5823371000000002</v>
      </c>
      <c r="H124" s="26">
        <f>F124-G124</f>
        <v>4.0724945699999999</v>
      </c>
      <c r="I124" s="26">
        <f>IF(H124&gt;0,H124*0.22,0)</f>
        <v>0.89594880539999999</v>
      </c>
      <c r="J124" s="26">
        <f>H124-I124</f>
        <v>3.1765457646000002</v>
      </c>
      <c r="K124" s="29">
        <f t="shared" ref="K124:K143" si="34">J124+G124+C124</f>
        <v>12.7588828646</v>
      </c>
    </row>
    <row r="125" spans="1:11" ht="15.6" x14ac:dyDescent="0.35">
      <c r="B125" s="8">
        <v>2027</v>
      </c>
      <c r="C125" s="24"/>
      <c r="D125" s="26">
        <f>(Input!E37/1000000)*(1-Input!D85)</f>
        <v>15.489282210000001</v>
      </c>
      <c r="E125" s="26">
        <f>(Input!$C$16+Input!$C$18)/1000000</f>
        <v>3.829421</v>
      </c>
      <c r="F125" s="26">
        <f>D125-E125</f>
        <v>11.659861210000001</v>
      </c>
      <c r="G125" s="27">
        <f t="shared" ref="G125:G143" si="35">-SUM($C$26:$C$46)/20</f>
        <v>9.5823371000000002</v>
      </c>
      <c r="H125" s="26">
        <f t="shared" ref="H125:H143" si="36">F125-G125</f>
        <v>2.0775241100000006</v>
      </c>
      <c r="I125" s="26">
        <f t="shared" ref="I125:I143" si="37">IF(H125&gt;0,H125*0.22,0)</f>
        <v>0.45705530420000012</v>
      </c>
      <c r="J125" s="26">
        <f t="shared" ref="J125:J143" si="38">H125-I125</f>
        <v>1.6204688058000005</v>
      </c>
      <c r="K125" s="29">
        <f t="shared" si="34"/>
        <v>11.2028059058</v>
      </c>
    </row>
    <row r="126" spans="1:11" ht="15.6" x14ac:dyDescent="0.35">
      <c r="B126" s="8">
        <v>2028</v>
      </c>
      <c r="C126" s="24"/>
      <c r="D126" s="26">
        <f>(Input!E38/1000000)*(1-Input!D86)</f>
        <v>14.39638759</v>
      </c>
      <c r="E126" s="26">
        <f>(Input!$C$16+Input!$C$18)/1000000</f>
        <v>3.829421</v>
      </c>
      <c r="F126" s="26">
        <f t="shared" ref="F126:F143" si="39">D126-E126</f>
        <v>10.56696659</v>
      </c>
      <c r="G126" s="27">
        <f t="shared" si="35"/>
        <v>9.5823371000000002</v>
      </c>
      <c r="H126" s="26">
        <f t="shared" si="36"/>
        <v>0.98462948999999966</v>
      </c>
      <c r="I126" s="26">
        <f t="shared" si="37"/>
        <v>0.21661848779999993</v>
      </c>
      <c r="J126" s="26">
        <f t="shared" si="38"/>
        <v>0.76801100219999974</v>
      </c>
      <c r="K126" s="29">
        <f t="shared" si="34"/>
        <v>10.3503481022</v>
      </c>
    </row>
    <row r="127" spans="1:11" ht="15.6" x14ac:dyDescent="0.35">
      <c r="B127" s="8">
        <v>2029</v>
      </c>
      <c r="C127" s="24"/>
      <c r="D127" s="26">
        <f>(Input!E39/1000000)*(1-Input!D87)</f>
        <v>13.730583490000001</v>
      </c>
      <c r="E127" s="26">
        <f>(Input!$C$16+Input!$C$18)/1000000</f>
        <v>3.829421</v>
      </c>
      <c r="F127" s="26">
        <f t="shared" si="39"/>
        <v>9.9011624900000008</v>
      </c>
      <c r="G127" s="27">
        <f t="shared" si="35"/>
        <v>9.5823371000000002</v>
      </c>
      <c r="H127" s="26">
        <f t="shared" si="36"/>
        <v>0.31882539000000065</v>
      </c>
      <c r="I127" s="26">
        <f t="shared" si="37"/>
        <v>7.0141585800000142E-2</v>
      </c>
      <c r="J127" s="26">
        <f t="shared" si="38"/>
        <v>0.24868380420000052</v>
      </c>
      <c r="K127" s="29">
        <f t="shared" si="34"/>
        <v>9.8310209042000007</v>
      </c>
    </row>
    <row r="128" spans="1:11" ht="15.6" x14ac:dyDescent="0.35">
      <c r="B128" s="8">
        <v>2030</v>
      </c>
      <c r="C128" s="24"/>
      <c r="D128" s="26">
        <f>(Input!E40/1000000)*(1-Input!D88)</f>
        <v>12.8967691</v>
      </c>
      <c r="E128" s="26">
        <f>(Input!$C$16+Input!$C$18)/1000000</f>
        <v>3.829421</v>
      </c>
      <c r="F128" s="26">
        <f t="shared" si="39"/>
        <v>9.0673481000000002</v>
      </c>
      <c r="G128" s="27">
        <f t="shared" si="35"/>
        <v>9.5823371000000002</v>
      </c>
      <c r="H128" s="26">
        <f t="shared" si="36"/>
        <v>-0.51498899999999992</v>
      </c>
      <c r="I128" s="26">
        <f t="shared" si="37"/>
        <v>0</v>
      </c>
      <c r="J128" s="26">
        <f t="shared" si="38"/>
        <v>-0.51498899999999992</v>
      </c>
      <c r="K128" s="29">
        <f t="shared" si="34"/>
        <v>9.0673481000000002</v>
      </c>
    </row>
    <row r="129" spans="2:11" ht="15.6" x14ac:dyDescent="0.35">
      <c r="B129" s="8">
        <v>2031</v>
      </c>
      <c r="C129" s="24"/>
      <c r="D129" s="26">
        <f>(Input!E41/1000000)*(1-Input!D89)</f>
        <v>11.5564856</v>
      </c>
      <c r="E129" s="26">
        <f>(Input!$C$16+Input!$C$18)/1000000</f>
        <v>3.829421</v>
      </c>
      <c r="F129" s="26">
        <f t="shared" si="39"/>
        <v>7.7270646000000003</v>
      </c>
      <c r="G129" s="27">
        <f t="shared" si="35"/>
        <v>9.5823371000000002</v>
      </c>
      <c r="H129" s="26">
        <f t="shared" si="36"/>
        <v>-1.8552724999999999</v>
      </c>
      <c r="I129" s="26">
        <f t="shared" si="37"/>
        <v>0</v>
      </c>
      <c r="J129" s="26">
        <f t="shared" si="38"/>
        <v>-1.8552724999999999</v>
      </c>
      <c r="K129" s="29">
        <f t="shared" si="34"/>
        <v>7.7270646000000003</v>
      </c>
    </row>
    <row r="130" spans="2:11" ht="15.6" x14ac:dyDescent="0.35">
      <c r="B130" s="8">
        <v>2032</v>
      </c>
      <c r="C130" s="24"/>
      <c r="D130" s="26">
        <f>(Input!E42/1000000)*(1-Input!D90)</f>
        <v>11.44135125</v>
      </c>
      <c r="E130" s="26">
        <f>(Input!$C$16+Input!$C$18)/1000000</f>
        <v>3.829421</v>
      </c>
      <c r="F130" s="26">
        <f t="shared" si="39"/>
        <v>7.6119302500000003</v>
      </c>
      <c r="G130" s="27">
        <f t="shared" si="35"/>
        <v>9.5823371000000002</v>
      </c>
      <c r="H130" s="26">
        <f t="shared" si="36"/>
        <v>-1.9704068499999998</v>
      </c>
      <c r="I130" s="26">
        <f t="shared" si="37"/>
        <v>0</v>
      </c>
      <c r="J130" s="26">
        <f t="shared" si="38"/>
        <v>-1.9704068499999998</v>
      </c>
      <c r="K130" s="29">
        <f t="shared" si="34"/>
        <v>7.6119302500000003</v>
      </c>
    </row>
    <row r="131" spans="2:11" ht="15.6" x14ac:dyDescent="0.35">
      <c r="B131" s="8">
        <v>2033</v>
      </c>
      <c r="C131" s="24"/>
      <c r="D131" s="26">
        <f>(Input!E43/1000000)*(1-Input!D91)</f>
        <v>11.19486644</v>
      </c>
      <c r="E131" s="26">
        <f>(Input!$C$16+Input!$C$18)/1000000</f>
        <v>3.829421</v>
      </c>
      <c r="F131" s="26">
        <f t="shared" si="39"/>
        <v>7.3654454400000002</v>
      </c>
      <c r="G131" s="27">
        <f t="shared" si="35"/>
        <v>9.5823371000000002</v>
      </c>
      <c r="H131" s="26">
        <f t="shared" si="36"/>
        <v>-2.2168916599999999</v>
      </c>
      <c r="I131" s="26">
        <f t="shared" si="37"/>
        <v>0</v>
      </c>
      <c r="J131" s="26">
        <f t="shared" si="38"/>
        <v>-2.2168916599999999</v>
      </c>
      <c r="K131" s="29">
        <f t="shared" si="34"/>
        <v>7.3654454400000002</v>
      </c>
    </row>
    <row r="132" spans="2:11" ht="15.6" x14ac:dyDescent="0.35">
      <c r="B132" s="8">
        <v>2034</v>
      </c>
      <c r="C132" s="24"/>
      <c r="D132" s="26">
        <f>(Input!E44/1000000)*(1-Input!D92)</f>
        <v>11.0119834</v>
      </c>
      <c r="E132" s="26">
        <f>(Input!$C$16+Input!$C$18)/1000000</f>
        <v>3.829421</v>
      </c>
      <c r="F132" s="26">
        <f t="shared" si="39"/>
        <v>7.1825624000000001</v>
      </c>
      <c r="G132" s="27">
        <f t="shared" si="35"/>
        <v>9.5823371000000002</v>
      </c>
      <c r="H132" s="26">
        <f t="shared" si="36"/>
        <v>-2.3997747</v>
      </c>
      <c r="I132" s="26">
        <f t="shared" si="37"/>
        <v>0</v>
      </c>
      <c r="J132" s="26">
        <f t="shared" si="38"/>
        <v>-2.3997747</v>
      </c>
      <c r="K132" s="29">
        <f t="shared" si="34"/>
        <v>7.1825624000000001</v>
      </c>
    </row>
    <row r="133" spans="2:11" ht="15.6" x14ac:dyDescent="0.35">
      <c r="B133" s="8">
        <v>2035</v>
      </c>
      <c r="C133" s="24"/>
      <c r="D133" s="26">
        <f>(Input!E45/1000000)*(1-Input!D93)</f>
        <v>10.91729535</v>
      </c>
      <c r="E133" s="26">
        <f>(Input!$C$16+Input!$C$18)/1000000</f>
        <v>3.829421</v>
      </c>
      <c r="F133" s="26">
        <f t="shared" si="39"/>
        <v>7.0878743499999999</v>
      </c>
      <c r="G133" s="27">
        <f t="shared" si="35"/>
        <v>9.5823371000000002</v>
      </c>
      <c r="H133" s="26">
        <f t="shared" si="36"/>
        <v>-2.4944627500000003</v>
      </c>
      <c r="I133" s="26">
        <f t="shared" si="37"/>
        <v>0</v>
      </c>
      <c r="J133" s="26">
        <f t="shared" si="38"/>
        <v>-2.4944627500000003</v>
      </c>
      <c r="K133" s="29">
        <f t="shared" si="34"/>
        <v>7.0878743499999999</v>
      </c>
    </row>
    <row r="134" spans="2:11" ht="15.6" x14ac:dyDescent="0.35">
      <c r="B134" s="8">
        <v>2036</v>
      </c>
      <c r="C134" s="24"/>
      <c r="D134" s="26">
        <f>(Input!E46/1000000)*(1-Input!D94)</f>
        <v>10.47015966</v>
      </c>
      <c r="E134" s="26">
        <f>(Input!$C$16+Input!$C$18)/1000000</f>
        <v>3.829421</v>
      </c>
      <c r="F134" s="26">
        <f t="shared" si="39"/>
        <v>6.6407386600000002</v>
      </c>
      <c r="G134" s="27">
        <f t="shared" si="35"/>
        <v>9.5823371000000002</v>
      </c>
      <c r="H134" s="26">
        <f t="shared" si="36"/>
        <v>-2.9415984399999999</v>
      </c>
      <c r="I134" s="26">
        <f t="shared" si="37"/>
        <v>0</v>
      </c>
      <c r="J134" s="26">
        <f t="shared" si="38"/>
        <v>-2.9415984399999999</v>
      </c>
      <c r="K134" s="29">
        <f t="shared" si="34"/>
        <v>6.6407386600000002</v>
      </c>
    </row>
    <row r="135" spans="2:11" ht="15.6" x14ac:dyDescent="0.35">
      <c r="B135" s="8">
        <v>2037</v>
      </c>
      <c r="C135" s="24"/>
      <c r="D135" s="26">
        <f>(Input!E47/1000000)*(1-Input!D95)</f>
        <v>10.12998346</v>
      </c>
      <c r="E135" s="26">
        <f>(Input!$C$16+Input!$C$18)/1000000</f>
        <v>3.829421</v>
      </c>
      <c r="F135" s="26">
        <f t="shared" si="39"/>
        <v>6.3005624600000001</v>
      </c>
      <c r="G135" s="27">
        <f t="shared" si="35"/>
        <v>9.5823371000000002</v>
      </c>
      <c r="H135" s="26">
        <f t="shared" si="36"/>
        <v>-3.2817746400000001</v>
      </c>
      <c r="I135" s="26">
        <f t="shared" si="37"/>
        <v>0</v>
      </c>
      <c r="J135" s="26">
        <f t="shared" si="38"/>
        <v>-3.2817746400000001</v>
      </c>
      <c r="K135" s="29">
        <f t="shared" si="34"/>
        <v>6.3005624600000001</v>
      </c>
    </row>
    <row r="136" spans="2:11" ht="15.6" x14ac:dyDescent="0.35">
      <c r="B136" s="8">
        <v>2038</v>
      </c>
      <c r="C136" s="24"/>
      <c r="D136" s="26">
        <f>(Input!E48/1000000)*(1-Input!D96)</f>
        <v>9.916156560000001</v>
      </c>
      <c r="E136" s="26">
        <f>(Input!$C$16+Input!$C$18)/1000000</f>
        <v>3.829421</v>
      </c>
      <c r="F136" s="26">
        <f t="shared" si="39"/>
        <v>6.086735560000001</v>
      </c>
      <c r="G136" s="27">
        <f t="shared" si="35"/>
        <v>9.5823371000000002</v>
      </c>
      <c r="H136" s="26">
        <f t="shared" si="36"/>
        <v>-3.4956015399999991</v>
      </c>
      <c r="I136" s="26">
        <f t="shared" si="37"/>
        <v>0</v>
      </c>
      <c r="J136" s="26">
        <f t="shared" si="38"/>
        <v>-3.4956015399999991</v>
      </c>
      <c r="K136" s="29">
        <f t="shared" si="34"/>
        <v>6.086735560000001</v>
      </c>
    </row>
    <row r="137" spans="2:11" ht="15.6" x14ac:dyDescent="0.35">
      <c r="B137" s="8">
        <v>2039</v>
      </c>
      <c r="C137" s="24"/>
      <c r="D137" s="26">
        <f>(Input!E49/1000000)*(1-Input!D97)</f>
        <v>9.7672824399999989</v>
      </c>
      <c r="E137" s="26">
        <f>(Input!$C$16+Input!$C$18)/1000000</f>
        <v>3.829421</v>
      </c>
      <c r="F137" s="26">
        <f t="shared" si="39"/>
        <v>5.9378614399999989</v>
      </c>
      <c r="G137" s="27">
        <f t="shared" si="35"/>
        <v>9.5823371000000002</v>
      </c>
      <c r="H137" s="26">
        <f t="shared" si="36"/>
        <v>-3.6444756600000012</v>
      </c>
      <c r="I137" s="26">
        <f t="shared" si="37"/>
        <v>0</v>
      </c>
      <c r="J137" s="26">
        <f t="shared" si="38"/>
        <v>-3.6444756600000012</v>
      </c>
      <c r="K137" s="29">
        <f t="shared" si="34"/>
        <v>5.9378614399999989</v>
      </c>
    </row>
    <row r="138" spans="2:11" ht="15.6" x14ac:dyDescent="0.35">
      <c r="B138" s="8">
        <v>2040</v>
      </c>
      <c r="C138" s="22"/>
      <c r="D138" s="26">
        <f>(Input!E50/1000000)*(1-Input!D98)</f>
        <v>9.4175727899999995</v>
      </c>
      <c r="E138" s="26">
        <f>(Input!$C$16+Input!$C$18)/1000000</f>
        <v>3.829421</v>
      </c>
      <c r="F138" s="26">
        <f t="shared" si="39"/>
        <v>5.5881517899999995</v>
      </c>
      <c r="G138" s="27">
        <f t="shared" si="35"/>
        <v>9.5823371000000002</v>
      </c>
      <c r="H138" s="26">
        <f t="shared" si="36"/>
        <v>-3.9941853100000007</v>
      </c>
      <c r="I138" s="26">
        <f t="shared" si="37"/>
        <v>0</v>
      </c>
      <c r="J138" s="26">
        <f t="shared" si="38"/>
        <v>-3.9941853100000007</v>
      </c>
      <c r="K138" s="29">
        <f t="shared" si="34"/>
        <v>5.5881517899999995</v>
      </c>
    </row>
    <row r="139" spans="2:11" ht="15.6" x14ac:dyDescent="0.35">
      <c r="B139" s="8">
        <v>2041</v>
      </c>
      <c r="C139" s="22"/>
      <c r="D139" s="26">
        <f>(Input!E51/1000000)*(1-Input!D99)</f>
        <v>9.0871110399999999</v>
      </c>
      <c r="E139" s="26">
        <f>(Input!$C$16+Input!$C$18)/1000000</f>
        <v>3.829421</v>
      </c>
      <c r="F139" s="26">
        <f t="shared" si="39"/>
        <v>5.25769004</v>
      </c>
      <c r="G139" s="27">
        <f t="shared" si="35"/>
        <v>9.5823371000000002</v>
      </c>
      <c r="H139" s="26">
        <f t="shared" si="36"/>
        <v>-4.3246470600000002</v>
      </c>
      <c r="I139" s="26">
        <f t="shared" si="37"/>
        <v>0</v>
      </c>
      <c r="J139" s="26">
        <f t="shared" si="38"/>
        <v>-4.3246470600000002</v>
      </c>
      <c r="K139" s="29">
        <f t="shared" si="34"/>
        <v>5.25769004</v>
      </c>
    </row>
    <row r="140" spans="2:11" ht="15.6" x14ac:dyDescent="0.35">
      <c r="B140" s="8">
        <v>2042</v>
      </c>
      <c r="C140" s="22"/>
      <c r="D140" s="26">
        <f>(Input!E52/1000000)*(1-Input!D100)</f>
        <v>8.8001520500000012</v>
      </c>
      <c r="E140" s="26">
        <f>(Input!$C$16+Input!$C$18)/1000000</f>
        <v>3.829421</v>
      </c>
      <c r="F140" s="26">
        <f t="shared" si="39"/>
        <v>4.9707310500000013</v>
      </c>
      <c r="G140" s="27">
        <f t="shared" si="35"/>
        <v>9.5823371000000002</v>
      </c>
      <c r="H140" s="26">
        <f t="shared" si="36"/>
        <v>-4.6116060499999989</v>
      </c>
      <c r="I140" s="26">
        <f t="shared" si="37"/>
        <v>0</v>
      </c>
      <c r="J140" s="26">
        <f t="shared" si="38"/>
        <v>-4.6116060499999989</v>
      </c>
      <c r="K140" s="29">
        <f t="shared" si="34"/>
        <v>4.9707310500000013</v>
      </c>
    </row>
    <row r="141" spans="2:11" ht="15.6" x14ac:dyDescent="0.35">
      <c r="B141" s="8">
        <v>2043</v>
      </c>
      <c r="C141" s="22"/>
      <c r="D141" s="26">
        <f>(Input!E53/1000000)*(1-Input!D101)</f>
        <v>8.7127934399999987</v>
      </c>
      <c r="E141" s="26">
        <f>(Input!$C$16+Input!$C$18)/1000000</f>
        <v>3.829421</v>
      </c>
      <c r="F141" s="26">
        <f t="shared" si="39"/>
        <v>4.8833724399999987</v>
      </c>
      <c r="G141" s="27">
        <f t="shared" si="35"/>
        <v>9.5823371000000002</v>
      </c>
      <c r="H141" s="26">
        <f t="shared" si="36"/>
        <v>-4.6989646600000015</v>
      </c>
      <c r="I141" s="26">
        <f t="shared" si="37"/>
        <v>0</v>
      </c>
      <c r="J141" s="26">
        <f t="shared" si="38"/>
        <v>-4.6989646600000015</v>
      </c>
      <c r="K141" s="29">
        <f t="shared" si="34"/>
        <v>4.8833724399999987</v>
      </c>
    </row>
    <row r="142" spans="2:11" ht="15.6" x14ac:dyDescent="0.35">
      <c r="B142" s="8">
        <v>2044</v>
      </c>
      <c r="C142" s="22"/>
      <c r="D142" s="26">
        <f>(Input!E54/1000000)*(1-Input!D102)</f>
        <v>8.7127934399999987</v>
      </c>
      <c r="E142" s="26">
        <f>(Input!$C$16+Input!$C$18)/1000000</f>
        <v>3.829421</v>
      </c>
      <c r="F142" s="26">
        <f t="shared" si="39"/>
        <v>4.8833724399999987</v>
      </c>
      <c r="G142" s="27">
        <f t="shared" si="35"/>
        <v>9.5823371000000002</v>
      </c>
      <c r="H142" s="26">
        <f t="shared" si="36"/>
        <v>-4.6989646600000015</v>
      </c>
      <c r="I142" s="26">
        <f t="shared" si="37"/>
        <v>0</v>
      </c>
      <c r="J142" s="26">
        <f t="shared" si="38"/>
        <v>-4.6989646600000015</v>
      </c>
      <c r="K142" s="29">
        <f t="shared" si="34"/>
        <v>4.8833724399999987</v>
      </c>
    </row>
    <row r="143" spans="2:11" ht="15.6" x14ac:dyDescent="0.35">
      <c r="B143" s="8">
        <v>2045</v>
      </c>
      <c r="C143" s="22"/>
      <c r="D143" s="26">
        <f>(Input!E55/1000000)*(1-Input!D103)</f>
        <v>8.7127934399999987</v>
      </c>
      <c r="E143" s="26">
        <f>(Input!$C$16+Input!$C$18)/1000000</f>
        <v>3.829421</v>
      </c>
      <c r="F143" s="26">
        <f t="shared" si="39"/>
        <v>4.8833724399999987</v>
      </c>
      <c r="G143" s="27">
        <f t="shared" si="35"/>
        <v>9.5823371000000002</v>
      </c>
      <c r="H143" s="26">
        <f t="shared" si="36"/>
        <v>-4.6989646600000015</v>
      </c>
      <c r="I143" s="26">
        <f t="shared" si="37"/>
        <v>0</v>
      </c>
      <c r="J143" s="26">
        <f t="shared" si="38"/>
        <v>-4.6989646600000015</v>
      </c>
      <c r="K143" s="29">
        <f t="shared" si="34"/>
        <v>4.8833724399999987</v>
      </c>
    </row>
    <row r="144" spans="2:11" ht="16.2" thickBot="1" x14ac:dyDescent="0.4">
      <c r="B144" s="10"/>
      <c r="C144" s="11"/>
      <c r="D144" s="12"/>
      <c r="E144" s="12"/>
      <c r="F144" s="12"/>
      <c r="G144" s="12"/>
      <c r="H144" s="12"/>
      <c r="I144" s="13"/>
      <c r="J144" s="56" t="s">
        <v>10</v>
      </c>
      <c r="K144" s="57">
        <f>IRR(K123:K143)</f>
        <v>1.3656631769452421E-2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F444-398A-41D3-A4A0-BD66A0FBF2F0}">
  <dimension ref="A1:T47"/>
  <sheetViews>
    <sheetView zoomScale="85" zoomScaleNormal="85" workbookViewId="0">
      <selection activeCell="P48" sqref="P48"/>
    </sheetView>
  </sheetViews>
  <sheetFormatPr defaultRowHeight="14.4" x14ac:dyDescent="0.3"/>
  <cols>
    <col min="2" max="2" width="13.44140625" bestFit="1" customWidth="1"/>
    <col min="3" max="10" width="13.5546875" customWidth="1"/>
    <col min="11" max="11" width="17.5546875" customWidth="1"/>
    <col min="12" max="12" width="13.5546875" customWidth="1"/>
    <col min="13" max="14" width="7.88671875" customWidth="1"/>
    <col min="15" max="15" width="16" bestFit="1" customWidth="1"/>
    <col min="16" max="16" width="26.88671875" bestFit="1" customWidth="1"/>
    <col min="18" max="18" width="15.6640625" bestFit="1" customWidth="1"/>
  </cols>
  <sheetData>
    <row r="1" spans="1:20" ht="52.8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15</v>
      </c>
      <c r="H1" s="3" t="s">
        <v>6</v>
      </c>
      <c r="I1" s="3" t="s">
        <v>7</v>
      </c>
      <c r="J1" s="3" t="s">
        <v>8</v>
      </c>
      <c r="K1" s="15" t="str">
        <f>P1</f>
        <v>Δόση αποπληρωμής δανείου (Μ€)</v>
      </c>
      <c r="L1" s="5" t="s">
        <v>9</v>
      </c>
      <c r="M1" s="3" t="s">
        <v>49</v>
      </c>
      <c r="N1" s="62"/>
      <c r="O1" s="2" t="s">
        <v>11</v>
      </c>
      <c r="P1" s="3" t="s">
        <v>12</v>
      </c>
      <c r="Q1" s="3" t="s">
        <v>13</v>
      </c>
      <c r="R1" s="16" t="s">
        <v>14</v>
      </c>
    </row>
    <row r="2" spans="1:20" ht="15.6" x14ac:dyDescent="0.35">
      <c r="A2" s="6">
        <v>2023</v>
      </c>
      <c r="B2" s="7">
        <f>'Project IRR'!C2*(1-Input!$C$29)</f>
        <v>-25.912119999999994</v>
      </c>
      <c r="C2" s="25">
        <f>'Project IRR'!D2</f>
        <v>0</v>
      </c>
      <c r="D2" s="25">
        <f>'Project IRR'!E2</f>
        <v>0</v>
      </c>
      <c r="E2" s="25">
        <f>'Project IRR'!F2</f>
        <v>0</v>
      </c>
      <c r="F2" s="25">
        <f>'Project IRR'!G2</f>
        <v>0</v>
      </c>
      <c r="G2" s="28">
        <f t="shared" ref="G2:G22" si="0">Q2</f>
        <v>0</v>
      </c>
      <c r="H2" s="25">
        <f>E2-F2-G2</f>
        <v>0</v>
      </c>
      <c r="I2" s="25">
        <f>IF(H2&lt;0,0,Input!$C$33*H2)</f>
        <v>0</v>
      </c>
      <c r="J2" s="28">
        <f>H2-I2</f>
        <v>0</v>
      </c>
      <c r="K2" s="28">
        <f t="shared" ref="K2:K22" si="1">-P2</f>
        <v>0</v>
      </c>
      <c r="L2" s="30">
        <f t="shared" ref="L2:L22" si="2">J2+F2+B2+K2</f>
        <v>-25.912119999999994</v>
      </c>
      <c r="M2" s="32"/>
      <c r="O2" s="17">
        <f>Input!$C$9*Input!$C$29/1000000</f>
        <v>83.558784000000003</v>
      </c>
      <c r="P2" s="18"/>
      <c r="Q2" s="18"/>
      <c r="R2" s="19">
        <f>O2-P2</f>
        <v>83.558784000000003</v>
      </c>
      <c r="T2" s="14"/>
    </row>
    <row r="3" spans="1:20" ht="15.6" x14ac:dyDescent="0.35">
      <c r="A3" s="8">
        <v>2024</v>
      </c>
      <c r="B3" s="9"/>
      <c r="C3" s="26">
        <f>'Project IRR'!D3</f>
        <v>16.156759300000001</v>
      </c>
      <c r="D3" s="26">
        <f>'Project IRR'!E3</f>
        <v>2.5217480000000001</v>
      </c>
      <c r="E3" s="26">
        <f>'Project IRR'!F3</f>
        <v>13.6350113</v>
      </c>
      <c r="F3" s="26">
        <f>'Project IRR'!G3</f>
        <v>6.4780299999999995</v>
      </c>
      <c r="G3" s="27">
        <f t="shared" si="0"/>
        <v>4.5957331200000002</v>
      </c>
      <c r="H3" s="26">
        <f>E3-F3-G3</f>
        <v>2.5612481800000007</v>
      </c>
      <c r="I3" s="26">
        <f>IF(H3&lt;0,0,Input!$C$33*H3)</f>
        <v>0.56347459960000013</v>
      </c>
      <c r="J3" s="27">
        <f>H3-I3</f>
        <v>1.9977735804000005</v>
      </c>
      <c r="K3" s="27">
        <f t="shared" si="1"/>
        <v>-4.6421546666666664</v>
      </c>
      <c r="L3" s="29">
        <f t="shared" si="2"/>
        <v>3.8336489137333345</v>
      </c>
      <c r="M3" s="32">
        <f>E3/(G3-K3)</f>
        <v>1.4759879763510269</v>
      </c>
      <c r="N3" s="32"/>
      <c r="O3" s="17">
        <f>R2</f>
        <v>83.558784000000003</v>
      </c>
      <c r="P3" s="18">
        <f>$O$2/18</f>
        <v>4.6421546666666664</v>
      </c>
      <c r="Q3" s="18">
        <f>Input!$C$32*O3</f>
        <v>4.5957331200000002</v>
      </c>
      <c r="R3" s="19">
        <f>O3-P3</f>
        <v>78.916629333333333</v>
      </c>
      <c r="T3" s="14"/>
    </row>
    <row r="4" spans="1:20" ht="15.6" x14ac:dyDescent="0.35">
      <c r="A4" s="8">
        <v>2025</v>
      </c>
      <c r="B4" s="9"/>
      <c r="C4" s="26">
        <f>'Project IRR'!D4</f>
        <v>15.995191707</v>
      </c>
      <c r="D4" s="26">
        <f>'Project IRR'!E4</f>
        <v>2.5217480000000001</v>
      </c>
      <c r="E4" s="26">
        <f>'Project IRR'!F4</f>
        <v>13.473443706999999</v>
      </c>
      <c r="F4" s="26">
        <f>'Project IRR'!G4</f>
        <v>6.4780299999999995</v>
      </c>
      <c r="G4" s="27">
        <f t="shared" si="0"/>
        <v>4.3404146133333334</v>
      </c>
      <c r="H4" s="26">
        <f t="shared" ref="H4:H22" si="3">E4-F4-G4</f>
        <v>2.6549990936666665</v>
      </c>
      <c r="I4" s="26">
        <f>IF(H4&lt;0,0,Input!$C$33*H4)</f>
        <v>0.58409980060666666</v>
      </c>
      <c r="J4" s="27">
        <f t="shared" ref="J4:J22" si="4">H4-I4</f>
        <v>2.0708992930600001</v>
      </c>
      <c r="K4" s="27">
        <f t="shared" si="1"/>
        <v>-4.6421546666666664</v>
      </c>
      <c r="L4" s="29">
        <f t="shared" si="2"/>
        <v>3.9067746263933323</v>
      </c>
      <c r="M4" s="32">
        <f t="shared" ref="M4:M20" si="5">E4/(G4-K4)</f>
        <v>1.4999543323310722</v>
      </c>
      <c r="N4" s="32"/>
      <c r="O4" s="17">
        <f t="shared" ref="O4:O20" si="6">R3</f>
        <v>78.916629333333333</v>
      </c>
      <c r="P4" s="18">
        <f t="shared" ref="P4:P20" si="7">$O$2/18</f>
        <v>4.6421546666666664</v>
      </c>
      <c r="Q4" s="18">
        <f>Input!$C$32*O4</f>
        <v>4.3404146133333334</v>
      </c>
      <c r="R4" s="19">
        <f t="shared" ref="R4:R20" si="8">O4-P4</f>
        <v>74.274474666666663</v>
      </c>
      <c r="T4" s="14"/>
    </row>
    <row r="5" spans="1:20" ht="15.6" x14ac:dyDescent="0.35">
      <c r="A5" s="8">
        <v>2026</v>
      </c>
      <c r="B5" s="9"/>
      <c r="C5" s="26">
        <f>'Project IRR'!D5</f>
        <v>15.83523978993</v>
      </c>
      <c r="D5" s="26">
        <f>'Project IRR'!E5</f>
        <v>2.5217480000000001</v>
      </c>
      <c r="E5" s="26">
        <f>'Project IRR'!F5</f>
        <v>13.31349178993</v>
      </c>
      <c r="F5" s="26">
        <f>'Project IRR'!G5</f>
        <v>6.4780299999999995</v>
      </c>
      <c r="G5" s="27">
        <f t="shared" si="0"/>
        <v>4.0850961066666667</v>
      </c>
      <c r="H5" s="26">
        <f t="shared" si="3"/>
        <v>2.7503656832633334</v>
      </c>
      <c r="I5" s="26">
        <f>IF(H5&lt;0,0,Input!$C$33*H5)</f>
        <v>0.60508045031793334</v>
      </c>
      <c r="J5" s="27">
        <f t="shared" si="4"/>
        <v>2.1452852329454002</v>
      </c>
      <c r="K5" s="27">
        <f t="shared" si="1"/>
        <v>-4.6421546666666664</v>
      </c>
      <c r="L5" s="29">
        <f t="shared" si="2"/>
        <v>3.9811605662787333</v>
      </c>
      <c r="M5" s="32">
        <f t="shared" si="5"/>
        <v>1.5255081050965347</v>
      </c>
      <c r="N5" s="32"/>
      <c r="O5" s="17">
        <f t="shared" si="6"/>
        <v>74.274474666666663</v>
      </c>
      <c r="P5" s="18">
        <f t="shared" si="7"/>
        <v>4.6421546666666664</v>
      </c>
      <c r="Q5" s="18">
        <f>Input!$C$32*O5</f>
        <v>4.0850961066666667</v>
      </c>
      <c r="R5" s="19">
        <f t="shared" si="8"/>
        <v>69.632319999999993</v>
      </c>
      <c r="T5" s="14"/>
    </row>
    <row r="6" spans="1:20" ht="15.6" x14ac:dyDescent="0.35">
      <c r="A6" s="8">
        <v>2027</v>
      </c>
      <c r="B6" s="9"/>
      <c r="C6" s="26">
        <f>'Project IRR'!D6</f>
        <v>15.6768873920307</v>
      </c>
      <c r="D6" s="26">
        <f>'Project IRR'!E6</f>
        <v>2.5217480000000001</v>
      </c>
      <c r="E6" s="26">
        <f>'Project IRR'!F6</f>
        <v>13.1551393920307</v>
      </c>
      <c r="F6" s="26">
        <f>'Project IRR'!G6</f>
        <v>6.4780299999999995</v>
      </c>
      <c r="G6" s="27">
        <f t="shared" si="0"/>
        <v>3.8297775999999994</v>
      </c>
      <c r="H6" s="26">
        <f t="shared" si="3"/>
        <v>2.8473317920307006</v>
      </c>
      <c r="I6" s="26">
        <f>IF(H6&lt;0,0,Input!$C$33*H6)</f>
        <v>0.62641299424675412</v>
      </c>
      <c r="J6" s="27">
        <f t="shared" si="4"/>
        <v>2.2209187977839466</v>
      </c>
      <c r="K6" s="27">
        <f t="shared" si="1"/>
        <v>-4.6421546666666664</v>
      </c>
      <c r="L6" s="29">
        <f t="shared" si="2"/>
        <v>4.0567941311172788</v>
      </c>
      <c r="M6" s="32">
        <f t="shared" si="5"/>
        <v>1.5527909074285682</v>
      </c>
      <c r="N6" s="32"/>
      <c r="O6" s="17">
        <f t="shared" si="6"/>
        <v>69.632319999999993</v>
      </c>
      <c r="P6" s="18">
        <f t="shared" si="7"/>
        <v>4.6421546666666664</v>
      </c>
      <c r="Q6" s="18">
        <f>Input!$C$32*O6</f>
        <v>3.8297775999999994</v>
      </c>
      <c r="R6" s="19">
        <f t="shared" si="8"/>
        <v>64.990165333333323</v>
      </c>
      <c r="T6" s="14"/>
    </row>
    <row r="7" spans="1:20" ht="15.6" x14ac:dyDescent="0.35">
      <c r="A7" s="8">
        <v>2028</v>
      </c>
      <c r="B7" s="9"/>
      <c r="C7" s="26">
        <f>'Project IRR'!D7</f>
        <v>15.520118518110394</v>
      </c>
      <c r="D7" s="26">
        <f>'Project IRR'!E7</f>
        <v>2.5217480000000001</v>
      </c>
      <c r="E7" s="26">
        <f>'Project IRR'!F7</f>
        <v>12.998370518110393</v>
      </c>
      <c r="F7" s="26">
        <f>'Project IRR'!G7</f>
        <v>6.4780299999999995</v>
      </c>
      <c r="G7" s="27">
        <f t="shared" si="0"/>
        <v>3.5744590933333327</v>
      </c>
      <c r="H7" s="26">
        <f t="shared" si="3"/>
        <v>2.9458814247770611</v>
      </c>
      <c r="I7" s="26">
        <f>IF(H7&lt;0,0,Input!$C$33*H7)</f>
        <v>0.64809391345095346</v>
      </c>
      <c r="J7" s="27">
        <f t="shared" si="4"/>
        <v>2.2977875113261077</v>
      </c>
      <c r="K7" s="27">
        <f t="shared" si="1"/>
        <v>-4.6421546666666664</v>
      </c>
      <c r="L7" s="29">
        <f t="shared" si="2"/>
        <v>4.1336628446594403</v>
      </c>
      <c r="M7" s="32">
        <f t="shared" si="5"/>
        <v>1.5819619733604704</v>
      </c>
      <c r="N7" s="32"/>
      <c r="O7" s="17">
        <f t="shared" si="6"/>
        <v>64.990165333333323</v>
      </c>
      <c r="P7" s="18">
        <f t="shared" si="7"/>
        <v>4.6421546666666664</v>
      </c>
      <c r="Q7" s="18">
        <f>Input!$C$32*O7</f>
        <v>3.5744590933333327</v>
      </c>
      <c r="R7" s="19">
        <f t="shared" si="8"/>
        <v>60.348010666666653</v>
      </c>
      <c r="T7" s="14"/>
    </row>
    <row r="8" spans="1:20" ht="15.6" x14ac:dyDescent="0.35">
      <c r="A8" s="8">
        <v>2029</v>
      </c>
      <c r="B8" s="9"/>
      <c r="C8" s="26">
        <f>'Project IRR'!D8</f>
        <v>15.36491733292929</v>
      </c>
      <c r="D8" s="26">
        <f>'Project IRR'!E8</f>
        <v>2.5217480000000001</v>
      </c>
      <c r="E8" s="26">
        <f>'Project IRR'!F8</f>
        <v>12.843169332929289</v>
      </c>
      <c r="F8" s="26">
        <f>'Project IRR'!G8</f>
        <v>6.4780299999999995</v>
      </c>
      <c r="G8" s="27">
        <f t="shared" si="0"/>
        <v>3.3191405866666659</v>
      </c>
      <c r="H8" s="26">
        <f t="shared" si="3"/>
        <v>3.0459987462626237</v>
      </c>
      <c r="I8" s="26">
        <f>IF(H8&lt;0,0,Input!$C$33*H8)</f>
        <v>0.67011972417777721</v>
      </c>
      <c r="J8" s="27">
        <f t="shared" si="4"/>
        <v>2.3758790220848462</v>
      </c>
      <c r="K8" s="27">
        <f t="shared" si="1"/>
        <v>-4.6421546666666664</v>
      </c>
      <c r="L8" s="29">
        <f t="shared" si="2"/>
        <v>4.2117543554181793</v>
      </c>
      <c r="M8" s="32">
        <f t="shared" si="5"/>
        <v>1.6132009835399528</v>
      </c>
      <c r="N8" s="32"/>
      <c r="O8" s="17">
        <f t="shared" si="6"/>
        <v>60.348010666666653</v>
      </c>
      <c r="P8" s="18">
        <f t="shared" si="7"/>
        <v>4.6421546666666664</v>
      </c>
      <c r="Q8" s="18">
        <f>Input!$C$32*O8</f>
        <v>3.3191405866666659</v>
      </c>
      <c r="R8" s="19">
        <f t="shared" si="8"/>
        <v>55.705855999999983</v>
      </c>
      <c r="T8" s="14"/>
    </row>
    <row r="9" spans="1:20" ht="15.6" x14ac:dyDescent="0.35">
      <c r="A9" s="8">
        <v>2030</v>
      </c>
      <c r="B9" s="9"/>
      <c r="C9" s="26">
        <f>'Project IRR'!D9</f>
        <v>15.211268159599996</v>
      </c>
      <c r="D9" s="26">
        <f>'Project IRR'!E9</f>
        <v>2.5217480000000001</v>
      </c>
      <c r="E9" s="26">
        <f>'Project IRR'!F9</f>
        <v>12.689520159599995</v>
      </c>
      <c r="F9" s="26">
        <f>'Project IRR'!G9</f>
        <v>6.4780299999999995</v>
      </c>
      <c r="G9" s="27">
        <f t="shared" si="0"/>
        <v>3.0638220799999991</v>
      </c>
      <c r="H9" s="26">
        <f t="shared" si="3"/>
        <v>3.1476680795999967</v>
      </c>
      <c r="I9" s="26">
        <f>IF(H9&lt;0,0,Input!$C$33*H9)</f>
        <v>0.69248697751199928</v>
      </c>
      <c r="J9" s="27">
        <f t="shared" si="4"/>
        <v>2.4551811020879972</v>
      </c>
      <c r="K9" s="27">
        <f t="shared" si="1"/>
        <v>-4.6421546666666664</v>
      </c>
      <c r="L9" s="29">
        <f t="shared" si="2"/>
        <v>4.2910564354213303</v>
      </c>
      <c r="M9" s="32">
        <f t="shared" si="5"/>
        <v>1.6467114522619128</v>
      </c>
      <c r="N9" s="32"/>
      <c r="O9" s="17">
        <f t="shared" si="6"/>
        <v>55.705855999999983</v>
      </c>
      <c r="P9" s="18">
        <f t="shared" si="7"/>
        <v>4.6421546666666664</v>
      </c>
      <c r="Q9" s="18">
        <f>Input!$C$32*O9</f>
        <v>3.0638220799999991</v>
      </c>
      <c r="R9" s="19">
        <f t="shared" si="8"/>
        <v>51.063701333333313</v>
      </c>
      <c r="T9" s="14"/>
    </row>
    <row r="10" spans="1:20" ht="15.6" x14ac:dyDescent="0.35">
      <c r="A10" s="8">
        <v>2031</v>
      </c>
      <c r="B10" s="9"/>
      <c r="C10" s="26">
        <f>'Project IRR'!D10</f>
        <v>15.059155478003996</v>
      </c>
      <c r="D10" s="26">
        <f>'Project IRR'!E10</f>
        <v>2.5217480000000001</v>
      </c>
      <c r="E10" s="26">
        <f>'Project IRR'!F10</f>
        <v>12.537407478003995</v>
      </c>
      <c r="F10" s="26">
        <f>'Project IRR'!G10</f>
        <v>6.4780299999999995</v>
      </c>
      <c r="G10" s="27">
        <f t="shared" si="0"/>
        <v>2.8085035733333323</v>
      </c>
      <c r="H10" s="26">
        <f t="shared" si="3"/>
        <v>3.2508739046706636</v>
      </c>
      <c r="I10" s="26">
        <f>IF(H10&lt;0,0,Input!$C$33*H10)</f>
        <v>0.71519225902754602</v>
      </c>
      <c r="J10" s="27">
        <f t="shared" si="4"/>
        <v>2.5356816456431175</v>
      </c>
      <c r="K10" s="27">
        <f t="shared" si="1"/>
        <v>-4.6421546666666664</v>
      </c>
      <c r="L10" s="29">
        <f t="shared" si="2"/>
        <v>4.3715569789764501</v>
      </c>
      <c r="M10" s="32">
        <f t="shared" si="5"/>
        <v>1.6827248109026132</v>
      </c>
      <c r="N10" s="32"/>
      <c r="O10" s="17">
        <f t="shared" si="6"/>
        <v>51.063701333333313</v>
      </c>
      <c r="P10" s="18">
        <f t="shared" si="7"/>
        <v>4.6421546666666664</v>
      </c>
      <c r="Q10" s="18">
        <f>Input!$C$32*O10</f>
        <v>2.8085035733333323</v>
      </c>
      <c r="R10" s="19">
        <f t="shared" si="8"/>
        <v>46.421546666666643</v>
      </c>
      <c r="T10" s="14"/>
    </row>
    <row r="11" spans="1:20" ht="15.6" x14ac:dyDescent="0.35">
      <c r="A11" s="8">
        <v>2032</v>
      </c>
      <c r="B11" s="9"/>
      <c r="C11" s="26">
        <f>'Project IRR'!D11</f>
        <v>14.908563923223955</v>
      </c>
      <c r="D11" s="26">
        <f>'Project IRR'!E11</f>
        <v>2.5217480000000001</v>
      </c>
      <c r="E11" s="26">
        <f>'Project IRR'!F11</f>
        <v>12.386815923223955</v>
      </c>
      <c r="F11" s="26">
        <f>'Project IRR'!G11</f>
        <v>6.4780299999999995</v>
      </c>
      <c r="G11" s="27">
        <f t="shared" si="0"/>
        <v>2.5531850666666656</v>
      </c>
      <c r="H11" s="26">
        <f t="shared" si="3"/>
        <v>3.3556008565572895</v>
      </c>
      <c r="I11" s="26">
        <f>IF(H11&lt;0,0,Input!$C$33*H11)</f>
        <v>0.73823218844260363</v>
      </c>
      <c r="J11" s="27">
        <f t="shared" si="4"/>
        <v>2.6173686681146857</v>
      </c>
      <c r="K11" s="27">
        <f t="shared" si="1"/>
        <v>-4.6421546666666664</v>
      </c>
      <c r="L11" s="29">
        <f t="shared" si="2"/>
        <v>4.4532440014480184</v>
      </c>
      <c r="M11" s="32">
        <f t="shared" si="5"/>
        <v>1.7215053607323703</v>
      </c>
      <c r="N11" s="32"/>
      <c r="O11" s="17">
        <f t="shared" si="6"/>
        <v>46.421546666666643</v>
      </c>
      <c r="P11" s="18">
        <f t="shared" si="7"/>
        <v>4.6421546666666664</v>
      </c>
      <c r="Q11" s="18">
        <f>Input!$C$32*O11</f>
        <v>2.5531850666666656</v>
      </c>
      <c r="R11" s="19">
        <f t="shared" si="8"/>
        <v>41.779391999999973</v>
      </c>
      <c r="T11" s="14"/>
    </row>
    <row r="12" spans="1:20" ht="15.6" x14ac:dyDescent="0.35">
      <c r="A12" s="8">
        <v>2033</v>
      </c>
      <c r="B12" s="9"/>
      <c r="C12" s="26">
        <f>'Project IRR'!D12</f>
        <v>14.759478283991715</v>
      </c>
      <c r="D12" s="26">
        <f>'Project IRR'!E12</f>
        <v>2.5217480000000001</v>
      </c>
      <c r="E12" s="26">
        <f>'Project IRR'!F12</f>
        <v>12.237730283991715</v>
      </c>
      <c r="F12" s="26">
        <f>'Project IRR'!G12</f>
        <v>6.4780299999999995</v>
      </c>
      <c r="G12" s="27">
        <f t="shared" si="0"/>
        <v>2.2978665599999983</v>
      </c>
      <c r="H12" s="26">
        <f t="shared" si="3"/>
        <v>3.4618337239917167</v>
      </c>
      <c r="I12" s="26">
        <f>IF(H12&lt;0,0,Input!$C$33*H12)</f>
        <v>0.76160341927817765</v>
      </c>
      <c r="J12" s="27">
        <f t="shared" si="4"/>
        <v>2.7002303047135392</v>
      </c>
      <c r="K12" s="27">
        <f t="shared" si="1"/>
        <v>-4.6421546666666664</v>
      </c>
      <c r="L12" s="29">
        <f t="shared" si="2"/>
        <v>4.5361056380468732</v>
      </c>
      <c r="M12" s="32">
        <f t="shared" si="5"/>
        <v>1.7633563189935044</v>
      </c>
      <c r="N12" s="32"/>
      <c r="O12" s="17">
        <f t="shared" si="6"/>
        <v>41.779391999999973</v>
      </c>
      <c r="P12" s="18">
        <f t="shared" si="7"/>
        <v>4.6421546666666664</v>
      </c>
      <c r="Q12" s="18">
        <f>Input!$C$32*O12</f>
        <v>2.2978665599999983</v>
      </c>
      <c r="R12" s="19">
        <f t="shared" si="8"/>
        <v>37.137237333333303</v>
      </c>
      <c r="T12" s="14"/>
    </row>
    <row r="13" spans="1:20" ht="15.6" x14ac:dyDescent="0.35">
      <c r="A13" s="8">
        <v>2034</v>
      </c>
      <c r="B13" s="9"/>
      <c r="C13" s="26">
        <f>'Project IRR'!D13</f>
        <v>14.611883501151798</v>
      </c>
      <c r="D13" s="26">
        <f>'Project IRR'!E13</f>
        <v>2.5217480000000001</v>
      </c>
      <c r="E13" s="26">
        <f>'Project IRR'!F13</f>
        <v>12.090135501151797</v>
      </c>
      <c r="F13" s="26">
        <f>'Project IRR'!G13</f>
        <v>6.4780299999999995</v>
      </c>
      <c r="G13" s="27">
        <f t="shared" si="0"/>
        <v>2.0425480533333316</v>
      </c>
      <c r="H13" s="26">
        <f t="shared" si="3"/>
        <v>3.5695574478184664</v>
      </c>
      <c r="I13" s="26">
        <f>IF(H13&lt;0,0,Input!$C$33*H13)</f>
        <v>0.78530263852006266</v>
      </c>
      <c r="J13" s="27">
        <f t="shared" si="4"/>
        <v>2.7842548092984036</v>
      </c>
      <c r="K13" s="27">
        <f t="shared" si="1"/>
        <v>-4.6421546666666664</v>
      </c>
      <c r="L13" s="29">
        <f t="shared" si="2"/>
        <v>4.6201301426317372</v>
      </c>
      <c r="M13" s="32">
        <f t="shared" si="5"/>
        <v>1.8086272505401408</v>
      </c>
      <c r="N13" s="32"/>
      <c r="O13" s="17">
        <f t="shared" si="6"/>
        <v>37.137237333333303</v>
      </c>
      <c r="P13" s="18">
        <f t="shared" si="7"/>
        <v>4.6421546666666664</v>
      </c>
      <c r="Q13" s="18">
        <f>Input!$C$32*O13</f>
        <v>2.0425480533333316</v>
      </c>
      <c r="R13" s="19">
        <f t="shared" si="8"/>
        <v>32.495082666666633</v>
      </c>
      <c r="T13" s="14"/>
    </row>
    <row r="14" spans="1:20" ht="15.6" x14ac:dyDescent="0.35">
      <c r="A14" s="8">
        <v>2035</v>
      </c>
      <c r="B14" s="9"/>
      <c r="C14" s="26">
        <f>'Project IRR'!D14</f>
        <v>14.465764666140281</v>
      </c>
      <c r="D14" s="26">
        <f>'Project IRR'!E14</f>
        <v>2.5217480000000001</v>
      </c>
      <c r="E14" s="26">
        <f>'Project IRR'!F14</f>
        <v>11.94401666614028</v>
      </c>
      <c r="F14" s="26">
        <f>'Project IRR'!G14</f>
        <v>6.4780299999999995</v>
      </c>
      <c r="G14" s="27">
        <f t="shared" si="0"/>
        <v>1.7872295466666648</v>
      </c>
      <c r="H14" s="26">
        <f t="shared" si="3"/>
        <v>3.6787571194736159</v>
      </c>
      <c r="I14" s="26">
        <f>IF(H14&lt;0,0,Input!$C$33*H14)</f>
        <v>0.80932656628419553</v>
      </c>
      <c r="J14" s="27">
        <f t="shared" si="4"/>
        <v>2.8694305531894204</v>
      </c>
      <c r="K14" s="27">
        <f t="shared" si="1"/>
        <v>-4.6421546666666664</v>
      </c>
      <c r="L14" s="29">
        <f t="shared" si="2"/>
        <v>4.7053058865227531</v>
      </c>
      <c r="M14" s="32">
        <f t="shared" si="5"/>
        <v>1.8577232701960229</v>
      </c>
      <c r="N14" s="32"/>
      <c r="O14" s="17">
        <f t="shared" si="6"/>
        <v>32.495082666666633</v>
      </c>
      <c r="P14" s="18">
        <f t="shared" si="7"/>
        <v>4.6421546666666664</v>
      </c>
      <c r="Q14" s="18">
        <f>Input!$C$32*O14</f>
        <v>1.7872295466666648</v>
      </c>
      <c r="R14" s="19">
        <f t="shared" si="8"/>
        <v>27.852927999999967</v>
      </c>
      <c r="T14" s="14"/>
    </row>
    <row r="15" spans="1:20" ht="15.6" x14ac:dyDescent="0.35">
      <c r="A15" s="8">
        <v>2036</v>
      </c>
      <c r="B15" s="9"/>
      <c r="C15" s="26">
        <f>'Project IRR'!D15</f>
        <v>14.321107019478879</v>
      </c>
      <c r="D15" s="26">
        <f>'Project IRR'!E15</f>
        <v>2.5217480000000001</v>
      </c>
      <c r="E15" s="26">
        <f>'Project IRR'!F15</f>
        <v>11.799359019478878</v>
      </c>
      <c r="F15" s="26">
        <f>'Project IRR'!G15</f>
        <v>6.4780299999999995</v>
      </c>
      <c r="G15" s="27">
        <f t="shared" si="0"/>
        <v>1.5319110399999982</v>
      </c>
      <c r="H15" s="26">
        <f t="shared" si="3"/>
        <v>3.7894179794788805</v>
      </c>
      <c r="I15" s="26">
        <f>IF(H15&lt;0,0,Input!$C$33*H15)</f>
        <v>0.83367195548535367</v>
      </c>
      <c r="J15" s="27">
        <f t="shared" si="4"/>
        <v>2.9557460239935267</v>
      </c>
      <c r="K15" s="27">
        <f t="shared" si="1"/>
        <v>-4.6421546666666664</v>
      </c>
      <c r="L15" s="29">
        <f t="shared" si="2"/>
        <v>4.7916213573268607</v>
      </c>
      <c r="M15" s="32">
        <f t="shared" si="5"/>
        <v>1.9111165284065741</v>
      </c>
      <c r="N15" s="32"/>
      <c r="O15" s="17">
        <f t="shared" si="6"/>
        <v>27.852927999999967</v>
      </c>
      <c r="P15" s="18">
        <f t="shared" si="7"/>
        <v>4.6421546666666664</v>
      </c>
      <c r="Q15" s="18">
        <f>Input!$C$32*O15</f>
        <v>1.5319110399999982</v>
      </c>
      <c r="R15" s="19">
        <f t="shared" si="8"/>
        <v>23.2107733333333</v>
      </c>
      <c r="T15" s="14"/>
    </row>
    <row r="16" spans="1:20" ht="15.6" x14ac:dyDescent="0.35">
      <c r="A16" s="8">
        <v>2037</v>
      </c>
      <c r="B16" s="9"/>
      <c r="C16" s="26">
        <f>'Project IRR'!D16</f>
        <v>14.177895949284089</v>
      </c>
      <c r="D16" s="26">
        <f>'Project IRR'!E16</f>
        <v>2.5217480000000001</v>
      </c>
      <c r="E16" s="26">
        <f>'Project IRR'!F16</f>
        <v>11.656147949284088</v>
      </c>
      <c r="F16" s="26">
        <f>'Project IRR'!G16</f>
        <v>6.4780299999999995</v>
      </c>
      <c r="G16" s="27">
        <f t="shared" si="0"/>
        <v>1.2765925333333314</v>
      </c>
      <c r="H16" s="26">
        <f t="shared" si="3"/>
        <v>3.9015254159507577</v>
      </c>
      <c r="I16" s="26">
        <f>IF(H16&lt;0,0,Input!$C$33*H16)</f>
        <v>0.85833559150916672</v>
      </c>
      <c r="J16" s="27">
        <f t="shared" si="4"/>
        <v>3.0431898244415909</v>
      </c>
      <c r="K16" s="27">
        <f t="shared" si="1"/>
        <v>-4.6421546666666664</v>
      </c>
      <c r="L16" s="29">
        <f t="shared" si="2"/>
        <v>4.8790651577749244</v>
      </c>
      <c r="M16" s="32">
        <f t="shared" si="5"/>
        <v>1.9693606696505119</v>
      </c>
      <c r="N16" s="32"/>
      <c r="O16" s="17">
        <f t="shared" si="6"/>
        <v>23.2107733333333</v>
      </c>
      <c r="P16" s="18">
        <f t="shared" si="7"/>
        <v>4.6421546666666664</v>
      </c>
      <c r="Q16" s="18">
        <f>Input!$C$32*O16</f>
        <v>1.2765925333333314</v>
      </c>
      <c r="R16" s="19">
        <f t="shared" si="8"/>
        <v>18.568618666666634</v>
      </c>
      <c r="T16" s="14"/>
    </row>
    <row r="17" spans="1:20" ht="15.6" x14ac:dyDescent="0.35">
      <c r="A17" s="8">
        <v>2038</v>
      </c>
      <c r="B17" s="9"/>
      <c r="C17" s="26">
        <f>'Project IRR'!D17</f>
        <v>14.036116989791248</v>
      </c>
      <c r="D17" s="26">
        <f>'Project IRR'!E17</f>
        <v>2.5217480000000001</v>
      </c>
      <c r="E17" s="26">
        <f>'Project IRR'!F17</f>
        <v>11.514368989791247</v>
      </c>
      <c r="F17" s="26">
        <f>'Project IRR'!G17</f>
        <v>6.4780299999999995</v>
      </c>
      <c r="G17" s="27">
        <f t="shared" si="0"/>
        <v>1.0212740266666649</v>
      </c>
      <c r="H17" s="26">
        <f t="shared" si="3"/>
        <v>4.0150649631245834</v>
      </c>
      <c r="I17" s="26">
        <f>IF(H17&lt;0,0,Input!$C$33*H17)</f>
        <v>0.8833142918874084</v>
      </c>
      <c r="J17" s="27">
        <f t="shared" si="4"/>
        <v>3.131750671237175</v>
      </c>
      <c r="K17" s="27">
        <f t="shared" si="1"/>
        <v>-4.6421546666666664</v>
      </c>
      <c r="L17" s="29">
        <f t="shared" si="2"/>
        <v>4.9676260045705085</v>
      </c>
      <c r="M17" s="32">
        <f t="shared" si="5"/>
        <v>2.0331092017359222</v>
      </c>
      <c r="N17" s="32"/>
      <c r="O17" s="17">
        <f t="shared" si="6"/>
        <v>18.568618666666634</v>
      </c>
      <c r="P17" s="18">
        <f t="shared" si="7"/>
        <v>4.6421546666666664</v>
      </c>
      <c r="Q17" s="18">
        <f>Input!$C$32*O17</f>
        <v>1.0212740266666649</v>
      </c>
      <c r="R17" s="19">
        <f t="shared" si="8"/>
        <v>13.926463999999967</v>
      </c>
      <c r="T17" s="14"/>
    </row>
    <row r="18" spans="1:20" ht="15.6" x14ac:dyDescent="0.35">
      <c r="A18" s="8">
        <v>2039</v>
      </c>
      <c r="B18" s="9"/>
      <c r="C18" s="26">
        <f>'Project IRR'!D18</f>
        <v>13.895755819893335</v>
      </c>
      <c r="D18" s="26">
        <f>'Project IRR'!E18</f>
        <v>2.5217480000000001</v>
      </c>
      <c r="E18" s="26">
        <f>'Project IRR'!F18</f>
        <v>11.374007819893334</v>
      </c>
      <c r="F18" s="26">
        <f>'Project IRR'!G18</f>
        <v>6.4780299999999995</v>
      </c>
      <c r="G18" s="27">
        <f t="shared" si="0"/>
        <v>0.76595551999999822</v>
      </c>
      <c r="H18" s="26">
        <f t="shared" si="3"/>
        <v>4.1300222998933362</v>
      </c>
      <c r="I18" s="26">
        <f>IF(H18&lt;0,0,Input!$C$33*H18)</f>
        <v>0.90860490597653398</v>
      </c>
      <c r="J18" s="27">
        <f t="shared" si="4"/>
        <v>3.221417393916802</v>
      </c>
      <c r="K18" s="27">
        <f t="shared" si="1"/>
        <v>-4.6421546666666664</v>
      </c>
      <c r="L18" s="29">
        <f t="shared" si="2"/>
        <v>5.057292727250136</v>
      </c>
      <c r="M18" s="32">
        <f t="shared" si="5"/>
        <v>2.1031390684189817</v>
      </c>
      <c r="N18" s="32"/>
      <c r="O18" s="17">
        <f t="shared" si="6"/>
        <v>13.926463999999967</v>
      </c>
      <c r="P18" s="18">
        <f t="shared" si="7"/>
        <v>4.6421546666666664</v>
      </c>
      <c r="Q18" s="18">
        <f>Input!$C$32*O18</f>
        <v>0.76595551999999822</v>
      </c>
      <c r="R18" s="19">
        <f t="shared" si="8"/>
        <v>9.2843093333333009</v>
      </c>
      <c r="T18" s="14"/>
    </row>
    <row r="19" spans="1:20" ht="15.6" x14ac:dyDescent="0.35">
      <c r="A19" s="8">
        <v>2040</v>
      </c>
      <c r="B19" s="9"/>
      <c r="C19" s="26">
        <f>'Project IRR'!D19</f>
        <v>13.756798261694401</v>
      </c>
      <c r="D19" s="26">
        <f>'Project IRR'!E19</f>
        <v>2.5217480000000001</v>
      </c>
      <c r="E19" s="26">
        <f>'Project IRR'!F19</f>
        <v>11.235050261694401</v>
      </c>
      <c r="F19" s="26">
        <f>'Project IRR'!G19</f>
        <v>6.4780299999999995</v>
      </c>
      <c r="G19" s="27">
        <f t="shared" si="0"/>
        <v>0.51063701333333156</v>
      </c>
      <c r="H19" s="26">
        <f t="shared" si="3"/>
        <v>4.2463832483610693</v>
      </c>
      <c r="I19" s="26">
        <f>IF(H19&lt;0,0,Input!$C$33*H19)</f>
        <v>0.93420431463943521</v>
      </c>
      <c r="J19" s="27">
        <f t="shared" si="4"/>
        <v>3.3121789337216341</v>
      </c>
      <c r="K19" s="27">
        <f t="shared" si="1"/>
        <v>-4.6421546666666664</v>
      </c>
      <c r="L19" s="29">
        <f t="shared" si="2"/>
        <v>5.1480542670549667</v>
      </c>
      <c r="M19" s="32">
        <f t="shared" si="5"/>
        <v>2.1803812301013505</v>
      </c>
      <c r="N19" s="32"/>
      <c r="O19" s="17">
        <f t="shared" si="6"/>
        <v>9.2843093333333009</v>
      </c>
      <c r="P19" s="18">
        <f t="shared" si="7"/>
        <v>4.6421546666666664</v>
      </c>
      <c r="Q19" s="18">
        <f>Input!$C$32*O19</f>
        <v>0.51063701333333156</v>
      </c>
      <c r="R19" s="19">
        <f t="shared" si="8"/>
        <v>4.6421546666666345</v>
      </c>
      <c r="T19" s="14"/>
    </row>
    <row r="20" spans="1:20" ht="16.2" thickBot="1" x14ac:dyDescent="0.4">
      <c r="A20" s="8">
        <v>2041</v>
      </c>
      <c r="B20" s="9"/>
      <c r="C20" s="26">
        <f>'Project IRR'!D20</f>
        <v>13.619230279077456</v>
      </c>
      <c r="D20" s="26">
        <f>'Project IRR'!E20</f>
        <v>2.5217480000000001</v>
      </c>
      <c r="E20" s="26">
        <f>'Project IRR'!F20</f>
        <v>11.097482279077456</v>
      </c>
      <c r="F20" s="26">
        <f>'Project IRR'!G20</f>
        <v>6.4780299999999995</v>
      </c>
      <c r="G20" s="27">
        <f t="shared" si="0"/>
        <v>0.25531850666666489</v>
      </c>
      <c r="H20" s="26">
        <f t="shared" si="3"/>
        <v>4.3641337724107911</v>
      </c>
      <c r="I20" s="26">
        <f>IF(H20&lt;0,0,Input!$C$33*H20)</f>
        <v>0.96010942993037407</v>
      </c>
      <c r="J20" s="27">
        <f t="shared" si="4"/>
        <v>3.4040243424804171</v>
      </c>
      <c r="K20" s="27">
        <f t="shared" si="1"/>
        <v>-4.6421546666666664</v>
      </c>
      <c r="L20" s="29">
        <f t="shared" si="2"/>
        <v>5.2398996758137493</v>
      </c>
      <c r="M20" s="32">
        <f t="shared" si="5"/>
        <v>2.265960810056721</v>
      </c>
      <c r="N20" s="32"/>
      <c r="O20" s="61">
        <f t="shared" si="6"/>
        <v>4.6421546666666345</v>
      </c>
      <c r="P20" s="20">
        <f t="shared" si="7"/>
        <v>4.6421546666666664</v>
      </c>
      <c r="Q20" s="20">
        <f>Input!$C$32*O20</f>
        <v>0.25531850666666489</v>
      </c>
      <c r="R20" s="21">
        <f t="shared" si="8"/>
        <v>-3.1974423109204508E-14</v>
      </c>
      <c r="T20" s="14"/>
    </row>
    <row r="21" spans="1:20" ht="15.6" x14ac:dyDescent="0.35">
      <c r="A21" s="8">
        <v>2042</v>
      </c>
      <c r="B21" s="9"/>
      <c r="C21" s="26">
        <f>'Project IRR'!D21</f>
        <v>13.483037976286681</v>
      </c>
      <c r="D21" s="26">
        <f>'Project IRR'!E21</f>
        <v>2.5217480000000001</v>
      </c>
      <c r="E21" s="26">
        <f>'Project IRR'!F21</f>
        <v>10.961289976286681</v>
      </c>
      <c r="F21" s="26">
        <f>'Project IRR'!G21</f>
        <v>6.4780299999999995</v>
      </c>
      <c r="G21" s="27">
        <f t="shared" si="0"/>
        <v>0</v>
      </c>
      <c r="H21" s="26">
        <f t="shared" si="3"/>
        <v>4.4832599762866812</v>
      </c>
      <c r="I21" s="26">
        <f>IF(H21&lt;0,0,Input!$C$33*H21)</f>
        <v>0.98631719478306989</v>
      </c>
      <c r="J21" s="27">
        <f t="shared" si="4"/>
        <v>3.4969427815036114</v>
      </c>
      <c r="K21" s="27">
        <f t="shared" si="1"/>
        <v>0</v>
      </c>
      <c r="L21" s="29">
        <f t="shared" si="2"/>
        <v>9.9749727815036113</v>
      </c>
      <c r="M21" s="33"/>
      <c r="N21" s="33"/>
    </row>
    <row r="22" spans="1:20" ht="15.6" x14ac:dyDescent="0.35">
      <c r="A22" s="8">
        <v>2043</v>
      </c>
      <c r="B22" s="9"/>
      <c r="C22" s="26">
        <f>'Project IRR'!D22</f>
        <v>13.348207596523814</v>
      </c>
      <c r="D22" s="26">
        <f>'Project IRR'!E22</f>
        <v>2.5217480000000001</v>
      </c>
      <c r="E22" s="26">
        <f>'Project IRR'!F22</f>
        <v>10.826459596523813</v>
      </c>
      <c r="F22" s="26">
        <f>'Project IRR'!G22</f>
        <v>6.4780299999999995</v>
      </c>
      <c r="G22" s="27">
        <f t="shared" si="0"/>
        <v>0</v>
      </c>
      <c r="H22" s="26">
        <f t="shared" si="3"/>
        <v>4.3484295965238138</v>
      </c>
      <c r="I22" s="26">
        <f>IF(H22&lt;0,0,Input!$C$33*H22)</f>
        <v>0.95665451123523904</v>
      </c>
      <c r="J22" s="27">
        <f t="shared" si="4"/>
        <v>3.3917750852885749</v>
      </c>
      <c r="K22" s="27">
        <f t="shared" si="1"/>
        <v>0</v>
      </c>
      <c r="L22" s="29">
        <f t="shared" si="2"/>
        <v>9.8698050852885739</v>
      </c>
      <c r="M22" s="33"/>
      <c r="N22" s="33"/>
    </row>
    <row r="23" spans="1:20" ht="16.2" thickBot="1" x14ac:dyDescent="0.4">
      <c r="A23" s="10"/>
      <c r="B23" s="11"/>
      <c r="C23" s="12"/>
      <c r="D23" s="12"/>
      <c r="E23" s="12"/>
      <c r="F23" s="12"/>
      <c r="G23" s="12"/>
      <c r="H23" s="12"/>
      <c r="I23" s="13"/>
      <c r="J23" s="56" t="s">
        <v>10</v>
      </c>
      <c r="K23" s="60"/>
      <c r="L23" s="57">
        <f>IRR(L2:L22)</f>
        <v>0.15817354899641067</v>
      </c>
      <c r="M23" s="65">
        <f>AVERAGE(M3:M20)</f>
        <v>1.7885066805613472</v>
      </c>
      <c r="N23" s="14"/>
    </row>
    <row r="24" spans="1:20" ht="15" thickBot="1" x14ac:dyDescent="0.35"/>
    <row r="25" spans="1:20" ht="52.8" thickBot="1" x14ac:dyDescent="0.35">
      <c r="A25" s="1" t="s">
        <v>0</v>
      </c>
      <c r="B25" s="2" t="s">
        <v>1</v>
      </c>
      <c r="C25" s="3" t="s">
        <v>2</v>
      </c>
      <c r="D25" s="3" t="s">
        <v>3</v>
      </c>
      <c r="E25" s="4" t="s">
        <v>4</v>
      </c>
      <c r="F25" s="3" t="s">
        <v>5</v>
      </c>
      <c r="G25" s="3" t="s">
        <v>15</v>
      </c>
      <c r="H25" s="3" t="s">
        <v>6</v>
      </c>
      <c r="I25" s="3" t="s">
        <v>7</v>
      </c>
      <c r="J25" s="3" t="s">
        <v>8</v>
      </c>
      <c r="K25" s="15" t="str">
        <f>P25</f>
        <v>Δόση αποπληρωμής δανείου (Μ€)</v>
      </c>
      <c r="L25" s="5" t="s">
        <v>9</v>
      </c>
      <c r="M25" s="3" t="s">
        <v>49</v>
      </c>
      <c r="N25" s="62"/>
      <c r="O25" s="2" t="s">
        <v>11</v>
      </c>
      <c r="P25" s="3" t="s">
        <v>12</v>
      </c>
      <c r="Q25" s="3" t="s">
        <v>13</v>
      </c>
      <c r="R25" s="16" t="s">
        <v>14</v>
      </c>
    </row>
    <row r="26" spans="1:20" ht="15.6" x14ac:dyDescent="0.35">
      <c r="A26" s="6">
        <v>2023</v>
      </c>
      <c r="B26" s="7">
        <f>'Project IRR'!C26*(1-Input!$C$29)</f>
        <v>-38.329348399999986</v>
      </c>
      <c r="C26" s="25">
        <f>'Project IRR'!D26</f>
        <v>0</v>
      </c>
      <c r="D26" s="25">
        <f>'Project IRR'!E26</f>
        <v>0</v>
      </c>
      <c r="E26" s="25">
        <f>'Project IRR'!F26</f>
        <v>0</v>
      </c>
      <c r="F26" s="25">
        <f>'Project IRR'!G26</f>
        <v>0</v>
      </c>
      <c r="G26" s="28">
        <f t="shared" ref="G26:G46" si="9">Q26</f>
        <v>0</v>
      </c>
      <c r="H26" s="25">
        <f>E26-F26-G26</f>
        <v>0</v>
      </c>
      <c r="I26" s="25">
        <f>IF(H26&lt;0,0,Input!$C$33*H26)</f>
        <v>0</v>
      </c>
      <c r="J26" s="28">
        <f>H26-I26</f>
        <v>0</v>
      </c>
      <c r="K26" s="28">
        <f t="shared" ref="K26:K46" si="10">-P26</f>
        <v>0</v>
      </c>
      <c r="L26" s="30">
        <f t="shared" ref="L26:L46" si="11">J26+F26+B26+K26</f>
        <v>-38.329348399999986</v>
      </c>
      <c r="M26" s="32"/>
      <c r="O26" s="17">
        <f>(Input!$C$10+Input!$C$12)*Input!$C$29/1000000</f>
        <v>153.3173936</v>
      </c>
      <c r="P26" s="18"/>
      <c r="Q26" s="18"/>
      <c r="R26" s="19">
        <f>O26-P26</f>
        <v>153.3173936</v>
      </c>
    </row>
    <row r="27" spans="1:20" ht="15.6" x14ac:dyDescent="0.35">
      <c r="A27" s="8">
        <v>2024</v>
      </c>
      <c r="B27" s="9"/>
      <c r="C27" s="26">
        <f>'Project IRR'!D27</f>
        <v>24.232332100000004</v>
      </c>
      <c r="D27" s="26">
        <f>'Project IRR'!E27</f>
        <v>3.829421</v>
      </c>
      <c r="E27" s="26">
        <f>'Project IRR'!F27</f>
        <v>20.402911100000004</v>
      </c>
      <c r="F27" s="26">
        <f>'Project IRR'!G27</f>
        <v>9.5823371000000002</v>
      </c>
      <c r="G27" s="27">
        <f t="shared" si="9"/>
        <v>8.4324566480000005</v>
      </c>
      <c r="H27" s="26">
        <f>E27-F27-G27</f>
        <v>2.3881173520000036</v>
      </c>
      <c r="I27" s="26">
        <f>IF(H27&lt;0,0,Input!$C$33*H27)</f>
        <v>0.52538581744000079</v>
      </c>
      <c r="J27" s="27">
        <f>H27-I27</f>
        <v>1.8627315345600028</v>
      </c>
      <c r="K27" s="27">
        <f t="shared" si="10"/>
        <v>-8.5176329777777777</v>
      </c>
      <c r="L27" s="29">
        <f t="shared" si="11"/>
        <v>2.9274356567822259</v>
      </c>
      <c r="M27" s="32">
        <f>E27/(G27-K27)</f>
        <v>1.2037052045418779</v>
      </c>
      <c r="N27" s="32"/>
      <c r="O27" s="17">
        <f>R26</f>
        <v>153.3173936</v>
      </c>
      <c r="P27" s="18">
        <f>$O$26/18</f>
        <v>8.5176329777777777</v>
      </c>
      <c r="Q27" s="18">
        <f>Input!$C$32*O27</f>
        <v>8.4324566480000005</v>
      </c>
      <c r="R27" s="19">
        <f>O27-P27</f>
        <v>144.79976062222224</v>
      </c>
    </row>
    <row r="28" spans="1:20" ht="15.6" x14ac:dyDescent="0.35">
      <c r="A28" s="8">
        <v>2025</v>
      </c>
      <c r="B28" s="9"/>
      <c r="C28" s="26">
        <f>'Project IRR'!D28</f>
        <v>23.990008779000004</v>
      </c>
      <c r="D28" s="26">
        <f>'Project IRR'!E28</f>
        <v>3.829421</v>
      </c>
      <c r="E28" s="26">
        <f>'Project IRR'!F28</f>
        <v>20.160587779000004</v>
      </c>
      <c r="F28" s="26">
        <f>'Project IRR'!G28</f>
        <v>9.5823371000000002</v>
      </c>
      <c r="G28" s="27">
        <f t="shared" si="9"/>
        <v>7.9639868342222231</v>
      </c>
      <c r="H28" s="26">
        <f t="shared" ref="H28:H46" si="12">E28-F28-G28</f>
        <v>2.6142638447777804</v>
      </c>
      <c r="I28" s="26">
        <f>IF(H28&lt;0,0,Input!$C$33*H28)</f>
        <v>0.57513804585111172</v>
      </c>
      <c r="J28" s="27">
        <f t="shared" ref="J28:J46" si="13">H28-I28</f>
        <v>2.0391257989266687</v>
      </c>
      <c r="K28" s="27">
        <f t="shared" si="10"/>
        <v>-8.5176329777777777</v>
      </c>
      <c r="L28" s="29">
        <f t="shared" si="11"/>
        <v>3.1038299211488916</v>
      </c>
      <c r="M28" s="32">
        <f t="shared" ref="M28:M44" si="14">E28/(G28-K28)</f>
        <v>1.223216407668948</v>
      </c>
      <c r="N28" s="32"/>
      <c r="O28" s="17">
        <f t="shared" ref="O28:O44" si="15">R27</f>
        <v>144.79976062222224</v>
      </c>
      <c r="P28" s="18">
        <f t="shared" ref="P28:P44" si="16">$O$26/18</f>
        <v>8.5176329777777777</v>
      </c>
      <c r="Q28" s="18">
        <f>Input!$C$32*O28</f>
        <v>7.9639868342222231</v>
      </c>
      <c r="R28" s="19">
        <f t="shared" ref="R28:R44" si="17">O28-P28</f>
        <v>136.28212764444447</v>
      </c>
    </row>
    <row r="29" spans="1:20" ht="15.6" x14ac:dyDescent="0.35">
      <c r="A29" s="8">
        <v>2026</v>
      </c>
      <c r="B29" s="9"/>
      <c r="C29" s="26">
        <f>'Project IRR'!D29</f>
        <v>23.750108691210002</v>
      </c>
      <c r="D29" s="26">
        <f>'Project IRR'!E29</f>
        <v>3.829421</v>
      </c>
      <c r="E29" s="26">
        <f>'Project IRR'!F29</f>
        <v>19.920687691210002</v>
      </c>
      <c r="F29" s="26">
        <f>'Project IRR'!G29</f>
        <v>9.5823371000000002</v>
      </c>
      <c r="G29" s="27">
        <f t="shared" si="9"/>
        <v>7.4955170204444457</v>
      </c>
      <c r="H29" s="26">
        <f t="shared" si="12"/>
        <v>2.8428335707655563</v>
      </c>
      <c r="I29" s="26">
        <f>IF(H29&lt;0,0,Input!$C$33*H29)</f>
        <v>0.62542338556842236</v>
      </c>
      <c r="J29" s="27">
        <f t="shared" si="13"/>
        <v>2.2174101851971342</v>
      </c>
      <c r="K29" s="27">
        <f t="shared" si="10"/>
        <v>-8.5176329777777777</v>
      </c>
      <c r="L29" s="29">
        <f t="shared" si="11"/>
        <v>3.2821143074193575</v>
      </c>
      <c r="M29" s="32">
        <f t="shared" si="14"/>
        <v>1.244020551448128</v>
      </c>
      <c r="N29" s="32"/>
      <c r="O29" s="17">
        <f t="shared" si="15"/>
        <v>136.28212764444447</v>
      </c>
      <c r="P29" s="18">
        <f t="shared" si="16"/>
        <v>8.5176329777777777</v>
      </c>
      <c r="Q29" s="18">
        <f>Input!$C$32*O29</f>
        <v>7.4955170204444457</v>
      </c>
      <c r="R29" s="19">
        <f t="shared" si="17"/>
        <v>127.76449466666669</v>
      </c>
    </row>
    <row r="30" spans="1:20" ht="15.6" x14ac:dyDescent="0.35">
      <c r="A30" s="8">
        <v>2027</v>
      </c>
      <c r="B30" s="9"/>
      <c r="C30" s="26">
        <f>'Project IRR'!D30</f>
        <v>23.512607604297902</v>
      </c>
      <c r="D30" s="26">
        <f>'Project IRR'!E30</f>
        <v>3.829421</v>
      </c>
      <c r="E30" s="26">
        <f>'Project IRR'!F30</f>
        <v>19.683186604297902</v>
      </c>
      <c r="F30" s="26">
        <f>'Project IRR'!G30</f>
        <v>9.5823371000000002</v>
      </c>
      <c r="G30" s="27">
        <f t="shared" si="9"/>
        <v>7.0270472066666683</v>
      </c>
      <c r="H30" s="26">
        <f t="shared" si="12"/>
        <v>3.0738022976312331</v>
      </c>
      <c r="I30" s="26">
        <f>IF(H30&lt;0,0,Input!$C$33*H30)</f>
        <v>0.67623650547887126</v>
      </c>
      <c r="J30" s="27">
        <f t="shared" si="13"/>
        <v>2.3975657921523617</v>
      </c>
      <c r="K30" s="27">
        <f t="shared" si="10"/>
        <v>-8.5176329777777777</v>
      </c>
      <c r="L30" s="29">
        <f t="shared" si="11"/>
        <v>3.4622699143745841</v>
      </c>
      <c r="M30" s="32">
        <f t="shared" si="14"/>
        <v>1.2662329730009407</v>
      </c>
      <c r="N30" s="32"/>
      <c r="O30" s="17">
        <f t="shared" si="15"/>
        <v>127.76449466666669</v>
      </c>
      <c r="P30" s="18">
        <f t="shared" si="16"/>
        <v>8.5176329777777777</v>
      </c>
      <c r="Q30" s="18">
        <f>Input!$C$32*O30</f>
        <v>7.0270472066666683</v>
      </c>
      <c r="R30" s="19">
        <f t="shared" si="17"/>
        <v>119.24686168888891</v>
      </c>
    </row>
    <row r="31" spans="1:20" ht="15.6" x14ac:dyDescent="0.35">
      <c r="A31" s="8">
        <v>2028</v>
      </c>
      <c r="B31" s="9"/>
      <c r="C31" s="26">
        <f>'Project IRR'!D31</f>
        <v>23.277481528254921</v>
      </c>
      <c r="D31" s="26">
        <f>'Project IRR'!E31</f>
        <v>3.829421</v>
      </c>
      <c r="E31" s="26">
        <f>'Project IRR'!F31</f>
        <v>19.448060528254921</v>
      </c>
      <c r="F31" s="26">
        <f>'Project IRR'!G31</f>
        <v>9.5823371000000002</v>
      </c>
      <c r="G31" s="27">
        <f t="shared" si="9"/>
        <v>6.55857739288889</v>
      </c>
      <c r="H31" s="26">
        <f t="shared" si="12"/>
        <v>3.3071460353660305</v>
      </c>
      <c r="I31" s="26">
        <f>IF(H31&lt;0,0,Input!$C$33*H31)</f>
        <v>0.72757212778052671</v>
      </c>
      <c r="J31" s="27">
        <f t="shared" si="13"/>
        <v>2.5795739075855035</v>
      </c>
      <c r="K31" s="27">
        <f t="shared" si="10"/>
        <v>-8.5176329777777777</v>
      </c>
      <c r="L31" s="29">
        <f t="shared" si="11"/>
        <v>3.644278029807726</v>
      </c>
      <c r="M31" s="32">
        <f t="shared" si="14"/>
        <v>1.2899833612095537</v>
      </c>
      <c r="N31" s="32"/>
      <c r="O31" s="17">
        <f t="shared" si="15"/>
        <v>119.24686168888891</v>
      </c>
      <c r="P31" s="18">
        <f t="shared" si="16"/>
        <v>8.5176329777777777</v>
      </c>
      <c r="Q31" s="18">
        <f>Input!$C$32*O31</f>
        <v>6.55857739288889</v>
      </c>
      <c r="R31" s="19">
        <f t="shared" si="17"/>
        <v>110.72922871111113</v>
      </c>
    </row>
    <row r="32" spans="1:20" ht="15.6" x14ac:dyDescent="0.35">
      <c r="A32" s="8">
        <v>2029</v>
      </c>
      <c r="B32" s="9"/>
      <c r="C32" s="26">
        <f>'Project IRR'!D32</f>
        <v>23.044706712972371</v>
      </c>
      <c r="D32" s="26">
        <f>'Project IRR'!E32</f>
        <v>3.829421</v>
      </c>
      <c r="E32" s="26">
        <f>'Project IRR'!F32</f>
        <v>19.215285712972371</v>
      </c>
      <c r="F32" s="26">
        <f>'Project IRR'!G32</f>
        <v>9.5823371000000002</v>
      </c>
      <c r="G32" s="27">
        <f t="shared" si="9"/>
        <v>6.0901075791111126</v>
      </c>
      <c r="H32" s="26">
        <f t="shared" si="12"/>
        <v>3.5428410338612579</v>
      </c>
      <c r="I32" s="26">
        <f>IF(H32&lt;0,0,Input!$C$33*H32)</f>
        <v>0.77942502744947673</v>
      </c>
      <c r="J32" s="27">
        <f t="shared" si="13"/>
        <v>2.7634160064117812</v>
      </c>
      <c r="K32" s="27">
        <f t="shared" si="10"/>
        <v>-8.5176329777777777</v>
      </c>
      <c r="L32" s="29">
        <f t="shared" si="11"/>
        <v>3.8281201286340032</v>
      </c>
      <c r="M32" s="32">
        <f t="shared" si="14"/>
        <v>1.3154180578536221</v>
      </c>
      <c r="N32" s="32"/>
      <c r="O32" s="17">
        <f t="shared" si="15"/>
        <v>110.72922871111113</v>
      </c>
      <c r="P32" s="18">
        <f t="shared" si="16"/>
        <v>8.5176329777777777</v>
      </c>
      <c r="Q32" s="18">
        <f>Input!$C$32*O32</f>
        <v>6.0901075791111126</v>
      </c>
      <c r="R32" s="19">
        <f t="shared" si="17"/>
        <v>102.21159573333335</v>
      </c>
    </row>
    <row r="33" spans="1:18" ht="15.6" x14ac:dyDescent="0.35">
      <c r="A33" s="8">
        <v>2030</v>
      </c>
      <c r="B33" s="9"/>
      <c r="C33" s="26">
        <f>'Project IRR'!D33</f>
        <v>22.814259645842647</v>
      </c>
      <c r="D33" s="26">
        <f>'Project IRR'!E33</f>
        <v>3.829421</v>
      </c>
      <c r="E33" s="26">
        <f>'Project IRR'!F33</f>
        <v>18.984838645842647</v>
      </c>
      <c r="F33" s="26">
        <f>'Project IRR'!G33</f>
        <v>9.5823371000000002</v>
      </c>
      <c r="G33" s="27">
        <f t="shared" si="9"/>
        <v>5.6216377653333343</v>
      </c>
      <c r="H33" s="26">
        <f t="shared" si="12"/>
        <v>3.7808637805093124</v>
      </c>
      <c r="I33" s="26">
        <f>IF(H33&lt;0,0,Input!$C$33*H33)</f>
        <v>0.83179003171204868</v>
      </c>
      <c r="J33" s="27">
        <f t="shared" si="13"/>
        <v>2.9490737487972636</v>
      </c>
      <c r="K33" s="27">
        <f t="shared" si="10"/>
        <v>-8.5176329777777777</v>
      </c>
      <c r="L33" s="29">
        <f t="shared" si="11"/>
        <v>4.0137778710194869</v>
      </c>
      <c r="M33" s="32">
        <f t="shared" si="14"/>
        <v>1.3427028162037549</v>
      </c>
      <c r="N33" s="33"/>
      <c r="O33" s="17">
        <f t="shared" si="15"/>
        <v>102.21159573333335</v>
      </c>
      <c r="P33" s="18">
        <f t="shared" si="16"/>
        <v>8.5176329777777777</v>
      </c>
      <c r="Q33" s="18">
        <f>Input!$C$32*O33</f>
        <v>5.6216377653333343</v>
      </c>
      <c r="R33" s="19">
        <f t="shared" si="17"/>
        <v>93.693962755555575</v>
      </c>
    </row>
    <row r="34" spans="1:18" ht="15.6" x14ac:dyDescent="0.35">
      <c r="A34" s="8">
        <v>2031</v>
      </c>
      <c r="B34" s="9"/>
      <c r="C34" s="26">
        <f>'Project IRR'!D34</f>
        <v>22.586117049384221</v>
      </c>
      <c r="D34" s="26">
        <f>'Project IRR'!E34</f>
        <v>3.829421</v>
      </c>
      <c r="E34" s="26">
        <f>'Project IRR'!F34</f>
        <v>18.756696049384221</v>
      </c>
      <c r="F34" s="26">
        <f>'Project IRR'!G34</f>
        <v>9.5823371000000002</v>
      </c>
      <c r="G34" s="27">
        <f t="shared" si="9"/>
        <v>5.1531679515555568</v>
      </c>
      <c r="H34" s="26">
        <f t="shared" si="12"/>
        <v>4.021190997828664</v>
      </c>
      <c r="I34" s="26">
        <f>IF(H34&lt;0,0,Input!$C$33*H34)</f>
        <v>0.88466201952230605</v>
      </c>
      <c r="J34" s="27">
        <f t="shared" si="13"/>
        <v>3.1365289783063579</v>
      </c>
      <c r="K34" s="27">
        <f t="shared" si="10"/>
        <v>-8.5176329777777777</v>
      </c>
      <c r="L34" s="29">
        <f t="shared" si="11"/>
        <v>4.2012331005285812</v>
      </c>
      <c r="M34" s="32">
        <f t="shared" si="14"/>
        <v>1.3720261268041816</v>
      </c>
      <c r="N34" s="32"/>
      <c r="O34" s="17">
        <f t="shared" si="15"/>
        <v>93.693962755555575</v>
      </c>
      <c r="P34" s="18">
        <f t="shared" si="16"/>
        <v>8.5176329777777777</v>
      </c>
      <c r="Q34" s="18">
        <f>Input!$C$32*O34</f>
        <v>5.1531679515555568</v>
      </c>
      <c r="R34" s="19">
        <f t="shared" si="17"/>
        <v>85.176329777777795</v>
      </c>
    </row>
    <row r="35" spans="1:18" ht="15.6" x14ac:dyDescent="0.35">
      <c r="A35" s="8">
        <v>2032</v>
      </c>
      <c r="B35" s="9"/>
      <c r="C35" s="26">
        <f>'Project IRR'!D35</f>
        <v>22.360255878890378</v>
      </c>
      <c r="D35" s="26">
        <f>'Project IRR'!E35</f>
        <v>3.829421</v>
      </c>
      <c r="E35" s="26">
        <f>'Project IRR'!F35</f>
        <v>18.530834878890378</v>
      </c>
      <c r="F35" s="26">
        <f>'Project IRR'!G35</f>
        <v>9.5823371000000002</v>
      </c>
      <c r="G35" s="27">
        <f t="shared" si="9"/>
        <v>4.6846981377777785</v>
      </c>
      <c r="H35" s="26">
        <f t="shared" si="12"/>
        <v>4.2637996411125991</v>
      </c>
      <c r="I35" s="26">
        <f>IF(H35&lt;0,0,Input!$C$33*H35)</f>
        <v>0.93803592104477185</v>
      </c>
      <c r="J35" s="27">
        <f t="shared" si="13"/>
        <v>3.3257637200678274</v>
      </c>
      <c r="K35" s="27">
        <f t="shared" si="10"/>
        <v>-8.5176329777777777</v>
      </c>
      <c r="L35" s="29">
        <f t="shared" si="11"/>
        <v>4.3904678422900503</v>
      </c>
      <c r="M35" s="32">
        <f t="shared" si="14"/>
        <v>1.4036032513270744</v>
      </c>
      <c r="N35" s="32"/>
      <c r="O35" s="17">
        <f t="shared" si="15"/>
        <v>85.176329777777795</v>
      </c>
      <c r="P35" s="18">
        <f t="shared" si="16"/>
        <v>8.5176329777777777</v>
      </c>
      <c r="Q35" s="18">
        <f>Input!$C$32*O35</f>
        <v>4.6846981377777785</v>
      </c>
      <c r="R35" s="19">
        <f t="shared" si="17"/>
        <v>76.658696800000016</v>
      </c>
    </row>
    <row r="36" spans="1:18" ht="15.6" x14ac:dyDescent="0.35">
      <c r="A36" s="8">
        <v>2033</v>
      </c>
      <c r="B36" s="9"/>
      <c r="C36" s="26">
        <f>'Project IRR'!D36</f>
        <v>22.136653320101473</v>
      </c>
      <c r="D36" s="26">
        <f>'Project IRR'!E36</f>
        <v>3.829421</v>
      </c>
      <c r="E36" s="26">
        <f>'Project IRR'!F36</f>
        <v>18.307232320101473</v>
      </c>
      <c r="F36" s="26">
        <f>'Project IRR'!G36</f>
        <v>9.5823371000000002</v>
      </c>
      <c r="G36" s="27">
        <f t="shared" si="9"/>
        <v>4.2162283240000011</v>
      </c>
      <c r="H36" s="26">
        <f t="shared" si="12"/>
        <v>4.508666896101472</v>
      </c>
      <c r="I36" s="26">
        <f>IF(H36&lt;0,0,Input!$C$33*H36)</f>
        <v>0.99190671714232381</v>
      </c>
      <c r="J36" s="27">
        <f t="shared" si="13"/>
        <v>3.5167601789591481</v>
      </c>
      <c r="K36" s="27">
        <f t="shared" si="10"/>
        <v>-8.5176329777777777</v>
      </c>
      <c r="L36" s="29">
        <f t="shared" si="11"/>
        <v>4.58146430118137</v>
      </c>
      <c r="M36" s="32">
        <f t="shared" si="14"/>
        <v>1.4376811468447197</v>
      </c>
      <c r="N36" s="32"/>
      <c r="O36" s="17">
        <f t="shared" si="15"/>
        <v>76.658696800000016</v>
      </c>
      <c r="P36" s="18">
        <f t="shared" si="16"/>
        <v>8.5176329777777777</v>
      </c>
      <c r="Q36" s="18">
        <f>Input!$C$32*O36</f>
        <v>4.2162283240000011</v>
      </c>
      <c r="R36" s="19">
        <f t="shared" si="17"/>
        <v>68.141063822222236</v>
      </c>
    </row>
    <row r="37" spans="1:18" ht="15.6" x14ac:dyDescent="0.35">
      <c r="A37" s="8">
        <v>2034</v>
      </c>
      <c r="B37" s="9"/>
      <c r="C37" s="26">
        <f>'Project IRR'!D37</f>
        <v>21.91528678690046</v>
      </c>
      <c r="D37" s="26">
        <f>'Project IRR'!E37</f>
        <v>3.829421</v>
      </c>
      <c r="E37" s="26">
        <f>'Project IRR'!F37</f>
        <v>18.08586578690046</v>
      </c>
      <c r="F37" s="26">
        <f>'Project IRR'!G37</f>
        <v>9.5823371000000002</v>
      </c>
      <c r="G37" s="27">
        <f t="shared" si="9"/>
        <v>3.7477585102222228</v>
      </c>
      <c r="H37" s="26">
        <f t="shared" si="12"/>
        <v>4.7557701766782365</v>
      </c>
      <c r="I37" s="26">
        <f>IF(H37&lt;0,0,Input!$C$33*H37)</f>
        <v>1.046269438869212</v>
      </c>
      <c r="J37" s="27">
        <f t="shared" si="13"/>
        <v>3.7095007378090248</v>
      </c>
      <c r="K37" s="27">
        <f t="shared" si="10"/>
        <v>-8.5176329777777777</v>
      </c>
      <c r="L37" s="29">
        <f t="shared" si="11"/>
        <v>4.7742048600312472</v>
      </c>
      <c r="M37" s="32">
        <f t="shared" si="14"/>
        <v>1.4745445185826309</v>
      </c>
      <c r="N37" s="33"/>
      <c r="O37" s="17">
        <f t="shared" si="15"/>
        <v>68.141063822222236</v>
      </c>
      <c r="P37" s="18">
        <f t="shared" si="16"/>
        <v>8.5176329777777777</v>
      </c>
      <c r="Q37" s="18">
        <f>Input!$C$32*O37</f>
        <v>3.7477585102222228</v>
      </c>
      <c r="R37" s="19">
        <f t="shared" si="17"/>
        <v>59.623430844444457</v>
      </c>
    </row>
    <row r="38" spans="1:18" ht="15.6" x14ac:dyDescent="0.35">
      <c r="A38" s="8">
        <v>2035</v>
      </c>
      <c r="B38" s="9"/>
      <c r="C38" s="26">
        <f>'Project IRR'!D38</f>
        <v>21.696133919031453</v>
      </c>
      <c r="D38" s="26">
        <f>'Project IRR'!E38</f>
        <v>3.829421</v>
      </c>
      <c r="E38" s="26">
        <f>'Project IRR'!F38</f>
        <v>17.866712919031453</v>
      </c>
      <c r="F38" s="26">
        <f>'Project IRR'!G38</f>
        <v>9.5823371000000002</v>
      </c>
      <c r="G38" s="27">
        <f t="shared" si="9"/>
        <v>3.279288696444445</v>
      </c>
      <c r="H38" s="26">
        <f t="shared" si="12"/>
        <v>5.0050871225870086</v>
      </c>
      <c r="I38" s="26">
        <f>IF(H38&lt;0,0,Input!$C$33*H38)</f>
        <v>1.1011191669691418</v>
      </c>
      <c r="J38" s="27">
        <f t="shared" si="13"/>
        <v>3.9039679556178668</v>
      </c>
      <c r="K38" s="27">
        <f t="shared" si="10"/>
        <v>-8.5176329777777777</v>
      </c>
      <c r="L38" s="29">
        <f t="shared" si="11"/>
        <v>4.9686720778400897</v>
      </c>
      <c r="M38" s="32">
        <f t="shared" si="14"/>
        <v>1.5145233148468298</v>
      </c>
      <c r="N38" s="33"/>
      <c r="O38" s="17">
        <f t="shared" si="15"/>
        <v>59.623430844444457</v>
      </c>
      <c r="P38" s="18">
        <f t="shared" si="16"/>
        <v>8.5176329777777777</v>
      </c>
      <c r="Q38" s="18">
        <f>Input!$C$32*O38</f>
        <v>3.279288696444445</v>
      </c>
      <c r="R38" s="19">
        <f t="shared" si="17"/>
        <v>51.105797866666677</v>
      </c>
    </row>
    <row r="39" spans="1:18" ht="15.6" x14ac:dyDescent="0.35">
      <c r="A39" s="8">
        <v>2036</v>
      </c>
      <c r="B39" s="9"/>
      <c r="C39" s="26">
        <f>'Project IRR'!D39</f>
        <v>21.479172579841137</v>
      </c>
      <c r="D39" s="26">
        <f>'Project IRR'!E39</f>
        <v>3.829421</v>
      </c>
      <c r="E39" s="26">
        <f>'Project IRR'!F39</f>
        <v>17.649751579841137</v>
      </c>
      <c r="F39" s="26">
        <f>'Project IRR'!G39</f>
        <v>9.5823371000000002</v>
      </c>
      <c r="G39" s="27">
        <f t="shared" si="9"/>
        <v>2.8108188826666671</v>
      </c>
      <c r="H39" s="26">
        <f t="shared" si="12"/>
        <v>5.2565955971744698</v>
      </c>
      <c r="I39" s="26">
        <f>IF(H39&lt;0,0,Input!$C$33*H39)</f>
        <v>1.1564510313783833</v>
      </c>
      <c r="J39" s="27">
        <f t="shared" si="13"/>
        <v>4.1001445657960867</v>
      </c>
      <c r="K39" s="27">
        <f t="shared" si="10"/>
        <v>-8.5176329777777777</v>
      </c>
      <c r="L39" s="29">
        <f t="shared" si="11"/>
        <v>5.1648486880183082</v>
      </c>
      <c r="M39" s="32">
        <f t="shared" si="14"/>
        <v>1.5580020815967601</v>
      </c>
      <c r="N39" s="33"/>
      <c r="O39" s="17">
        <f t="shared" si="15"/>
        <v>51.105797866666677</v>
      </c>
      <c r="P39" s="18">
        <f t="shared" si="16"/>
        <v>8.5176329777777777</v>
      </c>
      <c r="Q39" s="18">
        <f>Input!$C$32*O39</f>
        <v>2.8108188826666671</v>
      </c>
      <c r="R39" s="19">
        <f t="shared" si="17"/>
        <v>42.588164888888898</v>
      </c>
    </row>
    <row r="40" spans="1:18" ht="15.6" x14ac:dyDescent="0.35">
      <c r="A40" s="8">
        <v>2037</v>
      </c>
      <c r="B40" s="9"/>
      <c r="C40" s="26">
        <f>'Project IRR'!D40</f>
        <v>21.264380854042724</v>
      </c>
      <c r="D40" s="26">
        <f>'Project IRR'!E40</f>
        <v>3.829421</v>
      </c>
      <c r="E40" s="26">
        <f>'Project IRR'!F40</f>
        <v>17.434959854042724</v>
      </c>
      <c r="F40" s="26">
        <f>'Project IRR'!G40</f>
        <v>9.5823371000000002</v>
      </c>
      <c r="G40" s="27">
        <f t="shared" si="9"/>
        <v>2.3423490688888893</v>
      </c>
      <c r="H40" s="26">
        <f t="shared" si="12"/>
        <v>5.5102736851538339</v>
      </c>
      <c r="I40" s="26">
        <f>IF(H40&lt;0,0,Input!$C$33*H40)</f>
        <v>1.2122602107338434</v>
      </c>
      <c r="J40" s="27">
        <f t="shared" si="13"/>
        <v>4.2980134744199905</v>
      </c>
      <c r="K40" s="27">
        <f t="shared" si="10"/>
        <v>-8.5176329777777777</v>
      </c>
      <c r="L40" s="29">
        <f t="shared" si="11"/>
        <v>5.3627175966422129</v>
      </c>
      <c r="M40" s="32">
        <f t="shared" si="14"/>
        <v>1.6054317382038548</v>
      </c>
      <c r="N40" s="33"/>
      <c r="O40" s="17">
        <f t="shared" si="15"/>
        <v>42.588164888888898</v>
      </c>
      <c r="P40" s="18">
        <f t="shared" si="16"/>
        <v>8.5176329777777777</v>
      </c>
      <c r="Q40" s="18">
        <f>Input!$C$32*O40</f>
        <v>2.3423490688888893</v>
      </c>
      <c r="R40" s="19">
        <f t="shared" si="17"/>
        <v>34.070531911111118</v>
      </c>
    </row>
    <row r="41" spans="1:18" ht="15.6" x14ac:dyDescent="0.35">
      <c r="A41" s="8">
        <v>2038</v>
      </c>
      <c r="B41" s="9"/>
      <c r="C41" s="26">
        <f>'Project IRR'!D41</f>
        <v>21.051737045502296</v>
      </c>
      <c r="D41" s="26">
        <f>'Project IRR'!E41</f>
        <v>3.829421</v>
      </c>
      <c r="E41" s="26">
        <f>'Project IRR'!F41</f>
        <v>17.222316045502296</v>
      </c>
      <c r="F41" s="26">
        <f>'Project IRR'!G41</f>
        <v>9.5823371000000002</v>
      </c>
      <c r="G41" s="27">
        <f t="shared" si="9"/>
        <v>1.8738792551111114</v>
      </c>
      <c r="H41" s="26">
        <f t="shared" si="12"/>
        <v>5.7660996903911848</v>
      </c>
      <c r="I41" s="26">
        <f>IF(H41&lt;0,0,Input!$C$33*H41)</f>
        <v>1.2685419318860607</v>
      </c>
      <c r="J41" s="27">
        <f t="shared" si="13"/>
        <v>4.4975577585051241</v>
      </c>
      <c r="K41" s="27">
        <f t="shared" si="10"/>
        <v>-8.5176329777777777</v>
      </c>
      <c r="L41" s="29">
        <f t="shared" si="11"/>
        <v>5.5622618807273465</v>
      </c>
      <c r="M41" s="32">
        <f t="shared" si="14"/>
        <v>1.6573445384584233</v>
      </c>
      <c r="N41" s="33"/>
      <c r="O41" s="17">
        <f t="shared" si="15"/>
        <v>34.070531911111118</v>
      </c>
      <c r="P41" s="18">
        <f t="shared" si="16"/>
        <v>8.5176329777777777</v>
      </c>
      <c r="Q41" s="18">
        <f>Input!$C$32*O41</f>
        <v>1.8738792551111114</v>
      </c>
      <c r="R41" s="19">
        <f t="shared" si="17"/>
        <v>25.552898933333339</v>
      </c>
    </row>
    <row r="42" spans="1:18" ht="15.6" x14ac:dyDescent="0.35">
      <c r="A42" s="8">
        <v>2039</v>
      </c>
      <c r="B42" s="9"/>
      <c r="C42" s="26">
        <f>'Project IRR'!D42</f>
        <v>20.841219675047274</v>
      </c>
      <c r="D42" s="26">
        <f>'Project IRR'!E42</f>
        <v>3.829421</v>
      </c>
      <c r="E42" s="26">
        <f>'Project IRR'!F42</f>
        <v>17.011798675047274</v>
      </c>
      <c r="F42" s="26">
        <f>'Project IRR'!G42</f>
        <v>9.5823371000000002</v>
      </c>
      <c r="G42" s="27">
        <f t="shared" si="9"/>
        <v>1.4054094413333336</v>
      </c>
      <c r="H42" s="26">
        <f t="shared" si="12"/>
        <v>6.0240521337139405</v>
      </c>
      <c r="I42" s="26">
        <f>IF(H42&lt;0,0,Input!$C$33*H42)</f>
        <v>1.325291469417067</v>
      </c>
      <c r="J42" s="27">
        <f t="shared" si="13"/>
        <v>4.6987606642968736</v>
      </c>
      <c r="K42" s="27">
        <f t="shared" si="10"/>
        <v>-8.5176329777777777</v>
      </c>
      <c r="L42" s="29">
        <f t="shared" si="11"/>
        <v>5.763464786519096</v>
      </c>
      <c r="M42" s="32">
        <f t="shared" si="14"/>
        <v>1.7143732694605534</v>
      </c>
      <c r="N42" s="33"/>
      <c r="O42" s="17">
        <f t="shared" si="15"/>
        <v>25.552898933333339</v>
      </c>
      <c r="P42" s="18">
        <f t="shared" si="16"/>
        <v>8.5176329777777777</v>
      </c>
      <c r="Q42" s="18">
        <f>Input!$C$32*O42</f>
        <v>1.4054094413333336</v>
      </c>
      <c r="R42" s="19">
        <f t="shared" si="17"/>
        <v>17.035265955555559</v>
      </c>
    </row>
    <row r="43" spans="1:18" ht="15.6" x14ac:dyDescent="0.35">
      <c r="A43" s="8">
        <v>2040</v>
      </c>
      <c r="B43" s="9"/>
      <c r="C43" s="26">
        <f>'Project IRR'!D43</f>
        <v>20.632807478296801</v>
      </c>
      <c r="D43" s="26">
        <f>'Project IRR'!E43</f>
        <v>3.829421</v>
      </c>
      <c r="E43" s="26">
        <f>'Project IRR'!F43</f>
        <v>16.803386478296801</v>
      </c>
      <c r="F43" s="26">
        <f>'Project IRR'!G43</f>
        <v>9.5823371000000002</v>
      </c>
      <c r="G43" s="27">
        <f t="shared" si="9"/>
        <v>0.93693962755555571</v>
      </c>
      <c r="H43" s="26">
        <f t="shared" si="12"/>
        <v>6.2841097507412451</v>
      </c>
      <c r="I43" s="26">
        <f>IF(H43&lt;0,0,Input!$C$33*H43)</f>
        <v>1.382504145163074</v>
      </c>
      <c r="J43" s="27">
        <f t="shared" si="13"/>
        <v>4.9016056055781707</v>
      </c>
      <c r="K43" s="27">
        <f t="shared" si="10"/>
        <v>-8.5176329777777777</v>
      </c>
      <c r="L43" s="29">
        <f t="shared" si="11"/>
        <v>5.9663097278003931</v>
      </c>
      <c r="M43" s="32">
        <f t="shared" si="14"/>
        <v>1.7772761582917027</v>
      </c>
      <c r="N43" s="33"/>
      <c r="O43" s="17">
        <f t="shared" si="15"/>
        <v>17.035265955555559</v>
      </c>
      <c r="P43" s="18">
        <f t="shared" si="16"/>
        <v>8.5176329777777777</v>
      </c>
      <c r="Q43" s="18">
        <f>Input!$C$32*O43</f>
        <v>0.93693962755555571</v>
      </c>
      <c r="R43" s="19">
        <f t="shared" si="17"/>
        <v>8.5176329777777813</v>
      </c>
    </row>
    <row r="44" spans="1:18" ht="16.2" thickBot="1" x14ac:dyDescent="0.4">
      <c r="A44" s="8">
        <v>2041</v>
      </c>
      <c r="B44" s="9"/>
      <c r="C44" s="26">
        <f>'Project IRR'!D44</f>
        <v>20.426479403513834</v>
      </c>
      <c r="D44" s="26">
        <f>'Project IRR'!E44</f>
        <v>3.829421</v>
      </c>
      <c r="E44" s="26">
        <f>'Project IRR'!F44</f>
        <v>16.597058403513834</v>
      </c>
      <c r="F44" s="26">
        <f>'Project IRR'!G44</f>
        <v>9.5823371000000002</v>
      </c>
      <c r="G44" s="27">
        <f t="shared" si="9"/>
        <v>0.46846981377777797</v>
      </c>
      <c r="H44" s="26">
        <f t="shared" si="12"/>
        <v>6.546251489736056</v>
      </c>
      <c r="I44" s="26">
        <f>IF(H44&lt;0,0,Input!$C$33*H44)</f>
        <v>1.4401753277419322</v>
      </c>
      <c r="J44" s="27">
        <f t="shared" si="13"/>
        <v>5.1060761619941237</v>
      </c>
      <c r="K44" s="27">
        <f t="shared" si="10"/>
        <v>-8.5176329777777777</v>
      </c>
      <c r="L44" s="29">
        <f t="shared" si="11"/>
        <v>6.1707802842163471</v>
      </c>
      <c r="M44" s="32">
        <f t="shared" si="14"/>
        <v>1.8469695694011496</v>
      </c>
      <c r="N44" s="33"/>
      <c r="O44" s="61">
        <f t="shared" si="15"/>
        <v>8.5176329777777813</v>
      </c>
      <c r="P44" s="20">
        <f t="shared" si="16"/>
        <v>8.5176329777777777</v>
      </c>
      <c r="Q44" s="20">
        <f>Input!$C$32*O44</f>
        <v>0.46846981377777797</v>
      </c>
      <c r="R44" s="21">
        <f t="shared" si="17"/>
        <v>0</v>
      </c>
    </row>
    <row r="45" spans="1:18" ht="15.6" x14ac:dyDescent="0.35">
      <c r="A45" s="8">
        <v>2042</v>
      </c>
      <c r="B45" s="9"/>
      <c r="C45" s="26">
        <f>'Project IRR'!D45</f>
        <v>20.222214609478694</v>
      </c>
      <c r="D45" s="26">
        <f>'Project IRR'!E45</f>
        <v>3.829421</v>
      </c>
      <c r="E45" s="26">
        <f>'Project IRR'!F45</f>
        <v>16.392793609478694</v>
      </c>
      <c r="F45" s="26">
        <f>'Project IRR'!G45</f>
        <v>9.5823371000000002</v>
      </c>
      <c r="G45" s="27">
        <f t="shared" si="9"/>
        <v>0</v>
      </c>
      <c r="H45" s="26">
        <f t="shared" si="12"/>
        <v>6.8104565094786942</v>
      </c>
      <c r="I45" s="26">
        <f>IF(H45&lt;0,0,Input!$C$33*H45)</f>
        <v>1.4983004320853128</v>
      </c>
      <c r="J45" s="27">
        <f t="shared" si="13"/>
        <v>5.3121560773933814</v>
      </c>
      <c r="K45" s="27">
        <f t="shared" si="10"/>
        <v>0</v>
      </c>
      <c r="L45" s="29">
        <f t="shared" si="11"/>
        <v>14.894493177393382</v>
      </c>
      <c r="M45" s="33"/>
      <c r="N45" s="33"/>
    </row>
    <row r="46" spans="1:18" ht="15.6" x14ac:dyDescent="0.35">
      <c r="A46" s="8">
        <v>2043</v>
      </c>
      <c r="B46" s="9"/>
      <c r="C46" s="26">
        <f>'Project IRR'!D46</f>
        <v>20.019992463383907</v>
      </c>
      <c r="D46" s="26">
        <f>'Project IRR'!E46</f>
        <v>3.829421</v>
      </c>
      <c r="E46" s="26">
        <f>'Project IRR'!F46</f>
        <v>16.190571463383908</v>
      </c>
      <c r="F46" s="26">
        <f>'Project IRR'!G46</f>
        <v>9.5823371000000002</v>
      </c>
      <c r="G46" s="27">
        <f t="shared" si="9"/>
        <v>0</v>
      </c>
      <c r="H46" s="26">
        <f t="shared" si="12"/>
        <v>6.6082343633839074</v>
      </c>
      <c r="I46" s="26">
        <f>IF(H46&lt;0,0,Input!$C$33*H46)</f>
        <v>1.4538115599444597</v>
      </c>
      <c r="J46" s="27">
        <f t="shared" si="13"/>
        <v>5.1544228034394477</v>
      </c>
      <c r="K46" s="27">
        <f t="shared" si="10"/>
        <v>0</v>
      </c>
      <c r="L46" s="29">
        <f t="shared" si="11"/>
        <v>14.736759903439449</v>
      </c>
      <c r="M46" s="33"/>
      <c r="N46" s="33"/>
    </row>
    <row r="47" spans="1:18" ht="16.2" thickBot="1" x14ac:dyDescent="0.4">
      <c r="A47" s="10"/>
      <c r="B47" s="11"/>
      <c r="C47" s="12"/>
      <c r="D47" s="12"/>
      <c r="E47" s="12"/>
      <c r="F47" s="12"/>
      <c r="G47" s="12"/>
      <c r="H47" s="12"/>
      <c r="I47" s="13"/>
      <c r="J47" s="56" t="s">
        <v>10</v>
      </c>
      <c r="K47" s="60"/>
      <c r="L47" s="57">
        <f>IRR(L26:L46)</f>
        <v>9.8387064505385258E-2</v>
      </c>
      <c r="M47" s="65">
        <f>AVERAGE(M27:M44)</f>
        <v>1.4581697269858169</v>
      </c>
      <c r="N47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3B22D-5434-4ECE-B789-99D77F7D86F7}">
  <dimension ref="B3:I25"/>
  <sheetViews>
    <sheetView workbookViewId="0">
      <selection activeCell="G28" sqref="G28"/>
    </sheetView>
  </sheetViews>
  <sheetFormatPr defaultRowHeight="14.4" x14ac:dyDescent="0.3"/>
  <cols>
    <col min="2" max="2" width="36.109375" customWidth="1"/>
    <col min="3" max="3" width="18.5546875" customWidth="1"/>
    <col min="7" max="7" width="38.33203125" customWidth="1"/>
    <col min="8" max="8" width="16.109375" customWidth="1"/>
  </cols>
  <sheetData>
    <row r="3" spans="2:9" x14ac:dyDescent="0.3">
      <c r="B3" s="85" t="s">
        <v>26</v>
      </c>
      <c r="C3" s="85"/>
    </row>
    <row r="4" spans="2:9" ht="15" thickBot="1" x14ac:dyDescent="0.35"/>
    <row r="5" spans="2:9" ht="25.8" thickBot="1" x14ac:dyDescent="0.35">
      <c r="B5" s="34" t="s">
        <v>17</v>
      </c>
      <c r="C5" s="35">
        <v>14.4</v>
      </c>
      <c r="D5">
        <f>C5/$C$11</f>
        <v>0.59016393442622961</v>
      </c>
      <c r="G5" s="34" t="s">
        <v>17</v>
      </c>
      <c r="H5" s="35">
        <v>14.4</v>
      </c>
      <c r="I5">
        <v>0.59016393442622961</v>
      </c>
    </row>
    <row r="6" spans="2:9" ht="25.8" thickBot="1" x14ac:dyDescent="0.35">
      <c r="B6" s="36" t="s">
        <v>18</v>
      </c>
      <c r="C6" s="37">
        <v>3.2</v>
      </c>
      <c r="D6">
        <f t="shared" ref="D6:D10" si="0">C6/$C$11</f>
        <v>0.13114754098360656</v>
      </c>
      <c r="G6" s="36" t="s">
        <v>18</v>
      </c>
      <c r="H6" s="37">
        <v>3.2</v>
      </c>
      <c r="I6">
        <v>0.13114754098360656</v>
      </c>
    </row>
    <row r="7" spans="2:9" ht="15" thickBot="1" x14ac:dyDescent="0.35">
      <c r="B7" s="36" t="s">
        <v>19</v>
      </c>
      <c r="C7" s="37">
        <v>4.2</v>
      </c>
      <c r="D7">
        <f t="shared" si="0"/>
        <v>0.17213114754098363</v>
      </c>
      <c r="G7" s="36" t="s">
        <v>19</v>
      </c>
      <c r="H7" s="37">
        <v>4.2</v>
      </c>
      <c r="I7">
        <v>0.17213114754098363</v>
      </c>
    </row>
    <row r="8" spans="2:9" ht="15" thickBot="1" x14ac:dyDescent="0.35">
      <c r="B8" s="36" t="s">
        <v>20</v>
      </c>
      <c r="C8" s="37">
        <v>0.8</v>
      </c>
      <c r="D8">
        <f t="shared" si="0"/>
        <v>3.2786885245901641E-2</v>
      </c>
      <c r="G8" s="36" t="s">
        <v>20</v>
      </c>
      <c r="H8" s="37">
        <v>0.8</v>
      </c>
      <c r="I8">
        <v>3.2786885245901641E-2</v>
      </c>
    </row>
    <row r="9" spans="2:9" ht="25.8" thickBot="1" x14ac:dyDescent="0.35">
      <c r="B9" s="36" t="s">
        <v>21</v>
      </c>
      <c r="C9" s="37">
        <v>0.9</v>
      </c>
      <c r="D9">
        <f t="shared" si="0"/>
        <v>3.6885245901639351E-2</v>
      </c>
      <c r="G9" s="36" t="s">
        <v>21</v>
      </c>
      <c r="H9" s="37">
        <v>0.9</v>
      </c>
      <c r="I9">
        <v>3.6885245901639351E-2</v>
      </c>
    </row>
    <row r="10" spans="2:9" ht="15" thickBot="1" x14ac:dyDescent="0.35">
      <c r="B10" s="36" t="s">
        <v>22</v>
      </c>
      <c r="C10" s="37">
        <v>0.9</v>
      </c>
      <c r="D10">
        <f t="shared" si="0"/>
        <v>3.6885245901639351E-2</v>
      </c>
      <c r="G10" s="36" t="s">
        <v>22</v>
      </c>
      <c r="H10" s="37">
        <v>0.9</v>
      </c>
      <c r="I10">
        <v>3.6885245901639351E-2</v>
      </c>
    </row>
    <row r="11" spans="2:9" ht="15" thickBot="1" x14ac:dyDescent="0.35">
      <c r="B11" s="38" t="s">
        <v>23</v>
      </c>
      <c r="C11" s="39">
        <v>24.4</v>
      </c>
      <c r="G11" s="38" t="s">
        <v>23</v>
      </c>
      <c r="H11" s="39">
        <v>16.239999999999998</v>
      </c>
    </row>
    <row r="13" spans="2:9" ht="15" thickBot="1" x14ac:dyDescent="0.35"/>
    <row r="14" spans="2:9" ht="25.8" thickBot="1" x14ac:dyDescent="0.35">
      <c r="B14" s="34" t="s">
        <v>24</v>
      </c>
      <c r="C14" s="35">
        <v>7.2</v>
      </c>
      <c r="D14">
        <f>C14/$C$16</f>
        <v>0.94736842105263164</v>
      </c>
      <c r="G14" s="34" t="s">
        <v>24</v>
      </c>
      <c r="H14" s="40">
        <f>I14*$H$16</f>
        <v>3.0789473684210527</v>
      </c>
      <c r="I14">
        <v>0.94736842105263164</v>
      </c>
    </row>
    <row r="15" spans="2:9" ht="25.8" thickBot="1" x14ac:dyDescent="0.35">
      <c r="B15" s="36" t="s">
        <v>25</v>
      </c>
      <c r="C15" s="37">
        <v>0.4</v>
      </c>
      <c r="D15">
        <f>C15/$C$16</f>
        <v>5.2631578947368425E-2</v>
      </c>
      <c r="G15" s="36" t="s">
        <v>25</v>
      </c>
      <c r="H15" s="40">
        <f>I15*$H$16</f>
        <v>0.17105263157894737</v>
      </c>
      <c r="I15">
        <v>5.2631578947368425E-2</v>
      </c>
    </row>
    <row r="16" spans="2:9" ht="15" thickBot="1" x14ac:dyDescent="0.35">
      <c r="B16" s="38" t="s">
        <v>23</v>
      </c>
      <c r="C16" s="39">
        <v>7.6</v>
      </c>
      <c r="G16" s="38" t="s">
        <v>23</v>
      </c>
      <c r="H16" s="39">
        <v>3.25</v>
      </c>
    </row>
    <row r="20" spans="2:9" ht="15" thickBot="1" x14ac:dyDescent="0.35"/>
    <row r="21" spans="2:9" ht="15" thickBot="1" x14ac:dyDescent="0.35">
      <c r="B21" s="41" t="s">
        <v>27</v>
      </c>
      <c r="C21" s="42">
        <v>0.21</v>
      </c>
      <c r="D21">
        <f>C21/$C$25</f>
        <v>0.28767123287671231</v>
      </c>
      <c r="G21" s="41" t="s">
        <v>27</v>
      </c>
      <c r="H21" s="43">
        <f>I21*$H$25</f>
        <v>0.11506849315068493</v>
      </c>
      <c r="I21">
        <v>0.28767123287671231</v>
      </c>
    </row>
    <row r="22" spans="2:9" ht="25.8" thickBot="1" x14ac:dyDescent="0.35">
      <c r="B22" s="44" t="s">
        <v>28</v>
      </c>
      <c r="C22" s="45">
        <v>0.32</v>
      </c>
      <c r="D22">
        <f t="shared" ref="D22:D24" si="1">C22/$C$25</f>
        <v>0.43835616438356168</v>
      </c>
      <c r="G22" s="44" t="s">
        <v>28</v>
      </c>
      <c r="H22" s="43">
        <f t="shared" ref="H22:H24" si="2">I22*$H$25</f>
        <v>0.17534246575342469</v>
      </c>
      <c r="I22">
        <v>0.43835616438356168</v>
      </c>
    </row>
    <row r="23" spans="2:9" ht="15" thickBot="1" x14ac:dyDescent="0.35">
      <c r="B23" s="44" t="s">
        <v>29</v>
      </c>
      <c r="C23" s="45">
        <v>0.1</v>
      </c>
      <c r="D23">
        <f t="shared" si="1"/>
        <v>0.13698630136986303</v>
      </c>
      <c r="G23" s="44" t="s">
        <v>29</v>
      </c>
      <c r="H23" s="43">
        <f t="shared" si="2"/>
        <v>5.4794520547945216E-2</v>
      </c>
      <c r="I23">
        <v>0.13698630136986303</v>
      </c>
    </row>
    <row r="24" spans="2:9" ht="25.8" thickBot="1" x14ac:dyDescent="0.35">
      <c r="B24" s="44" t="s">
        <v>30</v>
      </c>
      <c r="C24" s="45">
        <v>0.1</v>
      </c>
      <c r="D24">
        <f t="shared" si="1"/>
        <v>0.13698630136986303</v>
      </c>
      <c r="G24" s="44" t="s">
        <v>30</v>
      </c>
      <c r="H24" s="43">
        <f t="shared" si="2"/>
        <v>5.4794520547945216E-2</v>
      </c>
      <c r="I24">
        <v>0.13698630136986303</v>
      </c>
    </row>
    <row r="25" spans="2:9" ht="15" thickBot="1" x14ac:dyDescent="0.35">
      <c r="B25" s="46" t="s">
        <v>23</v>
      </c>
      <c r="C25" s="47">
        <v>0.73</v>
      </c>
      <c r="G25" s="46" t="s">
        <v>23</v>
      </c>
      <c r="H25" s="47">
        <v>0.4</v>
      </c>
    </row>
  </sheetData>
  <mergeCells count="1">
    <mergeCell ref="B3:C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6C772D2764AD469874201638D3818A" ma:contentTypeVersion="17" ma:contentTypeDescription="Create a new document." ma:contentTypeScope="" ma:versionID="5ef81e3cbe7b98493ed554a60e722995">
  <xsd:schema xmlns:xsd="http://www.w3.org/2001/XMLSchema" xmlns:xs="http://www.w3.org/2001/XMLSchema" xmlns:p="http://schemas.microsoft.com/office/2006/metadata/properties" xmlns:ns2="9d0dcddf-073b-4cfd-98b0-d03eb5ab2d2b" xmlns:ns3="bd167052-5bcb-430a-9553-8847428d8ba1" targetNamespace="http://schemas.microsoft.com/office/2006/metadata/properties" ma:root="true" ma:fieldsID="945afba48ba8f711e58259397d2dcdc7" ns2:_="" ns3:_="">
    <xsd:import namespace="9d0dcddf-073b-4cfd-98b0-d03eb5ab2d2b"/>
    <xsd:import namespace="bd167052-5bcb-430a-9553-8847428d8ba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Location" minOccurs="0"/>
                <xsd:element ref="ns3:MediaServiceOCR" minOccurs="0"/>
                <xsd:element ref="ns3:lcf76f155ced4ddcb4097134ff3c332f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0dcddf-073b-4cfd-98b0-d03eb5ab2d2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167052-5bcb-430a-9553-8847428d8b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1ec3a9c-a0c6-4e20-a12d-7715a0567b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d167052-5bcb-430a-9553-8847428d8ba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69A4D4-0D97-4D99-B8BC-ABEA821DC2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0dcddf-073b-4cfd-98b0-d03eb5ab2d2b"/>
    <ds:schemaRef ds:uri="bd167052-5bcb-430a-9553-8847428d8b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ED495D-7620-42A0-B7B6-152734504E81}">
  <ds:schemaRefs>
    <ds:schemaRef ds:uri="http://schemas.microsoft.com/office/infopath/2007/PartnerControls"/>
    <ds:schemaRef ds:uri="9d0dcddf-073b-4cfd-98b0-d03eb5ab2d2b"/>
    <ds:schemaRef ds:uri="http://purl.org/dc/terms/"/>
    <ds:schemaRef ds:uri="bd167052-5bcb-430a-9553-8847428d8ba1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7A97700-0B44-4DB6-A89E-1C46E40573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Project IRR</vt:lpstr>
      <vt:lpstr>Equity IRR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Manousos Veisakis</cp:lastModifiedBy>
  <dcterms:created xsi:type="dcterms:W3CDTF">2022-08-04T08:33:51Z</dcterms:created>
  <dcterms:modified xsi:type="dcterms:W3CDTF">2024-01-31T16:26:36Z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0x0101003B6C772D2764AD469874201638D3818A</vt:lpwstr>
  </property>
  <property fmtid="{D5CDD505-2E9C-101B-9397-08002B2CF9AE}" pid="3" name="MOHDepartmentTaxonomy">
    <vt:lpwstr/>
  </property>
  <property fmtid="{D5CDD505-2E9C-101B-9397-08002B2CF9AE}" pid="4" name="md928f50fea8486a8a247c6e758e44c0">
    <vt:lpwstr/>
  </property>
  <property fmtid="{D5CDD505-2E9C-101B-9397-08002B2CF9AE}" pid="5" name="MediaServiceImageTags">
    <vt:lpwstr/>
  </property>
  <property fmtid="{D5CDD505-2E9C-101B-9397-08002B2CF9AE}" pid="6" name="TaxCatchAll">
    <vt:lpwstr/>
  </property>
  <property fmtid="{D5CDD505-2E9C-101B-9397-08002B2CF9AE}" pid="7" name="MOHCompanyTaxonomy">
    <vt:lpwstr/>
  </property>
  <property fmtid="{D5CDD505-2E9C-101B-9397-08002B2CF9AE}" pid="8" name="m45dc1a870af4d97977cc696372f3ecd">
    <vt:lpwstr/>
  </property>
</Properties>
</file>