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eis\Documents\Python Scripts\Hybrid\clc\"/>
    </mc:Choice>
  </mc:AlternateContent>
  <xr:revisionPtr revIDLastSave="0" documentId="13_ncr:1_{C1D81A67-FD79-414D-A2A8-2B11BDB69968}" xr6:coauthVersionLast="47" xr6:coauthVersionMax="47" xr10:uidLastSave="{00000000-0000-0000-0000-000000000000}"/>
  <bookViews>
    <workbookView xWindow="-108" yWindow="-108" windowWidth="23256" windowHeight="12456" xr2:uid="{7CEB3A89-7B48-48D1-9715-5163782BCB9C}"/>
  </bookViews>
  <sheets>
    <sheet name="Input" sheetId="8" r:id="rId1"/>
    <sheet name="Project IRR" sheetId="1" r:id="rId2"/>
    <sheet name="Equity IRR" sheetId="2" r:id="rId3"/>
    <sheet name="Reference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8" i="8"/>
  <c r="D51" i="1"/>
  <c r="I50" i="1"/>
  <c r="C18" i="8"/>
  <c r="D31" i="8"/>
  <c r="O2" i="2"/>
  <c r="C11" i="8"/>
  <c r="E14" i="1" s="1"/>
  <c r="D32" i="8" l="1"/>
  <c r="D33" i="8"/>
  <c r="E22" i="1"/>
  <c r="E21" i="1"/>
  <c r="E13" i="1"/>
  <c r="E12" i="1"/>
  <c r="E11" i="1"/>
  <c r="E10" i="1"/>
  <c r="E6" i="1"/>
  <c r="E9" i="1"/>
  <c r="E8" i="1"/>
  <c r="E7" i="1"/>
  <c r="E4" i="1"/>
  <c r="E5" i="1"/>
  <c r="E3" i="1"/>
  <c r="D52" i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E20" i="1"/>
  <c r="E19" i="1"/>
  <c r="E15" i="1"/>
  <c r="E18" i="1"/>
  <c r="E17" i="1"/>
  <c r="E16" i="1"/>
  <c r="C12" i="8"/>
  <c r="D34" i="8" l="1"/>
  <c r="E52" i="1"/>
  <c r="F52" i="1" s="1"/>
  <c r="E55" i="1"/>
  <c r="E58" i="1"/>
  <c r="E59" i="1"/>
  <c r="E60" i="1"/>
  <c r="E61" i="1"/>
  <c r="E62" i="1"/>
  <c r="E63" i="1"/>
  <c r="E64" i="1"/>
  <c r="E67" i="1"/>
  <c r="E68" i="1"/>
  <c r="E69" i="1"/>
  <c r="E51" i="1"/>
  <c r="F51" i="1" s="1"/>
  <c r="E53" i="1"/>
  <c r="F53" i="1" s="1"/>
  <c r="E54" i="1"/>
  <c r="E56" i="1"/>
  <c r="E57" i="1"/>
  <c r="E65" i="1"/>
  <c r="E66" i="1"/>
  <c r="E70" i="1"/>
  <c r="C7" i="8"/>
  <c r="D35" i="8" l="1"/>
  <c r="D36" i="8"/>
  <c r="C2" i="1"/>
  <c r="C50" i="1"/>
  <c r="F54" i="1"/>
  <c r="K46" i="2"/>
  <c r="G46" i="2"/>
  <c r="K45" i="2"/>
  <c r="G45" i="2"/>
  <c r="K26" i="2"/>
  <c r="G26" i="2"/>
  <c r="F26" i="2"/>
  <c r="E26" i="2"/>
  <c r="D26" i="2"/>
  <c r="C26" i="2"/>
  <c r="K25" i="2"/>
  <c r="K50" i="1" l="1"/>
  <c r="G57" i="1"/>
  <c r="G59" i="1"/>
  <c r="G60" i="1"/>
  <c r="G61" i="1"/>
  <c r="G63" i="1"/>
  <c r="G64" i="1"/>
  <c r="G66" i="1"/>
  <c r="G68" i="1"/>
  <c r="G70" i="1"/>
  <c r="G52" i="1"/>
  <c r="G53" i="1"/>
  <c r="G54" i="1"/>
  <c r="G55" i="1"/>
  <c r="G56" i="1"/>
  <c r="G58" i="1"/>
  <c r="G62" i="1"/>
  <c r="G65" i="1"/>
  <c r="G67" i="1"/>
  <c r="G69" i="1"/>
  <c r="G51" i="1"/>
  <c r="D37" i="8"/>
  <c r="F55" i="1"/>
  <c r="H26" i="2"/>
  <c r="I26" i="2" s="1"/>
  <c r="J26" i="2" s="1"/>
  <c r="E2" i="2"/>
  <c r="F2" i="2"/>
  <c r="D2" i="2"/>
  <c r="C2" i="2"/>
  <c r="D38" i="8" l="1"/>
  <c r="F56" i="1"/>
  <c r="O26" i="2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0" i="1"/>
  <c r="D30" i="2" s="1"/>
  <c r="E28" i="1"/>
  <c r="D28" i="2" s="1"/>
  <c r="E29" i="1"/>
  <c r="D29" i="2" s="1"/>
  <c r="E31" i="1"/>
  <c r="D31" i="2" s="1"/>
  <c r="E32" i="1"/>
  <c r="D32" i="2" s="1"/>
  <c r="E33" i="1"/>
  <c r="D33" i="2" s="1"/>
  <c r="E34" i="1"/>
  <c r="D34" i="2" s="1"/>
  <c r="E35" i="1"/>
  <c r="D35" i="2" s="1"/>
  <c r="E36" i="1"/>
  <c r="D36" i="2" s="1"/>
  <c r="E37" i="1"/>
  <c r="D37" i="2" s="1"/>
  <c r="E38" i="1"/>
  <c r="D38" i="2" s="1"/>
  <c r="E39" i="1"/>
  <c r="D39" i="2" s="1"/>
  <c r="E40" i="1"/>
  <c r="D40" i="2" s="1"/>
  <c r="E41" i="1"/>
  <c r="D41" i="2" s="1"/>
  <c r="E42" i="1"/>
  <c r="D42" i="2" s="1"/>
  <c r="E43" i="1"/>
  <c r="D43" i="2" s="1"/>
  <c r="E44" i="1"/>
  <c r="D44" i="2" s="1"/>
  <c r="E45" i="1"/>
  <c r="D45" i="2" s="1"/>
  <c r="E46" i="1"/>
  <c r="D46" i="2" s="1"/>
  <c r="E27" i="1"/>
  <c r="D27" i="2" s="1"/>
  <c r="I26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26" i="8"/>
  <c r="D39" i="8" l="1"/>
  <c r="F57" i="1"/>
  <c r="C3" i="2"/>
  <c r="R26" i="2"/>
  <c r="O27" i="2" s="1"/>
  <c r="Q27" i="2" s="1"/>
  <c r="G27" i="2" s="1"/>
  <c r="P30" i="2"/>
  <c r="K30" i="2" s="1"/>
  <c r="P37" i="2"/>
  <c r="K37" i="2" s="1"/>
  <c r="P38" i="2"/>
  <c r="K38" i="2" s="1"/>
  <c r="P36" i="2"/>
  <c r="K36" i="2" s="1"/>
  <c r="P29" i="2"/>
  <c r="K29" i="2" s="1"/>
  <c r="P42" i="2"/>
  <c r="K42" i="2" s="1"/>
  <c r="P28" i="2"/>
  <c r="K28" i="2" s="1"/>
  <c r="P27" i="2"/>
  <c r="K27" i="2" s="1"/>
  <c r="P43" i="2"/>
  <c r="K43" i="2" s="1"/>
  <c r="P35" i="2"/>
  <c r="K35" i="2" s="1"/>
  <c r="P44" i="2"/>
  <c r="K44" i="2" s="1"/>
  <c r="P31" i="2"/>
  <c r="K31" i="2" s="1"/>
  <c r="P41" i="2"/>
  <c r="K41" i="2" s="1"/>
  <c r="P34" i="2"/>
  <c r="K34" i="2" s="1"/>
  <c r="P40" i="2"/>
  <c r="K40" i="2" s="1"/>
  <c r="P32" i="2"/>
  <c r="K32" i="2" s="1"/>
  <c r="P33" i="2"/>
  <c r="K33" i="2" s="1"/>
  <c r="P39" i="2"/>
  <c r="K39" i="2" s="1"/>
  <c r="F28" i="1"/>
  <c r="E28" i="2" s="1"/>
  <c r="C27" i="2"/>
  <c r="C26" i="1"/>
  <c r="F27" i="1"/>
  <c r="E27" i="2" s="1"/>
  <c r="H24" i="7"/>
  <c r="D24" i="7"/>
  <c r="H23" i="7"/>
  <c r="D23" i="7"/>
  <c r="H22" i="7"/>
  <c r="D22" i="7"/>
  <c r="H21" i="7"/>
  <c r="D21" i="7"/>
  <c r="H15" i="7"/>
  <c r="H14" i="7"/>
  <c r="D15" i="7"/>
  <c r="D14" i="7"/>
  <c r="D6" i="7"/>
  <c r="D7" i="7"/>
  <c r="D8" i="7"/>
  <c r="D9" i="7"/>
  <c r="D10" i="7"/>
  <c r="D5" i="7"/>
  <c r="D40" i="8" l="1"/>
  <c r="H53" i="1"/>
  <c r="H55" i="1"/>
  <c r="H57" i="1"/>
  <c r="H52" i="1"/>
  <c r="H51" i="1"/>
  <c r="H56" i="1"/>
  <c r="H54" i="1"/>
  <c r="F58" i="1"/>
  <c r="M27" i="2"/>
  <c r="G29" i="1"/>
  <c r="F29" i="2" s="1"/>
  <c r="B26" i="2"/>
  <c r="L26" i="2" s="1"/>
  <c r="G6" i="1"/>
  <c r="F6" i="2" s="1"/>
  <c r="B2" i="2"/>
  <c r="R27" i="2"/>
  <c r="O28" i="2" s="1"/>
  <c r="C28" i="2"/>
  <c r="C4" i="2"/>
  <c r="G37" i="1"/>
  <c r="F37" i="2" s="1"/>
  <c r="G15" i="1"/>
  <c r="F15" i="2" s="1"/>
  <c r="G3" i="1"/>
  <c r="F3" i="2" s="1"/>
  <c r="G11" i="1"/>
  <c r="F11" i="2" s="1"/>
  <c r="G8" i="1"/>
  <c r="F8" i="2" s="1"/>
  <c r="G18" i="1"/>
  <c r="F18" i="2" s="1"/>
  <c r="G16" i="1"/>
  <c r="F16" i="2" s="1"/>
  <c r="G4" i="1"/>
  <c r="F4" i="2" s="1"/>
  <c r="G32" i="1"/>
  <c r="G36" i="1"/>
  <c r="G42" i="1"/>
  <c r="G14" i="1"/>
  <c r="F14" i="2" s="1"/>
  <c r="G13" i="1"/>
  <c r="F13" i="2" s="1"/>
  <c r="G12" i="1"/>
  <c r="F12" i="2" s="1"/>
  <c r="G17" i="1"/>
  <c r="F17" i="2" s="1"/>
  <c r="G43" i="1"/>
  <c r="G45" i="1"/>
  <c r="G20" i="1"/>
  <c r="F20" i="2" s="1"/>
  <c r="G19" i="1"/>
  <c r="F19" i="2" s="1"/>
  <c r="G40" i="1"/>
  <c r="G21" i="1"/>
  <c r="F21" i="2" s="1"/>
  <c r="G22" i="1"/>
  <c r="F22" i="2" s="1"/>
  <c r="G30" i="1"/>
  <c r="G5" i="1"/>
  <c r="F5" i="2" s="1"/>
  <c r="G33" i="1"/>
  <c r="K26" i="1"/>
  <c r="G38" i="1"/>
  <c r="G31" i="1"/>
  <c r="G41" i="1"/>
  <c r="G28" i="1"/>
  <c r="G9" i="1"/>
  <c r="F9" i="2" s="1"/>
  <c r="G46" i="1"/>
  <c r="G39" i="1"/>
  <c r="G10" i="1"/>
  <c r="F10" i="2" s="1"/>
  <c r="G44" i="1"/>
  <c r="K2" i="1"/>
  <c r="G7" i="1"/>
  <c r="F7" i="2" s="1"/>
  <c r="G27" i="1"/>
  <c r="G34" i="1"/>
  <c r="G35" i="1"/>
  <c r="I2" i="1"/>
  <c r="D41" i="8" l="1"/>
  <c r="H58" i="1"/>
  <c r="I58" i="1" s="1"/>
  <c r="J58" i="1" s="1"/>
  <c r="K58" i="1" s="1"/>
  <c r="I51" i="1"/>
  <c r="J51" i="1" s="1"/>
  <c r="K51" i="1" s="1"/>
  <c r="I54" i="1"/>
  <c r="J54" i="1" s="1"/>
  <c r="K54" i="1" s="1"/>
  <c r="I55" i="1"/>
  <c r="J55" i="1" s="1"/>
  <c r="K55" i="1" s="1"/>
  <c r="I56" i="1"/>
  <c r="J56" i="1" s="1"/>
  <c r="K56" i="1" s="1"/>
  <c r="F59" i="1"/>
  <c r="H59" i="1" s="1"/>
  <c r="I57" i="1"/>
  <c r="J57" i="1" s="1"/>
  <c r="K57" i="1" s="1"/>
  <c r="I53" i="1"/>
  <c r="J53" i="1" s="1"/>
  <c r="K53" i="1" s="1"/>
  <c r="I52" i="1"/>
  <c r="J52" i="1" s="1"/>
  <c r="K52" i="1" s="1"/>
  <c r="F35" i="2"/>
  <c r="F34" i="2"/>
  <c r="H27" i="1"/>
  <c r="I27" i="1" s="1"/>
  <c r="J27" i="1" s="1"/>
  <c r="K27" i="1" s="1"/>
  <c r="F27" i="2"/>
  <c r="H27" i="2" s="1"/>
  <c r="I27" i="2" s="1"/>
  <c r="J27" i="2" s="1"/>
  <c r="L27" i="2" s="1"/>
  <c r="H28" i="1"/>
  <c r="I28" i="1" s="1"/>
  <c r="F28" i="2"/>
  <c r="F39" i="2"/>
  <c r="F45" i="2"/>
  <c r="F32" i="2"/>
  <c r="F43" i="2"/>
  <c r="F41" i="2"/>
  <c r="C29" i="2"/>
  <c r="F29" i="1"/>
  <c r="F33" i="2"/>
  <c r="F31" i="2"/>
  <c r="F40" i="2"/>
  <c r="R28" i="2"/>
  <c r="O29" i="2" s="1"/>
  <c r="Q28" i="2"/>
  <c r="G28" i="2" s="1"/>
  <c r="M28" i="2" s="1"/>
  <c r="F44" i="2"/>
  <c r="F38" i="2"/>
  <c r="F42" i="2"/>
  <c r="F36" i="2"/>
  <c r="F46" i="2"/>
  <c r="F30" i="2"/>
  <c r="C5" i="2"/>
  <c r="P7" i="2"/>
  <c r="K7" i="2" s="1"/>
  <c r="F4" i="1"/>
  <c r="E4" i="2" s="1"/>
  <c r="F5" i="1"/>
  <c r="E5" i="2" s="1"/>
  <c r="F3" i="1"/>
  <c r="E3" i="2" s="1"/>
  <c r="K21" i="2"/>
  <c r="K22" i="2"/>
  <c r="K2" i="2"/>
  <c r="K1" i="2"/>
  <c r="G22" i="2"/>
  <c r="G21" i="2"/>
  <c r="G2" i="2"/>
  <c r="H2" i="2" s="1"/>
  <c r="I2" i="2" s="1"/>
  <c r="D42" i="8" l="1"/>
  <c r="I59" i="1"/>
  <c r="J59" i="1" s="1"/>
  <c r="K59" i="1" s="1"/>
  <c r="F60" i="1"/>
  <c r="H60" i="1" s="1"/>
  <c r="J28" i="1"/>
  <c r="K28" i="1" s="1"/>
  <c r="H28" i="2"/>
  <c r="I28" i="2" s="1"/>
  <c r="J28" i="2" s="1"/>
  <c r="L28" i="2" s="1"/>
  <c r="E29" i="2"/>
  <c r="H29" i="1"/>
  <c r="I29" i="1" s="1"/>
  <c r="J29" i="1" s="1"/>
  <c r="K29" i="1" s="1"/>
  <c r="R29" i="2"/>
  <c r="O30" i="2" s="1"/>
  <c r="Q29" i="2"/>
  <c r="G29" i="2" s="1"/>
  <c r="C30" i="2"/>
  <c r="F30" i="1"/>
  <c r="F7" i="1"/>
  <c r="C6" i="2"/>
  <c r="H3" i="1"/>
  <c r="H4" i="1"/>
  <c r="I4" i="1" s="1"/>
  <c r="J4" i="1" s="1"/>
  <c r="K4" i="1" s="1"/>
  <c r="H5" i="1"/>
  <c r="I5" i="1" s="1"/>
  <c r="J5" i="1" s="1"/>
  <c r="K5" i="1" s="1"/>
  <c r="F6" i="1"/>
  <c r="R2" i="2"/>
  <c r="O3" i="2" s="1"/>
  <c r="P3" i="2"/>
  <c r="P14" i="2"/>
  <c r="P6" i="2"/>
  <c r="P17" i="2"/>
  <c r="P16" i="2"/>
  <c r="P5" i="2"/>
  <c r="P12" i="2"/>
  <c r="P4" i="2"/>
  <c r="P19" i="2"/>
  <c r="P11" i="2"/>
  <c r="P9" i="2"/>
  <c r="P8" i="2"/>
  <c r="P15" i="2"/>
  <c r="P13" i="2"/>
  <c r="P20" i="2"/>
  <c r="P18" i="2"/>
  <c r="P10" i="2"/>
  <c r="J2" i="2"/>
  <c r="D43" i="8" l="1"/>
  <c r="F61" i="1"/>
  <c r="H61" i="1" s="1"/>
  <c r="I60" i="1"/>
  <c r="J60" i="1" s="1"/>
  <c r="K60" i="1" s="1"/>
  <c r="H29" i="2"/>
  <c r="I29" i="2" s="1"/>
  <c r="J29" i="2" s="1"/>
  <c r="L29" i="2" s="1"/>
  <c r="M29" i="2"/>
  <c r="C31" i="2"/>
  <c r="F31" i="1"/>
  <c r="H7" i="1"/>
  <c r="I7" i="1" s="1"/>
  <c r="J7" i="1" s="1"/>
  <c r="K7" i="1" s="1"/>
  <c r="E7" i="2"/>
  <c r="R30" i="2"/>
  <c r="O31" i="2" s="1"/>
  <c r="Q30" i="2"/>
  <c r="G30" i="2" s="1"/>
  <c r="C7" i="2"/>
  <c r="H6" i="1"/>
  <c r="I6" i="1" s="1"/>
  <c r="J6" i="1" s="1"/>
  <c r="K6" i="1" s="1"/>
  <c r="E6" i="2"/>
  <c r="E30" i="2"/>
  <c r="H30" i="1"/>
  <c r="I30" i="1" s="1"/>
  <c r="J30" i="1" s="1"/>
  <c r="K30" i="1" s="1"/>
  <c r="Q3" i="2"/>
  <c r="G3" i="2" s="1"/>
  <c r="I3" i="1"/>
  <c r="J3" i="1" s="1"/>
  <c r="K3" i="1" s="1"/>
  <c r="L2" i="2"/>
  <c r="K10" i="2"/>
  <c r="K18" i="2"/>
  <c r="K20" i="2"/>
  <c r="K15" i="2"/>
  <c r="K12" i="2"/>
  <c r="K19" i="2"/>
  <c r="K4" i="2"/>
  <c r="K13" i="2"/>
  <c r="K5" i="2"/>
  <c r="K16" i="2"/>
  <c r="K8" i="2"/>
  <c r="K17" i="2"/>
  <c r="K9" i="2"/>
  <c r="K6" i="2"/>
  <c r="K11" i="2"/>
  <c r="K14" i="2"/>
  <c r="R3" i="2"/>
  <c r="O4" i="2" s="1"/>
  <c r="Q4" i="2" s="1"/>
  <c r="K3" i="2"/>
  <c r="D44" i="8" l="1"/>
  <c r="I61" i="1"/>
  <c r="J61" i="1" s="1"/>
  <c r="K61" i="1" s="1"/>
  <c r="F62" i="1"/>
  <c r="H62" i="1" s="1"/>
  <c r="M30" i="2"/>
  <c r="C8" i="2"/>
  <c r="F8" i="1"/>
  <c r="H30" i="2"/>
  <c r="I30" i="2" s="1"/>
  <c r="J30" i="2" s="1"/>
  <c r="L30" i="2" s="1"/>
  <c r="E31" i="2"/>
  <c r="H31" i="1"/>
  <c r="I31" i="1" s="1"/>
  <c r="J31" i="1" s="1"/>
  <c r="K31" i="1" s="1"/>
  <c r="R31" i="2"/>
  <c r="O32" i="2" s="1"/>
  <c r="Q31" i="2"/>
  <c r="G31" i="2" s="1"/>
  <c r="C32" i="2"/>
  <c r="F32" i="1"/>
  <c r="M3" i="2"/>
  <c r="H3" i="2"/>
  <c r="R4" i="2"/>
  <c r="O5" i="2" s="1"/>
  <c r="Q5" i="2" s="1"/>
  <c r="D45" i="8" l="1"/>
  <c r="I62" i="1"/>
  <c r="J62" i="1" s="1"/>
  <c r="K62" i="1" s="1"/>
  <c r="F63" i="1"/>
  <c r="H63" i="1" s="1"/>
  <c r="M31" i="2"/>
  <c r="H31" i="2"/>
  <c r="I31" i="2" s="1"/>
  <c r="J31" i="2" s="1"/>
  <c r="L31" i="2" s="1"/>
  <c r="R32" i="2"/>
  <c r="O33" i="2" s="1"/>
  <c r="Q32" i="2"/>
  <c r="G32" i="2" s="1"/>
  <c r="E8" i="2"/>
  <c r="H8" i="1"/>
  <c r="I8" i="1" s="1"/>
  <c r="J8" i="1" s="1"/>
  <c r="K8" i="1" s="1"/>
  <c r="E32" i="2"/>
  <c r="H32" i="1"/>
  <c r="I32" i="1" s="1"/>
  <c r="J32" i="1" s="1"/>
  <c r="K32" i="1" s="1"/>
  <c r="C33" i="2"/>
  <c r="F33" i="1"/>
  <c r="C9" i="2"/>
  <c r="F9" i="1"/>
  <c r="I3" i="2"/>
  <c r="J3" i="2" s="1"/>
  <c r="L3" i="2" s="1"/>
  <c r="G4" i="2"/>
  <c r="M4" i="2" s="1"/>
  <c r="G5" i="2"/>
  <c r="M5" i="2" s="1"/>
  <c r="R5" i="2"/>
  <c r="O6" i="2" s="1"/>
  <c r="Q6" i="2" s="1"/>
  <c r="D46" i="8" l="1"/>
  <c r="F64" i="1"/>
  <c r="H64" i="1" s="1"/>
  <c r="I63" i="1"/>
  <c r="J63" i="1" s="1"/>
  <c r="K63" i="1" s="1"/>
  <c r="M32" i="2"/>
  <c r="C34" i="2"/>
  <c r="F34" i="1"/>
  <c r="E9" i="2"/>
  <c r="H9" i="1"/>
  <c r="I9" i="1" s="1"/>
  <c r="J9" i="1" s="1"/>
  <c r="K9" i="1" s="1"/>
  <c r="C10" i="2"/>
  <c r="F10" i="1"/>
  <c r="H32" i="2"/>
  <c r="I32" i="2" s="1"/>
  <c r="J32" i="2" s="1"/>
  <c r="L32" i="2" s="1"/>
  <c r="E33" i="2"/>
  <c r="H33" i="1"/>
  <c r="I33" i="1" s="1"/>
  <c r="J33" i="1" s="1"/>
  <c r="K33" i="1" s="1"/>
  <c r="R33" i="2"/>
  <c r="O34" i="2" s="1"/>
  <c r="Q33" i="2"/>
  <c r="G33" i="2" s="1"/>
  <c r="H5" i="2"/>
  <c r="I5" i="2" s="1"/>
  <c r="H4" i="2"/>
  <c r="I4" i="2" s="1"/>
  <c r="G6" i="2"/>
  <c r="M6" i="2" s="1"/>
  <c r="R6" i="2"/>
  <c r="O7" i="2" s="1"/>
  <c r="Q7" i="2" s="1"/>
  <c r="D47" i="8" l="1"/>
  <c r="I64" i="1"/>
  <c r="J64" i="1" s="1"/>
  <c r="K64" i="1" s="1"/>
  <c r="F65" i="1"/>
  <c r="H65" i="1" s="1"/>
  <c r="M33" i="2"/>
  <c r="H33" i="2"/>
  <c r="I33" i="2" s="1"/>
  <c r="J33" i="2" s="1"/>
  <c r="L33" i="2" s="1"/>
  <c r="E34" i="2"/>
  <c r="H34" i="1"/>
  <c r="I34" i="1" s="1"/>
  <c r="J34" i="1" s="1"/>
  <c r="K34" i="1" s="1"/>
  <c r="C11" i="2"/>
  <c r="F11" i="1"/>
  <c r="R34" i="2"/>
  <c r="O35" i="2" s="1"/>
  <c r="Q34" i="2"/>
  <c r="G34" i="2" s="1"/>
  <c r="C35" i="2"/>
  <c r="F35" i="1"/>
  <c r="E10" i="2"/>
  <c r="H10" i="1"/>
  <c r="I10" i="1" s="1"/>
  <c r="J10" i="1" s="1"/>
  <c r="K10" i="1" s="1"/>
  <c r="J4" i="2"/>
  <c r="L4" i="2" s="1"/>
  <c r="J5" i="2"/>
  <c r="L5" i="2" s="1"/>
  <c r="H6" i="2"/>
  <c r="I6" i="2" s="1"/>
  <c r="R7" i="2"/>
  <c r="O8" i="2" s="1"/>
  <c r="G7" i="2"/>
  <c r="M7" i="2" s="1"/>
  <c r="D48" i="8" l="1"/>
  <c r="I65" i="1"/>
  <c r="J65" i="1" s="1"/>
  <c r="K65" i="1" s="1"/>
  <c r="F66" i="1"/>
  <c r="H66" i="1" s="1"/>
  <c r="M34" i="2"/>
  <c r="H34" i="2"/>
  <c r="I34" i="2" s="1"/>
  <c r="J34" i="2" s="1"/>
  <c r="L34" i="2" s="1"/>
  <c r="R35" i="2"/>
  <c r="O36" i="2" s="1"/>
  <c r="Q35" i="2"/>
  <c r="G35" i="2" s="1"/>
  <c r="E11" i="2"/>
  <c r="H11" i="1"/>
  <c r="I11" i="1" s="1"/>
  <c r="J11" i="1" s="1"/>
  <c r="K11" i="1" s="1"/>
  <c r="C12" i="2"/>
  <c r="F12" i="1"/>
  <c r="E35" i="2"/>
  <c r="H35" i="1"/>
  <c r="C36" i="2"/>
  <c r="F36" i="1"/>
  <c r="Q8" i="2"/>
  <c r="G8" i="2" s="1"/>
  <c r="M8" i="2" s="1"/>
  <c r="J6" i="2"/>
  <c r="L6" i="2" s="1"/>
  <c r="H7" i="2"/>
  <c r="I7" i="2" s="1"/>
  <c r="R8" i="2"/>
  <c r="O9" i="2" s="1"/>
  <c r="D49" i="8" l="1"/>
  <c r="I66" i="1"/>
  <c r="J66" i="1" s="1"/>
  <c r="K66" i="1" s="1"/>
  <c r="F67" i="1"/>
  <c r="H67" i="1" s="1"/>
  <c r="M35" i="2"/>
  <c r="H12" i="1"/>
  <c r="I12" i="1" s="1"/>
  <c r="J12" i="1" s="1"/>
  <c r="K12" i="1" s="1"/>
  <c r="E12" i="2"/>
  <c r="E36" i="2"/>
  <c r="H36" i="1"/>
  <c r="I36" i="1" s="1"/>
  <c r="J36" i="1" s="1"/>
  <c r="K36" i="1" s="1"/>
  <c r="C13" i="2"/>
  <c r="F13" i="1"/>
  <c r="C37" i="2"/>
  <c r="F37" i="1"/>
  <c r="H35" i="2"/>
  <c r="I35" i="2" s="1"/>
  <c r="J35" i="2" s="1"/>
  <c r="L35" i="2" s="1"/>
  <c r="I35" i="1"/>
  <c r="J35" i="1" s="1"/>
  <c r="K35" i="1" s="1"/>
  <c r="R36" i="2"/>
  <c r="O37" i="2" s="1"/>
  <c r="Q36" i="2"/>
  <c r="G36" i="2" s="1"/>
  <c r="H8" i="2"/>
  <c r="I8" i="2" s="1"/>
  <c r="Q9" i="2"/>
  <c r="G9" i="2" s="1"/>
  <c r="M9" i="2" s="1"/>
  <c r="J7" i="2"/>
  <c r="L7" i="2" s="1"/>
  <c r="R9" i="2"/>
  <c r="O10" i="2" s="1"/>
  <c r="I67" i="1" l="1"/>
  <c r="J67" i="1" s="1"/>
  <c r="K67" i="1" s="1"/>
  <c r="F68" i="1"/>
  <c r="H68" i="1" s="1"/>
  <c r="M36" i="2"/>
  <c r="H36" i="2"/>
  <c r="I36" i="2" s="1"/>
  <c r="J36" i="2" s="1"/>
  <c r="L36" i="2" s="1"/>
  <c r="C38" i="2"/>
  <c r="F38" i="1"/>
  <c r="C14" i="2"/>
  <c r="F14" i="1"/>
  <c r="R37" i="2"/>
  <c r="O38" i="2" s="1"/>
  <c r="Q37" i="2"/>
  <c r="G37" i="2" s="1"/>
  <c r="H13" i="1"/>
  <c r="I13" i="1" s="1"/>
  <c r="J13" i="1" s="1"/>
  <c r="K13" i="1" s="1"/>
  <c r="E13" i="2"/>
  <c r="E37" i="2"/>
  <c r="H37" i="1"/>
  <c r="I37" i="1" s="1"/>
  <c r="J37" i="1" s="1"/>
  <c r="K37" i="1" s="1"/>
  <c r="J8" i="2"/>
  <c r="L8" i="2" s="1"/>
  <c r="H9" i="2"/>
  <c r="I9" i="2" s="1"/>
  <c r="J9" i="2" s="1"/>
  <c r="L9" i="2" s="1"/>
  <c r="Q10" i="2"/>
  <c r="G10" i="2" s="1"/>
  <c r="M10" i="2" s="1"/>
  <c r="R10" i="2"/>
  <c r="O11" i="2" s="1"/>
  <c r="I68" i="1" l="1"/>
  <c r="J68" i="1" s="1"/>
  <c r="K68" i="1" s="1"/>
  <c r="F70" i="1"/>
  <c r="H70" i="1" s="1"/>
  <c r="F69" i="1"/>
  <c r="H69" i="1" s="1"/>
  <c r="M37" i="2"/>
  <c r="H37" i="2"/>
  <c r="I37" i="2" s="1"/>
  <c r="J37" i="2" s="1"/>
  <c r="L37" i="2" s="1"/>
  <c r="C15" i="2"/>
  <c r="F15" i="1"/>
  <c r="E14" i="2"/>
  <c r="H14" i="1"/>
  <c r="I14" i="1" s="1"/>
  <c r="J14" i="1" s="1"/>
  <c r="K14" i="1" s="1"/>
  <c r="R38" i="2"/>
  <c r="O39" i="2" s="1"/>
  <c r="Q38" i="2"/>
  <c r="G38" i="2" s="1"/>
  <c r="E38" i="2"/>
  <c r="H38" i="1"/>
  <c r="I38" i="1" s="1"/>
  <c r="J38" i="1" s="1"/>
  <c r="K38" i="1" s="1"/>
  <c r="C39" i="2"/>
  <c r="F39" i="1"/>
  <c r="H10" i="2"/>
  <c r="I10" i="2" s="1"/>
  <c r="J10" i="2" s="1"/>
  <c r="L10" i="2" s="1"/>
  <c r="Q11" i="2"/>
  <c r="G11" i="2" s="1"/>
  <c r="M11" i="2" s="1"/>
  <c r="R11" i="2"/>
  <c r="O12" i="2" s="1"/>
  <c r="I69" i="1" l="1"/>
  <c r="J69" i="1" s="1"/>
  <c r="K69" i="1" s="1"/>
  <c r="I70" i="1"/>
  <c r="J70" i="1" s="1"/>
  <c r="K70" i="1" s="1"/>
  <c r="K71" i="1" s="1"/>
  <c r="M38" i="2"/>
  <c r="H38" i="2"/>
  <c r="I38" i="2" s="1"/>
  <c r="J38" i="2" s="1"/>
  <c r="L38" i="2" s="1"/>
  <c r="E15" i="2"/>
  <c r="H15" i="1"/>
  <c r="C40" i="2"/>
  <c r="F40" i="1"/>
  <c r="R39" i="2"/>
  <c r="O40" i="2" s="1"/>
  <c r="Q39" i="2"/>
  <c r="G39" i="2" s="1"/>
  <c r="E39" i="2"/>
  <c r="H39" i="1"/>
  <c r="I39" i="1" s="1"/>
  <c r="J39" i="1" s="1"/>
  <c r="K39" i="1" s="1"/>
  <c r="C16" i="2"/>
  <c r="F16" i="1"/>
  <c r="H11" i="2"/>
  <c r="Q12" i="2"/>
  <c r="G12" i="2" s="1"/>
  <c r="M12" i="2" s="1"/>
  <c r="R12" i="2"/>
  <c r="O13" i="2" s="1"/>
  <c r="M39" i="2" l="1"/>
  <c r="H39" i="2"/>
  <c r="I39" i="2" s="1"/>
  <c r="J39" i="2" s="1"/>
  <c r="L39" i="2" s="1"/>
  <c r="E40" i="2"/>
  <c r="H40" i="1"/>
  <c r="I40" i="1" s="1"/>
  <c r="J40" i="1" s="1"/>
  <c r="K40" i="1" s="1"/>
  <c r="E16" i="2"/>
  <c r="H16" i="1"/>
  <c r="I16" i="1" s="1"/>
  <c r="J16" i="1" s="1"/>
  <c r="K16" i="1" s="1"/>
  <c r="C41" i="2"/>
  <c r="F41" i="1"/>
  <c r="R40" i="2"/>
  <c r="O41" i="2" s="1"/>
  <c r="Q40" i="2"/>
  <c r="G40" i="2" s="1"/>
  <c r="C17" i="2"/>
  <c r="F17" i="1"/>
  <c r="I15" i="1"/>
  <c r="J15" i="1" s="1"/>
  <c r="K15" i="1" s="1"/>
  <c r="H12" i="2"/>
  <c r="I12" i="2" s="1"/>
  <c r="Q13" i="2"/>
  <c r="G13" i="2" s="1"/>
  <c r="M13" i="2" s="1"/>
  <c r="I11" i="2"/>
  <c r="J11" i="2" s="1"/>
  <c r="L11" i="2" s="1"/>
  <c r="R13" i="2"/>
  <c r="O14" i="2" s="1"/>
  <c r="M40" i="2" l="1"/>
  <c r="H40" i="2"/>
  <c r="I40" i="2" s="1"/>
  <c r="J40" i="2" s="1"/>
  <c r="L40" i="2" s="1"/>
  <c r="C42" i="2"/>
  <c r="F42" i="1"/>
  <c r="E17" i="2"/>
  <c r="H17" i="1"/>
  <c r="I17" i="1" s="1"/>
  <c r="J17" i="1" s="1"/>
  <c r="K17" i="1" s="1"/>
  <c r="C18" i="2"/>
  <c r="F18" i="1"/>
  <c r="E41" i="2"/>
  <c r="H41" i="1"/>
  <c r="I41" i="1" s="1"/>
  <c r="J41" i="1" s="1"/>
  <c r="K41" i="1" s="1"/>
  <c r="R41" i="2"/>
  <c r="O42" i="2" s="1"/>
  <c r="Q41" i="2"/>
  <c r="G41" i="2" s="1"/>
  <c r="J12" i="2"/>
  <c r="L12" i="2" s="1"/>
  <c r="H13" i="2"/>
  <c r="I13" i="2" s="1"/>
  <c r="J13" i="2" s="1"/>
  <c r="L13" i="2" s="1"/>
  <c r="Q14" i="2"/>
  <c r="G14" i="2" s="1"/>
  <c r="M14" i="2" s="1"/>
  <c r="R14" i="2"/>
  <c r="O15" i="2" s="1"/>
  <c r="M41" i="2" l="1"/>
  <c r="H41" i="2"/>
  <c r="I41" i="2" s="1"/>
  <c r="J41" i="2" s="1"/>
  <c r="L41" i="2" s="1"/>
  <c r="C19" i="2"/>
  <c r="F19" i="1"/>
  <c r="E18" i="2"/>
  <c r="H18" i="1"/>
  <c r="I18" i="1" s="1"/>
  <c r="J18" i="1" s="1"/>
  <c r="K18" i="1" s="1"/>
  <c r="R42" i="2"/>
  <c r="O43" i="2" s="1"/>
  <c r="Q42" i="2"/>
  <c r="G42" i="2" s="1"/>
  <c r="E42" i="2"/>
  <c r="H42" i="1"/>
  <c r="I42" i="1" s="1"/>
  <c r="J42" i="1" s="1"/>
  <c r="K42" i="1" s="1"/>
  <c r="C43" i="2"/>
  <c r="F43" i="1"/>
  <c r="H14" i="2"/>
  <c r="I14" i="2" s="1"/>
  <c r="J14" i="2" s="1"/>
  <c r="L14" i="2" s="1"/>
  <c r="Q15" i="2"/>
  <c r="G15" i="2" s="1"/>
  <c r="R15" i="2"/>
  <c r="O16" i="2" s="1"/>
  <c r="M42" i="2" l="1"/>
  <c r="H42" i="2"/>
  <c r="I42" i="2" s="1"/>
  <c r="J42" i="2" s="1"/>
  <c r="L42" i="2" s="1"/>
  <c r="R43" i="2"/>
  <c r="O44" i="2" s="1"/>
  <c r="Q43" i="2"/>
  <c r="G43" i="2" s="1"/>
  <c r="E43" i="2"/>
  <c r="H43" i="1"/>
  <c r="I43" i="1" s="1"/>
  <c r="J43" i="1" s="1"/>
  <c r="K43" i="1" s="1"/>
  <c r="E19" i="2"/>
  <c r="H19" i="1"/>
  <c r="I19" i="1" s="1"/>
  <c r="J19" i="1" s="1"/>
  <c r="K19" i="1" s="1"/>
  <c r="C44" i="2"/>
  <c r="F44" i="1"/>
  <c r="C20" i="2"/>
  <c r="F20" i="1"/>
  <c r="H15" i="2"/>
  <c r="I15" i="2" s="1"/>
  <c r="J15" i="2" s="1"/>
  <c r="L15" i="2" s="1"/>
  <c r="M15" i="2"/>
  <c r="Q16" i="2"/>
  <c r="G16" i="2" s="1"/>
  <c r="R16" i="2"/>
  <c r="O17" i="2" s="1"/>
  <c r="M43" i="2" l="1"/>
  <c r="H43" i="2"/>
  <c r="I43" i="2" s="1"/>
  <c r="J43" i="2" s="1"/>
  <c r="L43" i="2" s="1"/>
  <c r="E20" i="2"/>
  <c r="H20" i="1"/>
  <c r="I20" i="1" s="1"/>
  <c r="J20" i="1" s="1"/>
  <c r="K20" i="1" s="1"/>
  <c r="C45" i="2"/>
  <c r="F45" i="1"/>
  <c r="E44" i="2"/>
  <c r="H44" i="1"/>
  <c r="I44" i="1" s="1"/>
  <c r="J44" i="1" s="1"/>
  <c r="K44" i="1" s="1"/>
  <c r="R44" i="2"/>
  <c r="Q44" i="2"/>
  <c r="G44" i="2" s="1"/>
  <c r="C21" i="2"/>
  <c r="F21" i="1"/>
  <c r="H16" i="2"/>
  <c r="I16" i="2" s="1"/>
  <c r="M16" i="2"/>
  <c r="Q17" i="2"/>
  <c r="G17" i="2" s="1"/>
  <c r="R17" i="2"/>
  <c r="O18" i="2" s="1"/>
  <c r="M44" i="2" l="1"/>
  <c r="M47" i="2" s="1"/>
  <c r="E45" i="2"/>
  <c r="H45" i="2" s="1"/>
  <c r="I45" i="2" s="1"/>
  <c r="J45" i="2" s="1"/>
  <c r="L45" i="2" s="1"/>
  <c r="H45" i="1"/>
  <c r="E21" i="2"/>
  <c r="H21" i="2" s="1"/>
  <c r="H21" i="1"/>
  <c r="I21" i="1" s="1"/>
  <c r="J21" i="1" s="1"/>
  <c r="K21" i="1" s="1"/>
  <c r="C46" i="2"/>
  <c r="F46" i="1"/>
  <c r="C22" i="2"/>
  <c r="F22" i="1"/>
  <c r="J16" i="2"/>
  <c r="L16" i="2" s="1"/>
  <c r="H44" i="2"/>
  <c r="I44" i="2" s="1"/>
  <c r="J44" i="2" s="1"/>
  <c r="L44" i="2" s="1"/>
  <c r="H17" i="2"/>
  <c r="I17" i="2" s="1"/>
  <c r="M17" i="2"/>
  <c r="Q18" i="2"/>
  <c r="G18" i="2" s="1"/>
  <c r="M18" i="2" s="1"/>
  <c r="R18" i="2"/>
  <c r="O19" i="2" s="1"/>
  <c r="J17" i="2" l="1"/>
  <c r="L17" i="2" s="1"/>
  <c r="E22" i="2"/>
  <c r="H22" i="2" s="1"/>
  <c r="H22" i="1"/>
  <c r="I22" i="1" s="1"/>
  <c r="J22" i="1" s="1"/>
  <c r="K22" i="1" s="1"/>
  <c r="K23" i="1" s="1"/>
  <c r="I21" i="2"/>
  <c r="J21" i="2" s="1"/>
  <c r="L21" i="2" s="1"/>
  <c r="I45" i="1"/>
  <c r="J45" i="1" s="1"/>
  <c r="K45" i="1" s="1"/>
  <c r="E46" i="2"/>
  <c r="H46" i="2" s="1"/>
  <c r="I46" i="2" s="1"/>
  <c r="J46" i="2" s="1"/>
  <c r="L46" i="2" s="1"/>
  <c r="L47" i="2" s="1"/>
  <c r="H46" i="1"/>
  <c r="I46" i="1" s="1"/>
  <c r="J46" i="1" s="1"/>
  <c r="K46" i="1" s="1"/>
  <c r="H18" i="2"/>
  <c r="I18" i="2" s="1"/>
  <c r="Q19" i="2"/>
  <c r="G19" i="2" s="1"/>
  <c r="M19" i="2" s="1"/>
  <c r="R19" i="2"/>
  <c r="O20" i="2" s="1"/>
  <c r="K47" i="1" l="1"/>
  <c r="I22" i="2"/>
  <c r="J22" i="2" s="1"/>
  <c r="L22" i="2" s="1"/>
  <c r="H19" i="2"/>
  <c r="J18" i="2"/>
  <c r="L18" i="2" s="1"/>
  <c r="Q20" i="2"/>
  <c r="G20" i="2" s="1"/>
  <c r="M20" i="2" s="1"/>
  <c r="M23" i="2" s="1"/>
  <c r="R20" i="2"/>
  <c r="H20" i="2" l="1"/>
  <c r="I20" i="2" s="1"/>
  <c r="J20" i="2" s="1"/>
  <c r="L20" i="2" s="1"/>
  <c r="I19" i="2"/>
  <c r="J19" i="2" s="1"/>
  <c r="L19" i="2" s="1"/>
  <c r="L2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Manousos Veisakis</author>
  </authors>
  <commentList>
    <comment ref="C6" authorId="0" shapeId="0" xr:uid="{DB686DF8-03F3-4E8F-9980-ED44A106D7F2}">
      <text>
        <r>
          <rPr>
            <b/>
            <sz val="9"/>
            <color indexed="81"/>
            <rFont val="Tahoma"/>
            <charset val="1"/>
          </rPr>
          <t>Manousos Veisakis:</t>
        </r>
        <r>
          <rPr>
            <sz val="9"/>
            <color indexed="81"/>
            <rFont val="Tahoma"/>
            <charset val="1"/>
          </rPr>
          <t xml:space="preserve">
5000€/MW for Substation fix cost</t>
        </r>
      </text>
    </comment>
    <comment ref="E6" authorId="0" shapeId="0" xr:uid="{11F154A7-B956-4BDF-A873-CAEB8E404B1A}">
      <text>
        <r>
          <rPr>
            <b/>
            <sz val="9"/>
            <color indexed="81"/>
            <rFont val="Tahoma"/>
            <charset val="1"/>
          </rPr>
          <t>Manousos Veisakis:</t>
        </r>
        <r>
          <rPr>
            <sz val="9"/>
            <color indexed="81"/>
            <rFont val="Tahoma"/>
            <charset val="1"/>
          </rPr>
          <t xml:space="preserve">
From Unagi</t>
        </r>
      </text>
    </comment>
    <comment ref="E7" authorId="0" shapeId="0" xr:uid="{652696A6-5947-4456-A487-F201341B6706}">
      <text>
        <r>
          <rPr>
            <b/>
            <sz val="9"/>
            <color indexed="81"/>
            <rFont val="Tahoma"/>
            <charset val="1"/>
          </rPr>
          <t>Manousos Veisakis:</t>
        </r>
        <r>
          <rPr>
            <sz val="9"/>
            <color indexed="81"/>
            <rFont val="Tahoma"/>
            <charset val="1"/>
          </rPr>
          <t xml:space="preserve">
From 2nd Round RAE</t>
        </r>
      </text>
    </comment>
    <comment ref="E10" authorId="0" shapeId="0" xr:uid="{593AEDBC-98A3-40BD-8835-9E840044A7A0}">
      <text>
        <r>
          <rPr>
            <b/>
            <sz val="9"/>
            <color indexed="81"/>
            <rFont val="Tahoma"/>
            <charset val="1"/>
          </rPr>
          <t>Manousos Veisakis:</t>
        </r>
        <r>
          <rPr>
            <sz val="9"/>
            <color indexed="81"/>
            <rFont val="Tahoma"/>
            <charset val="1"/>
          </rPr>
          <t xml:space="preserve">
From Unagi</t>
        </r>
      </text>
    </comment>
    <comment ref="E11" authorId="0" shapeId="0" xr:uid="{141E330B-602E-4643-9A03-B33550AF97F9}">
      <text>
        <r>
          <rPr>
            <b/>
            <sz val="9"/>
            <color indexed="81"/>
            <rFont val="Tahoma"/>
            <charset val="1"/>
          </rPr>
          <t>Manousos Veisakis:</t>
        </r>
        <r>
          <rPr>
            <sz val="9"/>
            <color indexed="81"/>
            <rFont val="Tahoma"/>
            <charset val="1"/>
          </rPr>
          <t xml:space="preserve">
From 2nd Round RAE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Manousos Veisakis</author>
  </authors>
  <commentList>
    <comment ref="D3" authorId="0" shapeId="0" xr:uid="{7B9ACDFB-21C2-4B5A-A00D-38B30C0CC1B5}">
      <text>
        <r>
          <rPr>
            <b/>
            <sz val="9"/>
            <color indexed="81"/>
            <rFont val="Tahoma"/>
            <charset val="161"/>
          </rPr>
          <t>Manousos Veisakis:</t>
        </r>
        <r>
          <rPr>
            <sz val="9"/>
            <color indexed="81"/>
            <rFont val="Tahoma"/>
            <charset val="161"/>
          </rPr>
          <t xml:space="preserve">
0.5% Degredation per year (also for BESS considering RTE).</t>
        </r>
      </text>
    </comment>
  </commentList>
</comments>
</file>

<file path=xl/sharedStrings.xml><?xml version="1.0" encoding="utf-8"?>
<sst xmlns="http://schemas.openxmlformats.org/spreadsheetml/2006/main" count="141" uniqueCount="61">
  <si>
    <t>Έτος</t>
  </si>
  <si>
    <t>Κόστος επένδυσης (M€)</t>
  </si>
  <si>
    <t>Συνολικά έσοδα (€)</t>
  </si>
  <si>
    <t>Συνολικά εξοδα (Μ€)</t>
  </si>
  <si>
    <t>Εσοδα - έξοδα (M€)</t>
  </si>
  <si>
    <t>Αποσβέσεις (Μ€)</t>
  </si>
  <si>
    <t>Έσοδα προ φόρων (Μ€)</t>
  </si>
  <si>
    <t>Φόροι (Μ€)</t>
  </si>
  <si>
    <t>Έσοδα μετά φόρων (Μ€)</t>
  </si>
  <si>
    <t>Καθαρές ταμειακές ροές (M€)</t>
  </si>
  <si>
    <t>IRR project</t>
  </si>
  <si>
    <t>Αρχικό υπόλοιπο (Μ€)</t>
  </si>
  <si>
    <t>Δόση αποπληρωμής δανείου (Μ€)</t>
  </si>
  <si>
    <t>Τόκος (Μ€)</t>
  </si>
  <si>
    <t>Τελικό υπόλοιπο (Μ€)</t>
  </si>
  <si>
    <t>Τόκοι (Μ€)</t>
  </si>
  <si>
    <t>MW</t>
  </si>
  <si>
    <t>Προμήθεια και εγκατάσταση μπαταριών</t>
  </si>
  <si>
    <t>Προμήθεια και εγκατάσταση λοιπών συνιστωσών</t>
  </si>
  <si>
    <t>Σύνδεση στο Σύστημα</t>
  </si>
  <si>
    <t>Έργα Πολιτικού Μηχανικού</t>
  </si>
  <si>
    <t>Μελέτες, επίβλεψη και συμβουλευτικές υπηρεσίες</t>
  </si>
  <si>
    <t>Λοιπά κόστη και απρόβλεπτα</t>
  </si>
  <si>
    <t>Σύνολο</t>
  </si>
  <si>
    <t>Προμήθεια και εγκατάσταση νέων μπαταριών</t>
  </si>
  <si>
    <t>Αποξήλωση και ανακύκλωση αρχικού εξοπλισμού</t>
  </si>
  <si>
    <t>Reference</t>
  </si>
  <si>
    <t>Ασφάλιση του έργου</t>
  </si>
  <si>
    <t>Συμβόλαια συντήρησης και υποστήριξης</t>
  </si>
  <si>
    <t>Κόστος προσωπικού</t>
  </si>
  <si>
    <t>Ενοικίαση γης και λοιπές διοικητικές δαπάνες</t>
  </si>
  <si>
    <t>PV</t>
  </si>
  <si>
    <t>BESS</t>
  </si>
  <si>
    <t>CapEx</t>
  </si>
  <si>
    <t>OpEx</t>
  </si>
  <si>
    <t>Annual Production 
[28% Curtailment]</t>
  </si>
  <si>
    <t>€/MWh</t>
  </si>
  <si>
    <t>MWh</t>
  </si>
  <si>
    <t>Annual Production 
[50% Curtailment]</t>
  </si>
  <si>
    <t>Euribor</t>
  </si>
  <si>
    <t>Income Tax Rate</t>
  </si>
  <si>
    <t>Total Interest Rate</t>
  </si>
  <si>
    <t>Interest Rate</t>
  </si>
  <si>
    <t xml:space="preserve">Debt Ratio </t>
  </si>
  <si>
    <t>Tariff [PV]</t>
  </si>
  <si>
    <t>Cost [€/MW]</t>
  </si>
  <si>
    <t>PV [200MW]</t>
  </si>
  <si>
    <t>DCSR</t>
  </si>
  <si>
    <t>Curtailment [200 MW]</t>
  </si>
  <si>
    <t>PV 
[T]
[28%]</t>
  </si>
  <si>
    <t>PV &amp; BESS [T]
[50%]</t>
  </si>
  <si>
    <t>Merchant Earnings 
[50% Curtailment]</t>
  </si>
  <si>
    <t>PV [200 MW]</t>
  </si>
  <si>
    <t>PV [200MW] + BESS [100MW]</t>
  </si>
  <si>
    <t>Mean Price</t>
  </si>
  <si>
    <t>Degredation</t>
  </si>
  <si>
    <t>PV &amp; BESS [T]
[28%]</t>
  </si>
  <si>
    <t>BESS [28%]</t>
  </si>
  <si>
    <t>Tariff [PV w/ BESS - 50%]</t>
  </si>
  <si>
    <t>Tariff [PV w/ BESS - 28%]</t>
  </si>
  <si>
    <t>10.42.0.40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</si>
</sst>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_-[$€-2]\ * #,##0.00_-;\-[$€-2]\ * #,##0.00_-;_-[$€-2]\ * &quot;-&quot;??_-;_-@_-"/>
  </numFmts>
  <fonts count="17" x14ac:knownFonts="1">
    <font>
      <sz val="11"/>
      <color theme="1"/>
      <name val="Calibri"/>
      <family val="2"/>
      <charset val="161"/>
      <scheme val="minor"/>
    </font>
    <font>
      <b/>
      <sz val="11"/>
      <name val="Microsoft YaHei Light"/>
      <family val="2"/>
      <charset val="161"/>
    </font>
    <font>
      <sz val="12"/>
      <color rgb="FF203764"/>
      <name val="Microsoft YaHei Light"/>
      <family val="2"/>
      <charset val="161"/>
    </font>
    <font>
      <sz val="11"/>
      <color rgb="FF203764"/>
      <name val="Microsoft YaHei Light"/>
      <family val="2"/>
      <charset val="161"/>
    </font>
    <font>
      <sz val="11"/>
      <color rgb="FF000000"/>
      <name val="Microsoft YaHei Light"/>
      <family val="2"/>
      <charset val="161"/>
    </font>
    <font>
      <sz val="11"/>
      <color theme="1"/>
      <name val="Calibri"/>
      <family val="2"/>
      <charset val="161"/>
      <scheme val="minor"/>
    </font>
    <font>
      <sz val="11"/>
      <color rgb="FF00B050"/>
      <name val="Microsoft YaHei Light"/>
      <family val="2"/>
      <charset val="161"/>
    </font>
    <font>
      <sz val="11"/>
      <name val="Microsoft YaHei Light"/>
      <family val="2"/>
      <charset val="161"/>
    </font>
    <font>
      <sz val="10"/>
      <color rgb="FF595959"/>
      <name val="Century Gothic"/>
      <family val="2"/>
      <charset val="161"/>
    </font>
    <font>
      <b/>
      <sz val="10"/>
      <color rgb="FF595959"/>
      <name val="Century Gothic"/>
      <family val="2"/>
      <charset val="161"/>
    </font>
    <font>
      <sz val="11"/>
      <name val="Calibri"/>
      <family val="2"/>
      <charset val="161"/>
      <scheme val="minor"/>
    </font>
    <font>
      <sz val="11"/>
      <color indexed="8"/>
      <name val="Calibri"/>
      <family val="2"/>
      <scheme val="minor"/>
    </font>
    <font>
      <b/>
      <sz val="9"/>
      <color indexed="81"/>
      <name val="Tahoma"/>
      <charset val="161"/>
    </font>
    <font>
      <sz val="9"/>
      <color indexed="81"/>
      <name val="Tahoma"/>
      <charset val="16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</cellStyleXfs>
  <cellXfs count="8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quotePrefix="1" applyFont="1" applyFill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4" fillId="3" borderId="15" xfId="0" applyNumberFormat="1" applyFont="1" applyFill="1" applyBorder="1" applyAlignment="1">
      <alignment horizontal="center"/>
    </xf>
    <xf numFmtId="2" fontId="0" fillId="0" borderId="0" xfId="0" applyNumberFormat="1"/>
    <xf numFmtId="0" fontId="2" fillId="2" borderId="1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2" fontId="4" fillId="0" borderId="17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15" xfId="0" applyNumberFormat="1" applyFont="1" applyBorder="1" applyAlignment="1">
      <alignment horizontal="center"/>
    </xf>
    <xf numFmtId="2" fontId="4" fillId="0" borderId="19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9" fontId="0" fillId="0" borderId="0" xfId="1" applyFont="1"/>
    <xf numFmtId="2" fontId="0" fillId="0" borderId="0" xfId="1" applyNumberFormat="1" applyFont="1"/>
    <xf numFmtId="2" fontId="0" fillId="0" borderId="0" xfId="1" applyNumberFormat="1" applyFont="1" applyFill="1"/>
    <xf numFmtId="0" fontId="9" fillId="0" borderId="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2" fontId="8" fillId="0" borderId="21" xfId="0" applyNumberFormat="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8" fillId="4" borderId="21" xfId="0" applyFont="1" applyFill="1" applyBorder="1" applyAlignment="1">
      <alignment horizontal="center" vertical="center" wrapText="1"/>
    </xf>
    <xf numFmtId="2" fontId="8" fillId="4" borderId="21" xfId="0" applyNumberFormat="1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left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166" fontId="0" fillId="0" borderId="0" xfId="0" applyNumberFormat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5" borderId="23" xfId="0" applyNumberFormat="1" applyFill="1" applyBorder="1"/>
    <xf numFmtId="0" fontId="0" fillId="5" borderId="23" xfId="0" applyFill="1" applyBorder="1" applyAlignment="1">
      <alignment horizontal="center" vertical="center"/>
    </xf>
    <xf numFmtId="0" fontId="0" fillId="5" borderId="23" xfId="0" applyFill="1" applyBorder="1"/>
    <xf numFmtId="0" fontId="1" fillId="2" borderId="27" xfId="0" applyFont="1" applyFill="1" applyBorder="1" applyAlignment="1">
      <alignment horizontal="center" vertical="center"/>
    </xf>
    <xf numFmtId="10" fontId="1" fillId="2" borderId="28" xfId="0" applyNumberFormat="1" applyFont="1" applyFill="1" applyBorder="1" applyAlignment="1">
      <alignment horizontal="center" vertical="center"/>
    </xf>
    <xf numFmtId="9" fontId="10" fillId="5" borderId="23" xfId="1" applyFont="1" applyFill="1" applyBorder="1"/>
    <xf numFmtId="165" fontId="10" fillId="5" borderId="23" xfId="1" applyNumberFormat="1" applyFont="1" applyFill="1" applyBorder="1"/>
    <xf numFmtId="0" fontId="1" fillId="2" borderId="19" xfId="0" applyFont="1" applyFill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5" fontId="10" fillId="0" borderId="23" xfId="1" applyNumberFormat="1" applyFont="1" applyFill="1" applyBorder="1"/>
    <xf numFmtId="166" fontId="0" fillId="0" borderId="23" xfId="0" applyNumberFormat="1" applyBorder="1"/>
    <xf numFmtId="2" fontId="1" fillId="2" borderId="27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5" borderId="23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10" fillId="0" borderId="0" xfId="1" applyNumberFormat="1" applyFont="1" applyFill="1" applyBorder="1"/>
    <xf numFmtId="2" fontId="0" fillId="0" borderId="23" xfId="0" applyNumberFormat="1" applyBorder="1"/>
    <xf numFmtId="2" fontId="0" fillId="0" borderId="0" xfId="0" applyNumberFormat="1" applyAlignment="1">
      <alignment horizontal="center"/>
    </xf>
    <xf numFmtId="0" fontId="1" fillId="0" borderId="19" xfId="0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 textRotation="90" wrapText="1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166" fontId="0" fillId="5" borderId="23" xfId="0" applyNumberFormat="1" applyFill="1" applyBorder="1" applyAlignment="1">
      <alignment horizontal="center"/>
    </xf>
    <xf numFmtId="166" fontId="0" fillId="5" borderId="26" xfId="0" applyNumberFormat="1" applyFill="1" applyBorder="1" applyAlignment="1">
      <alignment horizontal="center"/>
    </xf>
    <xf numFmtId="166" fontId="0" fillId="5" borderId="29" xfId="0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3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 wrapText="1"/>
    </xf>
    <xf numFmtId="0" fontId="0" fillId="0" borderId="25" xfId="0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 textRotation="90"/>
    </xf>
    <xf numFmtId="0" fontId="0" fillId="0" borderId="31" xfId="0" applyBorder="1" applyAlignment="1">
      <alignment horizontal="center" vertical="center" textRotation="90"/>
    </xf>
  </cellXfs>
  <cellStyles count="4">
    <cellStyle name="Normal" xfId="0" builtinId="0"/>
    <cellStyle name="Normal 2" xfId="2" xr:uid="{376F947B-8D34-4881-B7F5-D21931A62642}"/>
    <cellStyle name="Percent" xfId="1" builtinId="5"/>
    <cellStyle name="Percent 2" xfId="3" xr:uid="{D68C6AF8-8812-44BC-AD43-59047F2647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7891-84CA-45EA-8928-4BD5498FCF76}">
  <dimension ref="A2:G49"/>
  <sheetViews>
    <sheetView tabSelected="1" workbookViewId="0">
      <selection activeCell="F15" sqref="F15"/>
    </sheetView>
  </sheetViews>
  <sheetFormatPr defaultRowHeight="14.4" x14ac:dyDescent="0.3"/>
  <cols>
    <col min="2" max="2" width="19.44140625" bestFit="1" customWidth="1"/>
    <col min="3" max="3" width="25.77734375" bestFit="1" customWidth="1"/>
    <col min="4" max="4" width="15.33203125" bestFit="1" customWidth="1"/>
    <col min="5" max="5" width="18.44140625" customWidth="1"/>
    <col min="6" max="6" width="15.33203125" bestFit="1" customWidth="1"/>
    <col min="7" max="7" width="10.109375" bestFit="1" customWidth="1"/>
    <col min="8" max="22" width="15.33203125" bestFit="1" customWidth="1"/>
  </cols>
  <sheetData>
    <row r="2" spans="1:6" x14ac:dyDescent="0.3">
      <c r="A2" s="82"/>
      <c r="B2" s="49" t="s">
        <v>48</v>
      </c>
      <c r="C2" s="55">
        <v>0.5</v>
      </c>
    </row>
    <row r="3" spans="1:6" ht="15" customHeight="1" x14ac:dyDescent="0.3">
      <c r="A3" s="82"/>
      <c r="B3" s="49" t="s">
        <v>46</v>
      </c>
      <c r="C3" s="55">
        <v>50</v>
      </c>
      <c r="D3" s="50" t="s">
        <v>16</v>
      </c>
    </row>
    <row r="4" spans="1:6" ht="15" customHeight="1" x14ac:dyDescent="0.3">
      <c r="A4" s="82"/>
      <c r="B4" s="49" t="s">
        <v>57</v>
      </c>
      <c r="C4" s="49">
        <v>14</v>
      </c>
      <c r="D4" s="50" t="s">
        <v>16</v>
      </c>
    </row>
    <row r="5" spans="1:6" x14ac:dyDescent="0.3">
      <c r="E5" s="76" t="s">
        <v>45</v>
      </c>
      <c r="F5" s="76"/>
    </row>
    <row r="6" spans="1:6" ht="14.4" customHeight="1" x14ac:dyDescent="0.3">
      <c r="A6" s="87" t="s">
        <v>33</v>
      </c>
      <c r="B6" s="49"/>
      <c r="C6" s="64"/>
      <c r="E6" s="80">
        <v>647803</v>
      </c>
      <c r="F6" s="81"/>
    </row>
    <row r="7" spans="1:6" ht="16.5" customHeight="1" x14ac:dyDescent="0.3">
      <c r="A7" s="88"/>
      <c r="B7" s="49" t="s">
        <v>46</v>
      </c>
      <c r="C7" s="64">
        <f>E6*C3</f>
        <v>32390150</v>
      </c>
      <c r="E7" s="79">
        <v>620861.42000000004</v>
      </c>
      <c r="F7" s="79"/>
    </row>
    <row r="8" spans="1:6" ht="16.5" customHeight="1" x14ac:dyDescent="0.3">
      <c r="A8" s="88"/>
      <c r="B8" s="49" t="s">
        <v>57</v>
      </c>
      <c r="C8" s="64">
        <f>E7*C4</f>
        <v>8692059.8800000008</v>
      </c>
      <c r="E8" s="66"/>
      <c r="F8" s="66"/>
    </row>
    <row r="9" spans="1:6" x14ac:dyDescent="0.3">
      <c r="C9" s="48"/>
      <c r="E9" s="76" t="s">
        <v>45</v>
      </c>
      <c r="F9" s="76"/>
    </row>
    <row r="10" spans="1:6" ht="15" customHeight="1" x14ac:dyDescent="0.3">
      <c r="A10" s="83" t="s">
        <v>34</v>
      </c>
      <c r="B10" s="49"/>
      <c r="C10" s="64"/>
      <c r="E10" s="80">
        <v>12608.74</v>
      </c>
      <c r="F10" s="81"/>
    </row>
    <row r="11" spans="1:6" ht="15" customHeight="1" x14ac:dyDescent="0.3">
      <c r="A11" s="83"/>
      <c r="B11" s="49" t="s">
        <v>46</v>
      </c>
      <c r="C11" s="64">
        <f>C3*E10</f>
        <v>630437</v>
      </c>
      <c r="E11" s="79">
        <v>13076.73</v>
      </c>
      <c r="F11" s="79"/>
    </row>
    <row r="12" spans="1:6" ht="15" customHeight="1" x14ac:dyDescent="0.3">
      <c r="A12" s="83"/>
      <c r="B12" s="49" t="s">
        <v>57</v>
      </c>
      <c r="C12" s="64">
        <f>C4*E11</f>
        <v>183074.22</v>
      </c>
      <c r="E12" s="66"/>
      <c r="F12" s="66"/>
    </row>
    <row r="13" spans="1:6" ht="13.5" customHeight="1" x14ac:dyDescent="0.3"/>
    <row r="14" spans="1:6" ht="59.25" customHeight="1" x14ac:dyDescent="0.3">
      <c r="A14" s="84" t="s">
        <v>35</v>
      </c>
      <c r="B14" s="51" t="s">
        <v>31</v>
      </c>
      <c r="C14" s="54">
        <v>60156</v>
      </c>
      <c r="D14" s="51" t="s">
        <v>37</v>
      </c>
    </row>
    <row r="15" spans="1:6" ht="60" customHeight="1" x14ac:dyDescent="0.3">
      <c r="A15" s="85"/>
      <c r="B15" s="51" t="s">
        <v>32</v>
      </c>
      <c r="C15" s="54">
        <v>6048.39</v>
      </c>
      <c r="D15" s="51" t="s">
        <v>37</v>
      </c>
    </row>
    <row r="16" spans="1:6" x14ac:dyDescent="0.3">
      <c r="D16" s="52"/>
    </row>
    <row r="17" spans="1:7" ht="64.5" customHeight="1" x14ac:dyDescent="0.3">
      <c r="A17" s="84" t="s">
        <v>38</v>
      </c>
      <c r="B17" s="51" t="s">
        <v>31</v>
      </c>
      <c r="C17" s="54">
        <v>244911.89</v>
      </c>
      <c r="D17" s="51" t="s">
        <v>37</v>
      </c>
    </row>
    <row r="18" spans="1:7" ht="65.25" customHeight="1" x14ac:dyDescent="0.3">
      <c r="A18" s="85"/>
      <c r="B18" s="51" t="s">
        <v>32</v>
      </c>
      <c r="C18" s="54">
        <f>285086.26-C17</f>
        <v>40174.369999999995</v>
      </c>
      <c r="D18" s="51" t="s">
        <v>37</v>
      </c>
    </row>
    <row r="20" spans="1:7" x14ac:dyDescent="0.3">
      <c r="A20" s="77" t="s">
        <v>44</v>
      </c>
      <c r="B20" s="78"/>
      <c r="C20" s="53">
        <v>55</v>
      </c>
      <c r="D20" s="50" t="s">
        <v>36</v>
      </c>
    </row>
    <row r="21" spans="1:7" x14ac:dyDescent="0.3">
      <c r="A21" s="77" t="s">
        <v>59</v>
      </c>
      <c r="B21" s="78"/>
      <c r="C21" s="53">
        <v>60</v>
      </c>
      <c r="D21" s="50" t="s">
        <v>36</v>
      </c>
    </row>
    <row r="22" spans="1:7" x14ac:dyDescent="0.3">
      <c r="A22" s="77" t="s">
        <v>58</v>
      </c>
      <c r="B22" s="78"/>
      <c r="C22" s="53">
        <v>85</v>
      </c>
      <c r="D22" s="50" t="s">
        <v>36</v>
      </c>
    </row>
    <row r="23" spans="1:7" x14ac:dyDescent="0.3">
      <c r="A23" s="77" t="s">
        <v>43</v>
      </c>
      <c r="B23" s="78"/>
      <c r="C23" s="58">
        <v>0.8</v>
      </c>
      <c r="F23" t="s">
        <v>60</v>
      </c>
    </row>
    <row r="24" spans="1:7" x14ac:dyDescent="0.3">
      <c r="A24" s="77" t="s">
        <v>39</v>
      </c>
      <c r="B24" s="78"/>
      <c r="C24" s="59">
        <v>2.5000000000000001E-2</v>
      </c>
    </row>
    <row r="25" spans="1:7" x14ac:dyDescent="0.3">
      <c r="A25" s="77" t="s">
        <v>42</v>
      </c>
      <c r="B25" s="78"/>
      <c r="C25" s="59">
        <v>0.03</v>
      </c>
    </row>
    <row r="26" spans="1:7" x14ac:dyDescent="0.3">
      <c r="A26" s="77" t="s">
        <v>41</v>
      </c>
      <c r="B26" s="78"/>
      <c r="C26" s="63">
        <f>C24+C25</f>
        <v>5.5E-2</v>
      </c>
    </row>
    <row r="27" spans="1:7" x14ac:dyDescent="0.3">
      <c r="A27" s="77" t="s">
        <v>40</v>
      </c>
      <c r="B27" s="78"/>
      <c r="C27" s="59">
        <v>0.22</v>
      </c>
    </row>
    <row r="28" spans="1:7" x14ac:dyDescent="0.3">
      <c r="A28" s="69"/>
      <c r="B28" s="69"/>
      <c r="C28" s="70"/>
    </row>
    <row r="29" spans="1:7" x14ac:dyDescent="0.3">
      <c r="C29" s="51" t="s">
        <v>53</v>
      </c>
      <c r="D29" s="51" t="s">
        <v>55</v>
      </c>
      <c r="E29" s="51" t="s">
        <v>52</v>
      </c>
      <c r="G29" s="51" t="s">
        <v>54</v>
      </c>
    </row>
    <row r="30" spans="1:7" x14ac:dyDescent="0.3">
      <c r="A30" s="75" t="s">
        <v>51</v>
      </c>
      <c r="B30">
        <v>2026</v>
      </c>
      <c r="C30" s="67">
        <v>21739215.32</v>
      </c>
      <c r="D30" s="72">
        <v>5.0000000000000001E-3</v>
      </c>
      <c r="E30" s="67">
        <v>17484252.670000002</v>
      </c>
      <c r="G30" s="71">
        <v>88.647648000000004</v>
      </c>
    </row>
    <row r="31" spans="1:7" x14ac:dyDescent="0.3">
      <c r="A31" s="75"/>
      <c r="B31">
        <v>2027</v>
      </c>
      <c r="C31" s="67">
        <v>19380872.98</v>
      </c>
      <c r="D31" s="72">
        <f>D30+0.005</f>
        <v>0.01</v>
      </c>
      <c r="E31" s="67">
        <v>15489282.210000001</v>
      </c>
      <c r="G31" s="71">
        <v>79.312653999999995</v>
      </c>
    </row>
    <row r="32" spans="1:7" x14ac:dyDescent="0.3">
      <c r="A32" s="75"/>
      <c r="B32">
        <v>2028</v>
      </c>
      <c r="C32" s="67">
        <v>18149243.969999999</v>
      </c>
      <c r="D32" s="72">
        <f t="shared" ref="D32:D49" si="0">D31+0.005</f>
        <v>1.4999999999999999E-2</v>
      </c>
      <c r="E32" s="67">
        <v>14396387.59</v>
      </c>
      <c r="G32" s="71">
        <v>75.387046999999995</v>
      </c>
    </row>
    <row r="33" spans="1:7" x14ac:dyDescent="0.3">
      <c r="A33" s="75"/>
      <c r="B33">
        <v>2029</v>
      </c>
      <c r="C33" s="67">
        <v>17373717.289999999</v>
      </c>
      <c r="D33" s="72">
        <f t="shared" si="0"/>
        <v>0.02</v>
      </c>
      <c r="E33" s="67">
        <v>13730583.49</v>
      </c>
      <c r="G33" s="71">
        <v>74.995880999999997</v>
      </c>
    </row>
    <row r="34" spans="1:7" x14ac:dyDescent="0.3">
      <c r="A34" s="75"/>
      <c r="B34">
        <v>2030</v>
      </c>
      <c r="C34" s="67">
        <v>16431716.300000001</v>
      </c>
      <c r="D34" s="72">
        <f t="shared" si="0"/>
        <v>2.5000000000000001E-2</v>
      </c>
      <c r="E34" s="67">
        <v>12896769.1</v>
      </c>
      <c r="G34" s="71">
        <v>72.896551000000002</v>
      </c>
    </row>
    <row r="35" spans="1:7" x14ac:dyDescent="0.3">
      <c r="A35" s="75"/>
      <c r="B35">
        <v>2031</v>
      </c>
      <c r="C35" s="67">
        <v>15073451.83</v>
      </c>
      <c r="D35" s="72">
        <f t="shared" si="0"/>
        <v>3.0000000000000002E-2</v>
      </c>
      <c r="E35" s="67">
        <v>11556485.6</v>
      </c>
      <c r="G35" s="71">
        <v>68.396629000000004</v>
      </c>
    </row>
    <row r="36" spans="1:7" x14ac:dyDescent="0.3">
      <c r="A36" s="75"/>
      <c r="B36">
        <v>2032</v>
      </c>
      <c r="C36" s="67">
        <v>14905749.689999999</v>
      </c>
      <c r="D36" s="72">
        <f t="shared" si="0"/>
        <v>3.5000000000000003E-2</v>
      </c>
      <c r="E36" s="67">
        <v>11441351.25</v>
      </c>
      <c r="G36" s="71">
        <v>67.784240999999994</v>
      </c>
    </row>
    <row r="37" spans="1:7" x14ac:dyDescent="0.3">
      <c r="A37" s="75"/>
      <c r="B37">
        <v>2033</v>
      </c>
      <c r="C37" s="67">
        <v>14709564.57</v>
      </c>
      <c r="D37" s="72">
        <f t="shared" si="0"/>
        <v>0.04</v>
      </c>
      <c r="E37" s="67">
        <v>11194866.439999999</v>
      </c>
      <c r="G37" s="71">
        <v>67.917627999999993</v>
      </c>
    </row>
    <row r="38" spans="1:7" x14ac:dyDescent="0.3">
      <c r="A38" s="75"/>
      <c r="B38">
        <v>2034</v>
      </c>
      <c r="C38" s="67">
        <v>14453856.65</v>
      </c>
      <c r="D38" s="72">
        <f t="shared" si="0"/>
        <v>4.4999999999999998E-2</v>
      </c>
      <c r="E38" s="67">
        <v>11011983.4</v>
      </c>
      <c r="G38" s="71">
        <v>67.199123</v>
      </c>
    </row>
    <row r="39" spans="1:7" x14ac:dyDescent="0.3">
      <c r="A39" s="75"/>
      <c r="B39">
        <v>2035</v>
      </c>
      <c r="C39" s="67">
        <v>14425619.76</v>
      </c>
      <c r="D39" s="72">
        <f t="shared" si="0"/>
        <v>4.9999999999999996E-2</v>
      </c>
      <c r="E39" s="67">
        <v>10917295.35</v>
      </c>
      <c r="G39" s="71">
        <v>67.193383999999995</v>
      </c>
    </row>
    <row r="40" spans="1:7" x14ac:dyDescent="0.3">
      <c r="A40" s="75"/>
      <c r="B40">
        <v>2036</v>
      </c>
      <c r="C40" s="67">
        <v>13906793.369999999</v>
      </c>
      <c r="D40" s="72">
        <f t="shared" si="0"/>
        <v>5.4999999999999993E-2</v>
      </c>
      <c r="E40" s="67">
        <v>10470159.66</v>
      </c>
      <c r="G40" s="71">
        <v>65.369217000000006</v>
      </c>
    </row>
    <row r="41" spans="1:7" x14ac:dyDescent="0.3">
      <c r="A41" s="75"/>
      <c r="B41">
        <v>2037</v>
      </c>
      <c r="C41" s="67">
        <v>13543147.140000001</v>
      </c>
      <c r="D41" s="72">
        <f t="shared" si="0"/>
        <v>5.9999999999999991E-2</v>
      </c>
      <c r="E41" s="67">
        <v>10129983.460000001</v>
      </c>
      <c r="G41" s="71">
        <v>64.911202000000003</v>
      </c>
    </row>
    <row r="42" spans="1:7" x14ac:dyDescent="0.3">
      <c r="A42" s="75"/>
      <c r="B42">
        <v>2038</v>
      </c>
      <c r="C42" s="67">
        <v>13220946.41</v>
      </c>
      <c r="D42" s="72">
        <f t="shared" si="0"/>
        <v>6.4999999999999988E-2</v>
      </c>
      <c r="E42" s="67">
        <v>9916156.5600000005</v>
      </c>
      <c r="G42" s="71">
        <v>64.409567999999993</v>
      </c>
    </row>
    <row r="43" spans="1:7" x14ac:dyDescent="0.3">
      <c r="A43" s="75"/>
      <c r="B43">
        <v>2039</v>
      </c>
      <c r="C43" s="67">
        <v>13043895.199999999</v>
      </c>
      <c r="D43" s="72">
        <f t="shared" si="0"/>
        <v>6.9999999999999993E-2</v>
      </c>
      <c r="E43" s="67">
        <v>9767282.4399999995</v>
      </c>
      <c r="G43" s="71">
        <v>63.824801000000001</v>
      </c>
    </row>
    <row r="44" spans="1:7" x14ac:dyDescent="0.3">
      <c r="A44" s="75"/>
      <c r="B44">
        <v>2040</v>
      </c>
      <c r="C44" s="67">
        <v>12681300.65</v>
      </c>
      <c r="D44" s="72">
        <f t="shared" si="0"/>
        <v>7.4999999999999997E-2</v>
      </c>
      <c r="E44" s="67">
        <v>9417572.7899999991</v>
      </c>
      <c r="G44" s="71">
        <v>63.281973999999998</v>
      </c>
    </row>
    <row r="45" spans="1:7" x14ac:dyDescent="0.3">
      <c r="A45" s="75"/>
      <c r="B45">
        <v>2041</v>
      </c>
      <c r="C45" s="67">
        <v>12367657.369999999</v>
      </c>
      <c r="D45" s="72">
        <f t="shared" si="0"/>
        <v>0.08</v>
      </c>
      <c r="E45" s="67">
        <v>9087111.0399999991</v>
      </c>
      <c r="G45" s="71">
        <v>62.745396</v>
      </c>
    </row>
    <row r="46" spans="1:7" x14ac:dyDescent="0.3">
      <c r="A46" s="75"/>
      <c r="B46">
        <v>2042</v>
      </c>
      <c r="C46" s="67">
        <v>12033178.58</v>
      </c>
      <c r="D46" s="72">
        <f t="shared" si="0"/>
        <v>8.5000000000000006E-2</v>
      </c>
      <c r="E46" s="67">
        <v>8800152.0500000007</v>
      </c>
      <c r="G46" s="71">
        <v>62.206187</v>
      </c>
    </row>
    <row r="47" spans="1:7" x14ac:dyDescent="0.3">
      <c r="A47" s="75"/>
      <c r="B47">
        <v>2043</v>
      </c>
      <c r="C47" s="67">
        <v>11913725.9</v>
      </c>
      <c r="D47" s="72">
        <f t="shared" si="0"/>
        <v>9.0000000000000011E-2</v>
      </c>
      <c r="E47" s="67">
        <v>8712793.4399999995</v>
      </c>
      <c r="G47" s="71">
        <v>61.58867</v>
      </c>
    </row>
    <row r="48" spans="1:7" x14ac:dyDescent="0.3">
      <c r="A48" s="75"/>
      <c r="B48">
        <v>2044</v>
      </c>
      <c r="C48" s="67">
        <v>11913725.9</v>
      </c>
      <c r="D48" s="72">
        <f t="shared" si="0"/>
        <v>9.5000000000000015E-2</v>
      </c>
      <c r="E48" s="67">
        <v>8712793.4399999995</v>
      </c>
      <c r="G48" s="71">
        <v>61.58867</v>
      </c>
    </row>
    <row r="49" spans="1:7" x14ac:dyDescent="0.3">
      <c r="A49" s="75"/>
      <c r="B49">
        <v>2045</v>
      </c>
      <c r="C49" s="67">
        <v>11913725.9</v>
      </c>
      <c r="D49" s="72">
        <f t="shared" si="0"/>
        <v>0.10000000000000002</v>
      </c>
      <c r="E49" s="67">
        <v>8712793.4399999995</v>
      </c>
      <c r="G49" s="71">
        <v>61.58867</v>
      </c>
    </row>
  </sheetData>
  <mergeCells count="20">
    <mergeCell ref="A2:A4"/>
    <mergeCell ref="E6:F6"/>
    <mergeCell ref="A6:A8"/>
    <mergeCell ref="E5:F5"/>
    <mergeCell ref="A14:A15"/>
    <mergeCell ref="A17:A18"/>
    <mergeCell ref="E7:F7"/>
    <mergeCell ref="A10:A12"/>
    <mergeCell ref="A30:A49"/>
    <mergeCell ref="A27:B27"/>
    <mergeCell ref="A20:B20"/>
    <mergeCell ref="A22:B22"/>
    <mergeCell ref="E9:F9"/>
    <mergeCell ref="E11:F11"/>
    <mergeCell ref="E10:F10"/>
    <mergeCell ref="A23:B23"/>
    <mergeCell ref="A24:B24"/>
    <mergeCell ref="A25:B25"/>
    <mergeCell ref="A21:B21"/>
    <mergeCell ref="A26:B2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FFAC-0909-4E1E-82B0-333BB93DF330}">
  <dimension ref="A1:M71"/>
  <sheetViews>
    <sheetView zoomScale="80" zoomScaleNormal="80" workbookViewId="0">
      <selection activeCell="O23" sqref="O23"/>
    </sheetView>
  </sheetViews>
  <sheetFormatPr defaultRowHeight="14.4" x14ac:dyDescent="0.3"/>
  <cols>
    <col min="1" max="1" width="10.33203125" customWidth="1"/>
    <col min="3" max="11" width="13.5546875" customWidth="1"/>
  </cols>
  <sheetData>
    <row r="1" spans="1:13" ht="52.8" thickBot="1" x14ac:dyDescent="0.35">
      <c r="A1" s="68" t="s">
        <v>49</v>
      </c>
      <c r="B1" s="1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5" t="s">
        <v>9</v>
      </c>
    </row>
    <row r="2" spans="1:13" ht="15.6" x14ac:dyDescent="0.35">
      <c r="B2" s="6">
        <v>2025</v>
      </c>
      <c r="C2" s="23">
        <f>-Input!$C$7/1000000</f>
        <v>-32.390149999999998</v>
      </c>
      <c r="D2" s="25">
        <v>0</v>
      </c>
      <c r="E2" s="25">
        <v>0</v>
      </c>
      <c r="F2" s="25">
        <v>0</v>
      </c>
      <c r="G2" s="28">
        <v>0</v>
      </c>
      <c r="H2" s="25">
        <v>0</v>
      </c>
      <c r="I2" s="25">
        <f>IF(H2&gt;0,H2*0.22,0)</f>
        <v>0</v>
      </c>
      <c r="J2" s="25">
        <v>0</v>
      </c>
      <c r="K2" s="30">
        <f>J2+G2+C2</f>
        <v>-32.390149999999998</v>
      </c>
    </row>
    <row r="3" spans="1:13" ht="15.6" x14ac:dyDescent="0.35">
      <c r="B3" s="8">
        <v>2026</v>
      </c>
      <c r="C3" s="24"/>
      <c r="D3" s="26">
        <f>Input!$C$14*Input!$C$21/1000000</f>
        <v>3.6093600000000001</v>
      </c>
      <c r="E3" s="26">
        <f>Input!$C$11/1000000</f>
        <v>0.63043700000000003</v>
      </c>
      <c r="F3" s="26">
        <f>D3-E3</f>
        <v>2.978923</v>
      </c>
      <c r="G3" s="27">
        <f>-$C$2/20</f>
        <v>1.6195074999999999</v>
      </c>
      <c r="H3" s="26">
        <f>F3-G3</f>
        <v>1.3594155000000001</v>
      </c>
      <c r="I3" s="26">
        <f>IF(H3&gt;0,H3*0.22,0)</f>
        <v>0.29907141000000004</v>
      </c>
      <c r="J3" s="26">
        <f>H3-I3</f>
        <v>1.0603440900000001</v>
      </c>
      <c r="K3" s="29">
        <f t="shared" ref="K3:K22" si="0">J3+G3+C3</f>
        <v>2.6798515900000002</v>
      </c>
    </row>
    <row r="4" spans="1:13" ht="15.6" x14ac:dyDescent="0.35">
      <c r="B4" s="8">
        <v>2027</v>
      </c>
      <c r="C4" s="24"/>
      <c r="D4" s="26">
        <f>D3*(1-0.01)</f>
        <v>3.5732664000000001</v>
      </c>
      <c r="E4" s="26">
        <f>Input!$C$11/1000000</f>
        <v>0.63043700000000003</v>
      </c>
      <c r="F4" s="26">
        <f>D4-E4</f>
        <v>2.9428293999999999</v>
      </c>
      <c r="G4" s="27">
        <f t="shared" ref="G4:G22" si="1">-$C$2/20</f>
        <v>1.6195074999999999</v>
      </c>
      <c r="H4" s="26">
        <f t="shared" ref="H4:H22" si="2">F4-G4</f>
        <v>1.3233219000000001</v>
      </c>
      <c r="I4" s="26">
        <f t="shared" ref="I4:I22" si="3">IF(H4&gt;0,H4*0.22,0)</f>
        <v>0.29113081800000001</v>
      </c>
      <c r="J4" s="26">
        <f t="shared" ref="J4:J22" si="4">H4-I4</f>
        <v>1.032191082</v>
      </c>
      <c r="K4" s="29">
        <f t="shared" si="0"/>
        <v>2.6516985819999999</v>
      </c>
      <c r="M4" s="31"/>
    </row>
    <row r="5" spans="1:13" ht="15.6" x14ac:dyDescent="0.35">
      <c r="B5" s="8">
        <v>2028</v>
      </c>
      <c r="C5" s="24"/>
      <c r="D5" s="26">
        <f t="shared" ref="D5:D22" si="5">D4*(1-0.01)</f>
        <v>3.5375337359999999</v>
      </c>
      <c r="E5" s="26">
        <f>Input!$C$11/1000000</f>
        <v>0.63043700000000003</v>
      </c>
      <c r="F5" s="26">
        <f t="shared" ref="F5:F22" si="6">D5-E5</f>
        <v>2.9070967359999997</v>
      </c>
      <c r="G5" s="27">
        <f t="shared" si="1"/>
        <v>1.6195074999999999</v>
      </c>
      <c r="H5" s="26">
        <f t="shared" si="2"/>
        <v>1.2875892359999999</v>
      </c>
      <c r="I5" s="26">
        <f t="shared" si="3"/>
        <v>0.28326963191999999</v>
      </c>
      <c r="J5" s="26">
        <f t="shared" si="4"/>
        <v>1.00431960408</v>
      </c>
      <c r="K5" s="29">
        <f t="shared" si="0"/>
        <v>2.6238271040800001</v>
      </c>
    </row>
    <row r="6" spans="1:13" ht="15.6" x14ac:dyDescent="0.35">
      <c r="B6" s="8">
        <v>2029</v>
      </c>
      <c r="C6" s="24"/>
      <c r="D6" s="26">
        <f t="shared" si="5"/>
        <v>3.5021583986399998</v>
      </c>
      <c r="E6" s="26">
        <f>Input!$C$11/1000000</f>
        <v>0.63043700000000003</v>
      </c>
      <c r="F6" s="26">
        <f t="shared" si="6"/>
        <v>2.8717213986399996</v>
      </c>
      <c r="G6" s="27">
        <f t="shared" si="1"/>
        <v>1.6195074999999999</v>
      </c>
      <c r="H6" s="26">
        <f t="shared" si="2"/>
        <v>1.2522138986399998</v>
      </c>
      <c r="I6" s="26">
        <f t="shared" si="3"/>
        <v>0.27548705770079995</v>
      </c>
      <c r="J6" s="26">
        <f t="shared" si="4"/>
        <v>0.97672684093919981</v>
      </c>
      <c r="K6" s="29">
        <f t="shared" si="0"/>
        <v>2.5962343409391995</v>
      </c>
    </row>
    <row r="7" spans="1:13" ht="15.6" x14ac:dyDescent="0.35">
      <c r="B7" s="8">
        <v>2030</v>
      </c>
      <c r="C7" s="24"/>
      <c r="D7" s="26">
        <f t="shared" si="5"/>
        <v>3.4671368146535997</v>
      </c>
      <c r="E7" s="26">
        <f>Input!$C$11/1000000</f>
        <v>0.63043700000000003</v>
      </c>
      <c r="F7" s="26">
        <f t="shared" si="6"/>
        <v>2.8366998146535995</v>
      </c>
      <c r="G7" s="27">
        <f t="shared" si="1"/>
        <v>1.6195074999999999</v>
      </c>
      <c r="H7" s="26">
        <f t="shared" si="2"/>
        <v>1.2171923146535997</v>
      </c>
      <c r="I7" s="26">
        <f t="shared" si="3"/>
        <v>0.26778230922379193</v>
      </c>
      <c r="J7" s="26">
        <f t="shared" si="4"/>
        <v>0.9494100054298078</v>
      </c>
      <c r="K7" s="29">
        <f t="shared" si="0"/>
        <v>2.5689175054298077</v>
      </c>
    </row>
    <row r="8" spans="1:13" ht="15.6" x14ac:dyDescent="0.35">
      <c r="B8" s="8">
        <v>2031</v>
      </c>
      <c r="C8" s="24"/>
      <c r="D8" s="26">
        <f t="shared" si="5"/>
        <v>3.4324654465070639</v>
      </c>
      <c r="E8" s="26">
        <f>Input!$C$11/1000000</f>
        <v>0.63043700000000003</v>
      </c>
      <c r="F8" s="26">
        <f t="shared" si="6"/>
        <v>2.8020284465070637</v>
      </c>
      <c r="G8" s="27">
        <f t="shared" si="1"/>
        <v>1.6195074999999999</v>
      </c>
      <c r="H8" s="26">
        <f t="shared" si="2"/>
        <v>1.1825209465070639</v>
      </c>
      <c r="I8" s="26">
        <f t="shared" si="3"/>
        <v>0.26015460823155406</v>
      </c>
      <c r="J8" s="26">
        <f t="shared" si="4"/>
        <v>0.92236633827550984</v>
      </c>
      <c r="K8" s="29">
        <f t="shared" si="0"/>
        <v>2.5418738382755097</v>
      </c>
    </row>
    <row r="9" spans="1:13" ht="15.6" x14ac:dyDescent="0.35">
      <c r="B9" s="8">
        <v>2032</v>
      </c>
      <c r="C9" s="24"/>
      <c r="D9" s="26">
        <f t="shared" si="5"/>
        <v>3.398140792041993</v>
      </c>
      <c r="E9" s="26">
        <f>Input!$C$11/1000000</f>
        <v>0.63043700000000003</v>
      </c>
      <c r="F9" s="26">
        <f t="shared" si="6"/>
        <v>2.7677037920419929</v>
      </c>
      <c r="G9" s="27">
        <f t="shared" si="1"/>
        <v>1.6195074999999999</v>
      </c>
      <c r="H9" s="26">
        <f t="shared" si="2"/>
        <v>1.148196292041993</v>
      </c>
      <c r="I9" s="26">
        <f t="shared" si="3"/>
        <v>0.25260318424923844</v>
      </c>
      <c r="J9" s="26">
        <f t="shared" si="4"/>
        <v>0.89559310779275458</v>
      </c>
      <c r="K9" s="29">
        <f t="shared" si="0"/>
        <v>2.5151006077927542</v>
      </c>
    </row>
    <row r="10" spans="1:13" ht="15.6" x14ac:dyDescent="0.35">
      <c r="B10" s="8">
        <v>2033</v>
      </c>
      <c r="C10" s="24"/>
      <c r="D10" s="26">
        <f t="shared" si="5"/>
        <v>3.3641593841215731</v>
      </c>
      <c r="E10" s="26">
        <f>Input!$C$11/1000000</f>
        <v>0.63043700000000003</v>
      </c>
      <c r="F10" s="26">
        <f t="shared" si="6"/>
        <v>2.733722384121573</v>
      </c>
      <c r="G10" s="27">
        <f t="shared" si="1"/>
        <v>1.6195074999999999</v>
      </c>
      <c r="H10" s="26">
        <f t="shared" si="2"/>
        <v>1.1142148841215731</v>
      </c>
      <c r="I10" s="26">
        <f t="shared" si="3"/>
        <v>0.2451272745067461</v>
      </c>
      <c r="J10" s="26">
        <f t="shared" si="4"/>
        <v>0.86908760961482701</v>
      </c>
      <c r="K10" s="29">
        <f t="shared" si="0"/>
        <v>2.4885951096148267</v>
      </c>
    </row>
    <row r="11" spans="1:13" ht="15.6" x14ac:dyDescent="0.35">
      <c r="B11" s="8">
        <v>2034</v>
      </c>
      <c r="C11" s="24"/>
      <c r="D11" s="26">
        <f t="shared" si="5"/>
        <v>3.3305177902803575</v>
      </c>
      <c r="E11" s="26">
        <f>Input!$C$11/1000000</f>
        <v>0.63043700000000003</v>
      </c>
      <c r="F11" s="26">
        <f t="shared" si="6"/>
        <v>2.7000807902803574</v>
      </c>
      <c r="G11" s="27">
        <f t="shared" si="1"/>
        <v>1.6195074999999999</v>
      </c>
      <c r="H11" s="26">
        <f t="shared" si="2"/>
        <v>1.0805732902803575</v>
      </c>
      <c r="I11" s="26">
        <f t="shared" si="3"/>
        <v>0.23772612386167866</v>
      </c>
      <c r="J11" s="26">
        <f t="shared" si="4"/>
        <v>0.84284716641867885</v>
      </c>
      <c r="K11" s="29">
        <f t="shared" si="0"/>
        <v>2.4623546664186788</v>
      </c>
    </row>
    <row r="12" spans="1:13" ht="15.6" x14ac:dyDescent="0.35">
      <c r="B12" s="8">
        <v>2035</v>
      </c>
      <c r="C12" s="24"/>
      <c r="D12" s="26">
        <f t="shared" si="5"/>
        <v>3.297212612377554</v>
      </c>
      <c r="E12" s="26">
        <f>Input!$C$11/1000000</f>
        <v>0.63043700000000003</v>
      </c>
      <c r="F12" s="26">
        <f t="shared" si="6"/>
        <v>2.6667756123775539</v>
      </c>
      <c r="G12" s="27">
        <f t="shared" si="1"/>
        <v>1.6195074999999999</v>
      </c>
      <c r="H12" s="26">
        <f t="shared" si="2"/>
        <v>1.047268112377554</v>
      </c>
      <c r="I12" s="26">
        <f t="shared" si="3"/>
        <v>0.23039898472306189</v>
      </c>
      <c r="J12" s="26">
        <f t="shared" si="4"/>
        <v>0.81686912765449216</v>
      </c>
      <c r="K12" s="29">
        <f t="shared" si="0"/>
        <v>2.436376627654492</v>
      </c>
    </row>
    <row r="13" spans="1:13" ht="15.6" x14ac:dyDescent="0.35">
      <c r="B13" s="8">
        <v>2036</v>
      </c>
      <c r="C13" s="24"/>
      <c r="D13" s="26">
        <f t="shared" si="5"/>
        <v>3.2642404862537786</v>
      </c>
      <c r="E13" s="26">
        <f>Input!$C$11/1000000</f>
        <v>0.63043700000000003</v>
      </c>
      <c r="F13" s="26">
        <f t="shared" si="6"/>
        <v>2.6338034862537785</v>
      </c>
      <c r="G13" s="27">
        <f t="shared" si="1"/>
        <v>1.6195074999999999</v>
      </c>
      <c r="H13" s="26">
        <f t="shared" si="2"/>
        <v>1.0142959862537786</v>
      </c>
      <c r="I13" s="26">
        <f t="shared" si="3"/>
        <v>0.22314511697583128</v>
      </c>
      <c r="J13" s="26">
        <f t="shared" si="4"/>
        <v>0.79115086927794731</v>
      </c>
      <c r="K13" s="29">
        <f t="shared" si="0"/>
        <v>2.4106583692779471</v>
      </c>
    </row>
    <row r="14" spans="1:13" ht="15.6" x14ac:dyDescent="0.35">
      <c r="B14" s="8">
        <v>2037</v>
      </c>
      <c r="C14" s="24"/>
      <c r="D14" s="26">
        <f t="shared" si="5"/>
        <v>3.2315980813912408</v>
      </c>
      <c r="E14" s="26">
        <f>Input!$C$11/1000000</f>
        <v>0.63043700000000003</v>
      </c>
      <c r="F14" s="26">
        <f t="shared" si="6"/>
        <v>2.6011610813912407</v>
      </c>
      <c r="G14" s="27">
        <f t="shared" si="1"/>
        <v>1.6195074999999999</v>
      </c>
      <c r="H14" s="26">
        <f t="shared" si="2"/>
        <v>0.98165358139124081</v>
      </c>
      <c r="I14" s="26">
        <f t="shared" si="3"/>
        <v>0.21596378790607298</v>
      </c>
      <c r="J14" s="26">
        <f t="shared" si="4"/>
        <v>0.76568979348516786</v>
      </c>
      <c r="K14" s="29">
        <f t="shared" si="0"/>
        <v>2.3851972934851675</v>
      </c>
    </row>
    <row r="15" spans="1:13" ht="15.6" x14ac:dyDescent="0.35">
      <c r="B15" s="8">
        <v>2038</v>
      </c>
      <c r="C15" s="24"/>
      <c r="D15" s="26">
        <f t="shared" si="5"/>
        <v>3.1992821005773284</v>
      </c>
      <c r="E15" s="26">
        <f>Input!$C$11/1000000</f>
        <v>0.63043700000000003</v>
      </c>
      <c r="F15" s="26">
        <f t="shared" si="6"/>
        <v>2.5688451005773283</v>
      </c>
      <c r="G15" s="27">
        <f t="shared" si="1"/>
        <v>1.6195074999999999</v>
      </c>
      <c r="H15" s="26">
        <f t="shared" si="2"/>
        <v>0.94933760057732841</v>
      </c>
      <c r="I15" s="26">
        <f t="shared" si="3"/>
        <v>0.20885427212701224</v>
      </c>
      <c r="J15" s="26">
        <f t="shared" si="4"/>
        <v>0.74048332845031617</v>
      </c>
      <c r="K15" s="29">
        <f t="shared" si="0"/>
        <v>2.3599908284503162</v>
      </c>
    </row>
    <row r="16" spans="1:13" ht="15.6" x14ac:dyDescent="0.35">
      <c r="B16" s="8">
        <v>2039</v>
      </c>
      <c r="C16" s="24"/>
      <c r="D16" s="26">
        <f t="shared" si="5"/>
        <v>3.167289279571555</v>
      </c>
      <c r="E16" s="26">
        <f>Input!$C$11/1000000</f>
        <v>0.63043700000000003</v>
      </c>
      <c r="F16" s="26">
        <f t="shared" si="6"/>
        <v>2.5368522795715549</v>
      </c>
      <c r="G16" s="27">
        <f t="shared" si="1"/>
        <v>1.6195074999999999</v>
      </c>
      <c r="H16" s="26">
        <f t="shared" si="2"/>
        <v>0.91734477957155502</v>
      </c>
      <c r="I16" s="26">
        <f t="shared" si="3"/>
        <v>0.20181585150574211</v>
      </c>
      <c r="J16" s="26">
        <f t="shared" si="4"/>
        <v>0.71552892806581292</v>
      </c>
      <c r="K16" s="29">
        <f t="shared" si="0"/>
        <v>2.3350364280658127</v>
      </c>
    </row>
    <row r="17" spans="1:11" ht="15.6" x14ac:dyDescent="0.35">
      <c r="B17" s="8">
        <v>2040</v>
      </c>
      <c r="C17" s="22"/>
      <c r="D17" s="26">
        <f t="shared" si="5"/>
        <v>3.1356163867758395</v>
      </c>
      <c r="E17" s="26">
        <f>Input!$C$11/1000000</f>
        <v>0.63043700000000003</v>
      </c>
      <c r="F17" s="26">
        <f t="shared" si="6"/>
        <v>2.5051793867758394</v>
      </c>
      <c r="G17" s="27">
        <f t="shared" si="1"/>
        <v>1.6195074999999999</v>
      </c>
      <c r="H17" s="26">
        <f t="shared" si="2"/>
        <v>0.88567188677583952</v>
      </c>
      <c r="I17" s="26">
        <f t="shared" si="3"/>
        <v>0.19484781509068469</v>
      </c>
      <c r="J17" s="26">
        <f t="shared" si="4"/>
        <v>0.69082407168515481</v>
      </c>
      <c r="K17" s="29">
        <f t="shared" si="0"/>
        <v>2.3103315716851549</v>
      </c>
    </row>
    <row r="18" spans="1:11" ht="15.6" x14ac:dyDescent="0.35">
      <c r="B18" s="8">
        <v>2041</v>
      </c>
      <c r="C18" s="22"/>
      <c r="D18" s="26">
        <f t="shared" si="5"/>
        <v>3.1042602229080809</v>
      </c>
      <c r="E18" s="26">
        <f>Input!$C$11/1000000</f>
        <v>0.63043700000000003</v>
      </c>
      <c r="F18" s="26">
        <f t="shared" si="6"/>
        <v>2.4738232229080808</v>
      </c>
      <c r="G18" s="27">
        <f t="shared" si="1"/>
        <v>1.6195074999999999</v>
      </c>
      <c r="H18" s="26">
        <f t="shared" si="2"/>
        <v>0.85431572290808089</v>
      </c>
      <c r="I18" s="26">
        <f t="shared" si="3"/>
        <v>0.18794945903977781</v>
      </c>
      <c r="J18" s="26">
        <f t="shared" si="4"/>
        <v>0.66636626386830311</v>
      </c>
      <c r="K18" s="29">
        <f t="shared" si="0"/>
        <v>2.2858737638683029</v>
      </c>
    </row>
    <row r="19" spans="1:11" ht="15.6" x14ac:dyDescent="0.35">
      <c r="B19" s="8">
        <v>2042</v>
      </c>
      <c r="C19" s="22"/>
      <c r="D19" s="26">
        <f t="shared" si="5"/>
        <v>3.0732176206790003</v>
      </c>
      <c r="E19" s="26">
        <f>Input!$C$11/1000000</f>
        <v>0.63043700000000003</v>
      </c>
      <c r="F19" s="26">
        <f t="shared" si="6"/>
        <v>2.4427806206790001</v>
      </c>
      <c r="G19" s="27">
        <f t="shared" si="1"/>
        <v>1.6195074999999999</v>
      </c>
      <c r="H19" s="26">
        <f t="shared" si="2"/>
        <v>0.82327312067900027</v>
      </c>
      <c r="I19" s="26">
        <f t="shared" si="3"/>
        <v>0.18112008654938005</v>
      </c>
      <c r="J19" s="26">
        <f t="shared" si="4"/>
        <v>0.64215303412962021</v>
      </c>
      <c r="K19" s="29">
        <f t="shared" si="0"/>
        <v>2.2616605341296201</v>
      </c>
    </row>
    <row r="20" spans="1:11" ht="15.6" x14ac:dyDescent="0.35">
      <c r="B20" s="8">
        <v>2043</v>
      </c>
      <c r="C20" s="22"/>
      <c r="D20" s="26">
        <f t="shared" si="5"/>
        <v>3.0424854444722103</v>
      </c>
      <c r="E20" s="26">
        <f>Input!$C$11/1000000</f>
        <v>0.63043700000000003</v>
      </c>
      <c r="F20" s="26">
        <f t="shared" si="6"/>
        <v>2.4120484444722101</v>
      </c>
      <c r="G20" s="27">
        <f t="shared" si="1"/>
        <v>1.6195074999999999</v>
      </c>
      <c r="H20" s="26">
        <f t="shared" si="2"/>
        <v>0.79254094447221024</v>
      </c>
      <c r="I20" s="26">
        <f t="shared" si="3"/>
        <v>0.17435900778388624</v>
      </c>
      <c r="J20" s="26">
        <f t="shared" si="4"/>
        <v>0.618181936688324</v>
      </c>
      <c r="K20" s="29">
        <f t="shared" si="0"/>
        <v>2.2376894366883238</v>
      </c>
    </row>
    <row r="21" spans="1:11" ht="15.6" x14ac:dyDescent="0.35">
      <c r="B21" s="8">
        <v>2044</v>
      </c>
      <c r="C21" s="22"/>
      <c r="D21" s="26">
        <f t="shared" si="5"/>
        <v>3.0120605900274882</v>
      </c>
      <c r="E21" s="26">
        <f>Input!$C$11/1000000</f>
        <v>0.63043700000000003</v>
      </c>
      <c r="F21" s="26">
        <f t="shared" si="6"/>
        <v>2.381623590027488</v>
      </c>
      <c r="G21" s="27">
        <f t="shared" si="1"/>
        <v>1.6195074999999999</v>
      </c>
      <c r="H21" s="26">
        <f t="shared" si="2"/>
        <v>0.76211609002748815</v>
      </c>
      <c r="I21" s="26">
        <f t="shared" si="3"/>
        <v>0.1676655398060474</v>
      </c>
      <c r="J21" s="26">
        <f t="shared" si="4"/>
        <v>0.59445055022144078</v>
      </c>
      <c r="K21" s="29">
        <f t="shared" si="0"/>
        <v>2.2139580502214407</v>
      </c>
    </row>
    <row r="22" spans="1:11" ht="15.6" x14ac:dyDescent="0.35">
      <c r="B22" s="8">
        <v>2045</v>
      </c>
      <c r="C22" s="22"/>
      <c r="D22" s="26">
        <f t="shared" si="5"/>
        <v>2.9819399841272132</v>
      </c>
      <c r="E22" s="26">
        <f>Input!$C$11/1000000</f>
        <v>0.63043700000000003</v>
      </c>
      <c r="F22" s="26">
        <f t="shared" si="6"/>
        <v>2.351502984127213</v>
      </c>
      <c r="G22" s="27">
        <f t="shared" si="1"/>
        <v>1.6195074999999999</v>
      </c>
      <c r="H22" s="26">
        <f t="shared" si="2"/>
        <v>0.73199548412721316</v>
      </c>
      <c r="I22" s="26">
        <f t="shared" si="3"/>
        <v>0.16103900650798689</v>
      </c>
      <c r="J22" s="26">
        <f t="shared" si="4"/>
        <v>0.5709564776192263</v>
      </c>
      <c r="K22" s="29">
        <f t="shared" si="0"/>
        <v>2.1904639776192263</v>
      </c>
    </row>
    <row r="23" spans="1:11" ht="16.2" thickBot="1" x14ac:dyDescent="0.4">
      <c r="B23" s="10"/>
      <c r="C23" s="11"/>
      <c r="D23" s="12"/>
      <c r="E23" s="12"/>
      <c r="F23" s="12"/>
      <c r="G23" s="12"/>
      <c r="H23" s="12"/>
      <c r="I23" s="13"/>
      <c r="J23" s="56" t="s">
        <v>10</v>
      </c>
      <c r="K23" s="57">
        <f>IRR(K2:K22)</f>
        <v>4.379676321856385E-2</v>
      </c>
    </row>
    <row r="24" spans="1:11" ht="15" thickBot="1" x14ac:dyDescent="0.35"/>
    <row r="25" spans="1:11" ht="52.8" thickBot="1" x14ac:dyDescent="0.35">
      <c r="A25" s="68" t="s">
        <v>50</v>
      </c>
      <c r="B25" s="1" t="s">
        <v>0</v>
      </c>
      <c r="C25" s="2" t="s">
        <v>1</v>
      </c>
      <c r="D25" s="3" t="s">
        <v>2</v>
      </c>
      <c r="E25" s="3" t="s">
        <v>3</v>
      </c>
      <c r="F25" s="4" t="s">
        <v>4</v>
      </c>
      <c r="G25" s="3" t="s">
        <v>5</v>
      </c>
      <c r="H25" s="3" t="s">
        <v>6</v>
      </c>
      <c r="I25" s="3" t="s">
        <v>7</v>
      </c>
      <c r="J25" s="3" t="s">
        <v>8</v>
      </c>
      <c r="K25" s="5" t="s">
        <v>9</v>
      </c>
    </row>
    <row r="26" spans="1:11" ht="15.6" x14ac:dyDescent="0.35">
      <c r="B26" s="6">
        <v>2025</v>
      </c>
      <c r="C26" s="23" t="e">
        <f>-(Input!$C$7+Input!#REF!)/1000000</f>
        <v>#REF!</v>
      </c>
      <c r="D26" s="25">
        <v>0</v>
      </c>
      <c r="E26" s="25">
        <v>0</v>
      </c>
      <c r="F26" s="25">
        <v>0</v>
      </c>
      <c r="G26" s="28">
        <v>0</v>
      </c>
      <c r="H26" s="25">
        <v>0</v>
      </c>
      <c r="I26" s="25">
        <f>IF(H26&gt;0,H26*0.22,0)</f>
        <v>0</v>
      </c>
      <c r="J26" s="25">
        <v>0</v>
      </c>
      <c r="K26" s="30" t="e">
        <f>J26+G26+C26</f>
        <v>#REF!</v>
      </c>
    </row>
    <row r="27" spans="1:11" ht="15.6" x14ac:dyDescent="0.35">
      <c r="B27" s="8">
        <v>2026</v>
      </c>
      <c r="C27" s="24"/>
      <c r="D27" s="26">
        <f>(Input!$C$17+Input!$C$18)*(Input!$C$22/1000000)</f>
        <v>24.232332100000004</v>
      </c>
      <c r="E27" s="26" t="e">
        <f>(Input!$C$11+Input!#REF!)/1000000</f>
        <v>#REF!</v>
      </c>
      <c r="F27" s="26" t="e">
        <f>D27-E27</f>
        <v>#REF!</v>
      </c>
      <c r="G27" s="27" t="e">
        <f>-SUM($C$26:$C$46)/20</f>
        <v>#REF!</v>
      </c>
      <c r="H27" s="26" t="e">
        <f>F27-G27</f>
        <v>#REF!</v>
      </c>
      <c r="I27" s="26" t="e">
        <f>IF(H27&gt;0,H27*0.22,0)</f>
        <v>#REF!</v>
      </c>
      <c r="J27" s="26" t="e">
        <f>H27-I27</f>
        <v>#REF!</v>
      </c>
      <c r="K27" s="29" t="e">
        <f t="shared" ref="K27:K46" si="7">J27+G27+C27</f>
        <v>#REF!</v>
      </c>
    </row>
    <row r="28" spans="1:11" ht="15.6" x14ac:dyDescent="0.35">
      <c r="B28" s="8">
        <v>2027</v>
      </c>
      <c r="C28" s="24"/>
      <c r="D28" s="26">
        <f>D27*(1-0.01)</f>
        <v>23.990008779000004</v>
      </c>
      <c r="E28" s="26" t="e">
        <f>(Input!$C$11+Input!#REF!)/1000000</f>
        <v>#REF!</v>
      </c>
      <c r="F28" s="26" t="e">
        <f>D28-E28</f>
        <v>#REF!</v>
      </c>
      <c r="G28" s="27" t="e">
        <f t="shared" ref="G28:G46" si="8">-SUM($C$26:$C$46)/20</f>
        <v>#REF!</v>
      </c>
      <c r="H28" s="26" t="e">
        <f t="shared" ref="H28:H46" si="9">F28-G28</f>
        <v>#REF!</v>
      </c>
      <c r="I28" s="26" t="e">
        <f t="shared" ref="I28:I46" si="10">IF(H28&gt;0,H28*0.22,0)</f>
        <v>#REF!</v>
      </c>
      <c r="J28" s="26" t="e">
        <f t="shared" ref="J28:J46" si="11">H28-I28</f>
        <v>#REF!</v>
      </c>
      <c r="K28" s="29" t="e">
        <f t="shared" si="7"/>
        <v>#REF!</v>
      </c>
    </row>
    <row r="29" spans="1:11" ht="15.6" x14ac:dyDescent="0.35">
      <c r="B29" s="8">
        <v>2028</v>
      </c>
      <c r="C29" s="24"/>
      <c r="D29" s="26">
        <f t="shared" ref="D29:D46" si="12">D28*(1-0.01)</f>
        <v>23.750108691210002</v>
      </c>
      <c r="E29" s="26" t="e">
        <f>(Input!$C$11+Input!#REF!)/1000000</f>
        <v>#REF!</v>
      </c>
      <c r="F29" s="26" t="e">
        <f t="shared" ref="F29:F46" si="13">D29-E29</f>
        <v>#REF!</v>
      </c>
      <c r="G29" s="27" t="e">
        <f t="shared" si="8"/>
        <v>#REF!</v>
      </c>
      <c r="H29" s="26" t="e">
        <f t="shared" si="9"/>
        <v>#REF!</v>
      </c>
      <c r="I29" s="26" t="e">
        <f t="shared" si="10"/>
        <v>#REF!</v>
      </c>
      <c r="J29" s="26" t="e">
        <f t="shared" si="11"/>
        <v>#REF!</v>
      </c>
      <c r="K29" s="29" t="e">
        <f t="shared" si="7"/>
        <v>#REF!</v>
      </c>
    </row>
    <row r="30" spans="1:11" ht="15.6" x14ac:dyDescent="0.35">
      <c r="B30" s="8">
        <v>2029</v>
      </c>
      <c r="C30" s="24"/>
      <c r="D30" s="26">
        <f t="shared" si="12"/>
        <v>23.512607604297902</v>
      </c>
      <c r="E30" s="26" t="e">
        <f>(Input!$C$11+Input!#REF!)/1000000</f>
        <v>#REF!</v>
      </c>
      <c r="F30" s="26" t="e">
        <f t="shared" si="13"/>
        <v>#REF!</v>
      </c>
      <c r="G30" s="27" t="e">
        <f t="shared" si="8"/>
        <v>#REF!</v>
      </c>
      <c r="H30" s="26" t="e">
        <f t="shared" si="9"/>
        <v>#REF!</v>
      </c>
      <c r="I30" s="26" t="e">
        <f t="shared" si="10"/>
        <v>#REF!</v>
      </c>
      <c r="J30" s="26" t="e">
        <f t="shared" si="11"/>
        <v>#REF!</v>
      </c>
      <c r="K30" s="29" t="e">
        <f t="shared" si="7"/>
        <v>#REF!</v>
      </c>
    </row>
    <row r="31" spans="1:11" ht="15.6" x14ac:dyDescent="0.35">
      <c r="B31" s="8">
        <v>2030</v>
      </c>
      <c r="C31" s="24"/>
      <c r="D31" s="26">
        <f t="shared" si="12"/>
        <v>23.277481528254921</v>
      </c>
      <c r="E31" s="26" t="e">
        <f>(Input!$C$11+Input!#REF!)/1000000</f>
        <v>#REF!</v>
      </c>
      <c r="F31" s="26" t="e">
        <f t="shared" si="13"/>
        <v>#REF!</v>
      </c>
      <c r="G31" s="27" t="e">
        <f t="shared" si="8"/>
        <v>#REF!</v>
      </c>
      <c r="H31" s="26" t="e">
        <f t="shared" si="9"/>
        <v>#REF!</v>
      </c>
      <c r="I31" s="26" t="e">
        <f t="shared" si="10"/>
        <v>#REF!</v>
      </c>
      <c r="J31" s="26" t="e">
        <f t="shared" si="11"/>
        <v>#REF!</v>
      </c>
      <c r="K31" s="29" t="e">
        <f t="shared" si="7"/>
        <v>#REF!</v>
      </c>
    </row>
    <row r="32" spans="1:11" ht="15.6" x14ac:dyDescent="0.35">
      <c r="B32" s="8">
        <v>2031</v>
      </c>
      <c r="C32" s="24"/>
      <c r="D32" s="26">
        <f t="shared" si="12"/>
        <v>23.044706712972371</v>
      </c>
      <c r="E32" s="26" t="e">
        <f>(Input!$C$11+Input!#REF!)/1000000</f>
        <v>#REF!</v>
      </c>
      <c r="F32" s="26" t="e">
        <f t="shared" si="13"/>
        <v>#REF!</v>
      </c>
      <c r="G32" s="27" t="e">
        <f t="shared" si="8"/>
        <v>#REF!</v>
      </c>
      <c r="H32" s="26" t="e">
        <f t="shared" si="9"/>
        <v>#REF!</v>
      </c>
      <c r="I32" s="26" t="e">
        <f t="shared" si="10"/>
        <v>#REF!</v>
      </c>
      <c r="J32" s="26" t="e">
        <f t="shared" si="11"/>
        <v>#REF!</v>
      </c>
      <c r="K32" s="29" t="e">
        <f t="shared" si="7"/>
        <v>#REF!</v>
      </c>
    </row>
    <row r="33" spans="2:11" ht="15.6" x14ac:dyDescent="0.35">
      <c r="B33" s="8">
        <v>2032</v>
      </c>
      <c r="C33" s="24"/>
      <c r="D33" s="26">
        <f t="shared" si="12"/>
        <v>22.814259645842647</v>
      </c>
      <c r="E33" s="26" t="e">
        <f>(Input!$C$11+Input!#REF!)/1000000</f>
        <v>#REF!</v>
      </c>
      <c r="F33" s="26" t="e">
        <f t="shared" si="13"/>
        <v>#REF!</v>
      </c>
      <c r="G33" s="27" t="e">
        <f t="shared" si="8"/>
        <v>#REF!</v>
      </c>
      <c r="H33" s="26" t="e">
        <f t="shared" si="9"/>
        <v>#REF!</v>
      </c>
      <c r="I33" s="26" t="e">
        <f t="shared" si="10"/>
        <v>#REF!</v>
      </c>
      <c r="J33" s="26" t="e">
        <f t="shared" si="11"/>
        <v>#REF!</v>
      </c>
      <c r="K33" s="29" t="e">
        <f t="shared" si="7"/>
        <v>#REF!</v>
      </c>
    </row>
    <row r="34" spans="2:11" ht="15.6" x14ac:dyDescent="0.35">
      <c r="B34" s="8">
        <v>2033</v>
      </c>
      <c r="C34" s="24"/>
      <c r="D34" s="26">
        <f t="shared" si="12"/>
        <v>22.586117049384221</v>
      </c>
      <c r="E34" s="26" t="e">
        <f>(Input!$C$11+Input!#REF!)/1000000</f>
        <v>#REF!</v>
      </c>
      <c r="F34" s="26" t="e">
        <f t="shared" si="13"/>
        <v>#REF!</v>
      </c>
      <c r="G34" s="27" t="e">
        <f t="shared" si="8"/>
        <v>#REF!</v>
      </c>
      <c r="H34" s="26" t="e">
        <f t="shared" si="9"/>
        <v>#REF!</v>
      </c>
      <c r="I34" s="26" t="e">
        <f t="shared" si="10"/>
        <v>#REF!</v>
      </c>
      <c r="J34" s="26" t="e">
        <f t="shared" si="11"/>
        <v>#REF!</v>
      </c>
      <c r="K34" s="29" t="e">
        <f t="shared" si="7"/>
        <v>#REF!</v>
      </c>
    </row>
    <row r="35" spans="2:11" ht="15.6" x14ac:dyDescent="0.35">
      <c r="B35" s="8">
        <v>2034</v>
      </c>
      <c r="C35" s="24"/>
      <c r="D35" s="26">
        <f t="shared" si="12"/>
        <v>22.360255878890378</v>
      </c>
      <c r="E35" s="26" t="e">
        <f>(Input!$C$11+Input!#REF!)/1000000</f>
        <v>#REF!</v>
      </c>
      <c r="F35" s="26" t="e">
        <f t="shared" si="13"/>
        <v>#REF!</v>
      </c>
      <c r="G35" s="27" t="e">
        <f t="shared" si="8"/>
        <v>#REF!</v>
      </c>
      <c r="H35" s="26" t="e">
        <f t="shared" si="9"/>
        <v>#REF!</v>
      </c>
      <c r="I35" s="26" t="e">
        <f t="shared" si="10"/>
        <v>#REF!</v>
      </c>
      <c r="J35" s="26" t="e">
        <f t="shared" si="11"/>
        <v>#REF!</v>
      </c>
      <c r="K35" s="29" t="e">
        <f t="shared" si="7"/>
        <v>#REF!</v>
      </c>
    </row>
    <row r="36" spans="2:11" ht="15.6" x14ac:dyDescent="0.35">
      <c r="B36" s="8">
        <v>2035</v>
      </c>
      <c r="C36" s="24"/>
      <c r="D36" s="26">
        <f t="shared" si="12"/>
        <v>22.136653320101473</v>
      </c>
      <c r="E36" s="26" t="e">
        <f>(Input!$C$11+Input!#REF!)/1000000</f>
        <v>#REF!</v>
      </c>
      <c r="F36" s="26" t="e">
        <f t="shared" si="13"/>
        <v>#REF!</v>
      </c>
      <c r="G36" s="27" t="e">
        <f t="shared" si="8"/>
        <v>#REF!</v>
      </c>
      <c r="H36" s="26" t="e">
        <f t="shared" si="9"/>
        <v>#REF!</v>
      </c>
      <c r="I36" s="26" t="e">
        <f t="shared" si="10"/>
        <v>#REF!</v>
      </c>
      <c r="J36" s="26" t="e">
        <f t="shared" si="11"/>
        <v>#REF!</v>
      </c>
      <c r="K36" s="29" t="e">
        <f t="shared" si="7"/>
        <v>#REF!</v>
      </c>
    </row>
    <row r="37" spans="2:11" ht="15.6" x14ac:dyDescent="0.35">
      <c r="B37" s="8">
        <v>2036</v>
      </c>
      <c r="C37" s="24"/>
      <c r="D37" s="26">
        <f t="shared" si="12"/>
        <v>21.91528678690046</v>
      </c>
      <c r="E37" s="26" t="e">
        <f>(Input!$C$11+Input!#REF!)/1000000</f>
        <v>#REF!</v>
      </c>
      <c r="F37" s="26" t="e">
        <f t="shared" si="13"/>
        <v>#REF!</v>
      </c>
      <c r="G37" s="27" t="e">
        <f t="shared" si="8"/>
        <v>#REF!</v>
      </c>
      <c r="H37" s="26" t="e">
        <f t="shared" si="9"/>
        <v>#REF!</v>
      </c>
      <c r="I37" s="26" t="e">
        <f t="shared" si="10"/>
        <v>#REF!</v>
      </c>
      <c r="J37" s="26" t="e">
        <f t="shared" si="11"/>
        <v>#REF!</v>
      </c>
      <c r="K37" s="29" t="e">
        <f t="shared" si="7"/>
        <v>#REF!</v>
      </c>
    </row>
    <row r="38" spans="2:11" ht="15.6" x14ac:dyDescent="0.35">
      <c r="B38" s="8">
        <v>2037</v>
      </c>
      <c r="C38" s="24"/>
      <c r="D38" s="26">
        <f t="shared" si="12"/>
        <v>21.696133919031453</v>
      </c>
      <c r="E38" s="26" t="e">
        <f>(Input!$C$11+Input!#REF!)/1000000</f>
        <v>#REF!</v>
      </c>
      <c r="F38" s="26" t="e">
        <f t="shared" si="13"/>
        <v>#REF!</v>
      </c>
      <c r="G38" s="27" t="e">
        <f t="shared" si="8"/>
        <v>#REF!</v>
      </c>
      <c r="H38" s="26" t="e">
        <f t="shared" si="9"/>
        <v>#REF!</v>
      </c>
      <c r="I38" s="26" t="e">
        <f t="shared" si="10"/>
        <v>#REF!</v>
      </c>
      <c r="J38" s="26" t="e">
        <f t="shared" si="11"/>
        <v>#REF!</v>
      </c>
      <c r="K38" s="29" t="e">
        <f t="shared" si="7"/>
        <v>#REF!</v>
      </c>
    </row>
    <row r="39" spans="2:11" ht="15.6" x14ac:dyDescent="0.35">
      <c r="B39" s="8">
        <v>2038</v>
      </c>
      <c r="C39" s="24"/>
      <c r="D39" s="26">
        <f t="shared" si="12"/>
        <v>21.479172579841137</v>
      </c>
      <c r="E39" s="26" t="e">
        <f>(Input!$C$11+Input!#REF!)/1000000</f>
        <v>#REF!</v>
      </c>
      <c r="F39" s="26" t="e">
        <f t="shared" si="13"/>
        <v>#REF!</v>
      </c>
      <c r="G39" s="27" t="e">
        <f t="shared" si="8"/>
        <v>#REF!</v>
      </c>
      <c r="H39" s="26" t="e">
        <f t="shared" si="9"/>
        <v>#REF!</v>
      </c>
      <c r="I39" s="26" t="e">
        <f t="shared" si="10"/>
        <v>#REF!</v>
      </c>
      <c r="J39" s="26" t="e">
        <f t="shared" si="11"/>
        <v>#REF!</v>
      </c>
      <c r="K39" s="29" t="e">
        <f t="shared" si="7"/>
        <v>#REF!</v>
      </c>
    </row>
    <row r="40" spans="2:11" ht="15.6" x14ac:dyDescent="0.35">
      <c r="B40" s="8">
        <v>2039</v>
      </c>
      <c r="C40" s="24"/>
      <c r="D40" s="26">
        <f t="shared" si="12"/>
        <v>21.264380854042724</v>
      </c>
      <c r="E40" s="26" t="e">
        <f>(Input!$C$11+Input!#REF!)/1000000</f>
        <v>#REF!</v>
      </c>
      <c r="F40" s="26" t="e">
        <f t="shared" si="13"/>
        <v>#REF!</v>
      </c>
      <c r="G40" s="27" t="e">
        <f t="shared" si="8"/>
        <v>#REF!</v>
      </c>
      <c r="H40" s="26" t="e">
        <f t="shared" si="9"/>
        <v>#REF!</v>
      </c>
      <c r="I40" s="26" t="e">
        <f t="shared" si="10"/>
        <v>#REF!</v>
      </c>
      <c r="J40" s="26" t="e">
        <f t="shared" si="11"/>
        <v>#REF!</v>
      </c>
      <c r="K40" s="29" t="e">
        <f t="shared" si="7"/>
        <v>#REF!</v>
      </c>
    </row>
    <row r="41" spans="2:11" ht="15.6" x14ac:dyDescent="0.35">
      <c r="B41" s="8">
        <v>2040</v>
      </c>
      <c r="C41" s="22"/>
      <c r="D41" s="26">
        <f t="shared" si="12"/>
        <v>21.051737045502296</v>
      </c>
      <c r="E41" s="26" t="e">
        <f>(Input!$C$11+Input!#REF!)/1000000</f>
        <v>#REF!</v>
      </c>
      <c r="F41" s="26" t="e">
        <f t="shared" si="13"/>
        <v>#REF!</v>
      </c>
      <c r="G41" s="27" t="e">
        <f t="shared" si="8"/>
        <v>#REF!</v>
      </c>
      <c r="H41" s="26" t="e">
        <f t="shared" si="9"/>
        <v>#REF!</v>
      </c>
      <c r="I41" s="26" t="e">
        <f t="shared" si="10"/>
        <v>#REF!</v>
      </c>
      <c r="J41" s="26" t="e">
        <f t="shared" si="11"/>
        <v>#REF!</v>
      </c>
      <c r="K41" s="29" t="e">
        <f t="shared" si="7"/>
        <v>#REF!</v>
      </c>
    </row>
    <row r="42" spans="2:11" ht="15.6" x14ac:dyDescent="0.35">
      <c r="B42" s="8">
        <v>2041</v>
      </c>
      <c r="C42" s="22"/>
      <c r="D42" s="26">
        <f t="shared" si="12"/>
        <v>20.841219675047274</v>
      </c>
      <c r="E42" s="26" t="e">
        <f>(Input!$C$11+Input!#REF!)/1000000</f>
        <v>#REF!</v>
      </c>
      <c r="F42" s="26" t="e">
        <f t="shared" si="13"/>
        <v>#REF!</v>
      </c>
      <c r="G42" s="27" t="e">
        <f t="shared" si="8"/>
        <v>#REF!</v>
      </c>
      <c r="H42" s="26" t="e">
        <f t="shared" si="9"/>
        <v>#REF!</v>
      </c>
      <c r="I42" s="26" t="e">
        <f t="shared" si="10"/>
        <v>#REF!</v>
      </c>
      <c r="J42" s="26" t="e">
        <f t="shared" si="11"/>
        <v>#REF!</v>
      </c>
      <c r="K42" s="29" t="e">
        <f t="shared" si="7"/>
        <v>#REF!</v>
      </c>
    </row>
    <row r="43" spans="2:11" ht="15.6" x14ac:dyDescent="0.35">
      <c r="B43" s="8">
        <v>2042</v>
      </c>
      <c r="C43" s="22"/>
      <c r="D43" s="26">
        <f t="shared" si="12"/>
        <v>20.632807478296801</v>
      </c>
      <c r="E43" s="26" t="e">
        <f>(Input!$C$11+Input!#REF!)/1000000</f>
        <v>#REF!</v>
      </c>
      <c r="F43" s="26" t="e">
        <f t="shared" si="13"/>
        <v>#REF!</v>
      </c>
      <c r="G43" s="27" t="e">
        <f t="shared" si="8"/>
        <v>#REF!</v>
      </c>
      <c r="H43" s="26" t="e">
        <f t="shared" si="9"/>
        <v>#REF!</v>
      </c>
      <c r="I43" s="26" t="e">
        <f t="shared" si="10"/>
        <v>#REF!</v>
      </c>
      <c r="J43" s="26" t="e">
        <f t="shared" si="11"/>
        <v>#REF!</v>
      </c>
      <c r="K43" s="29" t="e">
        <f t="shared" si="7"/>
        <v>#REF!</v>
      </c>
    </row>
    <row r="44" spans="2:11" ht="15.6" x14ac:dyDescent="0.35">
      <c r="B44" s="8">
        <v>2043</v>
      </c>
      <c r="C44" s="22"/>
      <c r="D44" s="26">
        <f t="shared" si="12"/>
        <v>20.426479403513834</v>
      </c>
      <c r="E44" s="26" t="e">
        <f>(Input!$C$11+Input!#REF!)/1000000</f>
        <v>#REF!</v>
      </c>
      <c r="F44" s="26" t="e">
        <f t="shared" si="13"/>
        <v>#REF!</v>
      </c>
      <c r="G44" s="27" t="e">
        <f t="shared" si="8"/>
        <v>#REF!</v>
      </c>
      <c r="H44" s="26" t="e">
        <f t="shared" si="9"/>
        <v>#REF!</v>
      </c>
      <c r="I44" s="26" t="e">
        <f t="shared" si="10"/>
        <v>#REF!</v>
      </c>
      <c r="J44" s="26" t="e">
        <f t="shared" si="11"/>
        <v>#REF!</v>
      </c>
      <c r="K44" s="29" t="e">
        <f t="shared" si="7"/>
        <v>#REF!</v>
      </c>
    </row>
    <row r="45" spans="2:11" ht="15.6" x14ac:dyDescent="0.35">
      <c r="B45" s="8">
        <v>2044</v>
      </c>
      <c r="C45" s="22"/>
      <c r="D45" s="26">
        <f t="shared" si="12"/>
        <v>20.222214609478694</v>
      </c>
      <c r="E45" s="26" t="e">
        <f>(Input!$C$11+Input!#REF!)/1000000</f>
        <v>#REF!</v>
      </c>
      <c r="F45" s="26" t="e">
        <f t="shared" si="13"/>
        <v>#REF!</v>
      </c>
      <c r="G45" s="27" t="e">
        <f t="shared" si="8"/>
        <v>#REF!</v>
      </c>
      <c r="H45" s="26" t="e">
        <f t="shared" si="9"/>
        <v>#REF!</v>
      </c>
      <c r="I45" s="26" t="e">
        <f t="shared" si="10"/>
        <v>#REF!</v>
      </c>
      <c r="J45" s="26" t="e">
        <f t="shared" si="11"/>
        <v>#REF!</v>
      </c>
      <c r="K45" s="29" t="e">
        <f t="shared" si="7"/>
        <v>#REF!</v>
      </c>
    </row>
    <row r="46" spans="2:11" ht="15.6" x14ac:dyDescent="0.35">
      <c r="B46" s="8">
        <v>2045</v>
      </c>
      <c r="C46" s="22"/>
      <c r="D46" s="26">
        <f t="shared" si="12"/>
        <v>20.019992463383907</v>
      </c>
      <c r="E46" s="26" t="e">
        <f>(Input!$C$11+Input!#REF!)/1000000</f>
        <v>#REF!</v>
      </c>
      <c r="F46" s="26" t="e">
        <f t="shared" si="13"/>
        <v>#REF!</v>
      </c>
      <c r="G46" s="27" t="e">
        <f t="shared" si="8"/>
        <v>#REF!</v>
      </c>
      <c r="H46" s="26" t="e">
        <f t="shared" si="9"/>
        <v>#REF!</v>
      </c>
      <c r="I46" s="26" t="e">
        <f t="shared" si="10"/>
        <v>#REF!</v>
      </c>
      <c r="J46" s="26" t="e">
        <f t="shared" si="11"/>
        <v>#REF!</v>
      </c>
      <c r="K46" s="29" t="e">
        <f t="shared" si="7"/>
        <v>#REF!</v>
      </c>
    </row>
    <row r="47" spans="2:11" ht="16.2" thickBot="1" x14ac:dyDescent="0.4">
      <c r="B47" s="10"/>
      <c r="C47" s="11"/>
      <c r="D47" s="12"/>
      <c r="E47" s="12"/>
      <c r="F47" s="12"/>
      <c r="G47" s="12"/>
      <c r="H47" s="12"/>
      <c r="I47" s="13"/>
      <c r="J47" s="56" t="s">
        <v>10</v>
      </c>
      <c r="K47" s="57" t="e">
        <f>IRR(K26:K46)</f>
        <v>#VALUE!</v>
      </c>
    </row>
    <row r="48" spans="2:11" ht="16.2" thickBot="1" x14ac:dyDescent="0.4">
      <c r="B48" s="10"/>
      <c r="C48" s="11"/>
      <c r="D48" s="12"/>
      <c r="E48" s="12"/>
      <c r="F48" s="12"/>
      <c r="G48" s="12"/>
      <c r="H48" s="12"/>
      <c r="I48" s="12"/>
      <c r="J48" s="73"/>
      <c r="K48" s="74"/>
    </row>
    <row r="49" spans="1:11" ht="52.8" thickBot="1" x14ac:dyDescent="0.35">
      <c r="A49" s="68" t="s">
        <v>56</v>
      </c>
      <c r="B49" s="1" t="s">
        <v>0</v>
      </c>
      <c r="C49" s="2" t="s">
        <v>1</v>
      </c>
      <c r="D49" s="3" t="s">
        <v>2</v>
      </c>
      <c r="E49" s="3" t="s">
        <v>3</v>
      </c>
      <c r="F49" s="4" t="s">
        <v>4</v>
      </c>
      <c r="G49" s="3" t="s">
        <v>5</v>
      </c>
      <c r="H49" s="3" t="s">
        <v>6</v>
      </c>
      <c r="I49" s="3" t="s">
        <v>7</v>
      </c>
      <c r="J49" s="3" t="s">
        <v>8</v>
      </c>
      <c r="K49" s="5" t="s">
        <v>9</v>
      </c>
    </row>
    <row r="50" spans="1:11" ht="15.6" x14ac:dyDescent="0.35">
      <c r="B50" s="6">
        <v>2025</v>
      </c>
      <c r="C50" s="23">
        <f>-(Input!$C$7+Input!$C$8)/1000000</f>
        <v>-41.082209880000001</v>
      </c>
      <c r="D50" s="25">
        <v>0</v>
      </c>
      <c r="E50" s="25">
        <v>0</v>
      </c>
      <c r="F50" s="25">
        <v>0</v>
      </c>
      <c r="G50" s="28">
        <v>0</v>
      </c>
      <c r="H50" s="25">
        <v>0</v>
      </c>
      <c r="I50" s="25">
        <f>IF(H50&gt;0,H50*0.22,0)</f>
        <v>0</v>
      </c>
      <c r="J50" s="25">
        <v>0</v>
      </c>
      <c r="K50" s="30">
        <f>J50+G50+C50</f>
        <v>-41.082209880000001</v>
      </c>
    </row>
    <row r="51" spans="1:11" ht="15.6" x14ac:dyDescent="0.35">
      <c r="B51" s="8">
        <v>2026</v>
      </c>
      <c r="C51" s="24"/>
      <c r="D51" s="26">
        <f>(Input!$C$14+Input!$C$15)*(Input!$C$21/1000000)</f>
        <v>3.9722634000000001</v>
      </c>
      <c r="E51" s="26">
        <f>(Input!$C$11+Input!$C$12)/1000000</f>
        <v>0.81351121999999998</v>
      </c>
      <c r="F51" s="26">
        <f>D51-E51</f>
        <v>3.15875218</v>
      </c>
      <c r="G51" s="27">
        <f>-SUM($C$49:$C$70)/20</f>
        <v>2.0541104940000001</v>
      </c>
      <c r="H51" s="26">
        <f>F51-G51</f>
        <v>1.1046416859999999</v>
      </c>
      <c r="I51" s="26">
        <f>IF(H51&gt;0,H51*0.22,0)</f>
        <v>0.24302117091999997</v>
      </c>
      <c r="J51" s="26">
        <f>H51-I51</f>
        <v>0.86162051507999993</v>
      </c>
      <c r="K51" s="29">
        <f t="shared" ref="K51:K70" si="14">J51+G51+C51</f>
        <v>2.9157310090799999</v>
      </c>
    </row>
    <row r="52" spans="1:11" ht="15.6" x14ac:dyDescent="0.35">
      <c r="B52" s="8">
        <v>2027</v>
      </c>
      <c r="C52" s="24"/>
      <c r="D52" s="26">
        <f>D51*(1-0.01)</f>
        <v>3.9325407660000002</v>
      </c>
      <c r="E52" s="26">
        <f>(Input!$C$11+Input!$C$12)/1000000</f>
        <v>0.81351121999999998</v>
      </c>
      <c r="F52" s="26">
        <f>D52-E52</f>
        <v>3.1190295460000002</v>
      </c>
      <c r="G52" s="27">
        <f>-SUM($C$50:$C$70)/20</f>
        <v>2.0541104940000001</v>
      </c>
      <c r="H52" s="26">
        <f t="shared" ref="H52:H70" si="15">F52-G52</f>
        <v>1.064919052</v>
      </c>
      <c r="I52" s="26">
        <f t="shared" ref="I52:I70" si="16">IF(H52&gt;0,H52*0.22,0)</f>
        <v>0.23428219144000001</v>
      </c>
      <c r="J52" s="26">
        <f t="shared" ref="J52:J70" si="17">H52-I52</f>
        <v>0.83063686056000008</v>
      </c>
      <c r="K52" s="29">
        <f t="shared" si="14"/>
        <v>2.88474735456</v>
      </c>
    </row>
    <row r="53" spans="1:11" ht="15.6" x14ac:dyDescent="0.35">
      <c r="B53" s="8">
        <v>2028</v>
      </c>
      <c r="C53" s="24"/>
      <c r="D53" s="26">
        <f t="shared" ref="D53:D70" si="18">D52*(1-0.01)</f>
        <v>3.89321535834</v>
      </c>
      <c r="E53" s="26">
        <f>(Input!$C$11+Input!$C$12)/1000000</f>
        <v>0.81351121999999998</v>
      </c>
      <c r="F53" s="26">
        <f t="shared" ref="F53:F70" si="19">D53-E53</f>
        <v>3.0797041383399999</v>
      </c>
      <c r="G53" s="27">
        <f t="shared" ref="G53:G70" si="20">-SUM($C$50:$C$70)/20</f>
        <v>2.0541104940000001</v>
      </c>
      <c r="H53" s="26">
        <f t="shared" si="15"/>
        <v>1.0255936443399998</v>
      </c>
      <c r="I53" s="26">
        <f t="shared" si="16"/>
        <v>0.22563060175479996</v>
      </c>
      <c r="J53" s="26">
        <f t="shared" si="17"/>
        <v>0.79996304258519979</v>
      </c>
      <c r="K53" s="29">
        <f t="shared" si="14"/>
        <v>2.8540735365851999</v>
      </c>
    </row>
    <row r="54" spans="1:11" ht="15.6" x14ac:dyDescent="0.35">
      <c r="B54" s="8">
        <v>2029</v>
      </c>
      <c r="C54" s="24"/>
      <c r="D54" s="26">
        <f t="shared" si="18"/>
        <v>3.8542832047565998</v>
      </c>
      <c r="E54" s="26">
        <f>(Input!$C$11+Input!$C$12)/1000000</f>
        <v>0.81351121999999998</v>
      </c>
      <c r="F54" s="26">
        <f t="shared" si="19"/>
        <v>3.0407719847565997</v>
      </c>
      <c r="G54" s="27">
        <f t="shared" si="20"/>
        <v>2.0541104940000001</v>
      </c>
      <c r="H54" s="26">
        <f t="shared" si="15"/>
        <v>0.98666149075659959</v>
      </c>
      <c r="I54" s="26">
        <f t="shared" si="16"/>
        <v>0.2170655279664519</v>
      </c>
      <c r="J54" s="26">
        <f t="shared" si="17"/>
        <v>0.76959596279014764</v>
      </c>
      <c r="K54" s="29">
        <f t="shared" si="14"/>
        <v>2.8237064567901475</v>
      </c>
    </row>
    <row r="55" spans="1:11" ht="15.6" x14ac:dyDescent="0.35">
      <c r="B55" s="8">
        <v>2030</v>
      </c>
      <c r="C55" s="24"/>
      <c r="D55" s="26">
        <f t="shared" si="18"/>
        <v>3.8157403727090338</v>
      </c>
      <c r="E55" s="26">
        <f>(Input!$C$11+Input!$C$12)/1000000</f>
        <v>0.81351121999999998</v>
      </c>
      <c r="F55" s="26">
        <f t="shared" si="19"/>
        <v>3.0022291527090337</v>
      </c>
      <c r="G55" s="27">
        <f t="shared" si="20"/>
        <v>2.0541104940000001</v>
      </c>
      <c r="H55" s="26">
        <f t="shared" si="15"/>
        <v>0.94811865870903356</v>
      </c>
      <c r="I55" s="26">
        <f t="shared" si="16"/>
        <v>0.20858610491598739</v>
      </c>
      <c r="J55" s="26">
        <f t="shared" si="17"/>
        <v>0.73953255379304617</v>
      </c>
      <c r="K55" s="29">
        <f t="shared" si="14"/>
        <v>2.7936430477930463</v>
      </c>
    </row>
    <row r="56" spans="1:11" ht="15.6" x14ac:dyDescent="0.35">
      <c r="B56" s="8">
        <v>2031</v>
      </c>
      <c r="C56" s="24"/>
      <c r="D56" s="26">
        <f t="shared" si="18"/>
        <v>3.7775829689819433</v>
      </c>
      <c r="E56" s="26">
        <f>(Input!$C$11+Input!$C$12)/1000000</f>
        <v>0.81351121999999998</v>
      </c>
      <c r="F56" s="26">
        <f t="shared" si="19"/>
        <v>2.9640717489819433</v>
      </c>
      <c r="G56" s="27">
        <f t="shared" si="20"/>
        <v>2.0541104940000001</v>
      </c>
      <c r="H56" s="26">
        <f t="shared" si="15"/>
        <v>0.90996125498194314</v>
      </c>
      <c r="I56" s="26">
        <f t="shared" si="16"/>
        <v>0.2001914760960275</v>
      </c>
      <c r="J56" s="26">
        <f t="shared" si="17"/>
        <v>0.70976977888591564</v>
      </c>
      <c r="K56" s="29">
        <f t="shared" si="14"/>
        <v>2.763880272885916</v>
      </c>
    </row>
    <row r="57" spans="1:11" ht="15.6" x14ac:dyDescent="0.35">
      <c r="B57" s="8">
        <v>2032</v>
      </c>
      <c r="C57" s="24"/>
      <c r="D57" s="26">
        <f t="shared" si="18"/>
        <v>3.7398071392921239</v>
      </c>
      <c r="E57" s="26">
        <f>(Input!$C$11+Input!$C$12)/1000000</f>
        <v>0.81351121999999998</v>
      </c>
      <c r="F57" s="26">
        <f t="shared" si="19"/>
        <v>2.9262959192921238</v>
      </c>
      <c r="G57" s="27">
        <f t="shared" si="20"/>
        <v>2.0541104940000001</v>
      </c>
      <c r="H57" s="26">
        <f t="shared" si="15"/>
        <v>0.87218542529212373</v>
      </c>
      <c r="I57" s="26">
        <f t="shared" si="16"/>
        <v>0.19188079356426721</v>
      </c>
      <c r="J57" s="26">
        <f t="shared" si="17"/>
        <v>0.68030463172785649</v>
      </c>
      <c r="K57" s="29">
        <f t="shared" si="14"/>
        <v>2.7344151257278568</v>
      </c>
    </row>
    <row r="58" spans="1:11" ht="15.6" x14ac:dyDescent="0.35">
      <c r="B58" s="8">
        <v>2033</v>
      </c>
      <c r="C58" s="24"/>
      <c r="D58" s="26">
        <f t="shared" si="18"/>
        <v>3.7024090678992025</v>
      </c>
      <c r="E58" s="26">
        <f>(Input!$C$11+Input!$C$12)/1000000</f>
        <v>0.81351121999999998</v>
      </c>
      <c r="F58" s="26">
        <f t="shared" si="19"/>
        <v>2.8888978478992025</v>
      </c>
      <c r="G58" s="27">
        <f t="shared" si="20"/>
        <v>2.0541104940000001</v>
      </c>
      <c r="H58" s="26">
        <f t="shared" si="15"/>
        <v>0.83478735389920233</v>
      </c>
      <c r="I58" s="26">
        <f t="shared" si="16"/>
        <v>0.18365321785782451</v>
      </c>
      <c r="J58" s="26">
        <f t="shared" si="17"/>
        <v>0.65113413604137782</v>
      </c>
      <c r="K58" s="29">
        <f t="shared" si="14"/>
        <v>2.7052446300413777</v>
      </c>
    </row>
    <row r="59" spans="1:11" ht="15.6" x14ac:dyDescent="0.35">
      <c r="B59" s="8">
        <v>2034</v>
      </c>
      <c r="C59" s="24"/>
      <c r="D59" s="26">
        <f t="shared" si="18"/>
        <v>3.6653849772202105</v>
      </c>
      <c r="E59" s="26">
        <f>(Input!$C$11+Input!$C$12)/1000000</f>
        <v>0.81351121999999998</v>
      </c>
      <c r="F59" s="26">
        <f t="shared" si="19"/>
        <v>2.8518737572202104</v>
      </c>
      <c r="G59" s="27">
        <f t="shared" si="20"/>
        <v>2.0541104940000001</v>
      </c>
      <c r="H59" s="26">
        <f t="shared" si="15"/>
        <v>0.79776326322021029</v>
      </c>
      <c r="I59" s="26">
        <f t="shared" si="16"/>
        <v>0.17550791790844628</v>
      </c>
      <c r="J59" s="26">
        <f t="shared" si="17"/>
        <v>0.62225534531176407</v>
      </c>
      <c r="K59" s="29">
        <f t="shared" si="14"/>
        <v>2.6763658393117642</v>
      </c>
    </row>
    <row r="60" spans="1:11" ht="15.6" x14ac:dyDescent="0.35">
      <c r="B60" s="8">
        <v>2035</v>
      </c>
      <c r="C60" s="24"/>
      <c r="D60" s="26">
        <f t="shared" si="18"/>
        <v>3.6287311274480083</v>
      </c>
      <c r="E60" s="26">
        <f>(Input!$C$11+Input!$C$12)/1000000</f>
        <v>0.81351121999999998</v>
      </c>
      <c r="F60" s="26">
        <f t="shared" si="19"/>
        <v>2.8152199074480082</v>
      </c>
      <c r="G60" s="27">
        <f t="shared" si="20"/>
        <v>2.0541104940000001</v>
      </c>
      <c r="H60" s="26">
        <f t="shared" si="15"/>
        <v>0.76110941344800809</v>
      </c>
      <c r="I60" s="26">
        <f t="shared" si="16"/>
        <v>0.16744407095856179</v>
      </c>
      <c r="J60" s="26">
        <f t="shared" si="17"/>
        <v>0.59366534248944625</v>
      </c>
      <c r="K60" s="29">
        <f t="shared" si="14"/>
        <v>2.6477758364894464</v>
      </c>
    </row>
    <row r="61" spans="1:11" ht="15.6" x14ac:dyDescent="0.35">
      <c r="B61" s="8">
        <v>2036</v>
      </c>
      <c r="C61" s="24"/>
      <c r="D61" s="26">
        <f t="shared" si="18"/>
        <v>3.5924438161735281</v>
      </c>
      <c r="E61" s="26">
        <f>(Input!$C$11+Input!$C$12)/1000000</f>
        <v>0.81351121999999998</v>
      </c>
      <c r="F61" s="26">
        <f t="shared" si="19"/>
        <v>2.7789325961735281</v>
      </c>
      <c r="G61" s="27">
        <f t="shared" si="20"/>
        <v>2.0541104940000001</v>
      </c>
      <c r="H61" s="26">
        <f t="shared" si="15"/>
        <v>0.72482210217352794</v>
      </c>
      <c r="I61" s="26">
        <f t="shared" si="16"/>
        <v>0.15946086247817615</v>
      </c>
      <c r="J61" s="26">
        <f t="shared" si="17"/>
        <v>0.56536123969535179</v>
      </c>
      <c r="K61" s="29">
        <f t="shared" si="14"/>
        <v>2.6194717336953519</v>
      </c>
    </row>
    <row r="62" spans="1:11" ht="15.6" x14ac:dyDescent="0.35">
      <c r="B62" s="8">
        <v>2037</v>
      </c>
      <c r="C62" s="24"/>
      <c r="D62" s="26">
        <f t="shared" si="18"/>
        <v>3.5565193780117927</v>
      </c>
      <c r="E62" s="26">
        <f>(Input!$C$11+Input!$C$12)/1000000</f>
        <v>0.81351121999999998</v>
      </c>
      <c r="F62" s="26">
        <f t="shared" si="19"/>
        <v>2.7430081580117927</v>
      </c>
      <c r="G62" s="27">
        <f t="shared" si="20"/>
        <v>2.0541104940000001</v>
      </c>
      <c r="H62" s="26">
        <f t="shared" si="15"/>
        <v>0.68889766401179253</v>
      </c>
      <c r="I62" s="26">
        <f t="shared" si="16"/>
        <v>0.15155748608259437</v>
      </c>
      <c r="J62" s="26">
        <f t="shared" si="17"/>
        <v>0.53734017792919819</v>
      </c>
      <c r="K62" s="29">
        <f t="shared" si="14"/>
        <v>2.5914506719291985</v>
      </c>
    </row>
    <row r="63" spans="1:11" ht="15.6" x14ac:dyDescent="0.35">
      <c r="B63" s="8">
        <v>2038</v>
      </c>
      <c r="C63" s="24"/>
      <c r="D63" s="26">
        <f t="shared" si="18"/>
        <v>3.5209541842316749</v>
      </c>
      <c r="E63" s="26">
        <f>(Input!$C$11+Input!$C$12)/1000000</f>
        <v>0.81351121999999998</v>
      </c>
      <c r="F63" s="26">
        <f t="shared" si="19"/>
        <v>2.7074429642316749</v>
      </c>
      <c r="G63" s="27">
        <f t="shared" si="20"/>
        <v>2.0541104940000001</v>
      </c>
      <c r="H63" s="26">
        <f t="shared" si="15"/>
        <v>0.65333247023167473</v>
      </c>
      <c r="I63" s="26">
        <f t="shared" si="16"/>
        <v>0.14373314345096844</v>
      </c>
      <c r="J63" s="26">
        <f t="shared" si="17"/>
        <v>0.5095993267807063</v>
      </c>
      <c r="K63" s="29">
        <f t="shared" si="14"/>
        <v>2.5637098207807063</v>
      </c>
    </row>
    <row r="64" spans="1:11" ht="15.6" x14ac:dyDescent="0.35">
      <c r="B64" s="8">
        <v>2039</v>
      </c>
      <c r="C64" s="24"/>
      <c r="D64" s="26">
        <f t="shared" si="18"/>
        <v>3.4857446423893581</v>
      </c>
      <c r="E64" s="26">
        <f>(Input!$C$11+Input!$C$12)/1000000</f>
        <v>0.81351121999999998</v>
      </c>
      <c r="F64" s="26">
        <f t="shared" si="19"/>
        <v>2.672233422389358</v>
      </c>
      <c r="G64" s="27">
        <f t="shared" si="20"/>
        <v>2.0541104940000001</v>
      </c>
      <c r="H64" s="26">
        <f t="shared" si="15"/>
        <v>0.6181229283893579</v>
      </c>
      <c r="I64" s="26">
        <f t="shared" si="16"/>
        <v>0.13598704424565874</v>
      </c>
      <c r="J64" s="26">
        <f t="shared" si="17"/>
        <v>0.48213588414369912</v>
      </c>
      <c r="K64" s="29">
        <f t="shared" si="14"/>
        <v>2.5362463781436992</v>
      </c>
    </row>
    <row r="65" spans="2:11" ht="15.6" x14ac:dyDescent="0.35">
      <c r="B65" s="8">
        <v>2040</v>
      </c>
      <c r="C65" s="22"/>
      <c r="D65" s="26">
        <f t="shared" si="18"/>
        <v>3.4508871959654646</v>
      </c>
      <c r="E65" s="26">
        <f>(Input!$C$11+Input!$C$12)/1000000</f>
        <v>0.81351121999999998</v>
      </c>
      <c r="F65" s="26">
        <f t="shared" si="19"/>
        <v>2.6373759759654645</v>
      </c>
      <c r="G65" s="27">
        <f t="shared" si="20"/>
        <v>2.0541104940000001</v>
      </c>
      <c r="H65" s="26">
        <f t="shared" si="15"/>
        <v>0.58326548196546435</v>
      </c>
      <c r="I65" s="26">
        <f t="shared" si="16"/>
        <v>0.12831840603240216</v>
      </c>
      <c r="J65" s="26">
        <f t="shared" si="17"/>
        <v>0.45494707593306216</v>
      </c>
      <c r="K65" s="29">
        <f t="shared" si="14"/>
        <v>2.5090575699330624</v>
      </c>
    </row>
    <row r="66" spans="2:11" ht="15.6" x14ac:dyDescent="0.35">
      <c r="B66" s="8">
        <v>2041</v>
      </c>
      <c r="C66" s="22"/>
      <c r="D66" s="26">
        <f t="shared" si="18"/>
        <v>3.4163783240058101</v>
      </c>
      <c r="E66" s="26">
        <f>(Input!$C$11+Input!$C$12)/1000000</f>
        <v>0.81351121999999998</v>
      </c>
      <c r="F66" s="26">
        <f t="shared" si="19"/>
        <v>2.60286710400581</v>
      </c>
      <c r="G66" s="27">
        <f t="shared" si="20"/>
        <v>2.0541104940000001</v>
      </c>
      <c r="H66" s="26">
        <f t="shared" si="15"/>
        <v>0.54875661000580989</v>
      </c>
      <c r="I66" s="26">
        <f t="shared" si="16"/>
        <v>0.12072645420127817</v>
      </c>
      <c r="J66" s="26">
        <f t="shared" si="17"/>
        <v>0.42803015580453174</v>
      </c>
      <c r="K66" s="29">
        <f t="shared" si="14"/>
        <v>2.4821406498045318</v>
      </c>
    </row>
    <row r="67" spans="2:11" ht="15.6" x14ac:dyDescent="0.35">
      <c r="B67" s="8">
        <v>2042</v>
      </c>
      <c r="C67" s="22"/>
      <c r="D67" s="26">
        <f t="shared" si="18"/>
        <v>3.382214540765752</v>
      </c>
      <c r="E67" s="26">
        <f>(Input!$C$11+Input!$C$12)/1000000</f>
        <v>0.81351121999999998</v>
      </c>
      <c r="F67" s="26">
        <f t="shared" si="19"/>
        <v>2.5687033207657519</v>
      </c>
      <c r="G67" s="27">
        <f t="shared" si="20"/>
        <v>2.0541104940000001</v>
      </c>
      <c r="H67" s="26">
        <f t="shared" si="15"/>
        <v>0.5145928267657518</v>
      </c>
      <c r="I67" s="26">
        <f t="shared" si="16"/>
        <v>0.11321042188846539</v>
      </c>
      <c r="J67" s="26">
        <f t="shared" si="17"/>
        <v>0.40138240487728638</v>
      </c>
      <c r="K67" s="29">
        <f t="shared" si="14"/>
        <v>2.4554928988772864</v>
      </c>
    </row>
    <row r="68" spans="2:11" ht="15.6" x14ac:dyDescent="0.35">
      <c r="B68" s="8">
        <v>2043</v>
      </c>
      <c r="C68" s="22"/>
      <c r="D68" s="26">
        <f t="shared" si="18"/>
        <v>3.3483923953580943</v>
      </c>
      <c r="E68" s="26">
        <f>(Input!$C$11+Input!$C$12)/1000000</f>
        <v>0.81351121999999998</v>
      </c>
      <c r="F68" s="26">
        <f t="shared" si="19"/>
        <v>2.5348811753580942</v>
      </c>
      <c r="G68" s="27">
        <f t="shared" si="20"/>
        <v>2.0541104940000001</v>
      </c>
      <c r="H68" s="26">
        <f t="shared" si="15"/>
        <v>0.48077068135809409</v>
      </c>
      <c r="I68" s="26">
        <f t="shared" si="16"/>
        <v>0.10576954989878069</v>
      </c>
      <c r="J68" s="26">
        <f t="shared" si="17"/>
        <v>0.37500113145931341</v>
      </c>
      <c r="K68" s="29">
        <f t="shared" si="14"/>
        <v>2.4291116254593135</v>
      </c>
    </row>
    <row r="69" spans="2:11" ht="15.6" x14ac:dyDescent="0.35">
      <c r="B69" s="8">
        <v>2044</v>
      </c>
      <c r="C69" s="22"/>
      <c r="D69" s="26">
        <f t="shared" si="18"/>
        <v>3.3149084714045132</v>
      </c>
      <c r="E69" s="26">
        <f>(Input!$C$11+Input!$C$12)/1000000</f>
        <v>0.81351121999999998</v>
      </c>
      <c r="F69" s="26">
        <f t="shared" si="19"/>
        <v>2.5013972514045131</v>
      </c>
      <c r="G69" s="27">
        <f t="shared" si="20"/>
        <v>2.0541104940000001</v>
      </c>
      <c r="H69" s="26">
        <f t="shared" si="15"/>
        <v>0.44728675740451296</v>
      </c>
      <c r="I69" s="26">
        <f t="shared" si="16"/>
        <v>9.8403086628992845E-2</v>
      </c>
      <c r="J69" s="26">
        <f t="shared" si="17"/>
        <v>0.34888367077552013</v>
      </c>
      <c r="K69" s="29">
        <f t="shared" si="14"/>
        <v>2.4029941647755204</v>
      </c>
    </row>
    <row r="70" spans="2:11" ht="15.6" x14ac:dyDescent="0.35">
      <c r="B70" s="8">
        <v>2045</v>
      </c>
      <c r="C70" s="22"/>
      <c r="D70" s="26">
        <f t="shared" si="18"/>
        <v>3.2817593866904682</v>
      </c>
      <c r="E70" s="26">
        <f>(Input!$C$11+Input!$C$12)/1000000</f>
        <v>0.81351121999999998</v>
      </c>
      <c r="F70" s="26">
        <f t="shared" si="19"/>
        <v>2.4682481666904681</v>
      </c>
      <c r="G70" s="27">
        <f t="shared" si="20"/>
        <v>2.0541104940000001</v>
      </c>
      <c r="H70" s="26">
        <f t="shared" si="15"/>
        <v>0.41413767269046797</v>
      </c>
      <c r="I70" s="26">
        <f t="shared" si="16"/>
        <v>9.1110287991902961E-2</v>
      </c>
      <c r="J70" s="26">
        <f t="shared" si="17"/>
        <v>0.32302738469856501</v>
      </c>
      <c r="K70" s="29">
        <f t="shared" si="14"/>
        <v>2.3771378786985653</v>
      </c>
    </row>
    <row r="71" spans="2:11" ht="16.2" thickBot="1" x14ac:dyDescent="0.4">
      <c r="B71" s="10"/>
      <c r="C71" s="11"/>
      <c r="D71" s="12"/>
      <c r="E71" s="12"/>
      <c r="F71" s="12"/>
      <c r="G71" s="12"/>
      <c r="H71" s="12"/>
      <c r="I71" s="13"/>
      <c r="J71" s="56" t="s">
        <v>10</v>
      </c>
      <c r="K71" s="57">
        <f>IRR(K50:K70)</f>
        <v>2.6090050995557279E-2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F444-398A-41D3-A4A0-BD66A0FBF2F0}">
  <dimension ref="A1:T47"/>
  <sheetViews>
    <sheetView zoomScale="85" zoomScaleNormal="85" workbookViewId="0">
      <selection activeCell="P48" sqref="P48"/>
    </sheetView>
  </sheetViews>
  <sheetFormatPr defaultRowHeight="14.4" x14ac:dyDescent="0.3"/>
  <cols>
    <col min="2" max="2" width="13.44140625" bestFit="1" customWidth="1"/>
    <col min="3" max="10" width="13.5546875" customWidth="1"/>
    <col min="11" max="11" width="17.5546875" customWidth="1"/>
    <col min="12" max="12" width="13.5546875" customWidth="1"/>
    <col min="13" max="14" width="7.88671875" customWidth="1"/>
    <col min="15" max="15" width="16" bestFit="1" customWidth="1"/>
    <col min="16" max="16" width="26.88671875" bestFit="1" customWidth="1"/>
    <col min="18" max="18" width="15.6640625" bestFit="1" customWidth="1"/>
  </cols>
  <sheetData>
    <row r="1" spans="1:20" ht="52.8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15</v>
      </c>
      <c r="H1" s="3" t="s">
        <v>6</v>
      </c>
      <c r="I1" s="3" t="s">
        <v>7</v>
      </c>
      <c r="J1" s="3" t="s">
        <v>8</v>
      </c>
      <c r="K1" s="15" t="str">
        <f>P1</f>
        <v>Δόση αποπληρωμής δανείου (Μ€)</v>
      </c>
      <c r="L1" s="5" t="s">
        <v>9</v>
      </c>
      <c r="M1" s="3" t="s">
        <v>47</v>
      </c>
      <c r="N1" s="62"/>
      <c r="O1" s="2" t="s">
        <v>11</v>
      </c>
      <c r="P1" s="3" t="s">
        <v>12</v>
      </c>
      <c r="Q1" s="3" t="s">
        <v>13</v>
      </c>
      <c r="R1" s="16" t="s">
        <v>14</v>
      </c>
    </row>
    <row r="2" spans="1:20" ht="15.6" x14ac:dyDescent="0.35">
      <c r="A2" s="6">
        <v>2023</v>
      </c>
      <c r="B2" s="7">
        <f>'Project IRR'!C2*(1-Input!$C$23)</f>
        <v>-6.4780299999999986</v>
      </c>
      <c r="C2" s="25">
        <f>'Project IRR'!D2</f>
        <v>0</v>
      </c>
      <c r="D2" s="25">
        <f>'Project IRR'!E2</f>
        <v>0</v>
      </c>
      <c r="E2" s="25">
        <f>'Project IRR'!F2</f>
        <v>0</v>
      </c>
      <c r="F2" s="25">
        <f>'Project IRR'!G2</f>
        <v>0</v>
      </c>
      <c r="G2" s="28">
        <f t="shared" ref="G2:G22" si="0">Q2</f>
        <v>0</v>
      </c>
      <c r="H2" s="25">
        <f>E2-F2-G2</f>
        <v>0</v>
      </c>
      <c r="I2" s="25">
        <f>IF(H2&lt;0,0,Input!$C$27*H2)</f>
        <v>0</v>
      </c>
      <c r="J2" s="28">
        <f>H2-I2</f>
        <v>0</v>
      </c>
      <c r="K2" s="28">
        <f t="shared" ref="K2:K22" si="1">-P2</f>
        <v>0</v>
      </c>
      <c r="L2" s="30">
        <f t="shared" ref="L2:L22" si="2">J2+F2+B2+K2</f>
        <v>-6.4780299999999986</v>
      </c>
      <c r="M2" s="32"/>
      <c r="O2" s="17">
        <f>Input!$C$6*Input!$C$23/1000000</f>
        <v>0</v>
      </c>
      <c r="P2" s="18"/>
      <c r="Q2" s="18"/>
      <c r="R2" s="19">
        <f>O2-P2</f>
        <v>0</v>
      </c>
      <c r="T2" s="14"/>
    </row>
    <row r="3" spans="1:20" ht="15.6" x14ac:dyDescent="0.35">
      <c r="A3" s="8">
        <v>2024</v>
      </c>
      <c r="B3" s="9"/>
      <c r="C3" s="26">
        <f>'Project IRR'!D3</f>
        <v>3.6093600000000001</v>
      </c>
      <c r="D3" s="26">
        <f>'Project IRR'!E3</f>
        <v>0.63043700000000003</v>
      </c>
      <c r="E3" s="26">
        <f>'Project IRR'!F3</f>
        <v>2.978923</v>
      </c>
      <c r="F3" s="26">
        <f>'Project IRR'!G3</f>
        <v>1.6195074999999999</v>
      </c>
      <c r="G3" s="27">
        <f t="shared" si="0"/>
        <v>0</v>
      </c>
      <c r="H3" s="26">
        <f>E3-F3-G3</f>
        <v>1.3594155000000001</v>
      </c>
      <c r="I3" s="26">
        <f>IF(H3&lt;0,0,Input!$C$27*H3)</f>
        <v>0.29907141000000004</v>
      </c>
      <c r="J3" s="27">
        <f>H3-I3</f>
        <v>1.0603440900000001</v>
      </c>
      <c r="K3" s="27">
        <f t="shared" si="1"/>
        <v>0</v>
      </c>
      <c r="L3" s="29">
        <f t="shared" si="2"/>
        <v>2.6798515900000002</v>
      </c>
      <c r="M3" s="32" t="e">
        <f>E3/(G3-K3)</f>
        <v>#DIV/0!</v>
      </c>
      <c r="N3" s="32"/>
      <c r="O3" s="17">
        <f>R2</f>
        <v>0</v>
      </c>
      <c r="P3" s="18">
        <f>$O$2/18</f>
        <v>0</v>
      </c>
      <c r="Q3" s="18">
        <f>Input!$C$26*O3</f>
        <v>0</v>
      </c>
      <c r="R3" s="19">
        <f>O3-P3</f>
        <v>0</v>
      </c>
      <c r="T3" s="14"/>
    </row>
    <row r="4" spans="1:20" ht="15.6" x14ac:dyDescent="0.35">
      <c r="A4" s="8">
        <v>2025</v>
      </c>
      <c r="B4" s="9"/>
      <c r="C4" s="26">
        <f>'Project IRR'!D4</f>
        <v>3.5732664000000001</v>
      </c>
      <c r="D4" s="26">
        <f>'Project IRR'!E4</f>
        <v>0.63043700000000003</v>
      </c>
      <c r="E4" s="26">
        <f>'Project IRR'!F4</f>
        <v>2.9428293999999999</v>
      </c>
      <c r="F4" s="26">
        <f>'Project IRR'!G4</f>
        <v>1.6195074999999999</v>
      </c>
      <c r="G4" s="27">
        <f t="shared" si="0"/>
        <v>0</v>
      </c>
      <c r="H4" s="26">
        <f t="shared" ref="H4:H22" si="3">E4-F4-G4</f>
        <v>1.3233219000000001</v>
      </c>
      <c r="I4" s="26">
        <f>IF(H4&lt;0,0,Input!$C$27*H4)</f>
        <v>0.29113081800000001</v>
      </c>
      <c r="J4" s="27">
        <f t="shared" ref="J4:J22" si="4">H4-I4</f>
        <v>1.032191082</v>
      </c>
      <c r="K4" s="27">
        <f t="shared" si="1"/>
        <v>0</v>
      </c>
      <c r="L4" s="29">
        <f t="shared" si="2"/>
        <v>2.6516985819999999</v>
      </c>
      <c r="M4" s="32" t="e">
        <f t="shared" ref="M4:M20" si="5">E4/(G4-K4)</f>
        <v>#DIV/0!</v>
      </c>
      <c r="N4" s="32"/>
      <c r="O4" s="17">
        <f t="shared" ref="O4:O20" si="6">R3</f>
        <v>0</v>
      </c>
      <c r="P4" s="18">
        <f t="shared" ref="P4:P20" si="7">$O$2/18</f>
        <v>0</v>
      </c>
      <c r="Q4" s="18">
        <f>Input!$C$26*O4</f>
        <v>0</v>
      </c>
      <c r="R4" s="19">
        <f t="shared" ref="R4:R20" si="8">O4-P4</f>
        <v>0</v>
      </c>
      <c r="T4" s="14"/>
    </row>
    <row r="5" spans="1:20" ht="15.6" x14ac:dyDescent="0.35">
      <c r="A5" s="8">
        <v>2026</v>
      </c>
      <c r="B5" s="9"/>
      <c r="C5" s="26">
        <f>'Project IRR'!D5</f>
        <v>3.5375337359999999</v>
      </c>
      <c r="D5" s="26">
        <f>'Project IRR'!E5</f>
        <v>0.63043700000000003</v>
      </c>
      <c r="E5" s="26">
        <f>'Project IRR'!F5</f>
        <v>2.9070967359999997</v>
      </c>
      <c r="F5" s="26">
        <f>'Project IRR'!G5</f>
        <v>1.6195074999999999</v>
      </c>
      <c r="G5" s="27">
        <f t="shared" si="0"/>
        <v>0</v>
      </c>
      <c r="H5" s="26">
        <f t="shared" si="3"/>
        <v>1.2875892359999999</v>
      </c>
      <c r="I5" s="26">
        <f>IF(H5&lt;0,0,Input!$C$27*H5)</f>
        <v>0.28326963191999999</v>
      </c>
      <c r="J5" s="27">
        <f t="shared" si="4"/>
        <v>1.00431960408</v>
      </c>
      <c r="K5" s="27">
        <f t="shared" si="1"/>
        <v>0</v>
      </c>
      <c r="L5" s="29">
        <f t="shared" si="2"/>
        <v>2.6238271040800001</v>
      </c>
      <c r="M5" s="32" t="e">
        <f t="shared" si="5"/>
        <v>#DIV/0!</v>
      </c>
      <c r="N5" s="32"/>
      <c r="O5" s="17">
        <f t="shared" si="6"/>
        <v>0</v>
      </c>
      <c r="P5" s="18">
        <f t="shared" si="7"/>
        <v>0</v>
      </c>
      <c r="Q5" s="18">
        <f>Input!$C$26*O5</f>
        <v>0</v>
      </c>
      <c r="R5" s="19">
        <f t="shared" si="8"/>
        <v>0</v>
      </c>
      <c r="T5" s="14"/>
    </row>
    <row r="6" spans="1:20" ht="15.6" x14ac:dyDescent="0.35">
      <c r="A6" s="8">
        <v>2027</v>
      </c>
      <c r="B6" s="9"/>
      <c r="C6" s="26">
        <f>'Project IRR'!D6</f>
        <v>3.5021583986399998</v>
      </c>
      <c r="D6" s="26">
        <f>'Project IRR'!E6</f>
        <v>0.63043700000000003</v>
      </c>
      <c r="E6" s="26">
        <f>'Project IRR'!F6</f>
        <v>2.8717213986399996</v>
      </c>
      <c r="F6" s="26">
        <f>'Project IRR'!G6</f>
        <v>1.6195074999999999</v>
      </c>
      <c r="G6" s="27">
        <f t="shared" si="0"/>
        <v>0</v>
      </c>
      <c r="H6" s="26">
        <f t="shared" si="3"/>
        <v>1.2522138986399998</v>
      </c>
      <c r="I6" s="26">
        <f>IF(H6&lt;0,0,Input!$C$27*H6)</f>
        <v>0.27548705770079995</v>
      </c>
      <c r="J6" s="27">
        <f t="shared" si="4"/>
        <v>0.97672684093919981</v>
      </c>
      <c r="K6" s="27">
        <f t="shared" si="1"/>
        <v>0</v>
      </c>
      <c r="L6" s="29">
        <f t="shared" si="2"/>
        <v>2.5962343409391995</v>
      </c>
      <c r="M6" s="32" t="e">
        <f t="shared" si="5"/>
        <v>#DIV/0!</v>
      </c>
      <c r="N6" s="32"/>
      <c r="O6" s="17">
        <f t="shared" si="6"/>
        <v>0</v>
      </c>
      <c r="P6" s="18">
        <f t="shared" si="7"/>
        <v>0</v>
      </c>
      <c r="Q6" s="18">
        <f>Input!$C$26*O6</f>
        <v>0</v>
      </c>
      <c r="R6" s="19">
        <f t="shared" si="8"/>
        <v>0</v>
      </c>
      <c r="T6" s="14"/>
    </row>
    <row r="7" spans="1:20" ht="15.6" x14ac:dyDescent="0.35">
      <c r="A7" s="8">
        <v>2028</v>
      </c>
      <c r="B7" s="9"/>
      <c r="C7" s="26">
        <f>'Project IRR'!D7</f>
        <v>3.4671368146535997</v>
      </c>
      <c r="D7" s="26">
        <f>'Project IRR'!E7</f>
        <v>0.63043700000000003</v>
      </c>
      <c r="E7" s="26">
        <f>'Project IRR'!F7</f>
        <v>2.8366998146535995</v>
      </c>
      <c r="F7" s="26">
        <f>'Project IRR'!G7</f>
        <v>1.6195074999999999</v>
      </c>
      <c r="G7" s="27">
        <f t="shared" si="0"/>
        <v>0</v>
      </c>
      <c r="H7" s="26">
        <f t="shared" si="3"/>
        <v>1.2171923146535997</v>
      </c>
      <c r="I7" s="26">
        <f>IF(H7&lt;0,0,Input!$C$27*H7)</f>
        <v>0.26778230922379193</v>
      </c>
      <c r="J7" s="27">
        <f t="shared" si="4"/>
        <v>0.9494100054298078</v>
      </c>
      <c r="K7" s="27">
        <f t="shared" si="1"/>
        <v>0</v>
      </c>
      <c r="L7" s="29">
        <f t="shared" si="2"/>
        <v>2.5689175054298077</v>
      </c>
      <c r="M7" s="32" t="e">
        <f t="shared" si="5"/>
        <v>#DIV/0!</v>
      </c>
      <c r="N7" s="32"/>
      <c r="O7" s="17">
        <f t="shared" si="6"/>
        <v>0</v>
      </c>
      <c r="P7" s="18">
        <f t="shared" si="7"/>
        <v>0</v>
      </c>
      <c r="Q7" s="18">
        <f>Input!$C$26*O7</f>
        <v>0</v>
      </c>
      <c r="R7" s="19">
        <f t="shared" si="8"/>
        <v>0</v>
      </c>
      <c r="T7" s="14"/>
    </row>
    <row r="8" spans="1:20" ht="15.6" x14ac:dyDescent="0.35">
      <c r="A8" s="8">
        <v>2029</v>
      </c>
      <c r="B8" s="9"/>
      <c r="C8" s="26">
        <f>'Project IRR'!D8</f>
        <v>3.4324654465070639</v>
      </c>
      <c r="D8" s="26">
        <f>'Project IRR'!E8</f>
        <v>0.63043700000000003</v>
      </c>
      <c r="E8" s="26">
        <f>'Project IRR'!F8</f>
        <v>2.8020284465070637</v>
      </c>
      <c r="F8" s="26">
        <f>'Project IRR'!G8</f>
        <v>1.6195074999999999</v>
      </c>
      <c r="G8" s="27">
        <f t="shared" si="0"/>
        <v>0</v>
      </c>
      <c r="H8" s="26">
        <f t="shared" si="3"/>
        <v>1.1825209465070639</v>
      </c>
      <c r="I8" s="26">
        <f>IF(H8&lt;0,0,Input!$C$27*H8)</f>
        <v>0.26015460823155406</v>
      </c>
      <c r="J8" s="27">
        <f t="shared" si="4"/>
        <v>0.92236633827550984</v>
      </c>
      <c r="K8" s="27">
        <f t="shared" si="1"/>
        <v>0</v>
      </c>
      <c r="L8" s="29">
        <f t="shared" si="2"/>
        <v>2.5418738382755097</v>
      </c>
      <c r="M8" s="32" t="e">
        <f t="shared" si="5"/>
        <v>#DIV/0!</v>
      </c>
      <c r="N8" s="32"/>
      <c r="O8" s="17">
        <f t="shared" si="6"/>
        <v>0</v>
      </c>
      <c r="P8" s="18">
        <f t="shared" si="7"/>
        <v>0</v>
      </c>
      <c r="Q8" s="18">
        <f>Input!$C$26*O8</f>
        <v>0</v>
      </c>
      <c r="R8" s="19">
        <f t="shared" si="8"/>
        <v>0</v>
      </c>
      <c r="T8" s="14"/>
    </row>
    <row r="9" spans="1:20" ht="15.6" x14ac:dyDescent="0.35">
      <c r="A9" s="8">
        <v>2030</v>
      </c>
      <c r="B9" s="9"/>
      <c r="C9" s="26">
        <f>'Project IRR'!D9</f>
        <v>3.398140792041993</v>
      </c>
      <c r="D9" s="26">
        <f>'Project IRR'!E9</f>
        <v>0.63043700000000003</v>
      </c>
      <c r="E9" s="26">
        <f>'Project IRR'!F9</f>
        <v>2.7677037920419929</v>
      </c>
      <c r="F9" s="26">
        <f>'Project IRR'!G9</f>
        <v>1.6195074999999999</v>
      </c>
      <c r="G9" s="27">
        <f t="shared" si="0"/>
        <v>0</v>
      </c>
      <c r="H9" s="26">
        <f t="shared" si="3"/>
        <v>1.148196292041993</v>
      </c>
      <c r="I9" s="26">
        <f>IF(H9&lt;0,0,Input!$C$27*H9)</f>
        <v>0.25260318424923844</v>
      </c>
      <c r="J9" s="27">
        <f t="shared" si="4"/>
        <v>0.89559310779275458</v>
      </c>
      <c r="K9" s="27">
        <f t="shared" si="1"/>
        <v>0</v>
      </c>
      <c r="L9" s="29">
        <f t="shared" si="2"/>
        <v>2.5151006077927542</v>
      </c>
      <c r="M9" s="32" t="e">
        <f t="shared" si="5"/>
        <v>#DIV/0!</v>
      </c>
      <c r="N9" s="32"/>
      <c r="O9" s="17">
        <f t="shared" si="6"/>
        <v>0</v>
      </c>
      <c r="P9" s="18">
        <f t="shared" si="7"/>
        <v>0</v>
      </c>
      <c r="Q9" s="18">
        <f>Input!$C$26*O9</f>
        <v>0</v>
      </c>
      <c r="R9" s="19">
        <f t="shared" si="8"/>
        <v>0</v>
      </c>
      <c r="T9" s="14"/>
    </row>
    <row r="10" spans="1:20" ht="15.6" x14ac:dyDescent="0.35">
      <c r="A10" s="8">
        <v>2031</v>
      </c>
      <c r="B10" s="9"/>
      <c r="C10" s="26">
        <f>'Project IRR'!D10</f>
        <v>3.3641593841215731</v>
      </c>
      <c r="D10" s="26">
        <f>'Project IRR'!E10</f>
        <v>0.63043700000000003</v>
      </c>
      <c r="E10" s="26">
        <f>'Project IRR'!F10</f>
        <v>2.733722384121573</v>
      </c>
      <c r="F10" s="26">
        <f>'Project IRR'!G10</f>
        <v>1.6195074999999999</v>
      </c>
      <c r="G10" s="27">
        <f t="shared" si="0"/>
        <v>0</v>
      </c>
      <c r="H10" s="26">
        <f t="shared" si="3"/>
        <v>1.1142148841215731</v>
      </c>
      <c r="I10" s="26">
        <f>IF(H10&lt;0,0,Input!$C$27*H10)</f>
        <v>0.2451272745067461</v>
      </c>
      <c r="J10" s="27">
        <f t="shared" si="4"/>
        <v>0.86908760961482701</v>
      </c>
      <c r="K10" s="27">
        <f t="shared" si="1"/>
        <v>0</v>
      </c>
      <c r="L10" s="29">
        <f t="shared" si="2"/>
        <v>2.4885951096148267</v>
      </c>
      <c r="M10" s="32" t="e">
        <f t="shared" si="5"/>
        <v>#DIV/0!</v>
      </c>
      <c r="N10" s="32"/>
      <c r="O10" s="17">
        <f t="shared" si="6"/>
        <v>0</v>
      </c>
      <c r="P10" s="18">
        <f t="shared" si="7"/>
        <v>0</v>
      </c>
      <c r="Q10" s="18">
        <f>Input!$C$26*O10</f>
        <v>0</v>
      </c>
      <c r="R10" s="19">
        <f t="shared" si="8"/>
        <v>0</v>
      </c>
      <c r="T10" s="14"/>
    </row>
    <row r="11" spans="1:20" ht="15.6" x14ac:dyDescent="0.35">
      <c r="A11" s="8">
        <v>2032</v>
      </c>
      <c r="B11" s="9"/>
      <c r="C11" s="26">
        <f>'Project IRR'!D11</f>
        <v>3.3305177902803575</v>
      </c>
      <c r="D11" s="26">
        <f>'Project IRR'!E11</f>
        <v>0.63043700000000003</v>
      </c>
      <c r="E11" s="26">
        <f>'Project IRR'!F11</f>
        <v>2.7000807902803574</v>
      </c>
      <c r="F11" s="26">
        <f>'Project IRR'!G11</f>
        <v>1.6195074999999999</v>
      </c>
      <c r="G11" s="27">
        <f t="shared" si="0"/>
        <v>0</v>
      </c>
      <c r="H11" s="26">
        <f t="shared" si="3"/>
        <v>1.0805732902803575</v>
      </c>
      <c r="I11" s="26">
        <f>IF(H11&lt;0,0,Input!$C$27*H11)</f>
        <v>0.23772612386167866</v>
      </c>
      <c r="J11" s="27">
        <f t="shared" si="4"/>
        <v>0.84284716641867885</v>
      </c>
      <c r="K11" s="27">
        <f t="shared" si="1"/>
        <v>0</v>
      </c>
      <c r="L11" s="29">
        <f t="shared" si="2"/>
        <v>2.4623546664186788</v>
      </c>
      <c r="M11" s="32" t="e">
        <f t="shared" si="5"/>
        <v>#DIV/0!</v>
      </c>
      <c r="N11" s="32"/>
      <c r="O11" s="17">
        <f t="shared" si="6"/>
        <v>0</v>
      </c>
      <c r="P11" s="18">
        <f t="shared" si="7"/>
        <v>0</v>
      </c>
      <c r="Q11" s="18">
        <f>Input!$C$26*O11</f>
        <v>0</v>
      </c>
      <c r="R11" s="19">
        <f t="shared" si="8"/>
        <v>0</v>
      </c>
      <c r="T11" s="14"/>
    </row>
    <row r="12" spans="1:20" ht="15.6" x14ac:dyDescent="0.35">
      <c r="A12" s="8">
        <v>2033</v>
      </c>
      <c r="B12" s="9"/>
      <c r="C12" s="26">
        <f>'Project IRR'!D12</f>
        <v>3.297212612377554</v>
      </c>
      <c r="D12" s="26">
        <f>'Project IRR'!E12</f>
        <v>0.63043700000000003</v>
      </c>
      <c r="E12" s="26">
        <f>'Project IRR'!F12</f>
        <v>2.6667756123775539</v>
      </c>
      <c r="F12" s="26">
        <f>'Project IRR'!G12</f>
        <v>1.6195074999999999</v>
      </c>
      <c r="G12" s="27">
        <f t="shared" si="0"/>
        <v>0</v>
      </c>
      <c r="H12" s="26">
        <f t="shared" si="3"/>
        <v>1.047268112377554</v>
      </c>
      <c r="I12" s="26">
        <f>IF(H12&lt;0,0,Input!$C$27*H12)</f>
        <v>0.23039898472306189</v>
      </c>
      <c r="J12" s="27">
        <f t="shared" si="4"/>
        <v>0.81686912765449216</v>
      </c>
      <c r="K12" s="27">
        <f t="shared" si="1"/>
        <v>0</v>
      </c>
      <c r="L12" s="29">
        <f t="shared" si="2"/>
        <v>2.436376627654492</v>
      </c>
      <c r="M12" s="32" t="e">
        <f t="shared" si="5"/>
        <v>#DIV/0!</v>
      </c>
      <c r="N12" s="32"/>
      <c r="O12" s="17">
        <f t="shared" si="6"/>
        <v>0</v>
      </c>
      <c r="P12" s="18">
        <f t="shared" si="7"/>
        <v>0</v>
      </c>
      <c r="Q12" s="18">
        <f>Input!$C$26*O12</f>
        <v>0</v>
      </c>
      <c r="R12" s="19">
        <f t="shared" si="8"/>
        <v>0</v>
      </c>
      <c r="T12" s="14"/>
    </row>
    <row r="13" spans="1:20" ht="15.6" x14ac:dyDescent="0.35">
      <c r="A13" s="8">
        <v>2034</v>
      </c>
      <c r="B13" s="9"/>
      <c r="C13" s="26">
        <f>'Project IRR'!D13</f>
        <v>3.2642404862537786</v>
      </c>
      <c r="D13" s="26">
        <f>'Project IRR'!E13</f>
        <v>0.63043700000000003</v>
      </c>
      <c r="E13" s="26">
        <f>'Project IRR'!F13</f>
        <v>2.6338034862537785</v>
      </c>
      <c r="F13" s="26">
        <f>'Project IRR'!G13</f>
        <v>1.6195074999999999</v>
      </c>
      <c r="G13" s="27">
        <f t="shared" si="0"/>
        <v>0</v>
      </c>
      <c r="H13" s="26">
        <f t="shared" si="3"/>
        <v>1.0142959862537786</v>
      </c>
      <c r="I13" s="26">
        <f>IF(H13&lt;0,0,Input!$C$27*H13)</f>
        <v>0.22314511697583128</v>
      </c>
      <c r="J13" s="27">
        <f t="shared" si="4"/>
        <v>0.79115086927794731</v>
      </c>
      <c r="K13" s="27">
        <f t="shared" si="1"/>
        <v>0</v>
      </c>
      <c r="L13" s="29">
        <f t="shared" si="2"/>
        <v>2.4106583692779471</v>
      </c>
      <c r="M13" s="32" t="e">
        <f t="shared" si="5"/>
        <v>#DIV/0!</v>
      </c>
      <c r="N13" s="32"/>
      <c r="O13" s="17">
        <f t="shared" si="6"/>
        <v>0</v>
      </c>
      <c r="P13" s="18">
        <f t="shared" si="7"/>
        <v>0</v>
      </c>
      <c r="Q13" s="18">
        <f>Input!$C$26*O13</f>
        <v>0</v>
      </c>
      <c r="R13" s="19">
        <f t="shared" si="8"/>
        <v>0</v>
      </c>
      <c r="T13" s="14"/>
    </row>
    <row r="14" spans="1:20" ht="15.6" x14ac:dyDescent="0.35">
      <c r="A14" s="8">
        <v>2035</v>
      </c>
      <c r="B14" s="9"/>
      <c r="C14" s="26">
        <f>'Project IRR'!D14</f>
        <v>3.2315980813912408</v>
      </c>
      <c r="D14" s="26">
        <f>'Project IRR'!E14</f>
        <v>0.63043700000000003</v>
      </c>
      <c r="E14" s="26">
        <f>'Project IRR'!F14</f>
        <v>2.6011610813912407</v>
      </c>
      <c r="F14" s="26">
        <f>'Project IRR'!G14</f>
        <v>1.6195074999999999</v>
      </c>
      <c r="G14" s="27">
        <f t="shared" si="0"/>
        <v>0</v>
      </c>
      <c r="H14" s="26">
        <f t="shared" si="3"/>
        <v>0.98165358139124081</v>
      </c>
      <c r="I14" s="26">
        <f>IF(H14&lt;0,0,Input!$C$27*H14)</f>
        <v>0.21596378790607298</v>
      </c>
      <c r="J14" s="27">
        <f t="shared" si="4"/>
        <v>0.76568979348516786</v>
      </c>
      <c r="K14" s="27">
        <f t="shared" si="1"/>
        <v>0</v>
      </c>
      <c r="L14" s="29">
        <f t="shared" si="2"/>
        <v>2.3851972934851675</v>
      </c>
      <c r="M14" s="32" t="e">
        <f t="shared" si="5"/>
        <v>#DIV/0!</v>
      </c>
      <c r="N14" s="32"/>
      <c r="O14" s="17">
        <f t="shared" si="6"/>
        <v>0</v>
      </c>
      <c r="P14" s="18">
        <f t="shared" si="7"/>
        <v>0</v>
      </c>
      <c r="Q14" s="18">
        <f>Input!$C$26*O14</f>
        <v>0</v>
      </c>
      <c r="R14" s="19">
        <f t="shared" si="8"/>
        <v>0</v>
      </c>
      <c r="T14" s="14"/>
    </row>
    <row r="15" spans="1:20" ht="15.6" x14ac:dyDescent="0.35">
      <c r="A15" s="8">
        <v>2036</v>
      </c>
      <c r="B15" s="9"/>
      <c r="C15" s="26">
        <f>'Project IRR'!D15</f>
        <v>3.1992821005773284</v>
      </c>
      <c r="D15" s="26">
        <f>'Project IRR'!E15</f>
        <v>0.63043700000000003</v>
      </c>
      <c r="E15" s="26">
        <f>'Project IRR'!F15</f>
        <v>2.5688451005773283</v>
      </c>
      <c r="F15" s="26">
        <f>'Project IRR'!G15</f>
        <v>1.6195074999999999</v>
      </c>
      <c r="G15" s="27">
        <f t="shared" si="0"/>
        <v>0</v>
      </c>
      <c r="H15" s="26">
        <f t="shared" si="3"/>
        <v>0.94933760057732841</v>
      </c>
      <c r="I15" s="26">
        <f>IF(H15&lt;0,0,Input!$C$27*H15)</f>
        <v>0.20885427212701224</v>
      </c>
      <c r="J15" s="27">
        <f t="shared" si="4"/>
        <v>0.74048332845031617</v>
      </c>
      <c r="K15" s="27">
        <f t="shared" si="1"/>
        <v>0</v>
      </c>
      <c r="L15" s="29">
        <f t="shared" si="2"/>
        <v>2.3599908284503162</v>
      </c>
      <c r="M15" s="32" t="e">
        <f t="shared" si="5"/>
        <v>#DIV/0!</v>
      </c>
      <c r="N15" s="32"/>
      <c r="O15" s="17">
        <f t="shared" si="6"/>
        <v>0</v>
      </c>
      <c r="P15" s="18">
        <f t="shared" si="7"/>
        <v>0</v>
      </c>
      <c r="Q15" s="18">
        <f>Input!$C$26*O15</f>
        <v>0</v>
      </c>
      <c r="R15" s="19">
        <f t="shared" si="8"/>
        <v>0</v>
      </c>
      <c r="T15" s="14"/>
    </row>
    <row r="16" spans="1:20" ht="15.6" x14ac:dyDescent="0.35">
      <c r="A16" s="8">
        <v>2037</v>
      </c>
      <c r="B16" s="9"/>
      <c r="C16" s="26">
        <f>'Project IRR'!D16</f>
        <v>3.167289279571555</v>
      </c>
      <c r="D16" s="26">
        <f>'Project IRR'!E16</f>
        <v>0.63043700000000003</v>
      </c>
      <c r="E16" s="26">
        <f>'Project IRR'!F16</f>
        <v>2.5368522795715549</v>
      </c>
      <c r="F16" s="26">
        <f>'Project IRR'!G16</f>
        <v>1.6195074999999999</v>
      </c>
      <c r="G16" s="27">
        <f t="shared" si="0"/>
        <v>0</v>
      </c>
      <c r="H16" s="26">
        <f t="shared" si="3"/>
        <v>0.91734477957155502</v>
      </c>
      <c r="I16" s="26">
        <f>IF(H16&lt;0,0,Input!$C$27*H16)</f>
        <v>0.20181585150574211</v>
      </c>
      <c r="J16" s="27">
        <f t="shared" si="4"/>
        <v>0.71552892806581292</v>
      </c>
      <c r="K16" s="27">
        <f t="shared" si="1"/>
        <v>0</v>
      </c>
      <c r="L16" s="29">
        <f t="shared" si="2"/>
        <v>2.3350364280658127</v>
      </c>
      <c r="M16" s="32" t="e">
        <f t="shared" si="5"/>
        <v>#DIV/0!</v>
      </c>
      <c r="N16" s="32"/>
      <c r="O16" s="17">
        <f t="shared" si="6"/>
        <v>0</v>
      </c>
      <c r="P16" s="18">
        <f t="shared" si="7"/>
        <v>0</v>
      </c>
      <c r="Q16" s="18">
        <f>Input!$C$26*O16</f>
        <v>0</v>
      </c>
      <c r="R16" s="19">
        <f t="shared" si="8"/>
        <v>0</v>
      </c>
      <c r="T16" s="14"/>
    </row>
    <row r="17" spans="1:20" ht="15.6" x14ac:dyDescent="0.35">
      <c r="A17" s="8">
        <v>2038</v>
      </c>
      <c r="B17" s="9"/>
      <c r="C17" s="26">
        <f>'Project IRR'!D17</f>
        <v>3.1356163867758395</v>
      </c>
      <c r="D17" s="26">
        <f>'Project IRR'!E17</f>
        <v>0.63043700000000003</v>
      </c>
      <c r="E17" s="26">
        <f>'Project IRR'!F17</f>
        <v>2.5051793867758394</v>
      </c>
      <c r="F17" s="26">
        <f>'Project IRR'!G17</f>
        <v>1.6195074999999999</v>
      </c>
      <c r="G17" s="27">
        <f t="shared" si="0"/>
        <v>0</v>
      </c>
      <c r="H17" s="26">
        <f t="shared" si="3"/>
        <v>0.88567188677583952</v>
      </c>
      <c r="I17" s="26">
        <f>IF(H17&lt;0,0,Input!$C$27*H17)</f>
        <v>0.19484781509068469</v>
      </c>
      <c r="J17" s="27">
        <f t="shared" si="4"/>
        <v>0.69082407168515481</v>
      </c>
      <c r="K17" s="27">
        <f t="shared" si="1"/>
        <v>0</v>
      </c>
      <c r="L17" s="29">
        <f t="shared" si="2"/>
        <v>2.3103315716851549</v>
      </c>
      <c r="M17" s="32" t="e">
        <f t="shared" si="5"/>
        <v>#DIV/0!</v>
      </c>
      <c r="N17" s="32"/>
      <c r="O17" s="17">
        <f t="shared" si="6"/>
        <v>0</v>
      </c>
      <c r="P17" s="18">
        <f t="shared" si="7"/>
        <v>0</v>
      </c>
      <c r="Q17" s="18">
        <f>Input!$C$26*O17</f>
        <v>0</v>
      </c>
      <c r="R17" s="19">
        <f t="shared" si="8"/>
        <v>0</v>
      </c>
      <c r="T17" s="14"/>
    </row>
    <row r="18" spans="1:20" ht="15.6" x14ac:dyDescent="0.35">
      <c r="A18" s="8">
        <v>2039</v>
      </c>
      <c r="B18" s="9"/>
      <c r="C18" s="26">
        <f>'Project IRR'!D18</f>
        <v>3.1042602229080809</v>
      </c>
      <c r="D18" s="26">
        <f>'Project IRR'!E18</f>
        <v>0.63043700000000003</v>
      </c>
      <c r="E18" s="26">
        <f>'Project IRR'!F18</f>
        <v>2.4738232229080808</v>
      </c>
      <c r="F18" s="26">
        <f>'Project IRR'!G18</f>
        <v>1.6195074999999999</v>
      </c>
      <c r="G18" s="27">
        <f t="shared" si="0"/>
        <v>0</v>
      </c>
      <c r="H18" s="26">
        <f t="shared" si="3"/>
        <v>0.85431572290808089</v>
      </c>
      <c r="I18" s="26">
        <f>IF(H18&lt;0,0,Input!$C$27*H18)</f>
        <v>0.18794945903977781</v>
      </c>
      <c r="J18" s="27">
        <f t="shared" si="4"/>
        <v>0.66636626386830311</v>
      </c>
      <c r="K18" s="27">
        <f t="shared" si="1"/>
        <v>0</v>
      </c>
      <c r="L18" s="29">
        <f t="shared" si="2"/>
        <v>2.2858737638683029</v>
      </c>
      <c r="M18" s="32" t="e">
        <f t="shared" si="5"/>
        <v>#DIV/0!</v>
      </c>
      <c r="N18" s="32"/>
      <c r="O18" s="17">
        <f t="shared" si="6"/>
        <v>0</v>
      </c>
      <c r="P18" s="18">
        <f t="shared" si="7"/>
        <v>0</v>
      </c>
      <c r="Q18" s="18">
        <f>Input!$C$26*O18</f>
        <v>0</v>
      </c>
      <c r="R18" s="19">
        <f t="shared" si="8"/>
        <v>0</v>
      </c>
      <c r="T18" s="14"/>
    </row>
    <row r="19" spans="1:20" ht="15.6" x14ac:dyDescent="0.35">
      <c r="A19" s="8">
        <v>2040</v>
      </c>
      <c r="B19" s="9"/>
      <c r="C19" s="26">
        <f>'Project IRR'!D19</f>
        <v>3.0732176206790003</v>
      </c>
      <c r="D19" s="26">
        <f>'Project IRR'!E19</f>
        <v>0.63043700000000003</v>
      </c>
      <c r="E19" s="26">
        <f>'Project IRR'!F19</f>
        <v>2.4427806206790001</v>
      </c>
      <c r="F19" s="26">
        <f>'Project IRR'!G19</f>
        <v>1.6195074999999999</v>
      </c>
      <c r="G19" s="27">
        <f t="shared" si="0"/>
        <v>0</v>
      </c>
      <c r="H19" s="26">
        <f t="shared" si="3"/>
        <v>0.82327312067900027</v>
      </c>
      <c r="I19" s="26">
        <f>IF(H19&lt;0,0,Input!$C$27*H19)</f>
        <v>0.18112008654938005</v>
      </c>
      <c r="J19" s="27">
        <f t="shared" si="4"/>
        <v>0.64215303412962021</v>
      </c>
      <c r="K19" s="27">
        <f t="shared" si="1"/>
        <v>0</v>
      </c>
      <c r="L19" s="29">
        <f t="shared" si="2"/>
        <v>2.2616605341296201</v>
      </c>
      <c r="M19" s="32" t="e">
        <f t="shared" si="5"/>
        <v>#DIV/0!</v>
      </c>
      <c r="N19" s="32"/>
      <c r="O19" s="17">
        <f t="shared" si="6"/>
        <v>0</v>
      </c>
      <c r="P19" s="18">
        <f t="shared" si="7"/>
        <v>0</v>
      </c>
      <c r="Q19" s="18">
        <f>Input!$C$26*O19</f>
        <v>0</v>
      </c>
      <c r="R19" s="19">
        <f t="shared" si="8"/>
        <v>0</v>
      </c>
      <c r="T19" s="14"/>
    </row>
    <row r="20" spans="1:20" ht="16.2" thickBot="1" x14ac:dyDescent="0.4">
      <c r="A20" s="8">
        <v>2041</v>
      </c>
      <c r="B20" s="9"/>
      <c r="C20" s="26">
        <f>'Project IRR'!D20</f>
        <v>3.0424854444722103</v>
      </c>
      <c r="D20" s="26">
        <f>'Project IRR'!E20</f>
        <v>0.63043700000000003</v>
      </c>
      <c r="E20" s="26">
        <f>'Project IRR'!F20</f>
        <v>2.4120484444722101</v>
      </c>
      <c r="F20" s="26">
        <f>'Project IRR'!G20</f>
        <v>1.6195074999999999</v>
      </c>
      <c r="G20" s="27">
        <f t="shared" si="0"/>
        <v>0</v>
      </c>
      <c r="H20" s="26">
        <f t="shared" si="3"/>
        <v>0.79254094447221024</v>
      </c>
      <c r="I20" s="26">
        <f>IF(H20&lt;0,0,Input!$C$27*H20)</f>
        <v>0.17435900778388624</v>
      </c>
      <c r="J20" s="27">
        <f t="shared" si="4"/>
        <v>0.618181936688324</v>
      </c>
      <c r="K20" s="27">
        <f t="shared" si="1"/>
        <v>0</v>
      </c>
      <c r="L20" s="29">
        <f t="shared" si="2"/>
        <v>2.2376894366883238</v>
      </c>
      <c r="M20" s="32" t="e">
        <f t="shared" si="5"/>
        <v>#DIV/0!</v>
      </c>
      <c r="N20" s="32"/>
      <c r="O20" s="61">
        <f t="shared" si="6"/>
        <v>0</v>
      </c>
      <c r="P20" s="20">
        <f t="shared" si="7"/>
        <v>0</v>
      </c>
      <c r="Q20" s="20">
        <f>Input!$C$26*O20</f>
        <v>0</v>
      </c>
      <c r="R20" s="21">
        <f t="shared" si="8"/>
        <v>0</v>
      </c>
      <c r="T20" s="14"/>
    </row>
    <row r="21" spans="1:20" ht="15.6" x14ac:dyDescent="0.35">
      <c r="A21" s="8">
        <v>2042</v>
      </c>
      <c r="B21" s="9"/>
      <c r="C21" s="26">
        <f>'Project IRR'!D21</f>
        <v>3.0120605900274882</v>
      </c>
      <c r="D21" s="26">
        <f>'Project IRR'!E21</f>
        <v>0.63043700000000003</v>
      </c>
      <c r="E21" s="26">
        <f>'Project IRR'!F21</f>
        <v>2.381623590027488</v>
      </c>
      <c r="F21" s="26">
        <f>'Project IRR'!G21</f>
        <v>1.6195074999999999</v>
      </c>
      <c r="G21" s="27">
        <f t="shared" si="0"/>
        <v>0</v>
      </c>
      <c r="H21" s="26">
        <f t="shared" si="3"/>
        <v>0.76211609002748815</v>
      </c>
      <c r="I21" s="26">
        <f>IF(H21&lt;0,0,Input!$C$27*H21)</f>
        <v>0.1676655398060474</v>
      </c>
      <c r="J21" s="27">
        <f t="shared" si="4"/>
        <v>0.59445055022144078</v>
      </c>
      <c r="K21" s="27">
        <f t="shared" si="1"/>
        <v>0</v>
      </c>
      <c r="L21" s="29">
        <f t="shared" si="2"/>
        <v>2.2139580502214407</v>
      </c>
      <c r="M21" s="33"/>
      <c r="N21" s="33"/>
    </row>
    <row r="22" spans="1:20" ht="15.6" x14ac:dyDescent="0.35">
      <c r="A22" s="8">
        <v>2043</v>
      </c>
      <c r="B22" s="9"/>
      <c r="C22" s="26">
        <f>'Project IRR'!D22</f>
        <v>2.9819399841272132</v>
      </c>
      <c r="D22" s="26">
        <f>'Project IRR'!E22</f>
        <v>0.63043700000000003</v>
      </c>
      <c r="E22" s="26">
        <f>'Project IRR'!F22</f>
        <v>2.351502984127213</v>
      </c>
      <c r="F22" s="26">
        <f>'Project IRR'!G22</f>
        <v>1.6195074999999999</v>
      </c>
      <c r="G22" s="27">
        <f t="shared" si="0"/>
        <v>0</v>
      </c>
      <c r="H22" s="26">
        <f t="shared" si="3"/>
        <v>0.73199548412721316</v>
      </c>
      <c r="I22" s="26">
        <f>IF(H22&lt;0,0,Input!$C$27*H22)</f>
        <v>0.16103900650798689</v>
      </c>
      <c r="J22" s="27">
        <f t="shared" si="4"/>
        <v>0.5709564776192263</v>
      </c>
      <c r="K22" s="27">
        <f t="shared" si="1"/>
        <v>0</v>
      </c>
      <c r="L22" s="29">
        <f t="shared" si="2"/>
        <v>2.1904639776192263</v>
      </c>
      <c r="M22" s="33"/>
      <c r="N22" s="33"/>
    </row>
    <row r="23" spans="1:20" ht="16.2" thickBot="1" x14ac:dyDescent="0.4">
      <c r="A23" s="10"/>
      <c r="B23" s="11"/>
      <c r="C23" s="12"/>
      <c r="D23" s="12"/>
      <c r="E23" s="12"/>
      <c r="F23" s="12"/>
      <c r="G23" s="12"/>
      <c r="H23" s="12"/>
      <c r="I23" s="13"/>
      <c r="J23" s="56" t="s">
        <v>10</v>
      </c>
      <c r="K23" s="60"/>
      <c r="L23" s="57">
        <f>IRR(L2:L22)</f>
        <v>0.40278029390591308</v>
      </c>
      <c r="M23" s="65" t="e">
        <f>AVERAGE(M3:M20)</f>
        <v>#DIV/0!</v>
      </c>
      <c r="N23" s="14"/>
    </row>
    <row r="24" spans="1:20" ht="15" thickBot="1" x14ac:dyDescent="0.35"/>
    <row r="25" spans="1:20" ht="52.8" thickBot="1" x14ac:dyDescent="0.35">
      <c r="A25" s="1" t="s">
        <v>0</v>
      </c>
      <c r="B25" s="2" t="s">
        <v>1</v>
      </c>
      <c r="C25" s="3" t="s">
        <v>2</v>
      </c>
      <c r="D25" s="3" t="s">
        <v>3</v>
      </c>
      <c r="E25" s="4" t="s">
        <v>4</v>
      </c>
      <c r="F25" s="3" t="s">
        <v>5</v>
      </c>
      <c r="G25" s="3" t="s">
        <v>15</v>
      </c>
      <c r="H25" s="3" t="s">
        <v>6</v>
      </c>
      <c r="I25" s="3" t="s">
        <v>7</v>
      </c>
      <c r="J25" s="3" t="s">
        <v>8</v>
      </c>
      <c r="K25" s="15" t="str">
        <f>P25</f>
        <v>Δόση αποπληρωμής δανείου (Μ€)</v>
      </c>
      <c r="L25" s="5" t="s">
        <v>9</v>
      </c>
      <c r="M25" s="3" t="s">
        <v>47</v>
      </c>
      <c r="N25" s="62"/>
      <c r="O25" s="2" t="s">
        <v>11</v>
      </c>
      <c r="P25" s="3" t="s">
        <v>12</v>
      </c>
      <c r="Q25" s="3" t="s">
        <v>13</v>
      </c>
      <c r="R25" s="16" t="s">
        <v>14</v>
      </c>
    </row>
    <row r="26" spans="1:20" ht="15.6" x14ac:dyDescent="0.35">
      <c r="A26" s="6">
        <v>2023</v>
      </c>
      <c r="B26" s="7" t="e">
        <f>'Project IRR'!C26*(1-Input!$C$23)</f>
        <v>#REF!</v>
      </c>
      <c r="C26" s="25">
        <f>'Project IRR'!D26</f>
        <v>0</v>
      </c>
      <c r="D26" s="25">
        <f>'Project IRR'!E26</f>
        <v>0</v>
      </c>
      <c r="E26" s="25">
        <f>'Project IRR'!F26</f>
        <v>0</v>
      </c>
      <c r="F26" s="25">
        <f>'Project IRR'!G26</f>
        <v>0</v>
      </c>
      <c r="G26" s="28">
        <f t="shared" ref="G26:G46" si="9">Q26</f>
        <v>0</v>
      </c>
      <c r="H26" s="25">
        <f>E26-F26-G26</f>
        <v>0</v>
      </c>
      <c r="I26" s="25">
        <f>IF(H26&lt;0,0,Input!$C$27*H26)</f>
        <v>0</v>
      </c>
      <c r="J26" s="28">
        <f>H26-I26</f>
        <v>0</v>
      </c>
      <c r="K26" s="28">
        <f t="shared" ref="K26:K46" si="10">-P26</f>
        <v>0</v>
      </c>
      <c r="L26" s="30" t="e">
        <f t="shared" ref="L26:L46" si="11">J26+F26+B26+K26</f>
        <v>#REF!</v>
      </c>
      <c r="M26" s="32"/>
      <c r="O26" s="17" t="e">
        <f>(Input!$C$7+Input!#REF!)*Input!$C$23/1000000</f>
        <v>#REF!</v>
      </c>
      <c r="P26" s="18"/>
      <c r="Q26" s="18"/>
      <c r="R26" s="19" t="e">
        <f>O26-P26</f>
        <v>#REF!</v>
      </c>
    </row>
    <row r="27" spans="1:20" ht="15.6" x14ac:dyDescent="0.35">
      <c r="A27" s="8">
        <v>2024</v>
      </c>
      <c r="B27" s="9"/>
      <c r="C27" s="26">
        <f>'Project IRR'!D27</f>
        <v>24.232332100000004</v>
      </c>
      <c r="D27" s="26" t="e">
        <f>'Project IRR'!E27</f>
        <v>#REF!</v>
      </c>
      <c r="E27" s="26" t="e">
        <f>'Project IRR'!F27</f>
        <v>#REF!</v>
      </c>
      <c r="F27" s="26" t="e">
        <f>'Project IRR'!G27</f>
        <v>#REF!</v>
      </c>
      <c r="G27" s="27" t="e">
        <f t="shared" si="9"/>
        <v>#REF!</v>
      </c>
      <c r="H27" s="26" t="e">
        <f>E27-F27-G27</f>
        <v>#REF!</v>
      </c>
      <c r="I27" s="26" t="e">
        <f>IF(H27&lt;0,0,Input!$C$27*H27)</f>
        <v>#REF!</v>
      </c>
      <c r="J27" s="27" t="e">
        <f>H27-I27</f>
        <v>#REF!</v>
      </c>
      <c r="K27" s="27" t="e">
        <f t="shared" si="10"/>
        <v>#REF!</v>
      </c>
      <c r="L27" s="29" t="e">
        <f t="shared" si="11"/>
        <v>#REF!</v>
      </c>
      <c r="M27" s="32" t="e">
        <f>E27/(G27-K27)</f>
        <v>#REF!</v>
      </c>
      <c r="N27" s="32"/>
      <c r="O27" s="17" t="e">
        <f>R26</f>
        <v>#REF!</v>
      </c>
      <c r="P27" s="18" t="e">
        <f>$O$26/18</f>
        <v>#REF!</v>
      </c>
      <c r="Q27" s="18" t="e">
        <f>Input!$C$26*O27</f>
        <v>#REF!</v>
      </c>
      <c r="R27" s="19" t="e">
        <f>O27-P27</f>
        <v>#REF!</v>
      </c>
    </row>
    <row r="28" spans="1:20" ht="15.6" x14ac:dyDescent="0.35">
      <c r="A28" s="8">
        <v>2025</v>
      </c>
      <c r="B28" s="9"/>
      <c r="C28" s="26">
        <f>'Project IRR'!D28</f>
        <v>23.990008779000004</v>
      </c>
      <c r="D28" s="26" t="e">
        <f>'Project IRR'!E28</f>
        <v>#REF!</v>
      </c>
      <c r="E28" s="26" t="e">
        <f>'Project IRR'!F28</f>
        <v>#REF!</v>
      </c>
      <c r="F28" s="26" t="e">
        <f>'Project IRR'!G28</f>
        <v>#REF!</v>
      </c>
      <c r="G28" s="27" t="e">
        <f t="shared" si="9"/>
        <v>#REF!</v>
      </c>
      <c r="H28" s="26" t="e">
        <f t="shared" ref="H28:H46" si="12">E28-F28-G28</f>
        <v>#REF!</v>
      </c>
      <c r="I28" s="26" t="e">
        <f>IF(H28&lt;0,0,Input!$C$27*H28)</f>
        <v>#REF!</v>
      </c>
      <c r="J28" s="27" t="e">
        <f t="shared" ref="J28:J46" si="13">H28-I28</f>
        <v>#REF!</v>
      </c>
      <c r="K28" s="27" t="e">
        <f t="shared" si="10"/>
        <v>#REF!</v>
      </c>
      <c r="L28" s="29" t="e">
        <f t="shared" si="11"/>
        <v>#REF!</v>
      </c>
      <c r="M28" s="32" t="e">
        <f t="shared" ref="M28:M44" si="14">E28/(G28-K28)</f>
        <v>#REF!</v>
      </c>
      <c r="N28" s="32"/>
      <c r="O28" s="17" t="e">
        <f t="shared" ref="O28:O44" si="15">R27</f>
        <v>#REF!</v>
      </c>
      <c r="P28" s="18" t="e">
        <f t="shared" ref="P28:P44" si="16">$O$26/18</f>
        <v>#REF!</v>
      </c>
      <c r="Q28" s="18" t="e">
        <f>Input!$C$26*O28</f>
        <v>#REF!</v>
      </c>
      <c r="R28" s="19" t="e">
        <f t="shared" ref="R28:R44" si="17">O28-P28</f>
        <v>#REF!</v>
      </c>
    </row>
    <row r="29" spans="1:20" ht="15.6" x14ac:dyDescent="0.35">
      <c r="A29" s="8">
        <v>2026</v>
      </c>
      <c r="B29" s="9"/>
      <c r="C29" s="26">
        <f>'Project IRR'!D29</f>
        <v>23.750108691210002</v>
      </c>
      <c r="D29" s="26" t="e">
        <f>'Project IRR'!E29</f>
        <v>#REF!</v>
      </c>
      <c r="E29" s="26" t="e">
        <f>'Project IRR'!F29</f>
        <v>#REF!</v>
      </c>
      <c r="F29" s="26" t="e">
        <f>'Project IRR'!G29</f>
        <v>#REF!</v>
      </c>
      <c r="G29" s="27" t="e">
        <f t="shared" si="9"/>
        <v>#REF!</v>
      </c>
      <c r="H29" s="26" t="e">
        <f t="shared" si="12"/>
        <v>#REF!</v>
      </c>
      <c r="I29" s="26" t="e">
        <f>IF(H29&lt;0,0,Input!$C$27*H29)</f>
        <v>#REF!</v>
      </c>
      <c r="J29" s="27" t="e">
        <f t="shared" si="13"/>
        <v>#REF!</v>
      </c>
      <c r="K29" s="27" t="e">
        <f t="shared" si="10"/>
        <v>#REF!</v>
      </c>
      <c r="L29" s="29" t="e">
        <f t="shared" si="11"/>
        <v>#REF!</v>
      </c>
      <c r="M29" s="32" t="e">
        <f t="shared" si="14"/>
        <v>#REF!</v>
      </c>
      <c r="N29" s="32"/>
      <c r="O29" s="17" t="e">
        <f t="shared" si="15"/>
        <v>#REF!</v>
      </c>
      <c r="P29" s="18" t="e">
        <f t="shared" si="16"/>
        <v>#REF!</v>
      </c>
      <c r="Q29" s="18" t="e">
        <f>Input!$C$26*O29</f>
        <v>#REF!</v>
      </c>
      <c r="R29" s="19" t="e">
        <f t="shared" si="17"/>
        <v>#REF!</v>
      </c>
    </row>
    <row r="30" spans="1:20" ht="15.6" x14ac:dyDescent="0.35">
      <c r="A30" s="8">
        <v>2027</v>
      </c>
      <c r="B30" s="9"/>
      <c r="C30" s="26">
        <f>'Project IRR'!D30</f>
        <v>23.512607604297902</v>
      </c>
      <c r="D30" s="26" t="e">
        <f>'Project IRR'!E30</f>
        <v>#REF!</v>
      </c>
      <c r="E30" s="26" t="e">
        <f>'Project IRR'!F30</f>
        <v>#REF!</v>
      </c>
      <c r="F30" s="26" t="e">
        <f>'Project IRR'!G30</f>
        <v>#REF!</v>
      </c>
      <c r="G30" s="27" t="e">
        <f t="shared" si="9"/>
        <v>#REF!</v>
      </c>
      <c r="H30" s="26" t="e">
        <f t="shared" si="12"/>
        <v>#REF!</v>
      </c>
      <c r="I30" s="26" t="e">
        <f>IF(H30&lt;0,0,Input!$C$27*H30)</f>
        <v>#REF!</v>
      </c>
      <c r="J30" s="27" t="e">
        <f t="shared" si="13"/>
        <v>#REF!</v>
      </c>
      <c r="K30" s="27" t="e">
        <f t="shared" si="10"/>
        <v>#REF!</v>
      </c>
      <c r="L30" s="29" t="e">
        <f t="shared" si="11"/>
        <v>#REF!</v>
      </c>
      <c r="M30" s="32" t="e">
        <f t="shared" si="14"/>
        <v>#REF!</v>
      </c>
      <c r="N30" s="32"/>
      <c r="O30" s="17" t="e">
        <f t="shared" si="15"/>
        <v>#REF!</v>
      </c>
      <c r="P30" s="18" t="e">
        <f t="shared" si="16"/>
        <v>#REF!</v>
      </c>
      <c r="Q30" s="18" t="e">
        <f>Input!$C$26*O30</f>
        <v>#REF!</v>
      </c>
      <c r="R30" s="19" t="e">
        <f t="shared" si="17"/>
        <v>#REF!</v>
      </c>
    </row>
    <row r="31" spans="1:20" ht="15.6" x14ac:dyDescent="0.35">
      <c r="A31" s="8">
        <v>2028</v>
      </c>
      <c r="B31" s="9"/>
      <c r="C31" s="26">
        <f>'Project IRR'!D31</f>
        <v>23.277481528254921</v>
      </c>
      <c r="D31" s="26" t="e">
        <f>'Project IRR'!E31</f>
        <v>#REF!</v>
      </c>
      <c r="E31" s="26" t="e">
        <f>'Project IRR'!F31</f>
        <v>#REF!</v>
      </c>
      <c r="F31" s="26" t="e">
        <f>'Project IRR'!G31</f>
        <v>#REF!</v>
      </c>
      <c r="G31" s="27" t="e">
        <f t="shared" si="9"/>
        <v>#REF!</v>
      </c>
      <c r="H31" s="26" t="e">
        <f t="shared" si="12"/>
        <v>#REF!</v>
      </c>
      <c r="I31" s="26" t="e">
        <f>IF(H31&lt;0,0,Input!$C$27*H31)</f>
        <v>#REF!</v>
      </c>
      <c r="J31" s="27" t="e">
        <f t="shared" si="13"/>
        <v>#REF!</v>
      </c>
      <c r="K31" s="27" t="e">
        <f t="shared" si="10"/>
        <v>#REF!</v>
      </c>
      <c r="L31" s="29" t="e">
        <f t="shared" si="11"/>
        <v>#REF!</v>
      </c>
      <c r="M31" s="32" t="e">
        <f t="shared" si="14"/>
        <v>#REF!</v>
      </c>
      <c r="N31" s="32"/>
      <c r="O31" s="17" t="e">
        <f t="shared" si="15"/>
        <v>#REF!</v>
      </c>
      <c r="P31" s="18" t="e">
        <f t="shared" si="16"/>
        <v>#REF!</v>
      </c>
      <c r="Q31" s="18" t="e">
        <f>Input!$C$26*O31</f>
        <v>#REF!</v>
      </c>
      <c r="R31" s="19" t="e">
        <f t="shared" si="17"/>
        <v>#REF!</v>
      </c>
    </row>
    <row r="32" spans="1:20" ht="15.6" x14ac:dyDescent="0.35">
      <c r="A32" s="8">
        <v>2029</v>
      </c>
      <c r="B32" s="9"/>
      <c r="C32" s="26">
        <f>'Project IRR'!D32</f>
        <v>23.044706712972371</v>
      </c>
      <c r="D32" s="26" t="e">
        <f>'Project IRR'!E32</f>
        <v>#REF!</v>
      </c>
      <c r="E32" s="26" t="e">
        <f>'Project IRR'!F32</f>
        <v>#REF!</v>
      </c>
      <c r="F32" s="26" t="e">
        <f>'Project IRR'!G32</f>
        <v>#REF!</v>
      </c>
      <c r="G32" s="27" t="e">
        <f t="shared" si="9"/>
        <v>#REF!</v>
      </c>
      <c r="H32" s="26" t="e">
        <f t="shared" si="12"/>
        <v>#REF!</v>
      </c>
      <c r="I32" s="26" t="e">
        <f>IF(H32&lt;0,0,Input!$C$27*H32)</f>
        <v>#REF!</v>
      </c>
      <c r="J32" s="27" t="e">
        <f t="shared" si="13"/>
        <v>#REF!</v>
      </c>
      <c r="K32" s="27" t="e">
        <f t="shared" si="10"/>
        <v>#REF!</v>
      </c>
      <c r="L32" s="29" t="e">
        <f t="shared" si="11"/>
        <v>#REF!</v>
      </c>
      <c r="M32" s="32" t="e">
        <f t="shared" si="14"/>
        <v>#REF!</v>
      </c>
      <c r="N32" s="32"/>
      <c r="O32" s="17" t="e">
        <f t="shared" si="15"/>
        <v>#REF!</v>
      </c>
      <c r="P32" s="18" t="e">
        <f t="shared" si="16"/>
        <v>#REF!</v>
      </c>
      <c r="Q32" s="18" t="e">
        <f>Input!$C$26*O32</f>
        <v>#REF!</v>
      </c>
      <c r="R32" s="19" t="e">
        <f t="shared" si="17"/>
        <v>#REF!</v>
      </c>
    </row>
    <row r="33" spans="1:18" ht="15.6" x14ac:dyDescent="0.35">
      <c r="A33" s="8">
        <v>2030</v>
      </c>
      <c r="B33" s="9"/>
      <c r="C33" s="26">
        <f>'Project IRR'!D33</f>
        <v>22.814259645842647</v>
      </c>
      <c r="D33" s="26" t="e">
        <f>'Project IRR'!E33</f>
        <v>#REF!</v>
      </c>
      <c r="E33" s="26" t="e">
        <f>'Project IRR'!F33</f>
        <v>#REF!</v>
      </c>
      <c r="F33" s="26" t="e">
        <f>'Project IRR'!G33</f>
        <v>#REF!</v>
      </c>
      <c r="G33" s="27" t="e">
        <f t="shared" si="9"/>
        <v>#REF!</v>
      </c>
      <c r="H33" s="26" t="e">
        <f t="shared" si="12"/>
        <v>#REF!</v>
      </c>
      <c r="I33" s="26" t="e">
        <f>IF(H33&lt;0,0,Input!$C$27*H33)</f>
        <v>#REF!</v>
      </c>
      <c r="J33" s="27" t="e">
        <f t="shared" si="13"/>
        <v>#REF!</v>
      </c>
      <c r="K33" s="27" t="e">
        <f t="shared" si="10"/>
        <v>#REF!</v>
      </c>
      <c r="L33" s="29" t="e">
        <f t="shared" si="11"/>
        <v>#REF!</v>
      </c>
      <c r="M33" s="32" t="e">
        <f t="shared" si="14"/>
        <v>#REF!</v>
      </c>
      <c r="N33" s="33"/>
      <c r="O33" s="17" t="e">
        <f t="shared" si="15"/>
        <v>#REF!</v>
      </c>
      <c r="P33" s="18" t="e">
        <f t="shared" si="16"/>
        <v>#REF!</v>
      </c>
      <c r="Q33" s="18" t="e">
        <f>Input!$C$26*O33</f>
        <v>#REF!</v>
      </c>
      <c r="R33" s="19" t="e">
        <f t="shared" si="17"/>
        <v>#REF!</v>
      </c>
    </row>
    <row r="34" spans="1:18" ht="15.6" x14ac:dyDescent="0.35">
      <c r="A34" s="8">
        <v>2031</v>
      </c>
      <c r="B34" s="9"/>
      <c r="C34" s="26">
        <f>'Project IRR'!D34</f>
        <v>22.586117049384221</v>
      </c>
      <c r="D34" s="26" t="e">
        <f>'Project IRR'!E34</f>
        <v>#REF!</v>
      </c>
      <c r="E34" s="26" t="e">
        <f>'Project IRR'!F34</f>
        <v>#REF!</v>
      </c>
      <c r="F34" s="26" t="e">
        <f>'Project IRR'!G34</f>
        <v>#REF!</v>
      </c>
      <c r="G34" s="27" t="e">
        <f t="shared" si="9"/>
        <v>#REF!</v>
      </c>
      <c r="H34" s="26" t="e">
        <f t="shared" si="12"/>
        <v>#REF!</v>
      </c>
      <c r="I34" s="26" t="e">
        <f>IF(H34&lt;0,0,Input!$C$27*H34)</f>
        <v>#REF!</v>
      </c>
      <c r="J34" s="27" t="e">
        <f t="shared" si="13"/>
        <v>#REF!</v>
      </c>
      <c r="K34" s="27" t="e">
        <f t="shared" si="10"/>
        <v>#REF!</v>
      </c>
      <c r="L34" s="29" t="e">
        <f t="shared" si="11"/>
        <v>#REF!</v>
      </c>
      <c r="M34" s="32" t="e">
        <f t="shared" si="14"/>
        <v>#REF!</v>
      </c>
      <c r="N34" s="32"/>
      <c r="O34" s="17" t="e">
        <f t="shared" si="15"/>
        <v>#REF!</v>
      </c>
      <c r="P34" s="18" t="e">
        <f t="shared" si="16"/>
        <v>#REF!</v>
      </c>
      <c r="Q34" s="18" t="e">
        <f>Input!$C$26*O34</f>
        <v>#REF!</v>
      </c>
      <c r="R34" s="19" t="e">
        <f t="shared" si="17"/>
        <v>#REF!</v>
      </c>
    </row>
    <row r="35" spans="1:18" ht="15.6" x14ac:dyDescent="0.35">
      <c r="A35" s="8">
        <v>2032</v>
      </c>
      <c r="B35" s="9"/>
      <c r="C35" s="26">
        <f>'Project IRR'!D35</f>
        <v>22.360255878890378</v>
      </c>
      <c r="D35" s="26" t="e">
        <f>'Project IRR'!E35</f>
        <v>#REF!</v>
      </c>
      <c r="E35" s="26" t="e">
        <f>'Project IRR'!F35</f>
        <v>#REF!</v>
      </c>
      <c r="F35" s="26" t="e">
        <f>'Project IRR'!G35</f>
        <v>#REF!</v>
      </c>
      <c r="G35" s="27" t="e">
        <f t="shared" si="9"/>
        <v>#REF!</v>
      </c>
      <c r="H35" s="26" t="e">
        <f t="shared" si="12"/>
        <v>#REF!</v>
      </c>
      <c r="I35" s="26" t="e">
        <f>IF(H35&lt;0,0,Input!$C$27*H35)</f>
        <v>#REF!</v>
      </c>
      <c r="J35" s="27" t="e">
        <f t="shared" si="13"/>
        <v>#REF!</v>
      </c>
      <c r="K35" s="27" t="e">
        <f t="shared" si="10"/>
        <v>#REF!</v>
      </c>
      <c r="L35" s="29" t="e">
        <f t="shared" si="11"/>
        <v>#REF!</v>
      </c>
      <c r="M35" s="32" t="e">
        <f t="shared" si="14"/>
        <v>#REF!</v>
      </c>
      <c r="N35" s="32"/>
      <c r="O35" s="17" t="e">
        <f t="shared" si="15"/>
        <v>#REF!</v>
      </c>
      <c r="P35" s="18" t="e">
        <f t="shared" si="16"/>
        <v>#REF!</v>
      </c>
      <c r="Q35" s="18" t="e">
        <f>Input!$C$26*O35</f>
        <v>#REF!</v>
      </c>
      <c r="R35" s="19" t="e">
        <f t="shared" si="17"/>
        <v>#REF!</v>
      </c>
    </row>
    <row r="36" spans="1:18" ht="15.6" x14ac:dyDescent="0.35">
      <c r="A36" s="8">
        <v>2033</v>
      </c>
      <c r="B36" s="9"/>
      <c r="C36" s="26">
        <f>'Project IRR'!D36</f>
        <v>22.136653320101473</v>
      </c>
      <c r="D36" s="26" t="e">
        <f>'Project IRR'!E36</f>
        <v>#REF!</v>
      </c>
      <c r="E36" s="26" t="e">
        <f>'Project IRR'!F36</f>
        <v>#REF!</v>
      </c>
      <c r="F36" s="26" t="e">
        <f>'Project IRR'!G36</f>
        <v>#REF!</v>
      </c>
      <c r="G36" s="27" t="e">
        <f t="shared" si="9"/>
        <v>#REF!</v>
      </c>
      <c r="H36" s="26" t="e">
        <f t="shared" si="12"/>
        <v>#REF!</v>
      </c>
      <c r="I36" s="26" t="e">
        <f>IF(H36&lt;0,0,Input!$C$27*H36)</f>
        <v>#REF!</v>
      </c>
      <c r="J36" s="27" t="e">
        <f t="shared" si="13"/>
        <v>#REF!</v>
      </c>
      <c r="K36" s="27" t="e">
        <f t="shared" si="10"/>
        <v>#REF!</v>
      </c>
      <c r="L36" s="29" t="e">
        <f t="shared" si="11"/>
        <v>#REF!</v>
      </c>
      <c r="M36" s="32" t="e">
        <f t="shared" si="14"/>
        <v>#REF!</v>
      </c>
      <c r="N36" s="32"/>
      <c r="O36" s="17" t="e">
        <f t="shared" si="15"/>
        <v>#REF!</v>
      </c>
      <c r="P36" s="18" t="e">
        <f t="shared" si="16"/>
        <v>#REF!</v>
      </c>
      <c r="Q36" s="18" t="e">
        <f>Input!$C$26*O36</f>
        <v>#REF!</v>
      </c>
      <c r="R36" s="19" t="e">
        <f t="shared" si="17"/>
        <v>#REF!</v>
      </c>
    </row>
    <row r="37" spans="1:18" ht="15.6" x14ac:dyDescent="0.35">
      <c r="A37" s="8">
        <v>2034</v>
      </c>
      <c r="B37" s="9"/>
      <c r="C37" s="26">
        <f>'Project IRR'!D37</f>
        <v>21.91528678690046</v>
      </c>
      <c r="D37" s="26" t="e">
        <f>'Project IRR'!E37</f>
        <v>#REF!</v>
      </c>
      <c r="E37" s="26" t="e">
        <f>'Project IRR'!F37</f>
        <v>#REF!</v>
      </c>
      <c r="F37" s="26" t="e">
        <f>'Project IRR'!G37</f>
        <v>#REF!</v>
      </c>
      <c r="G37" s="27" t="e">
        <f t="shared" si="9"/>
        <v>#REF!</v>
      </c>
      <c r="H37" s="26" t="e">
        <f t="shared" si="12"/>
        <v>#REF!</v>
      </c>
      <c r="I37" s="26" t="e">
        <f>IF(H37&lt;0,0,Input!$C$27*H37)</f>
        <v>#REF!</v>
      </c>
      <c r="J37" s="27" t="e">
        <f t="shared" si="13"/>
        <v>#REF!</v>
      </c>
      <c r="K37" s="27" t="e">
        <f t="shared" si="10"/>
        <v>#REF!</v>
      </c>
      <c r="L37" s="29" t="e">
        <f t="shared" si="11"/>
        <v>#REF!</v>
      </c>
      <c r="M37" s="32" t="e">
        <f t="shared" si="14"/>
        <v>#REF!</v>
      </c>
      <c r="N37" s="33"/>
      <c r="O37" s="17" t="e">
        <f t="shared" si="15"/>
        <v>#REF!</v>
      </c>
      <c r="P37" s="18" t="e">
        <f t="shared" si="16"/>
        <v>#REF!</v>
      </c>
      <c r="Q37" s="18" t="e">
        <f>Input!$C$26*O37</f>
        <v>#REF!</v>
      </c>
      <c r="R37" s="19" t="e">
        <f t="shared" si="17"/>
        <v>#REF!</v>
      </c>
    </row>
    <row r="38" spans="1:18" ht="15.6" x14ac:dyDescent="0.35">
      <c r="A38" s="8">
        <v>2035</v>
      </c>
      <c r="B38" s="9"/>
      <c r="C38" s="26">
        <f>'Project IRR'!D38</f>
        <v>21.696133919031453</v>
      </c>
      <c r="D38" s="26" t="e">
        <f>'Project IRR'!E38</f>
        <v>#REF!</v>
      </c>
      <c r="E38" s="26" t="e">
        <f>'Project IRR'!F38</f>
        <v>#REF!</v>
      </c>
      <c r="F38" s="26" t="e">
        <f>'Project IRR'!G38</f>
        <v>#REF!</v>
      </c>
      <c r="G38" s="27" t="e">
        <f t="shared" si="9"/>
        <v>#REF!</v>
      </c>
      <c r="H38" s="26" t="e">
        <f t="shared" si="12"/>
        <v>#REF!</v>
      </c>
      <c r="I38" s="26" t="e">
        <f>IF(H38&lt;0,0,Input!$C$27*H38)</f>
        <v>#REF!</v>
      </c>
      <c r="J38" s="27" t="e">
        <f t="shared" si="13"/>
        <v>#REF!</v>
      </c>
      <c r="K38" s="27" t="e">
        <f t="shared" si="10"/>
        <v>#REF!</v>
      </c>
      <c r="L38" s="29" t="e">
        <f t="shared" si="11"/>
        <v>#REF!</v>
      </c>
      <c r="M38" s="32" t="e">
        <f t="shared" si="14"/>
        <v>#REF!</v>
      </c>
      <c r="N38" s="33"/>
      <c r="O38" s="17" t="e">
        <f t="shared" si="15"/>
        <v>#REF!</v>
      </c>
      <c r="P38" s="18" t="e">
        <f t="shared" si="16"/>
        <v>#REF!</v>
      </c>
      <c r="Q38" s="18" t="e">
        <f>Input!$C$26*O38</f>
        <v>#REF!</v>
      </c>
      <c r="R38" s="19" t="e">
        <f t="shared" si="17"/>
        <v>#REF!</v>
      </c>
    </row>
    <row r="39" spans="1:18" ht="15.6" x14ac:dyDescent="0.35">
      <c r="A39" s="8">
        <v>2036</v>
      </c>
      <c r="B39" s="9"/>
      <c r="C39" s="26">
        <f>'Project IRR'!D39</f>
        <v>21.479172579841137</v>
      </c>
      <c r="D39" s="26" t="e">
        <f>'Project IRR'!E39</f>
        <v>#REF!</v>
      </c>
      <c r="E39" s="26" t="e">
        <f>'Project IRR'!F39</f>
        <v>#REF!</v>
      </c>
      <c r="F39" s="26" t="e">
        <f>'Project IRR'!G39</f>
        <v>#REF!</v>
      </c>
      <c r="G39" s="27" t="e">
        <f t="shared" si="9"/>
        <v>#REF!</v>
      </c>
      <c r="H39" s="26" t="e">
        <f t="shared" si="12"/>
        <v>#REF!</v>
      </c>
      <c r="I39" s="26" t="e">
        <f>IF(H39&lt;0,0,Input!$C$27*H39)</f>
        <v>#REF!</v>
      </c>
      <c r="J39" s="27" t="e">
        <f t="shared" si="13"/>
        <v>#REF!</v>
      </c>
      <c r="K39" s="27" t="e">
        <f t="shared" si="10"/>
        <v>#REF!</v>
      </c>
      <c r="L39" s="29" t="e">
        <f t="shared" si="11"/>
        <v>#REF!</v>
      </c>
      <c r="M39" s="32" t="e">
        <f t="shared" si="14"/>
        <v>#REF!</v>
      </c>
      <c r="N39" s="33"/>
      <c r="O39" s="17" t="e">
        <f t="shared" si="15"/>
        <v>#REF!</v>
      </c>
      <c r="P39" s="18" t="e">
        <f t="shared" si="16"/>
        <v>#REF!</v>
      </c>
      <c r="Q39" s="18" t="e">
        <f>Input!$C$26*O39</f>
        <v>#REF!</v>
      </c>
      <c r="R39" s="19" t="e">
        <f t="shared" si="17"/>
        <v>#REF!</v>
      </c>
    </row>
    <row r="40" spans="1:18" ht="15.6" x14ac:dyDescent="0.35">
      <c r="A40" s="8">
        <v>2037</v>
      </c>
      <c r="B40" s="9"/>
      <c r="C40" s="26">
        <f>'Project IRR'!D40</f>
        <v>21.264380854042724</v>
      </c>
      <c r="D40" s="26" t="e">
        <f>'Project IRR'!E40</f>
        <v>#REF!</v>
      </c>
      <c r="E40" s="26" t="e">
        <f>'Project IRR'!F40</f>
        <v>#REF!</v>
      </c>
      <c r="F40" s="26" t="e">
        <f>'Project IRR'!G40</f>
        <v>#REF!</v>
      </c>
      <c r="G40" s="27" t="e">
        <f t="shared" si="9"/>
        <v>#REF!</v>
      </c>
      <c r="H40" s="26" t="e">
        <f t="shared" si="12"/>
        <v>#REF!</v>
      </c>
      <c r="I40" s="26" t="e">
        <f>IF(H40&lt;0,0,Input!$C$27*H40)</f>
        <v>#REF!</v>
      </c>
      <c r="J40" s="27" t="e">
        <f t="shared" si="13"/>
        <v>#REF!</v>
      </c>
      <c r="K40" s="27" t="e">
        <f t="shared" si="10"/>
        <v>#REF!</v>
      </c>
      <c r="L40" s="29" t="e">
        <f t="shared" si="11"/>
        <v>#REF!</v>
      </c>
      <c r="M40" s="32" t="e">
        <f t="shared" si="14"/>
        <v>#REF!</v>
      </c>
      <c r="N40" s="33"/>
      <c r="O40" s="17" t="e">
        <f t="shared" si="15"/>
        <v>#REF!</v>
      </c>
      <c r="P40" s="18" t="e">
        <f t="shared" si="16"/>
        <v>#REF!</v>
      </c>
      <c r="Q40" s="18" t="e">
        <f>Input!$C$26*O40</f>
        <v>#REF!</v>
      </c>
      <c r="R40" s="19" t="e">
        <f t="shared" si="17"/>
        <v>#REF!</v>
      </c>
    </row>
    <row r="41" spans="1:18" ht="15.6" x14ac:dyDescent="0.35">
      <c r="A41" s="8">
        <v>2038</v>
      </c>
      <c r="B41" s="9"/>
      <c r="C41" s="26">
        <f>'Project IRR'!D41</f>
        <v>21.051737045502296</v>
      </c>
      <c r="D41" s="26" t="e">
        <f>'Project IRR'!E41</f>
        <v>#REF!</v>
      </c>
      <c r="E41" s="26" t="e">
        <f>'Project IRR'!F41</f>
        <v>#REF!</v>
      </c>
      <c r="F41" s="26" t="e">
        <f>'Project IRR'!G41</f>
        <v>#REF!</v>
      </c>
      <c r="G41" s="27" t="e">
        <f t="shared" si="9"/>
        <v>#REF!</v>
      </c>
      <c r="H41" s="26" t="e">
        <f t="shared" si="12"/>
        <v>#REF!</v>
      </c>
      <c r="I41" s="26" t="e">
        <f>IF(H41&lt;0,0,Input!$C$27*H41)</f>
        <v>#REF!</v>
      </c>
      <c r="J41" s="27" t="e">
        <f t="shared" si="13"/>
        <v>#REF!</v>
      </c>
      <c r="K41" s="27" t="e">
        <f t="shared" si="10"/>
        <v>#REF!</v>
      </c>
      <c r="L41" s="29" t="e">
        <f t="shared" si="11"/>
        <v>#REF!</v>
      </c>
      <c r="M41" s="32" t="e">
        <f t="shared" si="14"/>
        <v>#REF!</v>
      </c>
      <c r="N41" s="33"/>
      <c r="O41" s="17" t="e">
        <f t="shared" si="15"/>
        <v>#REF!</v>
      </c>
      <c r="P41" s="18" t="e">
        <f t="shared" si="16"/>
        <v>#REF!</v>
      </c>
      <c r="Q41" s="18" t="e">
        <f>Input!$C$26*O41</f>
        <v>#REF!</v>
      </c>
      <c r="R41" s="19" t="e">
        <f t="shared" si="17"/>
        <v>#REF!</v>
      </c>
    </row>
    <row r="42" spans="1:18" ht="15.6" x14ac:dyDescent="0.35">
      <c r="A42" s="8">
        <v>2039</v>
      </c>
      <c r="B42" s="9"/>
      <c r="C42" s="26">
        <f>'Project IRR'!D42</f>
        <v>20.841219675047274</v>
      </c>
      <c r="D42" s="26" t="e">
        <f>'Project IRR'!E42</f>
        <v>#REF!</v>
      </c>
      <c r="E42" s="26" t="e">
        <f>'Project IRR'!F42</f>
        <v>#REF!</v>
      </c>
      <c r="F42" s="26" t="e">
        <f>'Project IRR'!G42</f>
        <v>#REF!</v>
      </c>
      <c r="G42" s="27" t="e">
        <f t="shared" si="9"/>
        <v>#REF!</v>
      </c>
      <c r="H42" s="26" t="e">
        <f t="shared" si="12"/>
        <v>#REF!</v>
      </c>
      <c r="I42" s="26" t="e">
        <f>IF(H42&lt;0,0,Input!$C$27*H42)</f>
        <v>#REF!</v>
      </c>
      <c r="J42" s="27" t="e">
        <f t="shared" si="13"/>
        <v>#REF!</v>
      </c>
      <c r="K42" s="27" t="e">
        <f t="shared" si="10"/>
        <v>#REF!</v>
      </c>
      <c r="L42" s="29" t="e">
        <f t="shared" si="11"/>
        <v>#REF!</v>
      </c>
      <c r="M42" s="32" t="e">
        <f t="shared" si="14"/>
        <v>#REF!</v>
      </c>
      <c r="N42" s="33"/>
      <c r="O42" s="17" t="e">
        <f t="shared" si="15"/>
        <v>#REF!</v>
      </c>
      <c r="P42" s="18" t="e">
        <f t="shared" si="16"/>
        <v>#REF!</v>
      </c>
      <c r="Q42" s="18" t="e">
        <f>Input!$C$26*O42</f>
        <v>#REF!</v>
      </c>
      <c r="R42" s="19" t="e">
        <f t="shared" si="17"/>
        <v>#REF!</v>
      </c>
    </row>
    <row r="43" spans="1:18" ht="15.6" x14ac:dyDescent="0.35">
      <c r="A43" s="8">
        <v>2040</v>
      </c>
      <c r="B43" s="9"/>
      <c r="C43" s="26">
        <f>'Project IRR'!D43</f>
        <v>20.632807478296801</v>
      </c>
      <c r="D43" s="26" t="e">
        <f>'Project IRR'!E43</f>
        <v>#REF!</v>
      </c>
      <c r="E43" s="26" t="e">
        <f>'Project IRR'!F43</f>
        <v>#REF!</v>
      </c>
      <c r="F43" s="26" t="e">
        <f>'Project IRR'!G43</f>
        <v>#REF!</v>
      </c>
      <c r="G43" s="27" t="e">
        <f t="shared" si="9"/>
        <v>#REF!</v>
      </c>
      <c r="H43" s="26" t="e">
        <f t="shared" si="12"/>
        <v>#REF!</v>
      </c>
      <c r="I43" s="26" t="e">
        <f>IF(H43&lt;0,0,Input!$C$27*H43)</f>
        <v>#REF!</v>
      </c>
      <c r="J43" s="27" t="e">
        <f t="shared" si="13"/>
        <v>#REF!</v>
      </c>
      <c r="K43" s="27" t="e">
        <f t="shared" si="10"/>
        <v>#REF!</v>
      </c>
      <c r="L43" s="29" t="e">
        <f t="shared" si="11"/>
        <v>#REF!</v>
      </c>
      <c r="M43" s="32" t="e">
        <f t="shared" si="14"/>
        <v>#REF!</v>
      </c>
      <c r="N43" s="33"/>
      <c r="O43" s="17" t="e">
        <f t="shared" si="15"/>
        <v>#REF!</v>
      </c>
      <c r="P43" s="18" t="e">
        <f t="shared" si="16"/>
        <v>#REF!</v>
      </c>
      <c r="Q43" s="18" t="e">
        <f>Input!$C$26*O43</f>
        <v>#REF!</v>
      </c>
      <c r="R43" s="19" t="e">
        <f t="shared" si="17"/>
        <v>#REF!</v>
      </c>
    </row>
    <row r="44" spans="1:18" ht="16.2" thickBot="1" x14ac:dyDescent="0.4">
      <c r="A44" s="8">
        <v>2041</v>
      </c>
      <c r="B44" s="9"/>
      <c r="C44" s="26">
        <f>'Project IRR'!D44</f>
        <v>20.426479403513834</v>
      </c>
      <c r="D44" s="26" t="e">
        <f>'Project IRR'!E44</f>
        <v>#REF!</v>
      </c>
      <c r="E44" s="26" t="e">
        <f>'Project IRR'!F44</f>
        <v>#REF!</v>
      </c>
      <c r="F44" s="26" t="e">
        <f>'Project IRR'!G44</f>
        <v>#REF!</v>
      </c>
      <c r="G44" s="27" t="e">
        <f t="shared" si="9"/>
        <v>#REF!</v>
      </c>
      <c r="H44" s="26" t="e">
        <f t="shared" si="12"/>
        <v>#REF!</v>
      </c>
      <c r="I44" s="26" t="e">
        <f>IF(H44&lt;0,0,Input!$C$27*H44)</f>
        <v>#REF!</v>
      </c>
      <c r="J44" s="27" t="e">
        <f t="shared" si="13"/>
        <v>#REF!</v>
      </c>
      <c r="K44" s="27" t="e">
        <f t="shared" si="10"/>
        <v>#REF!</v>
      </c>
      <c r="L44" s="29" t="e">
        <f t="shared" si="11"/>
        <v>#REF!</v>
      </c>
      <c r="M44" s="32" t="e">
        <f t="shared" si="14"/>
        <v>#REF!</v>
      </c>
      <c r="N44" s="33"/>
      <c r="O44" s="61" t="e">
        <f t="shared" si="15"/>
        <v>#REF!</v>
      </c>
      <c r="P44" s="20" t="e">
        <f t="shared" si="16"/>
        <v>#REF!</v>
      </c>
      <c r="Q44" s="20" t="e">
        <f>Input!$C$26*O44</f>
        <v>#REF!</v>
      </c>
      <c r="R44" s="21" t="e">
        <f t="shared" si="17"/>
        <v>#REF!</v>
      </c>
    </row>
    <row r="45" spans="1:18" ht="15.6" x14ac:dyDescent="0.35">
      <c r="A45" s="8">
        <v>2042</v>
      </c>
      <c r="B45" s="9"/>
      <c r="C45" s="26">
        <f>'Project IRR'!D45</f>
        <v>20.222214609478694</v>
      </c>
      <c r="D45" s="26" t="e">
        <f>'Project IRR'!E45</f>
        <v>#REF!</v>
      </c>
      <c r="E45" s="26" t="e">
        <f>'Project IRR'!F45</f>
        <v>#REF!</v>
      </c>
      <c r="F45" s="26" t="e">
        <f>'Project IRR'!G45</f>
        <v>#REF!</v>
      </c>
      <c r="G45" s="27">
        <f t="shared" si="9"/>
        <v>0</v>
      </c>
      <c r="H45" s="26" t="e">
        <f t="shared" si="12"/>
        <v>#REF!</v>
      </c>
      <c r="I45" s="26" t="e">
        <f>IF(H45&lt;0,0,Input!$C$27*H45)</f>
        <v>#REF!</v>
      </c>
      <c r="J45" s="27" t="e">
        <f t="shared" si="13"/>
        <v>#REF!</v>
      </c>
      <c r="K45" s="27">
        <f t="shared" si="10"/>
        <v>0</v>
      </c>
      <c r="L45" s="29" t="e">
        <f t="shared" si="11"/>
        <v>#REF!</v>
      </c>
      <c r="M45" s="33"/>
      <c r="N45" s="33"/>
    </row>
    <row r="46" spans="1:18" ht="15.6" x14ac:dyDescent="0.35">
      <c r="A46" s="8">
        <v>2043</v>
      </c>
      <c r="B46" s="9"/>
      <c r="C46" s="26">
        <f>'Project IRR'!D46</f>
        <v>20.019992463383907</v>
      </c>
      <c r="D46" s="26" t="e">
        <f>'Project IRR'!E46</f>
        <v>#REF!</v>
      </c>
      <c r="E46" s="26" t="e">
        <f>'Project IRR'!F46</f>
        <v>#REF!</v>
      </c>
      <c r="F46" s="26" t="e">
        <f>'Project IRR'!G46</f>
        <v>#REF!</v>
      </c>
      <c r="G46" s="27">
        <f t="shared" si="9"/>
        <v>0</v>
      </c>
      <c r="H46" s="26" t="e">
        <f t="shared" si="12"/>
        <v>#REF!</v>
      </c>
      <c r="I46" s="26" t="e">
        <f>IF(H46&lt;0,0,Input!$C$27*H46)</f>
        <v>#REF!</v>
      </c>
      <c r="J46" s="27" t="e">
        <f t="shared" si="13"/>
        <v>#REF!</v>
      </c>
      <c r="K46" s="27">
        <f t="shared" si="10"/>
        <v>0</v>
      </c>
      <c r="L46" s="29" t="e">
        <f t="shared" si="11"/>
        <v>#REF!</v>
      </c>
      <c r="M46" s="33"/>
      <c r="N46" s="33"/>
    </row>
    <row r="47" spans="1:18" ht="16.2" thickBot="1" x14ac:dyDescent="0.4">
      <c r="A47" s="10"/>
      <c r="B47" s="11"/>
      <c r="C47" s="12"/>
      <c r="D47" s="12"/>
      <c r="E47" s="12"/>
      <c r="F47" s="12"/>
      <c r="G47" s="12"/>
      <c r="H47" s="12"/>
      <c r="I47" s="13"/>
      <c r="J47" s="56" t="s">
        <v>10</v>
      </c>
      <c r="K47" s="60"/>
      <c r="L47" s="57" t="e">
        <f>IRR(L26:L46)</f>
        <v>#VALUE!</v>
      </c>
      <c r="M47" s="65" t="e">
        <f>AVERAGE(M27:M44)</f>
        <v>#REF!</v>
      </c>
      <c r="N47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B22D-5434-4ECE-B789-99D77F7D86F7}">
  <dimension ref="B3:I25"/>
  <sheetViews>
    <sheetView workbookViewId="0">
      <selection activeCell="G28" sqref="G28"/>
    </sheetView>
  </sheetViews>
  <sheetFormatPr defaultRowHeight="14.4" x14ac:dyDescent="0.3"/>
  <cols>
    <col min="2" max="2" width="36.109375" customWidth="1"/>
    <col min="3" max="3" width="18.5546875" customWidth="1"/>
    <col min="7" max="7" width="38.33203125" customWidth="1"/>
    <col min="8" max="8" width="16.109375" customWidth="1"/>
  </cols>
  <sheetData>
    <row r="3" spans="2:9" x14ac:dyDescent="0.3">
      <c r="B3" s="86" t="s">
        <v>26</v>
      </c>
      <c r="C3" s="86"/>
    </row>
    <row r="4" spans="2:9" ht="15" thickBot="1" x14ac:dyDescent="0.35"/>
    <row r="5" spans="2:9" ht="25.8" thickBot="1" x14ac:dyDescent="0.35">
      <c r="B5" s="34" t="s">
        <v>17</v>
      </c>
      <c r="C5" s="35">
        <v>14.4</v>
      </c>
      <c r="D5">
        <f>C5/$C$11</f>
        <v>0.59016393442622961</v>
      </c>
      <c r="G5" s="34" t="s">
        <v>17</v>
      </c>
      <c r="H5" s="35">
        <v>14.4</v>
      </c>
      <c r="I5">
        <v>0.59016393442622961</v>
      </c>
    </row>
    <row r="6" spans="2:9" ht="25.8" thickBot="1" x14ac:dyDescent="0.35">
      <c r="B6" s="36" t="s">
        <v>18</v>
      </c>
      <c r="C6" s="37">
        <v>3.2</v>
      </c>
      <c r="D6">
        <f t="shared" ref="D6:D10" si="0">C6/$C$11</f>
        <v>0.13114754098360656</v>
      </c>
      <c r="G6" s="36" t="s">
        <v>18</v>
      </c>
      <c r="H6" s="37">
        <v>3.2</v>
      </c>
      <c r="I6">
        <v>0.13114754098360656</v>
      </c>
    </row>
    <row r="7" spans="2:9" ht="15" thickBot="1" x14ac:dyDescent="0.35">
      <c r="B7" s="36" t="s">
        <v>19</v>
      </c>
      <c r="C7" s="37">
        <v>4.2</v>
      </c>
      <c r="D7">
        <f t="shared" si="0"/>
        <v>0.17213114754098363</v>
      </c>
      <c r="G7" s="36" t="s">
        <v>19</v>
      </c>
      <c r="H7" s="37">
        <v>4.2</v>
      </c>
      <c r="I7">
        <v>0.17213114754098363</v>
      </c>
    </row>
    <row r="8" spans="2:9" ht="15" thickBot="1" x14ac:dyDescent="0.35">
      <c r="B8" s="36" t="s">
        <v>20</v>
      </c>
      <c r="C8" s="37">
        <v>0.8</v>
      </c>
      <c r="D8">
        <f t="shared" si="0"/>
        <v>3.2786885245901641E-2</v>
      </c>
      <c r="G8" s="36" t="s">
        <v>20</v>
      </c>
      <c r="H8" s="37">
        <v>0.8</v>
      </c>
      <c r="I8">
        <v>3.2786885245901641E-2</v>
      </c>
    </row>
    <row r="9" spans="2:9" ht="25.8" thickBot="1" x14ac:dyDescent="0.35">
      <c r="B9" s="36" t="s">
        <v>21</v>
      </c>
      <c r="C9" s="37">
        <v>0.9</v>
      </c>
      <c r="D9">
        <f t="shared" si="0"/>
        <v>3.6885245901639351E-2</v>
      </c>
      <c r="G9" s="36" t="s">
        <v>21</v>
      </c>
      <c r="H9" s="37">
        <v>0.9</v>
      </c>
      <c r="I9">
        <v>3.6885245901639351E-2</v>
      </c>
    </row>
    <row r="10" spans="2:9" ht="15" thickBot="1" x14ac:dyDescent="0.35">
      <c r="B10" s="36" t="s">
        <v>22</v>
      </c>
      <c r="C10" s="37">
        <v>0.9</v>
      </c>
      <c r="D10">
        <f t="shared" si="0"/>
        <v>3.6885245901639351E-2</v>
      </c>
      <c r="G10" s="36" t="s">
        <v>22</v>
      </c>
      <c r="H10" s="37">
        <v>0.9</v>
      </c>
      <c r="I10">
        <v>3.6885245901639351E-2</v>
      </c>
    </row>
    <row r="11" spans="2:9" ht="15" thickBot="1" x14ac:dyDescent="0.35">
      <c r="B11" s="38" t="s">
        <v>23</v>
      </c>
      <c r="C11" s="39">
        <v>24.4</v>
      </c>
      <c r="G11" s="38" t="s">
        <v>23</v>
      </c>
      <c r="H11" s="39">
        <v>16.239999999999998</v>
      </c>
    </row>
    <row r="13" spans="2:9" ht="15" thickBot="1" x14ac:dyDescent="0.35"/>
    <row r="14" spans="2:9" ht="25.8" thickBot="1" x14ac:dyDescent="0.35">
      <c r="B14" s="34" t="s">
        <v>24</v>
      </c>
      <c r="C14" s="35">
        <v>7.2</v>
      </c>
      <c r="D14">
        <f>C14/$C$16</f>
        <v>0.94736842105263164</v>
      </c>
      <c r="G14" s="34" t="s">
        <v>24</v>
      </c>
      <c r="H14" s="40">
        <f>I14*$H$16</f>
        <v>3.0789473684210527</v>
      </c>
      <c r="I14">
        <v>0.94736842105263164</v>
      </c>
    </row>
    <row r="15" spans="2:9" ht="25.8" thickBot="1" x14ac:dyDescent="0.35">
      <c r="B15" s="36" t="s">
        <v>25</v>
      </c>
      <c r="C15" s="37">
        <v>0.4</v>
      </c>
      <c r="D15">
        <f>C15/$C$16</f>
        <v>5.2631578947368425E-2</v>
      </c>
      <c r="G15" s="36" t="s">
        <v>25</v>
      </c>
      <c r="H15" s="40">
        <f>I15*$H$16</f>
        <v>0.17105263157894737</v>
      </c>
      <c r="I15">
        <v>5.2631578947368425E-2</v>
      </c>
    </row>
    <row r="16" spans="2:9" ht="15" thickBot="1" x14ac:dyDescent="0.35">
      <c r="B16" s="38" t="s">
        <v>23</v>
      </c>
      <c r="C16" s="39">
        <v>7.6</v>
      </c>
      <c r="G16" s="38" t="s">
        <v>23</v>
      </c>
      <c r="H16" s="39">
        <v>3.25</v>
      </c>
    </row>
    <row r="20" spans="2:9" ht="15" thickBot="1" x14ac:dyDescent="0.35"/>
    <row r="21" spans="2:9" ht="15" thickBot="1" x14ac:dyDescent="0.35">
      <c r="B21" s="41" t="s">
        <v>27</v>
      </c>
      <c r="C21" s="42">
        <v>0.21</v>
      </c>
      <c r="D21">
        <f>C21/$C$25</f>
        <v>0.28767123287671231</v>
      </c>
      <c r="G21" s="41" t="s">
        <v>27</v>
      </c>
      <c r="H21" s="43">
        <f>I21*$H$25</f>
        <v>0.11506849315068493</v>
      </c>
      <c r="I21">
        <v>0.28767123287671231</v>
      </c>
    </row>
    <row r="22" spans="2:9" ht="25.8" thickBot="1" x14ac:dyDescent="0.35">
      <c r="B22" s="44" t="s">
        <v>28</v>
      </c>
      <c r="C22" s="45">
        <v>0.32</v>
      </c>
      <c r="D22">
        <f t="shared" ref="D22:D24" si="1">C22/$C$25</f>
        <v>0.43835616438356168</v>
      </c>
      <c r="G22" s="44" t="s">
        <v>28</v>
      </c>
      <c r="H22" s="43">
        <f t="shared" ref="H22:H24" si="2">I22*$H$25</f>
        <v>0.17534246575342469</v>
      </c>
      <c r="I22">
        <v>0.43835616438356168</v>
      </c>
    </row>
    <row r="23" spans="2:9" ht="15" thickBot="1" x14ac:dyDescent="0.35">
      <c r="B23" s="44" t="s">
        <v>29</v>
      </c>
      <c r="C23" s="45">
        <v>0.1</v>
      </c>
      <c r="D23">
        <f t="shared" si="1"/>
        <v>0.13698630136986303</v>
      </c>
      <c r="G23" s="44" t="s">
        <v>29</v>
      </c>
      <c r="H23" s="43">
        <f t="shared" si="2"/>
        <v>5.4794520547945216E-2</v>
      </c>
      <c r="I23">
        <v>0.13698630136986303</v>
      </c>
    </row>
    <row r="24" spans="2:9" ht="25.8" thickBot="1" x14ac:dyDescent="0.35">
      <c r="B24" s="44" t="s">
        <v>30</v>
      </c>
      <c r="C24" s="45">
        <v>0.1</v>
      </c>
      <c r="D24">
        <f t="shared" si="1"/>
        <v>0.13698630136986303</v>
      </c>
      <c r="G24" s="44" t="s">
        <v>30</v>
      </c>
      <c r="H24" s="43">
        <f t="shared" si="2"/>
        <v>5.4794520547945216E-2</v>
      </c>
      <c r="I24">
        <v>0.13698630136986303</v>
      </c>
    </row>
    <row r="25" spans="2:9" ht="15" thickBot="1" x14ac:dyDescent="0.35">
      <c r="B25" s="46" t="s">
        <v>23</v>
      </c>
      <c r="C25" s="47">
        <v>0.73</v>
      </c>
      <c r="G25" s="46" t="s">
        <v>23</v>
      </c>
      <c r="H25" s="47">
        <v>0.4</v>
      </c>
    </row>
  </sheetData>
  <mergeCells count="1">
    <mergeCell ref="B3:C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167052-5bcb-430a-9553-8847428d8ba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6C772D2764AD469874201638D3818A" ma:contentTypeVersion="17" ma:contentTypeDescription="Create a new document." ma:contentTypeScope="" ma:versionID="5ef81e3cbe7b98493ed554a60e722995">
  <xsd:schema xmlns:xsd="http://www.w3.org/2001/XMLSchema" xmlns:xs="http://www.w3.org/2001/XMLSchema" xmlns:p="http://schemas.microsoft.com/office/2006/metadata/properties" xmlns:ns2="9d0dcddf-073b-4cfd-98b0-d03eb5ab2d2b" xmlns:ns3="bd167052-5bcb-430a-9553-8847428d8ba1" targetNamespace="http://schemas.microsoft.com/office/2006/metadata/properties" ma:root="true" ma:fieldsID="945afba48ba8f711e58259397d2dcdc7" ns2:_="" ns3:_="">
    <xsd:import namespace="9d0dcddf-073b-4cfd-98b0-d03eb5ab2d2b"/>
    <xsd:import namespace="bd167052-5bcb-430a-9553-8847428d8b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3:MediaServiceOCR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0dcddf-073b-4cfd-98b0-d03eb5ab2d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167052-5bcb-430a-9553-8847428d8b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1ec3a9c-a0c6-4e20-a12d-7715a0567b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A97700-0B44-4DB6-A89E-1C46E40573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ED495D-7620-42A0-B7B6-152734504E81}">
  <ds:schemaRefs>
    <ds:schemaRef ds:uri="http://schemas.microsoft.com/office/infopath/2007/PartnerControls"/>
    <ds:schemaRef ds:uri="9d0dcddf-073b-4cfd-98b0-d03eb5ab2d2b"/>
    <ds:schemaRef ds:uri="http://purl.org/dc/terms/"/>
    <ds:schemaRef ds:uri="bd167052-5bcb-430a-9553-8847428d8ba1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C69A4D4-0D97-4D99-B8BC-ABEA821DC2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0dcddf-073b-4cfd-98b0-d03eb5ab2d2b"/>
    <ds:schemaRef ds:uri="bd167052-5bcb-430a-9553-8847428d8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Project IRR</vt:lpstr>
      <vt:lpstr>Equity IRR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Manousos Veisakis</cp:lastModifiedBy>
  <dcterms:created xsi:type="dcterms:W3CDTF">2022-08-04T08:33:51Z</dcterms:created>
  <dcterms:modified xsi:type="dcterms:W3CDTF">2024-01-31T17:34:43Z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0x0101003B6C772D2764AD469874201638D3818A</vt:lpwstr>
  </property>
  <property fmtid="{D5CDD505-2E9C-101B-9397-08002B2CF9AE}" pid="3" name="MOHDepartmentTaxonomy">
    <vt:lpwstr/>
  </property>
  <property fmtid="{D5CDD505-2E9C-101B-9397-08002B2CF9AE}" pid="4" name="md928f50fea8486a8a247c6e758e44c0">
    <vt:lpwstr/>
  </property>
  <property fmtid="{D5CDD505-2E9C-101B-9397-08002B2CF9AE}" pid="5" name="MediaServiceImageTags">
    <vt:lpwstr/>
  </property>
  <property fmtid="{D5CDD505-2E9C-101B-9397-08002B2CF9AE}" pid="6" name="TaxCatchAll">
    <vt:lpwstr/>
  </property>
  <property fmtid="{D5CDD505-2E9C-101B-9397-08002B2CF9AE}" pid="7" name="MOHCompanyTaxonomy">
    <vt:lpwstr/>
  </property>
  <property fmtid="{D5CDD505-2E9C-101B-9397-08002B2CF9AE}" pid="8" name="m45dc1a870af4d97977cc696372f3ecd">
    <vt:lpwstr/>
  </property>
</Properties>
</file>