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src/nav/helse-spleis/doc/okonomi/"/>
    </mc:Choice>
  </mc:AlternateContent>
  <xr:revisionPtr revIDLastSave="0" documentId="13_ncr:1_{1F99EAB1-E5AE-2646-BED4-1D5B1DBD1A18}" xr6:coauthVersionLast="45" xr6:coauthVersionMax="45" xr10:uidLastSave="{00000000-0000-0000-0000-000000000000}"/>
  <bookViews>
    <workbookView xWindow="25560" yWindow="1400" windowWidth="28660" windowHeight="25500" activeTab="1" xr2:uid="{BB3196D1-BBA6-4B4B-8E55-37C48C2FF3A4}"/>
  </bookViews>
  <sheets>
    <sheet name="Terminology" sheetId="1" r:id="rId1"/>
    <sheet name="Multiple Employers" sheetId="2" r:id="rId2"/>
  </sheets>
  <definedNames>
    <definedName name="ScalingFactor">'Multiple Employers'!$C$16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2" l="1"/>
  <c r="E21" i="2"/>
  <c r="F21" i="2"/>
  <c r="G21" i="2"/>
  <c r="D21" i="2"/>
  <c r="E20" i="2"/>
  <c r="F20" i="2"/>
  <c r="D20" i="2"/>
  <c r="E4" i="2"/>
  <c r="F4" i="2"/>
  <c r="G4" i="2"/>
  <c r="D4" i="2"/>
  <c r="B33" i="2"/>
  <c r="G5" i="2" l="1"/>
  <c r="F5" i="2"/>
  <c r="E5" i="2"/>
  <c r="D5" i="2"/>
  <c r="C14" i="2"/>
  <c r="D10" i="1"/>
  <c r="D11" i="1" s="1"/>
  <c r="D13" i="1"/>
  <c r="D4" i="1"/>
  <c r="D6" i="1" s="1"/>
  <c r="D8" i="1" s="1"/>
  <c r="D7" i="2" l="1"/>
  <c r="D9" i="2" s="1"/>
  <c r="E7" i="2"/>
  <c r="E9" i="2" s="1"/>
  <c r="E11" i="2" s="1"/>
  <c r="F7" i="2"/>
  <c r="F9" i="2" s="1"/>
  <c r="G7" i="2"/>
  <c r="G9" i="2" s="1"/>
  <c r="G11" i="2" s="1"/>
  <c r="D12" i="1"/>
  <c r="D14" i="1" s="1"/>
  <c r="F11" i="2" l="1"/>
  <c r="C12" i="2"/>
  <c r="C15" i="2" s="1"/>
  <c r="C16" i="2" s="1"/>
  <c r="D11" i="2"/>
  <c r="D15" i="1"/>
  <c r="D16" i="1" s="1"/>
  <c r="D17" i="1" s="1"/>
  <c r="F17" i="2" l="1"/>
  <c r="F18" i="2" s="1"/>
  <c r="F19" i="2" s="1"/>
  <c r="G17" i="2"/>
  <c r="G18" i="2" s="1"/>
  <c r="G19" i="2" s="1"/>
  <c r="E17" i="2"/>
  <c r="E18" i="2" s="1"/>
  <c r="E19" i="2" s="1"/>
  <c r="D17" i="2"/>
  <c r="D18" i="2" s="1"/>
  <c r="D19" i="2" s="1"/>
  <c r="G22" i="2" l="1"/>
  <c r="D22" i="2"/>
  <c r="F22" i="2"/>
  <c r="E22" i="2"/>
  <c r="D23" i="2" l="1"/>
  <c r="D24" i="2" s="1"/>
  <c r="G23" i="2"/>
  <c r="G24" i="2" s="1"/>
  <c r="E23" i="2"/>
  <c r="E24" i="2" s="1"/>
  <c r="F23" i="2"/>
  <c r="F24" i="2" s="1"/>
</calcChain>
</file>

<file path=xl/sharedStrings.xml><?xml version="1.0" encoding="utf-8"?>
<sst xmlns="http://schemas.openxmlformats.org/spreadsheetml/2006/main" count="116" uniqueCount="59">
  <si>
    <t>Term</t>
  </si>
  <si>
    <t>Meaning</t>
  </si>
  <si>
    <t>Example</t>
  </si>
  <si>
    <t>Format</t>
  </si>
  <si>
    <t>Integer</t>
  </si>
  <si>
    <t>Double</t>
  </si>
  <si>
    <t>Notes</t>
  </si>
  <si>
    <t>Format*</t>
  </si>
  <si>
    <t>*Definitions</t>
  </si>
  <si>
    <r>
      <rPr>
        <b/>
        <sz val="11"/>
        <color theme="1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in computer is 15-17 significant figures</t>
    </r>
  </si>
  <si>
    <t>Monthly * 12 / 260</t>
  </si>
  <si>
    <t>100% for employers, 80% for self-employed, etc.</t>
  </si>
  <si>
    <t>Rebate percentage</t>
  </si>
  <si>
    <t>After 6G limitation</t>
  </si>
  <si>
    <t>Employer percentage</t>
  </si>
  <si>
    <t>Amount to employer</t>
  </si>
  <si>
    <t>Amount to employee</t>
  </si>
  <si>
    <t>Remainder after deducting Arbeidsgiverbelop</t>
  </si>
  <si>
    <t>Daily rounding error</t>
  </si>
  <si>
    <t>Maximum yearly rounding error</t>
  </si>
  <si>
    <t>Worse case is 260 * 0.5, or +/- 130 kr.</t>
  </si>
  <si>
    <t>Emp 1</t>
  </si>
  <si>
    <t>Emp 2</t>
  </si>
  <si>
    <t>Emp 3</t>
  </si>
  <si>
    <t>Emp 4</t>
  </si>
  <si>
    <t>Grad</t>
  </si>
  <si>
    <t>Percentage sick</t>
  </si>
  <si>
    <t>Sykmelding is Integer, Soknad is ??</t>
  </si>
  <si>
    <t>6G</t>
  </si>
  <si>
    <t>Annual limitation</t>
  </si>
  <si>
    <t>Daily limitation</t>
  </si>
  <si>
    <t>Grunnbeløp</t>
  </si>
  <si>
    <t>Arbeidsgiverbeløp</t>
  </si>
  <si>
    <t>Personbeløp</t>
  </si>
  <si>
    <t>Beløp</t>
  </si>
  <si>
    <t>Grunnbeløp * 6 / 260</t>
  </si>
  <si>
    <t>Grad * Daily 6G</t>
  </si>
  <si>
    <t>Ratio from Inntektsmelding</t>
  </si>
  <si>
    <t>Spleis current rounds this number!</t>
  </si>
  <si>
    <t>Overall Grad</t>
  </si>
  <si>
    <t>Weighted percentage sick</t>
  </si>
  <si>
    <t>Person</t>
  </si>
  <si>
    <t>Maximum paid before 6G &amp; Grad</t>
  </si>
  <si>
    <t>Grad scaled limitation</t>
  </si>
  <si>
    <t>Scaling factor</t>
  </si>
  <si>
    <t>Maximum with Grad</t>
  </si>
  <si>
    <t>Initial amount to employer</t>
  </si>
  <si>
    <t>Initial amount to employee</t>
  </si>
  <si>
    <t>Employer desires</t>
  </si>
  <si>
    <t>Employer shortfall</t>
  </si>
  <si>
    <t>Shortfall ratio</t>
  </si>
  <si>
    <t>Adjustment for employers</t>
  </si>
  <si>
    <t>Daily</t>
  </si>
  <si>
    <t>Annual</t>
  </si>
  <si>
    <t>Income monthly</t>
  </si>
  <si>
    <t>Daily income</t>
  </si>
  <si>
    <t>Sykepengegrunnlag</t>
  </si>
  <si>
    <t>Monthly income</t>
  </si>
  <si>
    <t>Income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</si>
</sst>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000000000_);_(* \(#,##0.0000000000\);_(* &quot;-&quot;??_);_(@_)"/>
    <numFmt numFmtId="167" formatCode="_(* #,##0.0000000000_);_(* \(#,##0.0000000000\);_(* &quot;-&quot;????????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/>
    <xf numFmtId="165" fontId="0" fillId="3" borderId="0" xfId="1" applyNumberFormat="1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165" fontId="0" fillId="5" borderId="0" xfId="1" applyNumberFormat="1" applyFont="1" applyFill="1"/>
    <xf numFmtId="167" fontId="0" fillId="0" borderId="0" xfId="0" applyNumberFormat="1"/>
    <xf numFmtId="166" fontId="0" fillId="3" borderId="0" xfId="1" applyNumberFormat="1" applyFont="1" applyFill="1"/>
    <xf numFmtId="0" fontId="0" fillId="5" borderId="0" xfId="0" applyFill="1" applyAlignment="1">
      <alignment horizontal="left"/>
    </xf>
    <xf numFmtId="10" fontId="0" fillId="0" borderId="0" xfId="2" applyNumberFormat="1" applyFont="1"/>
    <xf numFmtId="9" fontId="0" fillId="3" borderId="0" xfId="2" applyFont="1" applyFill="1"/>
    <xf numFmtId="10" fontId="0" fillId="3" borderId="0" xfId="2" applyNumberFormat="1" applyFont="1" applyFill="1"/>
    <xf numFmtId="10" fontId="0" fillId="5" borderId="0" xfId="2" applyNumberFormat="1" applyFont="1" applyFill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5C91-C43F-4BAE-BFBA-00152852E840}">
  <dimension ref="A1:E22"/>
  <sheetViews>
    <sheetView workbookViewId="0"/>
  </sheetViews>
  <sheetFormatPr baseColWidth="10" defaultColWidth="8.83203125" defaultRowHeight="15" x14ac:dyDescent="0.2"/>
  <cols>
    <col min="1" max="1" width="17.1640625" customWidth="1"/>
    <col min="2" max="2" width="28.83203125" bestFit="1" customWidth="1"/>
    <col min="3" max="3" width="13.1640625" style="3" customWidth="1"/>
    <col min="4" max="4" width="19.33203125" style="1" bestFit="1" customWidth="1"/>
    <col min="5" max="5" width="41.5" bestFit="1" customWidth="1"/>
  </cols>
  <sheetData>
    <row r="1" spans="1:5" s="5" customFormat="1" ht="16" x14ac:dyDescent="0.2">
      <c r="A1" s="5" t="s">
        <v>0</v>
      </c>
      <c r="B1" s="5" t="s">
        <v>1</v>
      </c>
      <c r="C1" s="7" t="s">
        <v>7</v>
      </c>
      <c r="D1" s="6" t="s">
        <v>2</v>
      </c>
      <c r="E1" s="5" t="s">
        <v>6</v>
      </c>
    </row>
    <row r="2" spans="1:5" x14ac:dyDescent="0.2">
      <c r="A2" s="4"/>
    </row>
    <row r="3" spans="1:5" x14ac:dyDescent="0.2">
      <c r="A3" s="4" t="s">
        <v>56</v>
      </c>
      <c r="B3" t="s">
        <v>54</v>
      </c>
      <c r="C3" s="3" t="s">
        <v>5</v>
      </c>
      <c r="D3" s="11">
        <v>20000</v>
      </c>
    </row>
    <row r="4" spans="1:5" x14ac:dyDescent="0.2">
      <c r="A4" s="4"/>
      <c r="B4" t="s">
        <v>55</v>
      </c>
      <c r="C4" s="3" t="s">
        <v>5</v>
      </c>
      <c r="D4" s="2">
        <f>D3*12/260</f>
        <v>923.07692307692309</v>
      </c>
      <c r="E4" t="s">
        <v>10</v>
      </c>
    </row>
    <row r="5" spans="1:5" x14ac:dyDescent="0.2">
      <c r="A5" s="4"/>
      <c r="B5" t="s">
        <v>12</v>
      </c>
      <c r="C5" s="3" t="s">
        <v>4</v>
      </c>
      <c r="D5" s="11">
        <v>80</v>
      </c>
      <c r="E5" t="s">
        <v>11</v>
      </c>
    </row>
    <row r="6" spans="1:5" x14ac:dyDescent="0.2">
      <c r="A6" s="4"/>
      <c r="B6" t="s">
        <v>42</v>
      </c>
      <c r="C6" s="3" t="s">
        <v>5</v>
      </c>
      <c r="D6" s="2">
        <f>D4*ROUND(D5,0)/100</f>
        <v>738.46153846153845</v>
      </c>
      <c r="E6" s="12" t="s">
        <v>38</v>
      </c>
    </row>
    <row r="7" spans="1:5" x14ac:dyDescent="0.2">
      <c r="A7" s="4" t="s">
        <v>25</v>
      </c>
      <c r="B7" t="s">
        <v>26</v>
      </c>
      <c r="C7" s="3" t="s">
        <v>5</v>
      </c>
      <c r="D7" s="11">
        <v>60</v>
      </c>
      <c r="E7" t="s">
        <v>27</v>
      </c>
    </row>
    <row r="8" spans="1:5" x14ac:dyDescent="0.2">
      <c r="A8" s="4"/>
      <c r="B8" t="s">
        <v>45</v>
      </c>
      <c r="C8" s="3" t="s">
        <v>5</v>
      </c>
      <c r="D8" s="2">
        <f>D6*D7/100</f>
        <v>443.07692307692304</v>
      </c>
    </row>
    <row r="9" spans="1:5" x14ac:dyDescent="0.2">
      <c r="A9" s="4" t="s">
        <v>31</v>
      </c>
      <c r="B9" t="s">
        <v>29</v>
      </c>
      <c r="C9" s="3" t="s">
        <v>4</v>
      </c>
      <c r="D9" s="11">
        <v>93634</v>
      </c>
      <c r="E9" s="26">
        <v>43101</v>
      </c>
    </row>
    <row r="10" spans="1:5" x14ac:dyDescent="0.2">
      <c r="A10" s="4" t="s">
        <v>28</v>
      </c>
      <c r="B10" t="s">
        <v>30</v>
      </c>
      <c r="C10" s="3" t="s">
        <v>5</v>
      </c>
      <c r="D10" s="2">
        <f>6*D9/260</f>
        <v>2160.7846153846153</v>
      </c>
      <c r="E10" t="s">
        <v>35</v>
      </c>
    </row>
    <row r="11" spans="1:5" x14ac:dyDescent="0.2">
      <c r="A11" s="4"/>
      <c r="B11" t="s">
        <v>43</v>
      </c>
      <c r="C11" s="3" t="s">
        <v>4</v>
      </c>
      <c r="D11" s="1">
        <f>ROUND(ROUND(D7,0)*D10/100,0)</f>
        <v>1296</v>
      </c>
      <c r="E11" t="s">
        <v>36</v>
      </c>
    </row>
    <row r="12" spans="1:5" x14ac:dyDescent="0.2">
      <c r="A12" s="4" t="s">
        <v>34</v>
      </c>
      <c r="B12" t="s">
        <v>13</v>
      </c>
      <c r="C12" s="3" t="s">
        <v>5</v>
      </c>
      <c r="D12" s="2">
        <f>MIN(D8,D11)</f>
        <v>443.07692307692304</v>
      </c>
    </row>
    <row r="13" spans="1:5" x14ac:dyDescent="0.2">
      <c r="A13" s="4"/>
      <c r="B13" t="s">
        <v>14</v>
      </c>
      <c r="C13" s="3" t="s">
        <v>5</v>
      </c>
      <c r="D13" s="18">
        <f>100*2/3</f>
        <v>66.666666666666671</v>
      </c>
      <c r="E13" t="s">
        <v>37</v>
      </c>
    </row>
    <row r="14" spans="1:5" x14ac:dyDescent="0.2">
      <c r="A14" s="10" t="s">
        <v>32</v>
      </c>
      <c r="B14" t="s">
        <v>15</v>
      </c>
      <c r="C14" s="3" t="s">
        <v>4</v>
      </c>
      <c r="D14" s="9">
        <f>ROUND(D12*D13/100, 0)</f>
        <v>295</v>
      </c>
    </row>
    <row r="15" spans="1:5" x14ac:dyDescent="0.2">
      <c r="A15" s="10" t="s">
        <v>33</v>
      </c>
      <c r="B15" t="s">
        <v>16</v>
      </c>
      <c r="C15" s="3" t="s">
        <v>4</v>
      </c>
      <c r="D15" s="9">
        <f>ROUND(D12,0)-D14</f>
        <v>148</v>
      </c>
      <c r="E15" t="s">
        <v>17</v>
      </c>
    </row>
    <row r="16" spans="1:5" x14ac:dyDescent="0.2">
      <c r="A16" s="4"/>
      <c r="B16" t="s">
        <v>18</v>
      </c>
      <c r="C16" s="3" t="s">
        <v>5</v>
      </c>
      <c r="D16" s="2">
        <f>D12-D14-D15</f>
        <v>7.692307692303757E-2</v>
      </c>
    </row>
    <row r="17" spans="1:5" x14ac:dyDescent="0.2">
      <c r="A17" s="4"/>
      <c r="B17" t="s">
        <v>19</v>
      </c>
      <c r="C17" s="3" t="s">
        <v>5</v>
      </c>
      <c r="D17" s="2">
        <f>D16*260</f>
        <v>19.999999999989768</v>
      </c>
      <c r="E17" t="s">
        <v>20</v>
      </c>
    </row>
    <row r="18" spans="1:5" x14ac:dyDescent="0.2">
      <c r="A18" s="4"/>
    </row>
    <row r="19" spans="1:5" x14ac:dyDescent="0.2">
      <c r="A19" s="4"/>
    </row>
    <row r="20" spans="1:5" x14ac:dyDescent="0.2">
      <c r="A20" s="4"/>
    </row>
    <row r="21" spans="1:5" x14ac:dyDescent="0.2">
      <c r="A21" s="13" t="s">
        <v>8</v>
      </c>
      <c r="B21" s="14"/>
      <c r="C21" s="15"/>
      <c r="D21" s="16"/>
    </row>
    <row r="22" spans="1:5" x14ac:dyDescent="0.2">
      <c r="A22" s="19" t="s">
        <v>9</v>
      </c>
      <c r="B22" s="19"/>
      <c r="C22" s="19"/>
      <c r="D22" s="19"/>
    </row>
  </sheetData>
  <sheetProtection selectLockedCells="1"/>
  <mergeCells count="1">
    <mergeCell ref="A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F233-0C57-4B39-8C81-6D2F9F1844A9}">
  <dimension ref="A1:H33"/>
  <sheetViews>
    <sheetView tabSelected="1" zoomScale="150" zoomScaleNormal="150" workbookViewId="0">
      <selection activeCell="A12" sqref="A12"/>
    </sheetView>
  </sheetViews>
  <sheetFormatPr baseColWidth="10" defaultColWidth="8.83203125" defaultRowHeight="15" x14ac:dyDescent="0.2"/>
  <cols>
    <col min="1" max="1" width="17.33203125" customWidth="1"/>
    <col min="2" max="2" width="28.83203125" bestFit="1" customWidth="1"/>
    <col min="3" max="3" width="17.33203125" bestFit="1" customWidth="1"/>
    <col min="4" max="4" width="18.33203125" bestFit="1" customWidth="1"/>
    <col min="5" max="5" width="16.33203125" bestFit="1" customWidth="1"/>
    <col min="6" max="6" width="17.33203125" bestFit="1" customWidth="1"/>
    <col min="7" max="7" width="15.6640625" bestFit="1" customWidth="1"/>
    <col min="8" max="8" width="8.6640625" style="3"/>
  </cols>
  <sheetData>
    <row r="1" spans="1:8" s="4" customFormat="1" ht="16" x14ac:dyDescent="0.2">
      <c r="A1" s="5" t="s">
        <v>0</v>
      </c>
      <c r="B1" s="5" t="s">
        <v>1</v>
      </c>
      <c r="C1" s="5" t="s">
        <v>41</v>
      </c>
      <c r="D1" s="8" t="s">
        <v>21</v>
      </c>
      <c r="E1" s="8" t="s">
        <v>22</v>
      </c>
      <c r="F1" s="8" t="s">
        <v>23</v>
      </c>
      <c r="G1" s="8" t="s">
        <v>24</v>
      </c>
      <c r="H1" s="8" t="s">
        <v>3</v>
      </c>
    </row>
    <row r="2" spans="1:8" x14ac:dyDescent="0.2">
      <c r="A2" s="4"/>
    </row>
    <row r="3" spans="1:8" x14ac:dyDescent="0.2">
      <c r="A3" s="4" t="s">
        <v>56</v>
      </c>
      <c r="B3" t="s">
        <v>57</v>
      </c>
      <c r="D3" s="11">
        <v>21000</v>
      </c>
      <c r="E3" s="11">
        <v>10000</v>
      </c>
      <c r="F3" s="11">
        <v>31000</v>
      </c>
      <c r="G3" s="11">
        <v>0</v>
      </c>
      <c r="H3" s="3" t="s">
        <v>5</v>
      </c>
    </row>
    <row r="4" spans="1:8" x14ac:dyDescent="0.2">
      <c r="A4" s="4"/>
      <c r="B4" t="s">
        <v>58</v>
      </c>
      <c r="D4" s="22">
        <f>D3/SUM($D$3:$G$3)</f>
        <v>0.33870967741935482</v>
      </c>
      <c r="E4" s="22">
        <f t="shared" ref="E4:G4" si="0">E3/SUM($D$3:$G$3)</f>
        <v>0.16129032258064516</v>
      </c>
      <c r="F4" s="22">
        <f t="shared" si="0"/>
        <v>0.5</v>
      </c>
      <c r="G4" s="22">
        <f t="shared" si="0"/>
        <v>0</v>
      </c>
      <c r="H4" s="3" t="s">
        <v>5</v>
      </c>
    </row>
    <row r="5" spans="1:8" x14ac:dyDescent="0.2">
      <c r="A5" s="4"/>
      <c r="B5" t="s">
        <v>55</v>
      </c>
      <c r="D5" s="2">
        <f>D3*12/260</f>
        <v>969.23076923076928</v>
      </c>
      <c r="E5" s="2">
        <f>E3*12/260</f>
        <v>461.53846153846155</v>
      </c>
      <c r="F5" s="2">
        <f>F3*12/260</f>
        <v>1430.7692307692307</v>
      </c>
      <c r="G5" s="2">
        <f>G3*12/260</f>
        <v>0</v>
      </c>
      <c r="H5" s="3" t="s">
        <v>5</v>
      </c>
    </row>
    <row r="6" spans="1:8" x14ac:dyDescent="0.2">
      <c r="A6" s="4"/>
      <c r="B6" t="s">
        <v>12</v>
      </c>
      <c r="D6" s="21">
        <v>1</v>
      </c>
      <c r="E6" s="21">
        <v>1</v>
      </c>
      <c r="F6" s="21">
        <v>1</v>
      </c>
      <c r="G6" s="21">
        <v>1</v>
      </c>
      <c r="H6" s="3" t="s">
        <v>4</v>
      </c>
    </row>
    <row r="7" spans="1:8" x14ac:dyDescent="0.2">
      <c r="A7" s="4"/>
      <c r="B7" t="s">
        <v>42</v>
      </c>
      <c r="D7" s="2">
        <f>D5*D6</f>
        <v>969.23076923076928</v>
      </c>
      <c r="E7" s="2">
        <f t="shared" ref="E7:G7" si="1">E5*E6</f>
        <v>461.53846153846155</v>
      </c>
      <c r="F7" s="2">
        <f t="shared" si="1"/>
        <v>1430.7692307692307</v>
      </c>
      <c r="G7" s="2">
        <f t="shared" si="1"/>
        <v>0</v>
      </c>
      <c r="H7" s="3" t="s">
        <v>5</v>
      </c>
    </row>
    <row r="8" spans="1:8" x14ac:dyDescent="0.2">
      <c r="A8" s="4" t="s">
        <v>25</v>
      </c>
      <c r="B8" t="s">
        <v>26</v>
      </c>
      <c r="D8" s="22">
        <v>0.5</v>
      </c>
      <c r="E8" s="22">
        <v>0.8</v>
      </c>
      <c r="F8" s="22">
        <v>0.2</v>
      </c>
      <c r="G8" s="22">
        <v>1</v>
      </c>
      <c r="H8" s="3" t="s">
        <v>5</v>
      </c>
    </row>
    <row r="9" spans="1:8" x14ac:dyDescent="0.2">
      <c r="A9" s="4"/>
      <c r="B9" t="s">
        <v>45</v>
      </c>
      <c r="D9" s="2">
        <f>D7*D8</f>
        <v>484.61538461538464</v>
      </c>
      <c r="E9" s="2">
        <f t="shared" ref="E9:G9" si="2">E7*E8</f>
        <v>369.23076923076928</v>
      </c>
      <c r="F9" s="2">
        <f t="shared" si="2"/>
        <v>286.15384615384613</v>
      </c>
      <c r="G9" s="2">
        <f t="shared" si="2"/>
        <v>0</v>
      </c>
      <c r="H9" s="3" t="s">
        <v>5</v>
      </c>
    </row>
    <row r="10" spans="1:8" x14ac:dyDescent="0.2">
      <c r="A10" s="4"/>
      <c r="B10" t="s">
        <v>14</v>
      </c>
      <c r="D10" s="21">
        <v>1</v>
      </c>
      <c r="E10" s="21">
        <v>0.9</v>
      </c>
      <c r="F10" s="21">
        <v>0.25</v>
      </c>
      <c r="G10" s="21">
        <v>1</v>
      </c>
      <c r="H10" s="3" t="s">
        <v>5</v>
      </c>
    </row>
    <row r="11" spans="1:8" x14ac:dyDescent="0.2">
      <c r="A11" s="4"/>
      <c r="B11" t="s">
        <v>48</v>
      </c>
      <c r="D11" s="17">
        <f>D9*D10</f>
        <v>484.61538461538464</v>
      </c>
      <c r="E11" s="17">
        <f t="shared" ref="E11:G11" si="3">E9*E10</f>
        <v>332.30769230769238</v>
      </c>
      <c r="F11" s="17">
        <f t="shared" si="3"/>
        <v>71.538461538461533</v>
      </c>
      <c r="G11" s="17">
        <f t="shared" si="3"/>
        <v>0</v>
      </c>
      <c r="H11" s="3" t="s">
        <v>5</v>
      </c>
    </row>
    <row r="12" spans="1:8" x14ac:dyDescent="0.2">
      <c r="A12" s="4" t="s">
        <v>39</v>
      </c>
      <c r="B12" t="s">
        <v>40</v>
      </c>
      <c r="C12" s="20">
        <f>ROUND(SUM(D9:G9)/SUM(D7:G7),2)</f>
        <v>0.4</v>
      </c>
      <c r="H12" s="3" t="s">
        <v>4</v>
      </c>
    </row>
    <row r="13" spans="1:8" x14ac:dyDescent="0.2">
      <c r="A13" s="4" t="s">
        <v>31</v>
      </c>
      <c r="B13" t="s">
        <v>29</v>
      </c>
      <c r="C13" s="11">
        <v>93634</v>
      </c>
      <c r="H13" s="3" t="s">
        <v>4</v>
      </c>
    </row>
    <row r="14" spans="1:8" x14ac:dyDescent="0.2">
      <c r="A14" s="4" t="s">
        <v>28</v>
      </c>
      <c r="B14" t="s">
        <v>30</v>
      </c>
      <c r="C14" s="2">
        <f>6*C13/260</f>
        <v>2160.7846153846153</v>
      </c>
      <c r="H14" s="3" t="s">
        <v>5</v>
      </c>
    </row>
    <row r="15" spans="1:8" x14ac:dyDescent="0.2">
      <c r="A15" s="4"/>
      <c r="B15" t="s">
        <v>43</v>
      </c>
      <c r="C15" s="1">
        <f>C12*C14</f>
        <v>864.31384615384616</v>
      </c>
      <c r="H15" s="3" t="s">
        <v>4</v>
      </c>
    </row>
    <row r="16" spans="1:8" x14ac:dyDescent="0.2">
      <c r="A16" s="4"/>
      <c r="B16" t="s">
        <v>44</v>
      </c>
      <c r="C16" s="23">
        <f>MIN(1, C15/SUM(D9:G9))</f>
        <v>0.75817004048582992</v>
      </c>
      <c r="H16" s="3" t="s">
        <v>5</v>
      </c>
    </row>
    <row r="17" spans="1:8" x14ac:dyDescent="0.2">
      <c r="A17" s="4" t="s">
        <v>34</v>
      </c>
      <c r="B17" t="s">
        <v>13</v>
      </c>
      <c r="D17" s="17">
        <f>D9*ScalingFactor</f>
        <v>367.42086577390222</v>
      </c>
      <c r="E17" s="17">
        <f>E9*ScalingFactor</f>
        <v>279.93970725630646</v>
      </c>
      <c r="F17" s="17">
        <f>F9*ScalingFactor</f>
        <v>216.95327312363747</v>
      </c>
      <c r="G17" s="17">
        <f>G9*ScalingFactor</f>
        <v>0</v>
      </c>
      <c r="H17" s="3" t="s">
        <v>5</v>
      </c>
    </row>
    <row r="18" spans="1:8" x14ac:dyDescent="0.2">
      <c r="A18" s="4"/>
      <c r="B18" t="s">
        <v>46</v>
      </c>
      <c r="D18" s="17">
        <f>MIN(D17,D11)</f>
        <v>367.42086577390222</v>
      </c>
      <c r="E18" s="17">
        <f t="shared" ref="E18:G18" si="4">MIN(E17,E11)</f>
        <v>279.93970725630646</v>
      </c>
      <c r="F18" s="17">
        <f t="shared" si="4"/>
        <v>71.538461538461533</v>
      </c>
      <c r="G18" s="17">
        <f t="shared" si="4"/>
        <v>0</v>
      </c>
      <c r="H18" s="3" t="s">
        <v>5</v>
      </c>
    </row>
    <row r="19" spans="1:8" x14ac:dyDescent="0.2">
      <c r="A19" s="4"/>
      <c r="B19" t="s">
        <v>49</v>
      </c>
      <c r="D19" s="17">
        <f>D18-D11</f>
        <v>-117.19451884148242</v>
      </c>
      <c r="E19" s="17">
        <f t="shared" ref="E19:G19" si="5">E18-E11</f>
        <v>-52.367985051385915</v>
      </c>
      <c r="F19" s="17">
        <f t="shared" si="5"/>
        <v>0</v>
      </c>
      <c r="G19" s="17">
        <f t="shared" si="5"/>
        <v>0</v>
      </c>
      <c r="H19" s="3" t="s">
        <v>5</v>
      </c>
    </row>
    <row r="20" spans="1:8" x14ac:dyDescent="0.2">
      <c r="A20" s="4"/>
      <c r="D20" s="20">
        <f>IF(D19 &lt; 0, D4, 0)</f>
        <v>0.33870967741935482</v>
      </c>
      <c r="E20" s="20">
        <f t="shared" ref="E20:F20" si="6">IF(E19 &lt; 0, E4, 0)</f>
        <v>0.16129032258064516</v>
      </c>
      <c r="F20" s="20">
        <f t="shared" si="6"/>
        <v>0</v>
      </c>
      <c r="G20" s="17"/>
      <c r="H20" s="3" t="s">
        <v>5</v>
      </c>
    </row>
    <row r="21" spans="1:8" x14ac:dyDescent="0.2">
      <c r="A21" s="4"/>
      <c r="B21" t="s">
        <v>50</v>
      </c>
      <c r="D21" s="20">
        <f>D20/SUM($D$20:$G$20)</f>
        <v>0.67741935483870963</v>
      </c>
      <c r="E21" s="20">
        <f t="shared" ref="E21:G21" si="7">E20/SUM($D$20:$G$20)</f>
        <v>0.32258064516129031</v>
      </c>
      <c r="F21" s="20">
        <f t="shared" si="7"/>
        <v>0</v>
      </c>
      <c r="G21" s="20">
        <f t="shared" si="7"/>
        <v>0</v>
      </c>
      <c r="H21" s="3" t="s">
        <v>5</v>
      </c>
    </row>
    <row r="22" spans="1:8" x14ac:dyDescent="0.2">
      <c r="A22" s="4"/>
      <c r="B22" t="s">
        <v>47</v>
      </c>
      <c r="D22" s="17">
        <f>D17-D18</f>
        <v>0</v>
      </c>
      <c r="E22" s="17">
        <f>E17-E18</f>
        <v>0</v>
      </c>
      <c r="F22" s="17">
        <f>F17-F18</f>
        <v>145.41481158517593</v>
      </c>
      <c r="G22" s="17">
        <f>G17-G18</f>
        <v>0</v>
      </c>
      <c r="H22" s="3" t="s">
        <v>5</v>
      </c>
    </row>
    <row r="23" spans="1:8" x14ac:dyDescent="0.2">
      <c r="A23" s="4"/>
      <c r="B23" t="s">
        <v>51</v>
      </c>
      <c r="D23" s="17">
        <f>IF(SUM($D$19:$G$19)&gt;=0, 0, SUM($D$22:$G$22)*D21)</f>
        <v>98.50680784802239</v>
      </c>
      <c r="E23" s="17">
        <f t="shared" ref="E23:G23" si="8">IF(SUM($D$19:$G$19)&gt;=0, 0, SUM($D$22:$G$22)*E21)</f>
        <v>46.908003737153521</v>
      </c>
      <c r="F23" s="17">
        <f t="shared" si="8"/>
        <v>0</v>
      </c>
      <c r="G23" s="17">
        <f t="shared" si="8"/>
        <v>0</v>
      </c>
      <c r="H23" s="3" t="s">
        <v>5</v>
      </c>
    </row>
    <row r="24" spans="1:8" x14ac:dyDescent="0.2">
      <c r="A24" s="4" t="s">
        <v>32</v>
      </c>
      <c r="B24" t="s">
        <v>15</v>
      </c>
      <c r="D24" s="1">
        <f>ROUND(D18+D23,0)</f>
        <v>466</v>
      </c>
      <c r="E24" s="1">
        <f t="shared" ref="E24:G24" si="9">ROUND(E18+E23,0)</f>
        <v>327</v>
      </c>
      <c r="F24" s="1">
        <f t="shared" si="9"/>
        <v>72</v>
      </c>
      <c r="G24" s="17">
        <f t="shared" si="9"/>
        <v>0</v>
      </c>
      <c r="H24" s="3" t="s">
        <v>4</v>
      </c>
    </row>
    <row r="25" spans="1:8" x14ac:dyDescent="0.2">
      <c r="A25" s="4" t="s">
        <v>33</v>
      </c>
      <c r="B25" t="s">
        <v>16</v>
      </c>
    </row>
    <row r="26" spans="1:8" x14ac:dyDescent="0.2">
      <c r="A26" s="4"/>
      <c r="B26" t="s">
        <v>18</v>
      </c>
      <c r="C26" s="27">
        <f>C15-SUM(D24:G24)</f>
        <v>-0.68615384615384301</v>
      </c>
    </row>
    <row r="27" spans="1:8" x14ac:dyDescent="0.2">
      <c r="A27" s="4"/>
    </row>
    <row r="32" spans="1:8" x14ac:dyDescent="0.2">
      <c r="A32" s="24" t="s">
        <v>52</v>
      </c>
      <c r="B32" s="25">
        <v>1430.76</v>
      </c>
    </row>
    <row r="33" spans="1:2" x14ac:dyDescent="0.2">
      <c r="A33" s="24" t="s">
        <v>53</v>
      </c>
      <c r="B33" s="25">
        <f>ROUND(B32*260/12,0)</f>
        <v>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Terminology</vt:lpstr>
      <vt:lpstr>Multiple Employers</vt:lpstr>
      <vt:lpstr>ScalingFactor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George</dc:creator>
  <cp:lastModifiedBy>Microsoft Office User</cp:lastModifiedBy>
  <dcterms:created xsi:type="dcterms:W3CDTF">2020-05-27T23:24:05Z</dcterms:created>
  <dcterms:modified xsi:type="dcterms:W3CDTF">2020-05-28T09:45:56Z</dcterms:modified>
</cp:coreProperties>
</file>