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okonomi/"/>
    </mc:Choice>
  </mc:AlternateContent>
  <xr:revisionPtr revIDLastSave="0" documentId="13_ncr:1_{59F8D189-477F-6442-BB3E-DFD8F9B51C8D}" xr6:coauthVersionLast="45" xr6:coauthVersionMax="45" xr10:uidLastSave="{00000000-0000-0000-0000-000000000000}"/>
  <bookViews>
    <workbookView xWindow="2020" yWindow="860" windowWidth="27900" windowHeight="18840" xr2:uid="{BB3196D1-BBA6-4B4B-8E55-37C48C2FF3A4}"/>
    <workbookView xWindow="30700" yWindow="880" windowWidth="32120" windowHeight="22420" activeTab="1" xr2:uid="{4751B54A-2E15-734D-9A93-8E38B5748ECD}"/>
  </bookViews>
  <sheets>
    <sheet name="Terminology" sheetId="1" r:id="rId1"/>
    <sheet name="Multiple Employers" sheetId="2" r:id="rId2"/>
  </sheets>
  <definedNames>
    <definedName name="AdjustmentArb">'Multiple Employers'!$D$23:$G$23</definedName>
    <definedName name="MAKSBELOP">'Multiple Employers'!$C$15</definedName>
    <definedName name="PersonRemainder">'Multiple Employers'!$C$34</definedName>
    <definedName name="ScalingFactor">'Multiple Employers'!$C$16</definedName>
    <definedName name="ShortfallIncomeRatioArb">'Multiple Employers'!$D$20:$G$20</definedName>
    <definedName name="ShortfallIncomeRatioPerson">'Multiple Employers'!$D$24:$G$24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2" l="1"/>
  <c r="G30" i="2"/>
  <c r="E4" i="2" l="1"/>
  <c r="F4" i="2"/>
  <c r="G4" i="2"/>
  <c r="D4" i="2"/>
  <c r="B41" i="2"/>
  <c r="G5" i="2" l="1"/>
  <c r="F5" i="2"/>
  <c r="E5" i="2"/>
  <c r="D5" i="2"/>
  <c r="C14" i="2"/>
  <c r="D10" i="1"/>
  <c r="D11" i="1" s="1"/>
  <c r="D13" i="1"/>
  <c r="D4" i="1"/>
  <c r="D6" i="1" s="1"/>
  <c r="D8" i="1" s="1"/>
  <c r="D7" i="2" l="1"/>
  <c r="D9" i="2" s="1"/>
  <c r="E7" i="2"/>
  <c r="E9" i="2" s="1"/>
  <c r="F7" i="2"/>
  <c r="F9" i="2" s="1"/>
  <c r="G7" i="2"/>
  <c r="G9" i="2" s="1"/>
  <c r="G11" i="2" s="1"/>
  <c r="D12" i="1"/>
  <c r="D14" i="1" s="1"/>
  <c r="F30" i="2" l="1"/>
  <c r="F31" i="2" s="1"/>
  <c r="D30" i="2"/>
  <c r="D31" i="2" s="1"/>
  <c r="E11" i="2"/>
  <c r="E30" i="2"/>
  <c r="F11" i="2"/>
  <c r="C12" i="2"/>
  <c r="C15" i="2" s="1"/>
  <c r="D11" i="2"/>
  <c r="D15" i="1"/>
  <c r="D16" i="1" s="1"/>
  <c r="D17" i="1" s="1"/>
  <c r="C16" i="2" l="1"/>
  <c r="E17" i="2" s="1"/>
  <c r="E18" i="2" s="1"/>
  <c r="E19" i="2" s="1"/>
  <c r="E31" i="2"/>
  <c r="C32" i="2" s="1"/>
  <c r="F17" i="2" l="1"/>
  <c r="F18" i="2" s="1"/>
  <c r="F19" i="2" s="1"/>
  <c r="F20" i="2" s="1"/>
  <c r="D33" i="2"/>
  <c r="G33" i="2"/>
  <c r="F33" i="2"/>
  <c r="E33" i="2"/>
  <c r="G17" i="2"/>
  <c r="G18" i="2" s="1"/>
  <c r="G19" i="2" s="1"/>
  <c r="D17" i="2"/>
  <c r="D18" i="2" s="1"/>
  <c r="D19" i="2" s="1"/>
  <c r="D20" i="2" s="1"/>
  <c r="E20" i="2"/>
  <c r="E22" i="2"/>
  <c r="F22" i="2" l="1"/>
  <c r="F24" i="2" s="1"/>
  <c r="D22" i="2"/>
  <c r="G22" i="2"/>
  <c r="G24" i="2" s="1"/>
  <c r="C34" i="2"/>
  <c r="F35" i="2" s="1"/>
  <c r="E35" i="2"/>
  <c r="E24" i="2"/>
  <c r="D21" i="2"/>
  <c r="D23" i="2" s="1"/>
  <c r="E21" i="2"/>
  <c r="E23" i="2" s="1"/>
  <c r="E26" i="2" s="1"/>
  <c r="F21" i="2"/>
  <c r="F23" i="2" s="1"/>
  <c r="F26" i="2" s="1"/>
  <c r="G21" i="2"/>
  <c r="G23" i="2" s="1"/>
  <c r="G26" i="2" s="1"/>
  <c r="D24" i="2"/>
  <c r="D35" i="2" l="1"/>
  <c r="G35" i="2"/>
  <c r="D26" i="2"/>
  <c r="D25" i="2"/>
  <c r="D27" i="2" s="1"/>
  <c r="E25" i="2"/>
  <c r="E27" i="2" s="1"/>
  <c r="F25" i="2"/>
  <c r="F27" i="2" s="1"/>
  <c r="G25" i="2"/>
  <c r="G27" i="2" s="1"/>
  <c r="C36" i="2" l="1"/>
  <c r="C28" i="2"/>
</calcChain>
</file>

<file path=xl/sharedStrings.xml><?xml version="1.0" encoding="utf-8"?>
<sst xmlns="http://schemas.openxmlformats.org/spreadsheetml/2006/main" count="150" uniqueCount="80">
  <si>
    <t>Term</t>
  </si>
  <si>
    <t>Meaning</t>
  </si>
  <si>
    <t>Example</t>
  </si>
  <si>
    <t>Integer</t>
  </si>
  <si>
    <t>Double</t>
  </si>
  <si>
    <t>Notes</t>
  </si>
  <si>
    <t>Format*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</si>
  <si>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</si>
  <si>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</si>
  <si>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Monthly * 12 / 260</t>
  </si>
  <si>
    <t>100% for employers, 80% for self-employed, etc.</t>
  </si>
  <si>
    <t>Rebate percentage</t>
  </si>
  <si>
    <t>After 6G limitation</t>
  </si>
  <si>
    <t>Employer percentage</t>
  </si>
  <si>
    <t>Amount to employer</t>
  </si>
  <si>
    <t>Amount to employee</t>
  </si>
  <si>
    <t>Remainder after deducting Arbeidsgiverbelop</t>
  </si>
  <si>
    <t>Daily rounding error</t>
  </si>
  <si>
    <t>Maximum yearly rounding error</t>
  </si>
  <si>
    <t>Worse case is 260 * 0.5, or +/- 130 kr.</t>
  </si>
  <si>
    <t>Emp 1</t>
  </si>
  <si>
    <t>Emp 2</t>
  </si>
  <si>
    <t>Emp 3</t>
  </si>
  <si>
    <t>Emp 4</t>
  </si>
  <si>
    <t>Grad</t>
  </si>
  <si>
    <t>Percentage sick</t>
  </si>
  <si>
    <t>Sykmelding is Integer, Soknad is ??</t>
  </si>
  <si>
    <t>6G</t>
  </si>
  <si>
    <t>Annual limitation</t>
  </si>
  <si>
    <t>Daily limitation</t>
  </si>
  <si>
    <t>Grunnbeløp</t>
  </si>
  <si>
    <t>Arbeidsgiverbeløp</t>
  </si>
  <si>
    <t>Personbeløp</t>
  </si>
  <si>
    <t>Beløp</t>
  </si>
  <si>
    <t>Grunnbeløp * 6 / 260</t>
  </si>
  <si>
    <t>Grad * Daily 6G</t>
  </si>
  <si>
    <t>Ratio from Inntektsmelding</t>
  </si>
  <si>
    <t>Spleis current rounds this number!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</si>
  <si>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</si>
  <si>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</si>
  <si>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</si>
  <si>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</si>
  <si>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</si>
  <si>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</si>
  <si>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</si>
  <si>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</si>
  <si>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</si>
  <si>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</si>
  <si>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Adjustment for employers</t>
  </si>
  <si>
    <t>Daily</t>
  </si>
  <si>
    <t>Annual</t>
  </si>
  <si>
    <t>Income monthly</t>
  </si>
  <si>
    <t>Daily income</t>
  </si>
  <si>
    <t>Sykepengegrunnlag</t>
  </si>
  <si>
    <t>Monthly income</t>
  </si>
  <si>
    <t>Income ratio</t>
  </si>
  <si>
    <t>Dekningsgrad</t>
  </si>
  <si>
    <t>Dekningsgrunnlag</t>
  </si>
  <si>
    <t>Gradert dekningsgrunnlag</t>
  </si>
  <si>
    <t>Refusjonsgrad</t>
  </si>
  <si>
    <t>Forventet refusjon</t>
  </si>
  <si>
    <t>Sykdomsgrad</t>
  </si>
  <si>
    <t>Maksbeløp</t>
  </si>
  <si>
    <t>Aktuell dagsinntekt</t>
  </si>
  <si>
    <t>Aktuell månedsinntekt (§ 8-28.)</t>
  </si>
  <si>
    <t>Dekningsfaktor</t>
  </si>
  <si>
    <t>Beløp til arbeidsgiver før fordeling</t>
  </si>
  <si>
    <t xml:space="preserve">Fordelingsgrad </t>
  </si>
  <si>
    <t>Ekstra fordeling</t>
  </si>
  <si>
    <t>Shortfall income ratio - person</t>
  </si>
  <si>
    <t>Shortfall income ratio - arbeidsgiver</t>
  </si>
  <si>
    <t>Shortfall ratio - arbeidsgiver</t>
  </si>
  <si>
    <t>Shortfall ratio - person</t>
  </si>
  <si>
    <t>Precision</t>
  </si>
  <si>
    <t>Ideal arbeidsgiver w/o 6G</t>
  </si>
  <si>
    <t>Ideal person w/o 6G</t>
  </si>
  <si>
    <t>Situation</t>
  </si>
  <si>
    <t>Arbeidsgiverbeløp før 6g</t>
  </si>
  <si>
    <t>Personbeløp før 6g</t>
  </si>
  <si>
    <t>Remainder for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</si>
</sst>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/>
    <xf numFmtId="165" fontId="0" fillId="3" borderId="0" xfId="1" applyNumberFormat="1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7" fontId="0" fillId="0" borderId="0" xfId="0" applyNumberFormat="1"/>
    <xf numFmtId="166" fontId="0" fillId="3" borderId="0" xfId="1" applyNumberFormat="1" applyFont="1" applyFill="1"/>
    <xf numFmtId="10" fontId="0" fillId="0" borderId="0" xfId="2" applyNumberFormat="1" applyFont="1"/>
    <xf numFmtId="9" fontId="0" fillId="3" borderId="0" xfId="2" applyFont="1" applyFill="1"/>
    <xf numFmtId="10" fontId="0" fillId="3" borderId="0" xfId="2" applyNumberFormat="1" applyFont="1" applyFill="1"/>
    <xf numFmtId="10" fontId="0" fillId="5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/>
    <xf numFmtId="10" fontId="0" fillId="0" borderId="0" xfId="2" applyNumberFormat="1" applyFont="1" applyFill="1"/>
    <xf numFmtId="0" fontId="2" fillId="6" borderId="1" xfId="0" applyFont="1" applyFill="1" applyBorder="1"/>
    <xf numFmtId="0" fontId="0" fillId="6" borderId="1" xfId="0" applyFill="1" applyBorder="1"/>
    <xf numFmtId="167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10" fontId="0" fillId="6" borderId="1" xfId="2" applyNumberFormat="1" applyFont="1" applyFill="1" applyBorder="1"/>
    <xf numFmtId="165" fontId="0" fillId="6" borderId="1" xfId="1" applyNumberFormat="1" applyFont="1" applyFill="1" applyBorder="1"/>
    <xf numFmtId="165" fontId="0" fillId="6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5" borderId="0" xfId="0" applyFill="1" applyAlignment="1">
      <alignment horizontal="left"/>
    </xf>
    <xf numFmtId="165" fontId="0" fillId="2" borderId="1" xfId="0" applyNumberFormat="1" applyFill="1" applyBorder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5C91-C43F-4BAE-BFBA-00152852E840}">
  <dimension ref="A1:E22"/>
  <sheetViews>
    <sheetView tabSelected="1" zoomScale="160" zoomScaleNormal="160" workbookViewId="0">
      <selection activeCell="D17" sqref="D17"/>
    </sheetView>
    <sheetView workbookViewId="1"/>
  </sheetViews>
  <sheetFormatPr baseColWidth="10" defaultColWidth="8.83203125" defaultRowHeight="15" x14ac:dyDescent="0.2"/>
  <cols>
    <col min="1" max="1" width="17.1640625" customWidth="1"/>
    <col min="2" max="2" width="28.83203125" bestFit="1" customWidth="1"/>
    <col min="3" max="3" width="13.1640625" style="3" customWidth="1"/>
    <col min="4" max="4" width="19.33203125" style="1" bestFit="1" customWidth="1"/>
    <col min="5" max="5" width="41.5" bestFit="1" customWidth="1"/>
  </cols>
  <sheetData>
    <row r="1" spans="1:5" s="5" customFormat="1" ht="16" x14ac:dyDescent="0.2">
      <c r="A1" s="5" t="s">
        <v>0</v>
      </c>
      <c r="B1" s="5" t="s">
        <v>1</v>
      </c>
      <c r="C1" s="7" t="s">
        <v>6</v>
      </c>
      <c r="D1" s="6" t="s">
        <v>2</v>
      </c>
      <c r="E1" s="5" t="s">
        <v>5</v>
      </c>
    </row>
    <row r="2" spans="1:5" x14ac:dyDescent="0.2">
      <c r="A2" s="4"/>
    </row>
    <row r="3" spans="1:5" x14ac:dyDescent="0.2">
      <c r="A3" s="4" t="s">
        <v>53</v>
      </c>
      <c r="B3" t="s">
        <v>51</v>
      </c>
      <c r="C3" s="3" t="s">
        <v>4</v>
      </c>
      <c r="D3" s="11">
        <v>20000</v>
      </c>
    </row>
    <row r="4" spans="1:5" x14ac:dyDescent="0.2">
      <c r="A4" s="4"/>
      <c r="B4" t="s">
        <v>52</v>
      </c>
      <c r="C4" s="3" t="s">
        <v>4</v>
      </c>
      <c r="D4" s="2">
        <f>D3*12/260</f>
        <v>923.07692307692309</v>
      </c>
      <c r="E4" t="s">
        <v>9</v>
      </c>
    </row>
    <row r="5" spans="1:5" x14ac:dyDescent="0.2">
      <c r="A5" s="4"/>
      <c r="B5" t="s">
        <v>11</v>
      </c>
      <c r="C5" s="3" t="s">
        <v>3</v>
      </c>
      <c r="D5" s="11">
        <v>80</v>
      </c>
      <c r="E5" t="s">
        <v>10</v>
      </c>
    </row>
    <row r="6" spans="1:5" x14ac:dyDescent="0.2">
      <c r="A6" s="4"/>
      <c r="B6" t="s">
        <v>40</v>
      </c>
      <c r="C6" s="3" t="s">
        <v>4</v>
      </c>
      <c r="D6" s="2">
        <f>D4*ROUND(D5,0)/100</f>
        <v>738.46153846153845</v>
      </c>
      <c r="E6" s="12" t="s">
        <v>37</v>
      </c>
    </row>
    <row r="7" spans="1:5" x14ac:dyDescent="0.2">
      <c r="A7" s="4" t="s">
        <v>24</v>
      </c>
      <c r="B7" t="s">
        <v>25</v>
      </c>
      <c r="C7" s="3" t="s">
        <v>4</v>
      </c>
      <c r="D7" s="11">
        <v>60</v>
      </c>
      <c r="E7" t="s">
        <v>26</v>
      </c>
    </row>
    <row r="8" spans="1:5" x14ac:dyDescent="0.2">
      <c r="A8" s="4"/>
      <c r="B8" t="s">
        <v>43</v>
      </c>
      <c r="C8" s="3" t="s">
        <v>4</v>
      </c>
      <c r="D8" s="2">
        <f>D6*D7/100</f>
        <v>443.07692307692304</v>
      </c>
    </row>
    <row r="9" spans="1:5" x14ac:dyDescent="0.2">
      <c r="A9" s="4" t="s">
        <v>30</v>
      </c>
      <c r="B9" t="s">
        <v>28</v>
      </c>
      <c r="C9" s="3" t="s">
        <v>3</v>
      </c>
      <c r="D9" s="11">
        <v>93634</v>
      </c>
      <c r="E9" s="25">
        <v>43101</v>
      </c>
    </row>
    <row r="10" spans="1:5" x14ac:dyDescent="0.2">
      <c r="A10" s="4" t="s">
        <v>27</v>
      </c>
      <c r="B10" t="s">
        <v>29</v>
      </c>
      <c r="C10" s="3" t="s">
        <v>4</v>
      </c>
      <c r="D10" s="2">
        <f>6*D9/260</f>
        <v>2160.7846153846153</v>
      </c>
      <c r="E10" t="s">
        <v>34</v>
      </c>
    </row>
    <row r="11" spans="1:5" x14ac:dyDescent="0.2">
      <c r="A11" s="4"/>
      <c r="B11" t="s">
        <v>41</v>
      </c>
      <c r="C11" s="3" t="s">
        <v>3</v>
      </c>
      <c r="D11" s="1">
        <f>ROUND(ROUND(D7,0)*D10/100,0)</f>
        <v>1296</v>
      </c>
      <c r="E11" t="s">
        <v>35</v>
      </c>
    </row>
    <row r="12" spans="1:5" x14ac:dyDescent="0.2">
      <c r="A12" s="4" t="s">
        <v>33</v>
      </c>
      <c r="B12" t="s">
        <v>12</v>
      </c>
      <c r="C12" s="3" t="s">
        <v>4</v>
      </c>
      <c r="D12" s="2">
        <f>MIN(D8,D11)</f>
        <v>443.07692307692304</v>
      </c>
    </row>
    <row r="13" spans="1:5" x14ac:dyDescent="0.2">
      <c r="A13" s="4"/>
      <c r="B13" t="s">
        <v>13</v>
      </c>
      <c r="C13" s="3" t="s">
        <v>4</v>
      </c>
      <c r="D13" s="18">
        <f>100*2/3</f>
        <v>66.666666666666671</v>
      </c>
      <c r="E13" t="s">
        <v>36</v>
      </c>
    </row>
    <row r="14" spans="1:5" x14ac:dyDescent="0.2">
      <c r="A14" s="10" t="s">
        <v>31</v>
      </c>
      <c r="B14" t="s">
        <v>14</v>
      </c>
      <c r="C14" s="3" t="s">
        <v>3</v>
      </c>
      <c r="D14" s="9">
        <f>ROUND(D12*D13/100, 0)</f>
        <v>295</v>
      </c>
    </row>
    <row r="15" spans="1:5" x14ac:dyDescent="0.2">
      <c r="A15" s="10" t="s">
        <v>32</v>
      </c>
      <c r="B15" t="s">
        <v>15</v>
      </c>
      <c r="C15" s="3" t="s">
        <v>3</v>
      </c>
      <c r="D15" s="9">
        <f>ROUND(D12,0)-D14</f>
        <v>148</v>
      </c>
      <c r="E15" t="s">
        <v>16</v>
      </c>
    </row>
    <row r="16" spans="1:5" x14ac:dyDescent="0.2">
      <c r="A16" s="4"/>
      <c r="B16" t="s">
        <v>17</v>
      </c>
      <c r="C16" s="3" t="s">
        <v>4</v>
      </c>
      <c r="D16" s="2">
        <f>D12-D14-D15</f>
        <v>7.692307692303757E-2</v>
      </c>
    </row>
    <row r="17" spans="1:5" x14ac:dyDescent="0.2">
      <c r="A17" s="4"/>
      <c r="B17" t="s">
        <v>18</v>
      </c>
      <c r="C17" s="3" t="s">
        <v>4</v>
      </c>
      <c r="D17" s="2">
        <f>D16*260</f>
        <v>19.999999999989768</v>
      </c>
      <c r="E17" t="s">
        <v>19</v>
      </c>
    </row>
    <row r="18" spans="1:5" x14ac:dyDescent="0.2">
      <c r="A18" s="4"/>
    </row>
    <row r="19" spans="1:5" x14ac:dyDescent="0.2">
      <c r="A19" s="4"/>
    </row>
    <row r="20" spans="1:5" x14ac:dyDescent="0.2">
      <c r="A20" s="4"/>
    </row>
    <row r="21" spans="1:5" x14ac:dyDescent="0.2">
      <c r="A21" s="13" t="s">
        <v>7</v>
      </c>
      <c r="B21" s="14"/>
      <c r="C21" s="15"/>
      <c r="D21" s="16"/>
    </row>
    <row r="22" spans="1:5" x14ac:dyDescent="0.2">
      <c r="A22" s="42" t="s">
        <v>8</v>
      </c>
      <c r="B22" s="42"/>
      <c r="C22" s="42"/>
      <c r="D22" s="42"/>
    </row>
  </sheetData>
  <sheetProtection selectLockedCells="1"/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H41"/>
  <sheetViews>
    <sheetView zoomScale="163" zoomScaleNormal="163" workbookViewId="0">
      <selection activeCell="A24" sqref="A24"/>
    </sheetView>
    <sheetView tabSelected="1" zoomScale="140" zoomScaleNormal="140" workbookViewId="1">
      <selection activeCell="D3" sqref="D3"/>
    </sheetView>
  </sheetViews>
  <sheetFormatPr baseColWidth="10" defaultColWidth="8.83203125" defaultRowHeight="15" x14ac:dyDescent="0.2"/>
  <cols>
    <col min="1" max="1" width="27" customWidth="1"/>
    <col min="2" max="2" width="28.83203125" bestFit="1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</cols>
  <sheetData>
    <row r="1" spans="1:8" s="4" customFormat="1" ht="16" x14ac:dyDescent="0.2">
      <c r="A1" s="5" t="s">
        <v>0</v>
      </c>
      <c r="B1" s="5" t="s">
        <v>1</v>
      </c>
      <c r="C1" s="5" t="s">
        <v>39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73</v>
      </c>
    </row>
    <row r="2" spans="1:8" x14ac:dyDescent="0.2">
      <c r="A2" s="4"/>
    </row>
    <row r="3" spans="1:8" x14ac:dyDescent="0.2">
      <c r="A3" s="4" t="s">
        <v>64</v>
      </c>
      <c r="B3" t="s">
        <v>54</v>
      </c>
      <c r="D3" s="11">
        <v>21000</v>
      </c>
      <c r="E3" s="11">
        <v>10000</v>
      </c>
      <c r="F3" s="11">
        <v>31000</v>
      </c>
      <c r="G3" s="11">
        <v>0</v>
      </c>
      <c r="H3" s="3" t="s">
        <v>4</v>
      </c>
    </row>
    <row r="4" spans="1:8" x14ac:dyDescent="0.2">
      <c r="A4" s="4"/>
      <c r="B4" t="s">
        <v>55</v>
      </c>
      <c r="D4" s="28">
        <f>D3/SUM($D$3:$G$3)</f>
        <v>0.33870967741935482</v>
      </c>
      <c r="E4" s="28">
        <f t="shared" ref="E4:G4" si="0">E3/SUM($D$3:$G$3)</f>
        <v>0.16129032258064516</v>
      </c>
      <c r="F4" s="28">
        <f t="shared" si="0"/>
        <v>0.5</v>
      </c>
      <c r="G4" s="28">
        <f t="shared" si="0"/>
        <v>0</v>
      </c>
      <c r="H4" s="3" t="s">
        <v>4</v>
      </c>
    </row>
    <row r="5" spans="1:8" x14ac:dyDescent="0.2">
      <c r="A5" s="27" t="s">
        <v>63</v>
      </c>
      <c r="B5" t="s">
        <v>52</v>
      </c>
      <c r="D5" s="2">
        <f>D3*12/260</f>
        <v>969.23076923076928</v>
      </c>
      <c r="E5" s="2">
        <f>E3*12/260</f>
        <v>461.53846153846155</v>
      </c>
      <c r="F5" s="2">
        <f>F3*12/260</f>
        <v>1430.7692307692307</v>
      </c>
      <c r="G5" s="2">
        <f>G3*12/260</f>
        <v>0</v>
      </c>
      <c r="H5" s="3" t="s">
        <v>4</v>
      </c>
    </row>
    <row r="6" spans="1:8" x14ac:dyDescent="0.2">
      <c r="A6" s="4" t="s">
        <v>56</v>
      </c>
      <c r="B6" t="s">
        <v>11</v>
      </c>
      <c r="D6" s="20">
        <v>1</v>
      </c>
      <c r="E6" s="20">
        <v>1</v>
      </c>
      <c r="F6" s="20">
        <v>1</v>
      </c>
      <c r="G6" s="20">
        <v>1</v>
      </c>
      <c r="H6" s="3" t="s">
        <v>3</v>
      </c>
    </row>
    <row r="7" spans="1:8" x14ac:dyDescent="0.2">
      <c r="A7" s="4" t="s">
        <v>57</v>
      </c>
      <c r="B7" t="s">
        <v>40</v>
      </c>
      <c r="D7" s="2">
        <f>D5*D6</f>
        <v>969.23076923076928</v>
      </c>
      <c r="E7" s="2">
        <f t="shared" ref="E7:G7" si="1">E5*E6</f>
        <v>461.53846153846155</v>
      </c>
      <c r="F7" s="2">
        <f t="shared" si="1"/>
        <v>1430.7692307692307</v>
      </c>
      <c r="G7" s="2">
        <f t="shared" si="1"/>
        <v>0</v>
      </c>
      <c r="H7" s="3" t="s">
        <v>4</v>
      </c>
    </row>
    <row r="8" spans="1:8" x14ac:dyDescent="0.2">
      <c r="A8" s="4" t="s">
        <v>24</v>
      </c>
      <c r="B8" t="s">
        <v>25</v>
      </c>
      <c r="D8" s="21">
        <v>0.5</v>
      </c>
      <c r="E8" s="21">
        <v>0.8</v>
      </c>
      <c r="F8" s="21">
        <v>0.2</v>
      </c>
      <c r="G8" s="21">
        <v>1</v>
      </c>
      <c r="H8" s="3" t="s">
        <v>4</v>
      </c>
    </row>
    <row r="9" spans="1:8" x14ac:dyDescent="0.2">
      <c r="A9" s="4" t="s">
        <v>58</v>
      </c>
      <c r="B9" t="s">
        <v>43</v>
      </c>
      <c r="D9" s="2">
        <f>D7*D8</f>
        <v>484.61538461538464</v>
      </c>
      <c r="E9" s="2">
        <f t="shared" ref="E9:G9" si="2">E7*E8</f>
        <v>369.23076923076928</v>
      </c>
      <c r="F9" s="2">
        <f t="shared" si="2"/>
        <v>286.15384615384613</v>
      </c>
      <c r="G9" s="2">
        <f t="shared" si="2"/>
        <v>0</v>
      </c>
      <c r="H9" s="3" t="s">
        <v>4</v>
      </c>
    </row>
    <row r="10" spans="1:8" x14ac:dyDescent="0.2">
      <c r="A10" s="4" t="s">
        <v>59</v>
      </c>
      <c r="B10" t="s">
        <v>13</v>
      </c>
      <c r="D10" s="20">
        <v>1</v>
      </c>
      <c r="E10" s="20">
        <v>0.9</v>
      </c>
      <c r="F10" s="20">
        <v>0.25</v>
      </c>
      <c r="G10" s="20">
        <v>1</v>
      </c>
      <c r="H10" s="3" t="s">
        <v>4</v>
      </c>
    </row>
    <row r="11" spans="1:8" x14ac:dyDescent="0.2">
      <c r="A11" s="4" t="s">
        <v>60</v>
      </c>
      <c r="B11" t="s">
        <v>46</v>
      </c>
      <c r="D11" s="17">
        <f>D9*D10</f>
        <v>484.61538461538464</v>
      </c>
      <c r="E11" s="17">
        <f t="shared" ref="E11:G11" si="3">E9*E10</f>
        <v>332.30769230769238</v>
      </c>
      <c r="F11" s="17">
        <f t="shared" si="3"/>
        <v>71.538461538461533</v>
      </c>
      <c r="G11" s="17">
        <f t="shared" si="3"/>
        <v>0</v>
      </c>
      <c r="H11" s="3" t="s">
        <v>4</v>
      </c>
    </row>
    <row r="12" spans="1:8" x14ac:dyDescent="0.2">
      <c r="A12" s="4" t="s">
        <v>61</v>
      </c>
      <c r="B12" t="s">
        <v>38</v>
      </c>
      <c r="C12" s="19">
        <f>ROUND(SUM(D9:G9)/SUM(D7:G7),2)</f>
        <v>0.4</v>
      </c>
      <c r="H12" s="3" t="s">
        <v>3</v>
      </c>
    </row>
    <row r="13" spans="1:8" x14ac:dyDescent="0.2">
      <c r="A13" s="4" t="s">
        <v>30</v>
      </c>
      <c r="B13" t="s">
        <v>28</v>
      </c>
      <c r="C13" s="11">
        <v>93634</v>
      </c>
      <c r="H13" s="3" t="s">
        <v>3</v>
      </c>
    </row>
    <row r="14" spans="1:8" x14ac:dyDescent="0.2">
      <c r="A14" s="4" t="s">
        <v>27</v>
      </c>
      <c r="B14" t="s">
        <v>29</v>
      </c>
      <c r="C14" s="2">
        <f>6*C13/260</f>
        <v>2160.7846153846153</v>
      </c>
      <c r="H14" s="3" t="s">
        <v>4</v>
      </c>
    </row>
    <row r="15" spans="1:8" x14ac:dyDescent="0.2">
      <c r="A15" s="4" t="s">
        <v>62</v>
      </c>
      <c r="B15" t="s">
        <v>41</v>
      </c>
      <c r="C15" s="1">
        <f>C12*C14</f>
        <v>864.31384615384616</v>
      </c>
      <c r="H15" s="3" t="s">
        <v>3</v>
      </c>
    </row>
    <row r="16" spans="1:8" x14ac:dyDescent="0.2">
      <c r="A16" s="4" t="s">
        <v>65</v>
      </c>
      <c r="B16" t="s">
        <v>42</v>
      </c>
      <c r="C16" s="22">
        <f>MIN(1, C15/SUM(D9:G9))</f>
        <v>0.75817004048582992</v>
      </c>
      <c r="H16" s="3" t="s">
        <v>4</v>
      </c>
    </row>
    <row r="17" spans="1:8" x14ac:dyDescent="0.2">
      <c r="A17" s="29" t="s">
        <v>33</v>
      </c>
      <c r="B17" s="30" t="s">
        <v>12</v>
      </c>
      <c r="C17" s="30"/>
      <c r="D17" s="31">
        <f>D9*ScalingFactor</f>
        <v>367.42086577390222</v>
      </c>
      <c r="E17" s="31">
        <f>E9*ScalingFactor</f>
        <v>279.93970725630646</v>
      </c>
      <c r="F17" s="31">
        <f>F9*ScalingFactor</f>
        <v>216.95327312363747</v>
      </c>
      <c r="G17" s="31">
        <f>G9*ScalingFactor</f>
        <v>0</v>
      </c>
      <c r="H17" s="32" t="s">
        <v>4</v>
      </c>
    </row>
    <row r="18" spans="1:8" x14ac:dyDescent="0.2">
      <c r="A18" s="29" t="s">
        <v>66</v>
      </c>
      <c r="B18" s="30" t="s">
        <v>44</v>
      </c>
      <c r="C18" s="30"/>
      <c r="D18" s="31">
        <f>MIN(D17,D11)</f>
        <v>367.42086577390222</v>
      </c>
      <c r="E18" s="31">
        <f t="shared" ref="E18:G18" si="4">MIN(E17,E11)</f>
        <v>279.93970725630646</v>
      </c>
      <c r="F18" s="31">
        <f t="shared" si="4"/>
        <v>71.538461538461533</v>
      </c>
      <c r="G18" s="31">
        <f t="shared" si="4"/>
        <v>0</v>
      </c>
      <c r="H18" s="32" t="s">
        <v>4</v>
      </c>
    </row>
    <row r="19" spans="1:8" x14ac:dyDescent="0.2">
      <c r="A19" s="29"/>
      <c r="B19" s="30" t="s">
        <v>47</v>
      </c>
      <c r="C19" s="30"/>
      <c r="D19" s="31">
        <f>D18-D11</f>
        <v>-117.19451884148242</v>
      </c>
      <c r="E19" s="31">
        <f t="shared" ref="E19:G19" si="5">E18-E11</f>
        <v>-52.367985051385915</v>
      </c>
      <c r="F19" s="31">
        <f t="shared" si="5"/>
        <v>0</v>
      </c>
      <c r="G19" s="31">
        <f t="shared" si="5"/>
        <v>0</v>
      </c>
      <c r="H19" s="32" t="s">
        <v>4</v>
      </c>
    </row>
    <row r="20" spans="1:8" x14ac:dyDescent="0.2">
      <c r="A20" s="29"/>
      <c r="B20" s="30" t="s">
        <v>70</v>
      </c>
      <c r="C20" s="30"/>
      <c r="D20" s="33">
        <f>IF(D19 &lt; 0, D4, 0)</f>
        <v>0.33870967741935482</v>
      </c>
      <c r="E20" s="33">
        <f t="shared" ref="E20:F20" si="6">IF(E19 &lt; 0, E4, 0)</f>
        <v>0.16129032258064516</v>
      </c>
      <c r="F20" s="33">
        <f t="shared" si="6"/>
        <v>0</v>
      </c>
      <c r="G20" s="31"/>
      <c r="H20" s="32" t="s">
        <v>4</v>
      </c>
    </row>
    <row r="21" spans="1:8" x14ac:dyDescent="0.2">
      <c r="A21" s="29" t="s">
        <v>67</v>
      </c>
      <c r="B21" s="30" t="s">
        <v>71</v>
      </c>
      <c r="C21" s="30"/>
      <c r="D21" s="33">
        <f>IF(SUM(ShortfallIncomeRatioArb)=0,0,D20/SUM(ShortfallIncomeRatioArb))</f>
        <v>0.67741935483870963</v>
      </c>
      <c r="E21" s="33">
        <f>IF(SUM(ShortfallIncomeRatioArb)=0,0,E20/SUM(ShortfallIncomeRatioArb))</f>
        <v>0.32258064516129031</v>
      </c>
      <c r="F21" s="33">
        <f>IF(SUM(ShortfallIncomeRatioArb)=0,0,F20/SUM(ShortfallIncomeRatioArb))</f>
        <v>0</v>
      </c>
      <c r="G21" s="33">
        <f>IF(SUM(ShortfallIncomeRatioArb)=0,0,G20/SUM(ShortfallIncomeRatioArb))</f>
        <v>0</v>
      </c>
      <c r="H21" s="32" t="s">
        <v>4</v>
      </c>
    </row>
    <row r="22" spans="1:8" x14ac:dyDescent="0.2">
      <c r="A22" s="29"/>
      <c r="B22" s="30" t="s">
        <v>45</v>
      </c>
      <c r="C22" s="30"/>
      <c r="D22" s="31">
        <f>D17-D18</f>
        <v>0</v>
      </c>
      <c r="E22" s="31">
        <f>E17-E18</f>
        <v>0</v>
      </c>
      <c r="F22" s="31">
        <f>F17-F18</f>
        <v>145.41481158517593</v>
      </c>
      <c r="G22" s="31">
        <f>G17-G18</f>
        <v>0</v>
      </c>
      <c r="H22" s="32" t="s">
        <v>4</v>
      </c>
    </row>
    <row r="23" spans="1:8" x14ac:dyDescent="0.2">
      <c r="A23" s="29" t="s">
        <v>68</v>
      </c>
      <c r="B23" s="30" t="s">
        <v>48</v>
      </c>
      <c r="C23" s="30"/>
      <c r="D23" s="31">
        <f>MIN(-D19,IF(SUM($D$19:$G$19)&gt;=0, 0, SUM($D$22:$G$22)*D21))</f>
        <v>98.50680784802239</v>
      </c>
      <c r="E23" s="31">
        <f t="shared" ref="E23:G23" si="7">MIN(-E19,IF(SUM($D$19:$G$19)&gt;=0, 0, SUM($D$22:$G$22)*E21))</f>
        <v>46.908003737153521</v>
      </c>
      <c r="F23" s="31">
        <f t="shared" si="7"/>
        <v>0</v>
      </c>
      <c r="G23" s="31">
        <f t="shared" si="7"/>
        <v>0</v>
      </c>
      <c r="H23" s="32" t="s">
        <v>4</v>
      </c>
    </row>
    <row r="24" spans="1:8" x14ac:dyDescent="0.2">
      <c r="A24" s="29"/>
      <c r="B24" s="30" t="s">
        <v>69</v>
      </c>
      <c r="C24" s="30"/>
      <c r="D24" s="33">
        <f>IF(D22 = 0, 0, D4)</f>
        <v>0</v>
      </c>
      <c r="E24" s="33">
        <f t="shared" ref="E24:G24" si="8">IF(E22 = 0, 0, E4)</f>
        <v>0</v>
      </c>
      <c r="F24" s="33">
        <f t="shared" si="8"/>
        <v>0.5</v>
      </c>
      <c r="G24" s="33">
        <f t="shared" si="8"/>
        <v>0</v>
      </c>
      <c r="H24" s="32" t="s">
        <v>4</v>
      </c>
    </row>
    <row r="25" spans="1:8" x14ac:dyDescent="0.2">
      <c r="A25" s="29"/>
      <c r="B25" s="30" t="s">
        <v>72</v>
      </c>
      <c r="C25" s="30"/>
      <c r="D25" s="33">
        <f>IF(SUM(ShortfallIncomeRatioPerson)= 0, 0, D24/SUM(ShortfallIncomeRatioPerson))</f>
        <v>0</v>
      </c>
      <c r="E25" s="33">
        <f>IF(SUM(ShortfallIncomeRatioPerson)= 0, 0, E24/SUM(ShortfallIncomeRatioPerson))</f>
        <v>0</v>
      </c>
      <c r="F25" s="33">
        <f>IF(SUM(ShortfallIncomeRatioPerson)= 0, 0, F24/SUM(ShortfallIncomeRatioPerson))</f>
        <v>1</v>
      </c>
      <c r="G25" s="33">
        <f>IF(SUM(ShortfallIncomeRatioPerson)= 0, 0, G24/SUM(ShortfallIncomeRatioPerson))</f>
        <v>0</v>
      </c>
      <c r="H25" s="32" t="s">
        <v>4</v>
      </c>
    </row>
    <row r="26" spans="1:8" x14ac:dyDescent="0.2">
      <c r="A26" s="29" t="s">
        <v>31</v>
      </c>
      <c r="B26" s="30" t="s">
        <v>14</v>
      </c>
      <c r="C26" s="30"/>
      <c r="D26" s="34">
        <f>ROUND(D18+D23,0)</f>
        <v>466</v>
      </c>
      <c r="E26" s="34">
        <f t="shared" ref="E26:G26" si="9">ROUND(E18+E23,0)</f>
        <v>327</v>
      </c>
      <c r="F26" s="34">
        <f t="shared" si="9"/>
        <v>72</v>
      </c>
      <c r="G26" s="31">
        <f t="shared" si="9"/>
        <v>0</v>
      </c>
      <c r="H26" s="32" t="s">
        <v>3</v>
      </c>
    </row>
    <row r="27" spans="1:8" x14ac:dyDescent="0.2">
      <c r="A27" s="29" t="s">
        <v>32</v>
      </c>
      <c r="B27" s="30" t="s">
        <v>15</v>
      </c>
      <c r="C27" s="30"/>
      <c r="D27" s="30">
        <f>ROUND(D22-SUM(AdjustmentArb)*D25,0)</f>
        <v>0</v>
      </c>
      <c r="E27" s="30">
        <f>ROUND(E22-SUM(AdjustmentArb)*E25,0)</f>
        <v>0</v>
      </c>
      <c r="F27" s="30">
        <f>ROUND(F22-SUM(AdjustmentArb)*F25,0)</f>
        <v>0</v>
      </c>
      <c r="G27" s="30">
        <f>ROUND(G22-SUM(AdjustmentArb)*G25,0)</f>
        <v>0</v>
      </c>
      <c r="H27" s="32" t="s">
        <v>3</v>
      </c>
    </row>
    <row r="28" spans="1:8" x14ac:dyDescent="0.2">
      <c r="A28" s="29"/>
      <c r="B28" s="30" t="s">
        <v>17</v>
      </c>
      <c r="C28" s="35">
        <f>C15-SUM(D26:G27)</f>
        <v>-0.68615384615384301</v>
      </c>
      <c r="D28" s="30"/>
      <c r="E28" s="30"/>
      <c r="F28" s="30"/>
      <c r="G28" s="30"/>
      <c r="H28" s="32" t="s">
        <v>3</v>
      </c>
    </row>
    <row r="29" spans="1:8" x14ac:dyDescent="0.2">
      <c r="A29" s="4"/>
      <c r="C29" s="26"/>
    </row>
    <row r="30" spans="1:8" x14ac:dyDescent="0.2">
      <c r="A30" s="36" t="s">
        <v>77</v>
      </c>
      <c r="B30" s="37" t="s">
        <v>74</v>
      </c>
      <c r="C30" s="38"/>
      <c r="D30" s="39">
        <f>ROUND(D9*D10, 0)</f>
        <v>485</v>
      </c>
      <c r="E30" s="39">
        <f t="shared" ref="E30:G30" si="10">ROUND(E9*E10, 0)</f>
        <v>332</v>
      </c>
      <c r="F30" s="39">
        <f t="shared" si="10"/>
        <v>72</v>
      </c>
      <c r="G30" s="39">
        <f t="shared" si="10"/>
        <v>0</v>
      </c>
      <c r="H30" s="40" t="s">
        <v>3</v>
      </c>
    </row>
    <row r="31" spans="1:8" x14ac:dyDescent="0.2">
      <c r="A31" s="36" t="s">
        <v>78</v>
      </c>
      <c r="B31" s="37" t="s">
        <v>75</v>
      </c>
      <c r="C31" s="38"/>
      <c r="D31" s="39">
        <f>ROUND(D9,0) - D30</f>
        <v>0</v>
      </c>
      <c r="E31" s="39">
        <f t="shared" ref="E31:G31" si="11">ROUND(E9,0) - E30</f>
        <v>37</v>
      </c>
      <c r="F31" s="39">
        <f t="shared" si="11"/>
        <v>214</v>
      </c>
      <c r="G31" s="39">
        <f t="shared" si="11"/>
        <v>0</v>
      </c>
      <c r="H31" s="40" t="s">
        <v>3</v>
      </c>
    </row>
    <row r="32" spans="1:8" x14ac:dyDescent="0.2">
      <c r="A32" s="36"/>
      <c r="B32" s="41" t="s">
        <v>76</v>
      </c>
      <c r="C32" s="43" t="str">
        <f>IF(SUM(D30:G31)&lt;=MAKSBELOP,"Everyone paid",IF(SUM(D30:G30)&lt;=MAKSBELOP,"Arbeidsgivere fully paid; Person partially paid by Person request", "Arbeidsgivere partial payment ratio by Arbeidsgiver request"))</f>
        <v>Arbeidsgivere partial payment ratio by Arbeidsgiver request</v>
      </c>
      <c r="D32" s="43"/>
      <c r="E32" s="43"/>
      <c r="F32" s="43"/>
      <c r="G32" s="43"/>
      <c r="H32" s="40"/>
    </row>
    <row r="33" spans="1:8" x14ac:dyDescent="0.2">
      <c r="A33" s="36" t="s">
        <v>31</v>
      </c>
      <c r="B33" s="37" t="s">
        <v>14</v>
      </c>
      <c r="C33" s="38"/>
      <c r="D33" s="37">
        <f>IF(SUM($D$30:$G$31)&lt;=MAKSBELOP,D30,IF(SUM($D$30:$G$30)&lt;=MAKSBELOP,D30,ROUND(D30*MAKSBELOP/SUM($D$30:$G$30),0)))</f>
        <v>472</v>
      </c>
      <c r="E33" s="37">
        <f>IF(SUM($D$30:$G$31)&lt;=MAKSBELOP,E30,IF(SUM($D$30:$G$30)&lt;=MAKSBELOP,E30,ROUND(E30*MAKSBELOP/SUM($D$30:$G$30),0)))</f>
        <v>323</v>
      </c>
      <c r="F33" s="37">
        <f>IF(SUM($D$30:$G$31)&lt;=MAKSBELOP,F30,IF(SUM($D$30:$G$30)&lt;=MAKSBELOP,F30,ROUND(F30*MAKSBELOP/SUM($D$30:$G$30),0)))</f>
        <v>70</v>
      </c>
      <c r="G33" s="37">
        <f>IF(SUM($D$30:$G$31)&lt;=MAKSBELOP,G30,IF(SUM($D$30:$G$30)&lt;=MAKSBELOP,G30,ROUND(G30*MAKSBELOP/SUM($D$30:$G$30),0)))</f>
        <v>0</v>
      </c>
      <c r="H33" s="40" t="s">
        <v>3</v>
      </c>
    </row>
    <row r="34" spans="1:8" hidden="1" x14ac:dyDescent="0.2">
      <c r="A34" s="36"/>
      <c r="B34" s="37" t="s">
        <v>79</v>
      </c>
      <c r="C34" s="38">
        <f>MAKSBELOP-SUM(D33:G33)</f>
        <v>-0.68615384615384301</v>
      </c>
      <c r="D34" s="37"/>
      <c r="E34" s="37"/>
      <c r="F34" s="37"/>
      <c r="G34" s="37"/>
      <c r="H34" s="40"/>
    </row>
    <row r="35" spans="1:8" x14ac:dyDescent="0.2">
      <c r="A35" s="36" t="s">
        <v>32</v>
      </c>
      <c r="B35" s="37" t="s">
        <v>15</v>
      </c>
      <c r="C35" s="37"/>
      <c r="D35" s="37">
        <f>IF(SUM($D$30:$G$31)&lt;=MAKSBELOP,D31,IF(SUM($D$30:$G$30)&lt;=MAKSBELOP,ROUND(PersonRemainder*D31/SUM($D$31:$G$31),0),0))</f>
        <v>0</v>
      </c>
      <c r="E35" s="37">
        <f>IF(SUM($D$30:$G$31)&lt;=MAKSBELOP,E31,IF(SUM($D$30:$G$30)&lt;=MAKSBELOP,ROUND(PersonRemainder*E31/SUM($D$31:$G$31),0),0))</f>
        <v>0</v>
      </c>
      <c r="F35" s="37">
        <f>IF(SUM($D$30:$G$31)&lt;=MAKSBELOP,F31,IF(SUM($D$30:$G$30)&lt;=MAKSBELOP,ROUND(PersonRemainder*F31/SUM($D$31:$G$31),0),0))</f>
        <v>0</v>
      </c>
      <c r="G35" s="37">
        <f>IF(SUM($D$30:$G$31)&lt;=MAKSBELOP,G31,IF(SUM($D$30:$G$30)&lt;=MAKSBELOP,ROUND(PersonRemainder*G31/SUM($D$31:$G$31),0),0))</f>
        <v>0</v>
      </c>
      <c r="H35" s="40" t="s">
        <v>3</v>
      </c>
    </row>
    <row r="36" spans="1:8" x14ac:dyDescent="0.2">
      <c r="A36" s="36"/>
      <c r="B36" s="37" t="s">
        <v>17</v>
      </c>
      <c r="C36" s="38">
        <f>MAKSBELOP-SUM(D33:G35)</f>
        <v>-0.68615384615384301</v>
      </c>
      <c r="D36" s="37"/>
      <c r="E36" s="37"/>
      <c r="F36" s="37"/>
      <c r="G36" s="37"/>
      <c r="H36" s="40" t="s">
        <v>3</v>
      </c>
    </row>
    <row r="40" spans="1:8" x14ac:dyDescent="0.2">
      <c r="A40" s="23" t="s">
        <v>49</v>
      </c>
      <c r="B40" s="24">
        <v>1430.76</v>
      </c>
    </row>
    <row r="41" spans="1:8" x14ac:dyDescent="0.2">
      <c r="A41" s="23" t="s">
        <v>50</v>
      </c>
      <c r="B41" s="24">
        <f>ROUND(B40*260/12,0)</f>
        <v>31000</v>
      </c>
    </row>
  </sheetData>
  <mergeCells count="1">
    <mergeCell ref="C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Terminology</vt:lpstr>
      <vt:lpstr>Multiple Employers</vt:lpstr>
      <vt:lpstr>AdjustmentArb</vt:lpstr>
      <vt:lpstr>MAKSBELOP</vt:lpstr>
      <vt:lpstr>PersonRemainder</vt:lpstr>
      <vt:lpstr>ScalingFactor</vt:lpstr>
      <vt:lpstr>ShortfallIncomeRatioArb</vt:lpstr>
      <vt:lpstr>ShortfallIncomeRatioPerson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Microsoft Office User</cp:lastModifiedBy>
  <dcterms:created xsi:type="dcterms:W3CDTF">2020-05-27T23:24:05Z</dcterms:created>
  <dcterms:modified xsi:type="dcterms:W3CDTF">2020-06-03T07:28:24Z</dcterms:modified>
</cp:coreProperties>
</file>