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A2291667-85F1-FF49-BD5D-0566E5287648}" xr6:coauthVersionLast="47" xr6:coauthVersionMax="47" xr10:uidLastSave="{00000000-0000-0000-0000-000000000000}"/>
  <bookViews>
    <workbookView xWindow="3840" yWindow="8400" windowWidth="58300" windowHeight="33100" xr2:uid="{D68530E5-53F4-9147-B78C-2EE89FEB1D8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14" i="1"/>
  <c r="B8" i="1"/>
  <c r="C10" i="1" s="1"/>
  <c r="C17" i="1"/>
  <c r="E17" i="1"/>
  <c r="C16" i="1"/>
  <c r="D16" i="1"/>
  <c r="C18" i="1" s="1"/>
  <c r="E16" i="1"/>
  <c r="E13" i="1"/>
  <c r="C13" i="1"/>
  <c r="C36" i="1" l="1"/>
  <c r="D17" i="1"/>
  <c r="B35" i="1" l="1"/>
  <c r="B39" i="1" s="1"/>
  <c r="C25" i="1" l="1"/>
  <c r="C6" i="1"/>
  <c r="D6" i="1"/>
  <c r="E6" i="1"/>
  <c r="C9" i="1" l="1"/>
  <c r="E9" i="1"/>
  <c r="D9" i="1"/>
  <c r="D25" i="1"/>
  <c r="B2" i="1" l="1"/>
  <c r="D10" i="1" s="1"/>
  <c r="E10" i="1" l="1"/>
  <c r="C11" i="1" s="1"/>
  <c r="B12" i="1" l="1"/>
  <c r="E11" i="1"/>
  <c r="B22" i="1"/>
  <c r="C24" i="1" s="1"/>
  <c r="D18" i="1"/>
  <c r="E18" i="1"/>
  <c r="D11" i="1"/>
  <c r="D32" i="1" l="1"/>
  <c r="C32" i="1"/>
  <c r="C29" i="1"/>
  <c r="E29" i="1"/>
  <c r="E32" i="1"/>
  <c r="E25" i="1"/>
  <c r="B23" i="1" s="1"/>
  <c r="C26" i="1" s="1"/>
  <c r="D29" i="1"/>
  <c r="D26" i="1" l="1"/>
  <c r="E26" i="1"/>
  <c r="D24" i="1"/>
  <c r="E24" i="1"/>
  <c r="B34" i="1"/>
  <c r="B38" i="1" l="1"/>
  <c r="E31" i="1"/>
  <c r="D31" i="1"/>
  <c r="C31" i="1"/>
  <c r="B40" i="1"/>
  <c r="C37" i="1"/>
  <c r="D33" i="1"/>
  <c r="C33" i="1"/>
  <c r="E33" i="1"/>
  <c r="C41" i="1" l="1"/>
  <c r="C42" i="1"/>
  <c r="C38" i="1"/>
  <c r="E42" i="1"/>
  <c r="D41" i="1" l="1"/>
  <c r="D45" i="1" s="1"/>
  <c r="D46" i="1" s="1"/>
  <c r="E41" i="1"/>
  <c r="E45" i="1" s="1"/>
  <c r="E46" i="1" s="1"/>
  <c r="D42" i="1"/>
  <c r="C51" i="1"/>
  <c r="C45" i="1" l="1"/>
  <c r="C46" i="1" s="1"/>
  <c r="G46" i="1" s="1"/>
  <c r="C52" i="1"/>
  <c r="G41" i="1"/>
  <c r="C43" i="1"/>
  <c r="E43" i="1"/>
  <c r="E51" i="1"/>
  <c r="E52" i="1" s="1"/>
  <c r="D43" i="1"/>
  <c r="D51" i="1"/>
  <c r="D52" i="1" s="1"/>
  <c r="G42" i="1"/>
  <c r="G43" i="1" s="1"/>
  <c r="G45" i="1" l="1"/>
  <c r="G52" i="1"/>
  <c r="B47" i="1"/>
  <c r="C48" i="1" s="1"/>
  <c r="D48" i="1" s="1"/>
  <c r="E48" i="1" s="1"/>
  <c r="E49" i="1" s="1"/>
  <c r="G51" i="1"/>
  <c r="C49" i="1" l="1"/>
  <c r="D49" i="1"/>
  <c r="G49" i="1" l="1"/>
  <c r="B53" i="1" s="1"/>
  <c r="E54" i="1" l="1"/>
  <c r="E55" i="1" s="1"/>
  <c r="D54" i="1"/>
  <c r="D55" i="1" s="1"/>
  <c r="C54" i="1"/>
  <c r="C55" i="1" s="1"/>
  <c r="G55" i="1" l="1"/>
  <c r="B57" i="1" s="1"/>
</calcChain>
</file>

<file path=xl/sharedStrings.xml><?xml version="1.0" encoding="utf-8"?>
<sst xmlns="http://schemas.openxmlformats.org/spreadsheetml/2006/main" count="60" uniqueCount="52">
  <si>
    <t>Månedsinntekt</t>
  </si>
  <si>
    <t>Arbeidsgiver 1</t>
  </si>
  <si>
    <t>Arbeidsgiver 2</t>
  </si>
  <si>
    <t>Arbeidsgiver 3</t>
  </si>
  <si>
    <t>Del av total</t>
  </si>
  <si>
    <t>Grunnbeløp</t>
  </si>
  <si>
    <t xml:space="preserve">6G </t>
  </si>
  <si>
    <t>Vektet refusjonsgrad</t>
  </si>
  <si>
    <t>Sykdomsgrad</t>
  </si>
  <si>
    <t>Total sykdomsgrad</t>
  </si>
  <si>
    <t>Månedsinntekt etter 6G</t>
  </si>
  <si>
    <t>Arbeidsgiverbeløp</t>
  </si>
  <si>
    <t>Sykepengegrunnlag</t>
  </si>
  <si>
    <t>Sykepengegrunnlag m/sykdomsgrad</t>
  </si>
  <si>
    <t>Refusjon m/sykdomsgrad</t>
  </si>
  <si>
    <t>Vektet sykdomsgrad fra inntekt</t>
  </si>
  <si>
    <t>Alt over denne linjen er ting Vilkårsgrunnlag kan svare på</t>
  </si>
  <si>
    <t>Beløp som settes på Økonomi av Sykepengegrunnlag</t>
  </si>
  <si>
    <t>Alternativ 1) Vi kan regne refusjon ut fra refusjonsprosenten til arbeidsgiverne</t>
  </si>
  <si>
    <t>Personbeløp</t>
  </si>
  <si>
    <t>(del av total regner Økonomi ut selv)</t>
  </si>
  <si>
    <t>Arbeidsgiverbeløp før avrunding</t>
  </si>
  <si>
    <t>Grunnlag for refusjon</t>
  </si>
  <si>
    <t>Refusjonsgrad</t>
  </si>
  <si>
    <t>Alternativ 2) Vi kan regne refusjon ut fra beløpene til arbeidsgiverne (fra gjødsleren)</t>
  </si>
  <si>
    <t>Personbeløp før avruding alternativ 1</t>
  </si>
  <si>
    <t>(del av total regner Økonomi ut selv, er bare avhengig av grad og redusert inntekt)</t>
  </si>
  <si>
    <t>Vektet persongrad</t>
  </si>
  <si>
    <t>Totalt</t>
  </si>
  <si>
    <t>Ønsket refusjon</t>
  </si>
  <si>
    <t>Refusjonsbegrensning</t>
  </si>
  <si>
    <t>Refusjon kan ikke overstige månedsinntekten, ei heller dekningsgrunnlaget</t>
  </si>
  <si>
    <t>Dekningsgrad</t>
  </si>
  <si>
    <t>Persongrad</t>
  </si>
  <si>
    <t>Vektet refusjonsgrad inkl. Sykdomsgrad</t>
  </si>
  <si>
    <t>Vektet persongrad inkl. Sykdomsgrad</t>
  </si>
  <si>
    <t>(del av total, er avhengig av å vite refusjonsbeløpet, feks. Fra gjødsleren)</t>
  </si>
  <si>
    <t>Alt under denne linjen er ting Økonomi kan svare på.  INPUT: begrenset inntekt, refusjonsgrad (eller beløp) og sykdomsgrad</t>
  </si>
  <si>
    <t>Refusjonsgrad per AG. Regnes ut av vilkårsgrunnlag og settes på Økonomi. I en overgangsfase må det utregnes av Økonomi selv</t>
  </si>
  <si>
    <t>Årlig sum avrundet på dagnivå</t>
  </si>
  <si>
    <t>Avrundingsdifferanse</t>
  </si>
  <si>
    <t>Rest til utbetaling</t>
  </si>
  <si>
    <t>Fordelt beløp</t>
  </si>
  <si>
    <t>Fordelt arbeidsgiverbeløp</t>
  </si>
  <si>
    <t>Fordelt personbeløp</t>
  </si>
  <si>
    <t xml:space="preserve">Totalt utbetalt </t>
  </si>
  <si>
    <t>Begrenset grunnlag ihht. Dekningsgrad</t>
  </si>
  <si>
    <t>Avrundet Sykepengegrunnlag</t>
  </si>
  <si>
    <t>Samlet refusjonsgrad</t>
  </si>
  <si>
    <t>Refusjon gitt 100 % syk</t>
  </si>
  <si>
    <t>Personbeløp gitt 100 % syk</t>
  </si>
  <si>
    <t>Må ta utgangspunkt i uredusert inntekt/opprinnelig refusjonsbeløp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</si>
</sst>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64" formatCode="0.0000%"/>
    <numFmt numFmtId="170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2" applyNumberFormat="1" applyFont="1"/>
    <xf numFmtId="44" fontId="0" fillId="3" borderId="0" xfId="0" applyNumberFormat="1" applyFill="1"/>
    <xf numFmtId="0" fontId="0" fillId="3" borderId="0" xfId="0" applyFill="1"/>
    <xf numFmtId="9" fontId="0" fillId="0" borderId="0" xfId="0" applyNumberFormat="1"/>
    <xf numFmtId="44" fontId="0" fillId="0" borderId="0" xfId="1" applyFont="1" applyFill="1"/>
    <xf numFmtId="10" fontId="0" fillId="3" borderId="0" xfId="2" applyNumberFormat="1" applyFont="1" applyFill="1"/>
    <xf numFmtId="10" fontId="0" fillId="4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64" fontId="0" fillId="0" borderId="0" xfId="2" applyNumberFormat="1" applyFont="1"/>
    <xf numFmtId="0" fontId="3" fillId="5" borderId="1" xfId="0" applyFont="1" applyFill="1" applyBorder="1"/>
    <xf numFmtId="0" fontId="3" fillId="6" borderId="1" xfId="0" applyFont="1" applyFill="1" applyBorder="1"/>
    <xf numFmtId="0" fontId="4" fillId="5" borderId="1" xfId="0" applyFont="1" applyFill="1" applyBorder="1"/>
    <xf numFmtId="44" fontId="4" fillId="5" borderId="1" xfId="0" applyNumberFormat="1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44" fontId="4" fillId="5" borderId="1" xfId="1" applyFont="1" applyFill="1" applyBorder="1"/>
    <xf numFmtId="44" fontId="3" fillId="5" borderId="1" xfId="0" applyNumberFormat="1" applyFont="1" applyFill="1" applyBorder="1"/>
    <xf numFmtId="44" fontId="3" fillId="6" borderId="1" xfId="0" applyNumberFormat="1" applyFont="1" applyFill="1" applyBorder="1"/>
    <xf numFmtId="170" fontId="0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C860-80D7-1E4E-BCDB-1C6933AA76C9}">
  <dimension ref="A1:I58"/>
  <sheetViews>
    <sheetView tabSelected="1" topLeftCell="A9" zoomScale="180" zoomScaleNormal="180" workbookViewId="0">
      <selection activeCell="B36" sqref="B36"/>
    </sheetView>
  </sheetViews>
  <sheetFormatPr baseColWidth="10" defaultRowHeight="16" x14ac:dyDescent="0.2"/>
  <cols>
    <col min="1" max="1" width="34.83203125" customWidth="1"/>
    <col min="2" max="2" width="15.6640625" bestFit="1" customWidth="1"/>
    <col min="3" max="3" width="18.33203125" customWidth="1"/>
    <col min="4" max="4" width="20.33203125" customWidth="1"/>
    <col min="5" max="5" width="20" bestFit="1" customWidth="1"/>
    <col min="6" max="6" width="12.1640625" bestFit="1" customWidth="1"/>
    <col min="7" max="7" width="16.5" customWidth="1"/>
    <col min="8" max="9" width="11.1640625" bestFit="1" customWidth="1"/>
  </cols>
  <sheetData>
    <row r="1" spans="1:9" x14ac:dyDescent="0.2">
      <c r="A1" t="s">
        <v>5</v>
      </c>
      <c r="B1" s="1">
        <v>93634</v>
      </c>
    </row>
    <row r="2" spans="1:9" x14ac:dyDescent="0.2">
      <c r="A2" t="s">
        <v>6</v>
      </c>
      <c r="B2" s="1">
        <f>B1*6</f>
        <v>561804</v>
      </c>
    </row>
    <row r="4" spans="1:9" x14ac:dyDescent="0.2">
      <c r="C4" s="5" t="s">
        <v>1</v>
      </c>
      <c r="D4" s="5" t="s">
        <v>2</v>
      </c>
      <c r="E4" s="5" t="s">
        <v>3</v>
      </c>
    </row>
    <row r="5" spans="1:9" x14ac:dyDescent="0.2">
      <c r="A5" t="s">
        <v>0</v>
      </c>
      <c r="C5" s="1">
        <v>30000</v>
      </c>
      <c r="D5" s="1">
        <v>10000</v>
      </c>
      <c r="E5" s="1">
        <v>15000</v>
      </c>
      <c r="H5" s="1"/>
      <c r="I5" s="1"/>
    </row>
    <row r="6" spans="1:9" x14ac:dyDescent="0.2">
      <c r="A6" t="s">
        <v>46</v>
      </c>
      <c r="C6" s="4">
        <f>C5*C7</f>
        <v>30000</v>
      </c>
      <c r="D6" s="4">
        <f>D5*D7</f>
        <v>10000</v>
      </c>
      <c r="E6" s="4">
        <f>E5*E7</f>
        <v>15000</v>
      </c>
    </row>
    <row r="7" spans="1:9" x14ac:dyDescent="0.2">
      <c r="A7" t="s">
        <v>32</v>
      </c>
      <c r="C7" s="2">
        <v>1</v>
      </c>
      <c r="D7" s="2">
        <v>1</v>
      </c>
      <c r="E7" s="2">
        <v>1</v>
      </c>
    </row>
    <row r="8" spans="1:9" x14ac:dyDescent="0.2">
      <c r="B8" s="4">
        <f>MIN(12*SUM(C6:E6),B2)</f>
        <v>561804</v>
      </c>
    </row>
    <row r="9" spans="1:9" x14ac:dyDescent="0.2">
      <c r="A9" t="s">
        <v>4</v>
      </c>
      <c r="C9" s="3">
        <f>C6/SUM($C$6:$E$6)</f>
        <v>0.54545454545454541</v>
      </c>
      <c r="D9" s="3">
        <f>D6/SUM($C$6:$E$6)</f>
        <v>0.18181818181818182</v>
      </c>
      <c r="E9" s="3">
        <f>E6/SUM($C$6:$E$6)</f>
        <v>0.27272727272727271</v>
      </c>
    </row>
    <row r="10" spans="1:9" x14ac:dyDescent="0.2">
      <c r="A10" s="9" t="s">
        <v>10</v>
      </c>
      <c r="B10" s="9"/>
      <c r="C10" s="8">
        <f>$B$8*C9/12</f>
        <v>25536.545454545452</v>
      </c>
      <c r="D10" s="8">
        <f>$B$8*D9/12</f>
        <v>8512.181818181818</v>
      </c>
      <c r="E10" s="8">
        <f>$B$8*E9/12</f>
        <v>12768.272727272726</v>
      </c>
      <c r="F10" t="s">
        <v>17</v>
      </c>
    </row>
    <row r="11" spans="1:9" x14ac:dyDescent="0.2">
      <c r="A11" t="s">
        <v>4</v>
      </c>
      <c r="C11" s="3">
        <f>C10/SUM($C$10:$E$10)</f>
        <v>0.54545454545454541</v>
      </c>
      <c r="D11" s="3">
        <f>D10/SUM($C$10:$E$10)</f>
        <v>0.18181818181818182</v>
      </c>
      <c r="E11" s="3">
        <f>E10/SUM($C$10:$E$10)</f>
        <v>0.27272727272727271</v>
      </c>
      <c r="F11" t="s">
        <v>20</v>
      </c>
    </row>
    <row r="12" spans="1:9" x14ac:dyDescent="0.2">
      <c r="A12" s="9" t="s">
        <v>12</v>
      </c>
      <c r="B12" s="8">
        <f>12*SUM(C10:E10)</f>
        <v>561804</v>
      </c>
      <c r="C12" s="4"/>
    </row>
    <row r="13" spans="1:9" x14ac:dyDescent="0.2">
      <c r="A13" t="s">
        <v>29</v>
      </c>
      <c r="C13" s="11">
        <f>30000*0.75</f>
        <v>22500</v>
      </c>
      <c r="D13" s="11">
        <v>10000</v>
      </c>
      <c r="E13" s="11">
        <f>E5</f>
        <v>15000</v>
      </c>
    </row>
    <row r="14" spans="1:9" x14ac:dyDescent="0.2">
      <c r="B14" s="4">
        <f>12*SUM(C13:E13)</f>
        <v>570000</v>
      </c>
      <c r="C14" s="4"/>
      <c r="D14" s="4"/>
      <c r="E14" s="4"/>
    </row>
    <row r="15" spans="1:9" x14ac:dyDescent="0.2">
      <c r="B15" s="4"/>
      <c r="C15" s="26"/>
    </row>
    <row r="16" spans="1:9" x14ac:dyDescent="0.2">
      <c r="A16" t="s">
        <v>30</v>
      </c>
      <c r="C16" s="1">
        <f>MIN(C5,C13)</f>
        <v>22500</v>
      </c>
      <c r="D16" s="1">
        <f>MIN(D5,D13)</f>
        <v>10000</v>
      </c>
      <c r="E16" s="1">
        <f>MIN(E5,E13)</f>
        <v>15000</v>
      </c>
      <c r="F16" t="s">
        <v>31</v>
      </c>
    </row>
    <row r="17" spans="1:8" x14ac:dyDescent="0.2">
      <c r="A17" s="9" t="s">
        <v>23</v>
      </c>
      <c r="B17" s="9"/>
      <c r="C17" s="12">
        <f>IF(C5&gt;0,C16/C5,0)</f>
        <v>0.75</v>
      </c>
      <c r="D17" s="12">
        <f t="shared" ref="D17:E17" si="0">IF(D5&gt;0,D16/D5,0)</f>
        <v>1</v>
      </c>
      <c r="E17" s="12">
        <f t="shared" si="0"/>
        <v>1</v>
      </c>
      <c r="F17" t="s">
        <v>38</v>
      </c>
    </row>
    <row r="18" spans="1:8" ht="16" customHeight="1" x14ac:dyDescent="0.2">
      <c r="A18" t="s">
        <v>4</v>
      </c>
      <c r="C18" s="3">
        <f>C16/SUM($C$16:$E$16)</f>
        <v>0.47368421052631576</v>
      </c>
      <c r="D18" s="3">
        <f>D16/SUM($C$16:$E$16)</f>
        <v>0.21052631578947367</v>
      </c>
      <c r="E18" s="3">
        <f>E16/SUM($C$16:$E$16)</f>
        <v>0.31578947368421051</v>
      </c>
      <c r="F18" t="s">
        <v>36</v>
      </c>
    </row>
    <row r="19" spans="1:8" x14ac:dyDescent="0.2">
      <c r="A19" s="21" t="s">
        <v>16</v>
      </c>
      <c r="B19" s="21"/>
      <c r="C19" s="21"/>
      <c r="D19" s="21"/>
      <c r="E19" s="21"/>
    </row>
    <row r="20" spans="1:8" ht="68" customHeight="1" x14ac:dyDescent="0.2">
      <c r="A20" s="22" t="s">
        <v>37</v>
      </c>
      <c r="B20" s="22"/>
      <c r="C20" s="22"/>
      <c r="D20" s="22"/>
      <c r="E20" s="22"/>
    </row>
    <row r="21" spans="1:8" x14ac:dyDescent="0.2">
      <c r="A21" s="22"/>
      <c r="B21" s="22"/>
      <c r="C21" s="22"/>
      <c r="D21" s="22"/>
      <c r="E21" s="22"/>
    </row>
    <row r="22" spans="1:8" x14ac:dyDescent="0.2">
      <c r="A22" t="s">
        <v>49</v>
      </c>
      <c r="B22" s="1">
        <f>SUMPRODUCT($C$10:$E$10,$C$17:$E$17)</f>
        <v>40432.863636363632</v>
      </c>
    </row>
    <row r="23" spans="1:8" x14ac:dyDescent="0.2">
      <c r="A23" t="s">
        <v>50</v>
      </c>
      <c r="B23" s="1">
        <f>SUMPRODUCT($C$10:$E$10,$C$25:$E$25)</f>
        <v>6384.1363636363631</v>
      </c>
    </row>
    <row r="24" spans="1:8" x14ac:dyDescent="0.2">
      <c r="A24" t="s">
        <v>7</v>
      </c>
      <c r="C24" s="13">
        <f>C10*C17/$B$22</f>
        <v>0.47368421052631576</v>
      </c>
      <c r="D24" s="13">
        <f>D10*D17/$B$22</f>
        <v>0.2105263157894737</v>
      </c>
      <c r="E24" s="13">
        <f>E10*E17/$B$22</f>
        <v>0.31578947368421051</v>
      </c>
      <c r="F24" t="s">
        <v>26</v>
      </c>
    </row>
    <row r="25" spans="1:8" x14ac:dyDescent="0.2">
      <c r="A25" t="s">
        <v>33</v>
      </c>
      <c r="B25" s="4"/>
      <c r="C25" s="14">
        <f>(1-C17)</f>
        <v>0.25</v>
      </c>
      <c r="D25" s="14">
        <f>(1-D17)</f>
        <v>0</v>
      </c>
      <c r="E25" s="14">
        <f>(1-E17)</f>
        <v>0</v>
      </c>
      <c r="F25" t="s">
        <v>26</v>
      </c>
    </row>
    <row r="26" spans="1:8" x14ac:dyDescent="0.2">
      <c r="A26" t="s">
        <v>27</v>
      </c>
      <c r="C26" s="13">
        <f>IF(SUMPRODUCT($C$10:$E$10,$C$25:$E$25)&gt;0,(C10*C25)/$B$23,0)</f>
        <v>1</v>
      </c>
      <c r="D26" s="13">
        <f t="shared" ref="D26:E26" si="1">IF(SUMPRODUCT($C$10:$E$10,$C$25:$E$25)&gt;0,(D10*D25)/$B$23,0)</f>
        <v>0</v>
      </c>
      <c r="E26" s="13">
        <f t="shared" si="1"/>
        <v>0</v>
      </c>
    </row>
    <row r="28" spans="1:8" x14ac:dyDescent="0.2">
      <c r="A28" t="s">
        <v>8</v>
      </c>
      <c r="C28" s="2">
        <v>0.4</v>
      </c>
      <c r="D28" s="2">
        <v>0.5</v>
      </c>
      <c r="E28" s="2">
        <v>0.7</v>
      </c>
      <c r="G28" s="10"/>
    </row>
    <row r="29" spans="1:8" x14ac:dyDescent="0.2">
      <c r="A29" t="s">
        <v>15</v>
      </c>
      <c r="C29" s="6">
        <f>C28*C11</f>
        <v>0.21818181818181817</v>
      </c>
      <c r="D29" s="6">
        <f>D28*D11</f>
        <v>9.0909090909090912E-2</v>
      </c>
      <c r="E29" s="6">
        <f>E28*E11</f>
        <v>0.19090909090909089</v>
      </c>
      <c r="G29" s="4"/>
      <c r="H29" s="6"/>
    </row>
    <row r="30" spans="1:8" x14ac:dyDescent="0.2">
      <c r="C30" s="4"/>
    </row>
    <row r="31" spans="1:8" x14ac:dyDescent="0.2">
      <c r="A31" s="9" t="s">
        <v>34</v>
      </c>
      <c r="B31" s="9"/>
      <c r="C31" s="15">
        <f>C24*C28 / SUMPRODUCT($C$24:$E$24,$C$28:$E$28)</f>
        <v>0.36734693877551017</v>
      </c>
      <c r="D31" s="15">
        <f>D24*D28 / SUMPRODUCT($C$24:$E$24,$C$28:$E$28)</f>
        <v>0.20408163265306123</v>
      </c>
      <c r="E31" s="15">
        <f>E24*E28 / SUMPRODUCT($C$24:$E$24,$C$28:$E$28)</f>
        <v>0.42857142857142844</v>
      </c>
      <c r="F31" t="s">
        <v>18</v>
      </c>
    </row>
    <row r="32" spans="1:8" x14ac:dyDescent="0.2">
      <c r="A32" t="s">
        <v>34</v>
      </c>
      <c r="C32" s="3">
        <f>C11*C13*C28/SUMPRODUCT($C13:$E$13,$C$28:$E$28,$C$11:$E$11)</f>
        <v>0.5654450261780104</v>
      </c>
      <c r="D32" s="3">
        <f>D11*D13*D28/SUMPRODUCT($C13:$E$13,$C$28:$E$28,$C$11:$E$11)</f>
        <v>0.10471204188481675</v>
      </c>
      <c r="E32" s="3">
        <f>E11*E13*E28/SUMPRODUCT($C13:$E$13,$C$28:$E$28,$C$11:$E$11)</f>
        <v>0.32984293193717268</v>
      </c>
      <c r="F32" t="s">
        <v>24</v>
      </c>
    </row>
    <row r="33" spans="1:7" x14ac:dyDescent="0.2">
      <c r="A33" s="9" t="s">
        <v>35</v>
      </c>
      <c r="B33" s="9"/>
      <c r="C33" s="12">
        <f>IF(SUMPRODUCT($C$26:$E$26,$C$28:$E$28)&gt;0,(C26*C28) / SUMPRODUCT($C$26:$E$26,$C$28:$E$28),0)</f>
        <v>1</v>
      </c>
      <c r="D33" s="12">
        <f>IF(SUMPRODUCT($C$26:$E$26,$C$28:$E$28)&gt;0,(D26*D28) / SUMPRODUCT($C$26:$E$26,$C$28:$E$28),0)</f>
        <v>0</v>
      </c>
      <c r="E33" s="12">
        <f>IF(SUMPRODUCT($C$26:$E$26,$C$28:$E$28)&gt;0,(E26*E28) / SUMPRODUCT($C$26:$E$26,$C$28:$E$28),0)</f>
        <v>0</v>
      </c>
    </row>
    <row r="34" spans="1:7" x14ac:dyDescent="0.2">
      <c r="A34" t="s">
        <v>9</v>
      </c>
      <c r="B34" s="16">
        <f>SUM(C29:E29)</f>
        <v>0.5</v>
      </c>
      <c r="E34" s="4"/>
    </row>
    <row r="35" spans="1:7" x14ac:dyDescent="0.2">
      <c r="A35" t="s">
        <v>48</v>
      </c>
      <c r="B35" s="6">
        <f>MIN(1,B36/B37)</f>
        <v>1</v>
      </c>
      <c r="C35" s="1"/>
      <c r="D35" s="1"/>
      <c r="E35" s="1"/>
    </row>
    <row r="36" spans="1:7" x14ac:dyDescent="0.2">
      <c r="A36" t="s">
        <v>14</v>
      </c>
      <c r="B36" s="1">
        <f>12*SUMPRODUCT(C6:E6,C28:E28,C17:E17)</f>
        <v>294000</v>
      </c>
      <c r="C36" s="1">
        <f>SUMPRODUCT(C16:E16,C28:E28)*12</f>
        <v>294000</v>
      </c>
      <c r="D36" s="3" t="s">
        <v>51</v>
      </c>
    </row>
    <row r="37" spans="1:7" x14ac:dyDescent="0.2">
      <c r="A37" t="s">
        <v>13</v>
      </c>
      <c r="B37" s="4">
        <f>B12*B34</f>
        <v>280902</v>
      </c>
      <c r="C37" s="4">
        <f>B37/260</f>
        <v>1080.3923076923077</v>
      </c>
      <c r="D37" s="4"/>
    </row>
    <row r="38" spans="1:7" x14ac:dyDescent="0.2">
      <c r="A38" t="s">
        <v>47</v>
      </c>
      <c r="B38" s="4">
        <f>ROUND(B37/260,)*260</f>
        <v>280800</v>
      </c>
      <c r="C38" s="4">
        <f>B38/260</f>
        <v>1080</v>
      </c>
      <c r="F38" t="s">
        <v>39</v>
      </c>
    </row>
    <row r="39" spans="1:7" x14ac:dyDescent="0.2">
      <c r="A39" t="s">
        <v>22</v>
      </c>
      <c r="B39" s="4">
        <f>B38*B35</f>
        <v>280800</v>
      </c>
    </row>
    <row r="40" spans="1:7" x14ac:dyDescent="0.2">
      <c r="A40" t="s">
        <v>19</v>
      </c>
      <c r="B40" s="4">
        <f>B38-B39</f>
        <v>0</v>
      </c>
      <c r="C40" s="7"/>
      <c r="D40" s="7"/>
      <c r="E40" s="7"/>
    </row>
    <row r="41" spans="1:7" x14ac:dyDescent="0.2">
      <c r="A41" s="17" t="s">
        <v>21</v>
      </c>
      <c r="B41" s="17"/>
      <c r="C41" s="20">
        <f>$B$39*C31/260</f>
        <v>396.73469387755097</v>
      </c>
      <c r="D41" s="20">
        <f>$B$39*D31/260</f>
        <v>220.40816326530611</v>
      </c>
      <c r="E41" s="20">
        <f>$B$39*E31/260</f>
        <v>462.85714285714272</v>
      </c>
      <c r="F41" s="17"/>
      <c r="G41" s="17">
        <f>SUM(C41:E41)</f>
        <v>1079.9999999999998</v>
      </c>
    </row>
    <row r="42" spans="1:7" x14ac:dyDescent="0.2">
      <c r="A42" s="17" t="s">
        <v>25</v>
      </c>
      <c r="B42" s="17"/>
      <c r="C42" s="20">
        <f>$B$40*C33/260</f>
        <v>0</v>
      </c>
      <c r="D42" s="20">
        <f>$B$40*D33/260</f>
        <v>0</v>
      </c>
      <c r="E42" s="20">
        <f>$B$40*E33/260</f>
        <v>0</v>
      </c>
      <c r="F42" s="17"/>
      <c r="G42" s="17">
        <f>SUM(C42:E42)</f>
        <v>0</v>
      </c>
    </row>
    <row r="43" spans="1:7" x14ac:dyDescent="0.2">
      <c r="A43" s="17"/>
      <c r="B43" s="17" t="s">
        <v>28</v>
      </c>
      <c r="C43" s="19">
        <f>SUM(C41:C42)</f>
        <v>396.73469387755097</v>
      </c>
      <c r="D43" s="19">
        <f t="shared" ref="D43:E43" si="2">SUM(D41:D42)</f>
        <v>220.40816326530611</v>
      </c>
      <c r="E43" s="19">
        <f t="shared" si="2"/>
        <v>462.85714285714272</v>
      </c>
      <c r="F43" s="17"/>
      <c r="G43" s="17">
        <f>SUM(G41:G42)</f>
        <v>1079.9999999999998</v>
      </c>
    </row>
    <row r="44" spans="1:7" x14ac:dyDescent="0.2">
      <c r="A44" s="17"/>
      <c r="B44" s="17"/>
      <c r="C44" s="19"/>
      <c r="D44" s="19"/>
      <c r="E44" s="19"/>
      <c r="F44" s="17"/>
      <c r="G44" s="17"/>
    </row>
    <row r="45" spans="1:7" x14ac:dyDescent="0.2">
      <c r="A45" s="17" t="s">
        <v>11</v>
      </c>
      <c r="B45" s="17"/>
      <c r="C45" s="20">
        <f>TRUNC(C41)</f>
        <v>396</v>
      </c>
      <c r="D45" s="19">
        <f t="shared" ref="D45:E45" si="3">TRUNC(D41)</f>
        <v>220</v>
      </c>
      <c r="E45" s="19">
        <f t="shared" si="3"/>
        <v>462</v>
      </c>
      <c r="F45" s="17"/>
      <c r="G45" s="24">
        <f>SUM(C45:E45)</f>
        <v>1078</v>
      </c>
    </row>
    <row r="46" spans="1:7" x14ac:dyDescent="0.2">
      <c r="A46" s="17" t="s">
        <v>40</v>
      </c>
      <c r="B46" s="24"/>
      <c r="C46" s="19">
        <f>C41-C45</f>
        <v>0.73469387755096704</v>
      </c>
      <c r="D46" s="19">
        <f t="shared" ref="D46:E46" si="4">D41-D45</f>
        <v>0.40816326530611491</v>
      </c>
      <c r="E46" s="19">
        <f t="shared" si="4"/>
        <v>0.85714285714271909</v>
      </c>
      <c r="F46" s="17"/>
      <c r="G46" s="17">
        <f>SUM(C46:E46)</f>
        <v>1.999999999999801</v>
      </c>
    </row>
    <row r="47" spans="1:7" x14ac:dyDescent="0.2">
      <c r="A47" s="17" t="s">
        <v>41</v>
      </c>
      <c r="B47" s="20">
        <f>ROUND(SUM(C41:E41)-SUM(C45:E45),)</f>
        <v>2</v>
      </c>
      <c r="C47" s="19"/>
      <c r="D47" s="19"/>
      <c r="E47" s="19"/>
      <c r="F47" s="17"/>
      <c r="G47" s="17"/>
    </row>
    <row r="48" spans="1:7" x14ac:dyDescent="0.2">
      <c r="A48" s="17" t="s">
        <v>42</v>
      </c>
      <c r="B48" s="17"/>
      <c r="C48" s="19">
        <f>IF($B$47&gt;0,IF(LARGE($C$46:$F$46,$B$47)&lt;=C$46,1,0), 0)</f>
        <v>1</v>
      </c>
      <c r="D48" s="19">
        <f>IF(($B$47-C48)&gt;0,IF(LARGE($C$46:$F$46,$B$47)&lt;=D$46,1,0), 0)</f>
        <v>0</v>
      </c>
      <c r="E48" s="19">
        <f>IF(($B$47-SUM($C$48:$D$48))&gt;0,IF(LARGE($C$46:$F$46,$B$47)&lt;=E$46,1,0), 0)</f>
        <v>1</v>
      </c>
      <c r="F48" s="17"/>
      <c r="G48" s="17"/>
    </row>
    <row r="49" spans="1:7" x14ac:dyDescent="0.2">
      <c r="A49" s="18" t="s">
        <v>43</v>
      </c>
      <c r="B49" s="18"/>
      <c r="C49" s="25">
        <f>C45+C48</f>
        <v>397</v>
      </c>
      <c r="D49" s="18">
        <f t="shared" ref="D49:E49" si="5">D45+D48</f>
        <v>220</v>
      </c>
      <c r="E49" s="18">
        <f t="shared" si="5"/>
        <v>463</v>
      </c>
      <c r="F49" s="18"/>
      <c r="G49" s="18">
        <f>SUM(C49:E49)</f>
        <v>1080</v>
      </c>
    </row>
    <row r="50" spans="1:7" x14ac:dyDescent="0.2">
      <c r="A50" s="17"/>
      <c r="B50" s="19"/>
      <c r="C50" s="19"/>
      <c r="D50" s="19"/>
      <c r="E50" s="19"/>
      <c r="F50" s="17"/>
      <c r="G50" s="17"/>
    </row>
    <row r="51" spans="1:7" x14ac:dyDescent="0.2">
      <c r="A51" s="17" t="s">
        <v>19</v>
      </c>
      <c r="B51" s="19"/>
      <c r="C51" s="20">
        <f>TRUNC(C42)</f>
        <v>0</v>
      </c>
      <c r="D51" s="19">
        <f t="shared" ref="D51:E51" si="6">TRUNC(D42)</f>
        <v>0</v>
      </c>
      <c r="E51" s="19">
        <f t="shared" si="6"/>
        <v>0</v>
      </c>
      <c r="F51" s="17"/>
      <c r="G51" s="24">
        <f>SUM(C51:E51)</f>
        <v>0</v>
      </c>
    </row>
    <row r="52" spans="1:7" x14ac:dyDescent="0.2">
      <c r="A52" s="17" t="s">
        <v>40</v>
      </c>
      <c r="B52" s="19"/>
      <c r="C52" s="19">
        <f>C42-C51</f>
        <v>0</v>
      </c>
      <c r="D52" s="19">
        <f t="shared" ref="D52:E52" si="7">D42-D51</f>
        <v>0</v>
      </c>
      <c r="E52" s="19">
        <f t="shared" si="7"/>
        <v>0</v>
      </c>
      <c r="F52" s="17"/>
      <c r="G52" s="17">
        <f>SUM(C52:E52)</f>
        <v>0</v>
      </c>
    </row>
    <row r="53" spans="1:7" x14ac:dyDescent="0.2">
      <c r="A53" s="17" t="s">
        <v>41</v>
      </c>
      <c r="B53" s="23">
        <f>C38-G49-G51</f>
        <v>0</v>
      </c>
      <c r="C53" s="19"/>
      <c r="D53" s="19"/>
      <c r="E53" s="19"/>
      <c r="F53" s="17"/>
      <c r="G53" s="17"/>
    </row>
    <row r="54" spans="1:7" x14ac:dyDescent="0.2">
      <c r="A54" s="17" t="s">
        <v>42</v>
      </c>
      <c r="B54" s="19"/>
      <c r="C54" s="19">
        <f>IF($B$53&gt;0,IF(LARGE($C$52:$F$52,$B$53)&lt;=C$52,1,0), 0)</f>
        <v>0</v>
      </c>
      <c r="D54" s="19">
        <f>IF(($B$53-C52)&gt;0,IF(LARGE($C$52:$F$52,$B$47)&lt;=D$52,1,0), 0)</f>
        <v>0</v>
      </c>
      <c r="E54" s="19">
        <f>IF(($B$53-SUM($C$52:$D$52))&gt;0,IF(LARGE($C$52:$F$52,$B$47)&lt;=E$52,1,0), 0)</f>
        <v>0</v>
      </c>
      <c r="F54" s="17"/>
      <c r="G54" s="17"/>
    </row>
    <row r="55" spans="1:7" x14ac:dyDescent="0.2">
      <c r="A55" s="18" t="s">
        <v>44</v>
      </c>
      <c r="B55" s="18"/>
      <c r="C55" s="18">
        <f>C51+C54</f>
        <v>0</v>
      </c>
      <c r="D55" s="18">
        <f t="shared" ref="D55" si="8">D51+D54</f>
        <v>0</v>
      </c>
      <c r="E55" s="18">
        <f t="shared" ref="E55" si="9">E51+E54</f>
        <v>0</v>
      </c>
      <c r="F55" s="18"/>
      <c r="G55" s="18">
        <f>SUM(C55:E55)</f>
        <v>0</v>
      </c>
    </row>
    <row r="57" spans="1:7" x14ac:dyDescent="0.2">
      <c r="A57" s="18" t="s">
        <v>45</v>
      </c>
      <c r="B57" s="18">
        <f>G49+G55</f>
        <v>1080</v>
      </c>
    </row>
    <row r="58" spans="1:7" x14ac:dyDescent="0.2">
      <c r="B58" s="4"/>
    </row>
  </sheetData>
  <mergeCells count="2">
    <mergeCell ref="A19:E19"/>
    <mergeCell ref="A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2022-10-23T18:46:58Z</dcterms:created>
  <dcterms:modified xsi:type="dcterms:W3CDTF">2022-10-26T13:30:35Z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2022-10-23T18:48:07Z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1f63c543-bff7-4b3d-9640-36a9346db3f8</vt:lpwstr>
  </property>
  <property fmtid="{D5CDD505-2E9C-101B-9397-08002B2CF9AE}" pid="8" name="MSIP_Label_d3491420-1ae2-4120-89e6-e6f668f067e2_ContentBits">
    <vt:lpwstr>0</vt:lpwstr>
  </property>
</Properties>
</file>