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tetarnes/IdeaProjects/helse-spleis/doc/okonomi/"/>
    </mc:Choice>
  </mc:AlternateContent>
  <xr:revisionPtr revIDLastSave="0" documentId="13_ncr:1_{1FFA8C1D-B8E4-9040-B9E3-3F26D03D32BA}" xr6:coauthVersionLast="46" xr6:coauthVersionMax="46" xr10:uidLastSave="{00000000-0000-0000-0000-000000000000}"/>
  <bookViews>
    <workbookView xWindow="28800" yWindow="-18160" windowWidth="76800" windowHeight="42700" activeTab="1" xr2:uid="{4751B54A-2E15-734D-9A93-8E38B5748ECD}"/>
  </bookViews>
  <sheets>
    <sheet name="Multiple Employers" sheetId="2" r:id="rId1"/>
    <sheet name="Multiple Employers no rounding" sheetId="3" r:id="rId2"/>
  </sheets>
  <definedNames>
    <definedName name="AdjustmentArb">'Multiple Employers'!$D$24:$G$24</definedName>
    <definedName name="MAKSBELOP">'Multiple Employers'!$C$16</definedName>
    <definedName name="MAKSBELOP2">'Multiple Employers no rounding'!$C$16</definedName>
    <definedName name="PersonRemainder">'Multiple Employers'!$C$36</definedName>
    <definedName name="PersonRemainder2">'Multiple Employers no rounding'!$C$36</definedName>
    <definedName name="ScalingFactor">'Multiple Employers'!$C$17</definedName>
    <definedName name="ShortfallIncomeRatioArb">'Multiple Employers'!$D$21:$G$21</definedName>
    <definedName name="ShortfallIncomeRatioPerson">'Multiple Employers'!$D$25:$G$25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5" i="3" l="1"/>
  <c r="E7" i="3"/>
  <c r="E8" i="3" s="1"/>
  <c r="G5" i="3"/>
  <c r="G7" i="3" s="1"/>
  <c r="F5" i="3"/>
  <c r="F7" i="3" s="1"/>
  <c r="E5" i="3"/>
  <c r="D5" i="3"/>
  <c r="D7" i="3" s="1"/>
  <c r="G4" i="3"/>
  <c r="F4" i="3"/>
  <c r="E4" i="3"/>
  <c r="D4" i="3"/>
  <c r="E7" i="2"/>
  <c r="F7" i="2"/>
  <c r="G7" i="2"/>
  <c r="D7" i="2"/>
  <c r="F8" i="3" l="1"/>
  <c r="F10" i="3"/>
  <c r="D8" i="3"/>
  <c r="D10" i="3"/>
  <c r="G10" i="3"/>
  <c r="G8" i="3"/>
  <c r="E10" i="3"/>
  <c r="E5" i="2"/>
  <c r="F5" i="2"/>
  <c r="G5" i="2"/>
  <c r="D5" i="2"/>
  <c r="F12" i="3" l="1"/>
  <c r="F32" i="3" s="1"/>
  <c r="F31" i="3"/>
  <c r="F33" i="3" s="1"/>
  <c r="E12" i="3"/>
  <c r="E32" i="3" s="1"/>
  <c r="E31" i="3"/>
  <c r="E33" i="3" s="1"/>
  <c r="G12" i="3"/>
  <c r="G32" i="3" s="1"/>
  <c r="G31" i="3"/>
  <c r="G33" i="3" s="1"/>
  <c r="D12" i="3"/>
  <c r="D32" i="3" s="1"/>
  <c r="D31" i="3"/>
  <c r="D33" i="3" s="1"/>
  <c r="C13" i="3"/>
  <c r="C16" i="3" s="1"/>
  <c r="C15" i="2"/>
  <c r="F8" i="2" l="1"/>
  <c r="G8" i="2"/>
  <c r="E8" i="2"/>
  <c r="D8" i="2"/>
  <c r="E35" i="3"/>
  <c r="D35" i="3"/>
  <c r="C17" i="3"/>
  <c r="F35" i="3"/>
  <c r="E4" i="2"/>
  <c r="F4" i="2"/>
  <c r="G4" i="2"/>
  <c r="D4" i="2"/>
  <c r="B44" i="2"/>
  <c r="D10" i="2" l="1"/>
  <c r="D31" i="2" s="1"/>
  <c r="E10" i="2"/>
  <c r="E31" i="2" s="1"/>
  <c r="F10" i="2"/>
  <c r="F31" i="2" s="1"/>
  <c r="G10" i="2"/>
  <c r="G31" i="2" s="1"/>
  <c r="G12" i="2" l="1"/>
  <c r="G32" i="2" s="1"/>
  <c r="G33" i="2" s="1"/>
  <c r="E12" i="2"/>
  <c r="E32" i="2" s="1"/>
  <c r="E33" i="2" s="1"/>
  <c r="F12" i="2"/>
  <c r="F32" i="2" s="1"/>
  <c r="F33" i="2" s="1"/>
  <c r="C13" i="2"/>
  <c r="C16" i="2" s="1"/>
  <c r="D12" i="2"/>
  <c r="D32" i="2" s="1"/>
  <c r="D33" i="2" s="1"/>
  <c r="G35" i="3" l="1"/>
  <c r="C34" i="3"/>
  <c r="C17" i="2"/>
  <c r="C34" i="2"/>
  <c r="E18" i="2" l="1"/>
  <c r="E19" i="2" s="1"/>
  <c r="E20" i="2" s="1"/>
  <c r="G18" i="3"/>
  <c r="G19" i="3" s="1"/>
  <c r="F18" i="3"/>
  <c r="F19" i="3" s="1"/>
  <c r="D18" i="3"/>
  <c r="D19" i="3" s="1"/>
  <c r="E18" i="3"/>
  <c r="C36" i="3"/>
  <c r="F18" i="2"/>
  <c r="F19" i="2" s="1"/>
  <c r="F20" i="2" s="1"/>
  <c r="F21" i="2" s="1"/>
  <c r="D35" i="2"/>
  <c r="G35" i="2"/>
  <c r="F35" i="2"/>
  <c r="E35" i="2"/>
  <c r="G18" i="2"/>
  <c r="G19" i="2" s="1"/>
  <c r="G20" i="2" s="1"/>
  <c r="D18" i="2"/>
  <c r="D19" i="2" s="1"/>
  <c r="D20" i="2" s="1"/>
  <c r="D21" i="2" s="1"/>
  <c r="E21" i="2"/>
  <c r="E23" i="2"/>
  <c r="E19" i="3" l="1"/>
  <c r="E20" i="3" s="1"/>
  <c r="E21" i="3" s="1"/>
  <c r="E22" i="3" s="1"/>
  <c r="G22" i="3"/>
  <c r="D23" i="3"/>
  <c r="D25" i="3" s="1"/>
  <c r="D20" i="3"/>
  <c r="D21" i="3" s="1"/>
  <c r="D22" i="3" s="1"/>
  <c r="F23" i="3"/>
  <c r="F25" i="3" s="1"/>
  <c r="F26" i="3" s="1"/>
  <c r="F20" i="3"/>
  <c r="F21" i="3" s="1"/>
  <c r="F22" i="3" s="1"/>
  <c r="D37" i="3"/>
  <c r="E37" i="3"/>
  <c r="F37" i="3"/>
  <c r="G23" i="3"/>
  <c r="G25" i="3" s="1"/>
  <c r="G20" i="3"/>
  <c r="F23" i="2"/>
  <c r="F25" i="2" s="1"/>
  <c r="D23" i="2"/>
  <c r="D25" i="2" s="1"/>
  <c r="G23" i="2"/>
  <c r="G25" i="2" s="1"/>
  <c r="C36" i="2"/>
  <c r="E25" i="2"/>
  <c r="D22" i="2"/>
  <c r="E22" i="2"/>
  <c r="F22" i="2"/>
  <c r="G22" i="2"/>
  <c r="F37" i="2" l="1"/>
  <c r="G37" i="3"/>
  <c r="C38" i="3" s="1"/>
  <c r="D26" i="3"/>
  <c r="F24" i="3"/>
  <c r="F27" i="3" s="1"/>
  <c r="G24" i="3"/>
  <c r="G27" i="3" s="1"/>
  <c r="E24" i="3"/>
  <c r="E27" i="3" s="1"/>
  <c r="G26" i="3"/>
  <c r="E37" i="2"/>
  <c r="E23" i="3"/>
  <c r="E25" i="3" s="1"/>
  <c r="E26" i="3" s="1"/>
  <c r="D24" i="2"/>
  <c r="D27" i="2" s="1"/>
  <c r="E24" i="2"/>
  <c r="E27" i="2" s="1"/>
  <c r="G24" i="2"/>
  <c r="G27" i="2" s="1"/>
  <c r="F24" i="2"/>
  <c r="F27" i="2" s="1"/>
  <c r="D37" i="2"/>
  <c r="G37" i="2"/>
  <c r="D26" i="2"/>
  <c r="E26" i="2"/>
  <c r="F26" i="2"/>
  <c r="G26" i="2"/>
  <c r="D28" i="3" l="1"/>
  <c r="E28" i="3"/>
  <c r="G28" i="3"/>
  <c r="D24" i="3"/>
  <c r="D27" i="3" s="1"/>
  <c r="C29" i="3" s="1"/>
  <c r="F28" i="3"/>
  <c r="D28" i="2"/>
  <c r="G28" i="2"/>
  <c r="F28" i="2"/>
  <c r="E28" i="2"/>
  <c r="C38" i="2"/>
  <c r="C29" i="2" l="1"/>
</calcChain>
</file>

<file path=xl/sharedStrings.xml><?xml version="1.0" encoding="utf-8"?>
<sst xmlns="http://schemas.openxmlformats.org/spreadsheetml/2006/main" count="211" uniqueCount="69">
  <si>
    <t>Term</t>
  </si>
  <si>
    <t>Meaning</t>
  </si>
  <si>
    <t>Integer</t>
  </si>
  <si>
    <t>Double</t>
  </si>
  <si>
    <t>*Definitions</t>
  </si>
  <si>
    <r>
      <rPr>
        <b/>
        <sz val="11"/>
        <color theme="1"/>
        <rFont val="Calibri"/>
        <family val="2"/>
        <scheme val="minor"/>
      </rPr>
      <t>Double</t>
    </r>
    <r>
      <rPr>
        <sz val="11"/>
        <color theme="1"/>
        <rFont val="Calibri"/>
        <family val="2"/>
        <scheme val="minor"/>
      </rPr>
      <t xml:space="preserve"> in computer is 15-17 significant figures</t>
    </r>
  </si>
  <si>
    <t>Rebate percentage</t>
  </si>
  <si>
    <t>After 6G limitation</t>
  </si>
  <si>
    <t>Employer percentage</t>
  </si>
  <si>
    <t>Amount to employer</t>
  </si>
  <si>
    <t>Amount to employee</t>
  </si>
  <si>
    <t>Daily rounding error</t>
  </si>
  <si>
    <t>Emp 1</t>
  </si>
  <si>
    <t>Emp 2</t>
  </si>
  <si>
    <t>Emp 3</t>
  </si>
  <si>
    <t>Emp 4</t>
  </si>
  <si>
    <t>Grad</t>
  </si>
  <si>
    <t>Percentage sick</t>
  </si>
  <si>
    <t>6G</t>
  </si>
  <si>
    <t>Annual limitation</t>
  </si>
  <si>
    <t>Daily limitation</t>
  </si>
  <si>
    <t>Grunnbeløp</t>
  </si>
  <si>
    <t>Arbeidsgiverbeløp</t>
  </si>
  <si>
    <t>Personbeløp</t>
  </si>
  <si>
    <t>Beløp</t>
  </si>
  <si>
    <t>Weighted percentage sick</t>
  </si>
  <si>
    <t>Person</t>
  </si>
  <si>
    <t>Maximum paid before 6G &amp; Grad</t>
  </si>
  <si>
    <t>Grad scaled limitation</t>
  </si>
  <si>
    <t>Scaling factor</t>
  </si>
  <si>
    <t>Maximum with Grad</t>
  </si>
  <si>
    <t>Initial amount to employer</t>
  </si>
  <si>
    <t>Initial amount to employee</t>
  </si>
  <si>
    <t>Employer desires</t>
  </si>
  <si>
    <t>Employer shortfall</t>
  </si>
  <si>
    <t>Adjustment for employers</t>
  </si>
  <si>
    <t>Daily</t>
  </si>
  <si>
    <t>Annual</t>
  </si>
  <si>
    <t>Daily income</t>
  </si>
  <si>
    <t>Monthly income</t>
  </si>
  <si>
    <t>Income ratio</t>
  </si>
  <si>
    <t>Dekningsgrad</t>
  </si>
  <si>
    <t>Dekningsgrunnlag</t>
  </si>
  <si>
    <t>Gradert dekningsgrunnlag</t>
  </si>
  <si>
    <t>Refusjonsgrad</t>
  </si>
  <si>
    <t>Forventet refusjon</t>
  </si>
  <si>
    <t>Sykdomsgrad</t>
  </si>
  <si>
    <t>Maksbeløp</t>
  </si>
  <si>
    <t>Aktuell dagsinntekt</t>
  </si>
  <si>
    <t>Aktuell månedsinntekt (§ 8-28.)</t>
  </si>
  <si>
    <t>Dekningsfaktor</t>
  </si>
  <si>
    <t>Beløp til arbeidsgiver før fordeling</t>
  </si>
  <si>
    <t xml:space="preserve">Fordelingsgrad </t>
  </si>
  <si>
    <t>Ekstra fordeling</t>
  </si>
  <si>
    <t>Shortfall income ratio - person</t>
  </si>
  <si>
    <t>Shortfall income ratio - arbeidsgiver</t>
  </si>
  <si>
    <t>Shortfall ratio - arbeidsgiver</t>
  </si>
  <si>
    <t>Shortfall ratio - person</t>
  </si>
  <si>
    <t>Precision</t>
  </si>
  <si>
    <t>Ideal arbeidsgiver w/o 6G</t>
  </si>
  <si>
    <t>Ideal person w/o 6G</t>
  </si>
  <si>
    <t>Situation</t>
  </si>
  <si>
    <t>Arbeidsgiverbeløp før 6g</t>
  </si>
  <si>
    <t>Personbeløp før 6g</t>
  </si>
  <si>
    <t>Remainder for employees</t>
  </si>
  <si>
    <t>New: Fred 18-06</t>
  </si>
  <si>
    <t>Dagsats</t>
  </si>
  <si>
    <t>Maximum assuming 100% sick, only employer</t>
  </si>
  <si>
    <t>New: Fred 26-06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</si>
</sst>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* #,##0.00_);_(* \(#,##0.00\);_(* &quot;-&quot;??_);_(@_)"/>
    <numFmt numFmtId="165" formatCode="_(* #,##0_);_(* \(#,##0\);_(* &quot;-&quot;??_);_(@_)"/>
    <numFmt numFmtId="166" formatCode="_(* #,##0.0000000000_);_(* \(#,##0.0000000000\);_(* &quot;-&quot;??_);_(@_)"/>
    <numFmt numFmtId="167" formatCode="_(* #,##0.0000000000_);_(* \(#,##0.0000000000\);_(* &quot;-&quot;??????????_);_(@_)"/>
    <numFmt numFmtId="168" formatCode="0.0000000000%"/>
    <numFmt numFmtId="169" formatCode="#,##0.0000000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DDEBF7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4"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0" xfId="0" applyAlignment="1">
      <alignment horizontal="center"/>
    </xf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center"/>
    </xf>
    <xf numFmtId="165" fontId="0" fillId="3" borderId="0" xfId="1" applyNumberFormat="1" applyFont="1" applyFill="1"/>
    <xf numFmtId="0" fontId="2" fillId="4" borderId="0" xfId="0" applyFont="1" applyFill="1"/>
    <xf numFmtId="0" fontId="0" fillId="4" borderId="0" xfId="0" applyFill="1"/>
    <xf numFmtId="0" fontId="0" fillId="4" borderId="0" xfId="0" applyFill="1" applyAlignment="1">
      <alignment horizontal="center"/>
    </xf>
    <xf numFmtId="165" fontId="0" fillId="4" borderId="0" xfId="1" applyNumberFormat="1" applyFont="1" applyFill="1"/>
    <xf numFmtId="167" fontId="0" fillId="0" borderId="0" xfId="0" applyNumberFormat="1"/>
    <xf numFmtId="9" fontId="0" fillId="3" borderId="0" xfId="2" applyFont="1" applyFill="1"/>
    <xf numFmtId="10" fontId="0" fillId="3" borderId="0" xfId="2" applyNumberFormat="1" applyFont="1" applyFill="1"/>
    <xf numFmtId="0" fontId="0" fillId="0" borderId="0" xfId="0" applyFont="1" applyAlignment="1">
      <alignment horizontal="right"/>
    </xf>
    <xf numFmtId="0" fontId="0" fillId="0" borderId="0" xfId="0" applyAlignment="1">
      <alignment horizontal="left"/>
    </xf>
    <xf numFmtId="165" fontId="0" fillId="0" borderId="0" xfId="0" applyNumberFormat="1"/>
    <xf numFmtId="0" fontId="4" fillId="0" borderId="0" xfId="0" applyFont="1"/>
    <xf numFmtId="10" fontId="0" fillId="0" borderId="0" xfId="2" applyNumberFormat="1" applyFont="1" applyFill="1"/>
    <xf numFmtId="0" fontId="2" fillId="5" borderId="1" xfId="0" applyFont="1" applyFill="1" applyBorder="1"/>
    <xf numFmtId="0" fontId="0" fillId="5" borderId="1" xfId="0" applyFill="1" applyBorder="1"/>
    <xf numFmtId="167" fontId="0" fillId="5" borderId="1" xfId="0" applyNumberFormat="1" applyFill="1" applyBorder="1"/>
    <xf numFmtId="0" fontId="0" fillId="5" borderId="1" xfId="0" applyFill="1" applyBorder="1" applyAlignment="1">
      <alignment horizontal="center"/>
    </xf>
    <xf numFmtId="10" fontId="0" fillId="5" borderId="1" xfId="2" applyNumberFormat="1" applyFont="1" applyFill="1" applyBorder="1"/>
    <xf numFmtId="165" fontId="0" fillId="5" borderId="1" xfId="1" applyNumberFormat="1" applyFont="1" applyFill="1" applyBorder="1"/>
    <xf numFmtId="165" fontId="0" fillId="5" borderId="1" xfId="0" applyNumberFormat="1" applyFill="1" applyBorder="1"/>
    <xf numFmtId="0" fontId="2" fillId="2" borderId="1" xfId="0" applyFont="1" applyFill="1" applyBorder="1"/>
    <xf numFmtId="0" fontId="0" fillId="2" borderId="1" xfId="0" applyFill="1" applyBorder="1"/>
    <xf numFmtId="165" fontId="0" fillId="2" borderId="1" xfId="0" applyNumberFormat="1" applyFill="1" applyBorder="1"/>
    <xf numFmtId="165" fontId="0" fillId="2" borderId="1" xfId="1" applyNumberFormat="1" applyFont="1" applyFill="1" applyBorder="1"/>
    <xf numFmtId="0" fontId="0" fillId="2" borderId="1" xfId="0" applyFill="1" applyBorder="1" applyAlignment="1">
      <alignment horizontal="center"/>
    </xf>
    <xf numFmtId="0" fontId="2" fillId="2" borderId="1" xfId="0" applyFont="1" applyFill="1" applyBorder="1" applyAlignment="1">
      <alignment horizontal="right"/>
    </xf>
    <xf numFmtId="0" fontId="5" fillId="0" borderId="0" xfId="0" applyFont="1"/>
    <xf numFmtId="0" fontId="0" fillId="0" borderId="0" xfId="0" applyFont="1"/>
    <xf numFmtId="9" fontId="0" fillId="0" borderId="0" xfId="2" applyNumberFormat="1" applyFont="1"/>
    <xf numFmtId="165" fontId="0" fillId="2" borderId="1" xfId="0" applyNumberFormat="1" applyFill="1" applyBorder="1" applyAlignment="1">
      <alignment horizontal="left"/>
    </xf>
    <xf numFmtId="0" fontId="0" fillId="4" borderId="0" xfId="0" applyFill="1" applyAlignment="1">
      <alignment horizontal="left"/>
    </xf>
    <xf numFmtId="168" fontId="0" fillId="0" borderId="0" xfId="2" applyNumberFormat="1" applyFont="1"/>
    <xf numFmtId="169" fontId="0" fillId="0" borderId="0" xfId="1" applyNumberFormat="1" applyFont="1"/>
    <xf numFmtId="169" fontId="0" fillId="2" borderId="1" xfId="1" applyNumberFormat="1" applyFont="1" applyFill="1" applyBorder="1"/>
    <xf numFmtId="169" fontId="0" fillId="2" borderId="1" xfId="0" applyNumberFormat="1" applyFill="1" applyBorder="1"/>
    <xf numFmtId="1" fontId="0" fillId="2" borderId="1" xfId="0" applyNumberFormat="1" applyFill="1" applyBorder="1"/>
    <xf numFmtId="165" fontId="6" fillId="6" borderId="0" xfId="0" applyNumberFormat="1" applyFon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9F233-0C57-4B39-8C81-6D2F9F1844A9}">
  <dimension ref="A1:I44"/>
  <sheetViews>
    <sheetView zoomScale="140" zoomScaleNormal="140" workbookViewId="0">
      <pane ySplit="1" topLeftCell="A2" activePane="bottomLeft" state="frozen"/>
      <selection pane="bottomLeft" activeCell="C15" sqref="C15"/>
    </sheetView>
  </sheetViews>
  <sheetFormatPr baseColWidth="10" defaultColWidth="8.83203125" defaultRowHeight="15" x14ac:dyDescent="0.2"/>
  <cols>
    <col min="1" max="1" width="27" customWidth="1"/>
    <col min="2" max="2" width="34.33203125" customWidth="1"/>
    <col min="3" max="3" width="17.33203125" bestFit="1" customWidth="1"/>
    <col min="4" max="4" width="18.33203125" bestFit="1" customWidth="1"/>
    <col min="5" max="5" width="16.33203125" bestFit="1" customWidth="1"/>
    <col min="6" max="6" width="17.33203125" bestFit="1" customWidth="1"/>
    <col min="7" max="7" width="15.6640625" bestFit="1" customWidth="1"/>
    <col min="8" max="8" width="8.6640625" style="3"/>
    <col min="9" max="9" width="13.5" bestFit="1" customWidth="1"/>
  </cols>
  <sheetData>
    <row r="1" spans="1:9" s="4" customFormat="1" ht="16" x14ac:dyDescent="0.2">
      <c r="A1" s="5" t="s">
        <v>0</v>
      </c>
      <c r="B1" s="5" t="s">
        <v>1</v>
      </c>
      <c r="C1" s="5" t="s">
        <v>26</v>
      </c>
      <c r="D1" s="6" t="s">
        <v>12</v>
      </c>
      <c r="E1" s="6" t="s">
        <v>13</v>
      </c>
      <c r="F1" s="6" t="s">
        <v>14</v>
      </c>
      <c r="G1" s="6" t="s">
        <v>15</v>
      </c>
      <c r="H1" s="6" t="s">
        <v>58</v>
      </c>
    </row>
    <row r="2" spans="1:9" x14ac:dyDescent="0.2">
      <c r="A2" s="4"/>
    </row>
    <row r="3" spans="1:9" x14ac:dyDescent="0.2">
      <c r="A3" s="4" t="s">
        <v>49</v>
      </c>
      <c r="B3" t="s">
        <v>39</v>
      </c>
      <c r="D3" s="7">
        <v>21000</v>
      </c>
      <c r="E3" s="7">
        <v>10000</v>
      </c>
      <c r="F3" s="7">
        <v>31000</v>
      </c>
      <c r="G3" s="7">
        <v>0</v>
      </c>
      <c r="H3" s="3" t="s">
        <v>3</v>
      </c>
    </row>
    <row r="4" spans="1:9" x14ac:dyDescent="0.2">
      <c r="A4" s="4"/>
      <c r="B4" t="s">
        <v>40</v>
      </c>
      <c r="D4" s="19">
        <f>D3/SUM($D$3:$G$3)</f>
        <v>0.33870967741935482</v>
      </c>
      <c r="E4" s="19">
        <f t="shared" ref="E4:G4" si="0">E3/SUM($D$3:$G$3)</f>
        <v>0.16129032258064516</v>
      </c>
      <c r="F4" s="19">
        <f t="shared" si="0"/>
        <v>0.5</v>
      </c>
      <c r="G4" s="19">
        <f t="shared" si="0"/>
        <v>0</v>
      </c>
      <c r="H4" s="3" t="s">
        <v>3</v>
      </c>
    </row>
    <row r="5" spans="1:9" x14ac:dyDescent="0.2">
      <c r="A5" s="18" t="s">
        <v>48</v>
      </c>
      <c r="B5" t="s">
        <v>38</v>
      </c>
      <c r="D5" s="2">
        <f>D3*12/260</f>
        <v>969.23076923076928</v>
      </c>
      <c r="E5" s="2">
        <f t="shared" ref="E5:G5" si="1">E3*12/260</f>
        <v>461.53846153846155</v>
      </c>
      <c r="F5" s="2">
        <f t="shared" si="1"/>
        <v>1430.7692307692307</v>
      </c>
      <c r="G5" s="2">
        <f t="shared" si="1"/>
        <v>0</v>
      </c>
      <c r="H5" s="3" t="s">
        <v>3</v>
      </c>
      <c r="I5" s="34" t="s">
        <v>65</v>
      </c>
    </row>
    <row r="6" spans="1:9" x14ac:dyDescent="0.2">
      <c r="A6" s="4" t="s">
        <v>41</v>
      </c>
      <c r="B6" t="s">
        <v>6</v>
      </c>
      <c r="D6" s="13">
        <v>1</v>
      </c>
      <c r="E6" s="13">
        <v>1</v>
      </c>
      <c r="F6" s="13">
        <v>1</v>
      </c>
      <c r="G6" s="13">
        <v>1</v>
      </c>
      <c r="H6" s="3" t="s">
        <v>2</v>
      </c>
    </row>
    <row r="7" spans="1:9" x14ac:dyDescent="0.2">
      <c r="A7" s="4" t="s">
        <v>42</v>
      </c>
      <c r="B7" t="s">
        <v>27</v>
      </c>
      <c r="D7" s="2">
        <f>D5*D6</f>
        <v>969.23076923076928</v>
      </c>
      <c r="E7" s="2">
        <f t="shared" ref="E7:G7" si="2">E5*E6</f>
        <v>461.53846153846155</v>
      </c>
      <c r="F7" s="2">
        <f t="shared" si="2"/>
        <v>1430.7692307692307</v>
      </c>
      <c r="G7" s="2">
        <f t="shared" si="2"/>
        <v>0</v>
      </c>
      <c r="H7" s="3" t="s">
        <v>3</v>
      </c>
      <c r="I7" s="33" t="s">
        <v>68</v>
      </c>
    </row>
    <row r="8" spans="1:9" x14ac:dyDescent="0.2">
      <c r="A8" s="4" t="s">
        <v>66</v>
      </c>
      <c r="B8" t="s">
        <v>67</v>
      </c>
      <c r="D8" s="1">
        <f>MIN(D7,$C$15)</f>
        <v>969.23076923076928</v>
      </c>
      <c r="E8" s="1">
        <f t="shared" ref="E8:G8" si="3">MIN(E7,$C$15)</f>
        <v>461.53846153846155</v>
      </c>
      <c r="F8" s="1">
        <f t="shared" si="3"/>
        <v>1430.7692307692307</v>
      </c>
      <c r="G8" s="1">
        <f t="shared" si="3"/>
        <v>0</v>
      </c>
      <c r="H8" s="3" t="s">
        <v>2</v>
      </c>
      <c r="I8" s="34" t="s">
        <v>65</v>
      </c>
    </row>
    <row r="9" spans="1:9" x14ac:dyDescent="0.2">
      <c r="A9" s="4" t="s">
        <v>16</v>
      </c>
      <c r="B9" t="s">
        <v>17</v>
      </c>
      <c r="D9" s="14">
        <v>0.5</v>
      </c>
      <c r="E9" s="14">
        <v>0.8</v>
      </c>
      <c r="F9" s="14">
        <v>0.2</v>
      </c>
      <c r="G9" s="14">
        <v>1</v>
      </c>
      <c r="H9" s="3" t="s">
        <v>3</v>
      </c>
    </row>
    <row r="10" spans="1:9" x14ac:dyDescent="0.2">
      <c r="A10" s="4" t="s">
        <v>43</v>
      </c>
      <c r="B10" t="s">
        <v>30</v>
      </c>
      <c r="D10" s="2">
        <f>D7*D9</f>
        <v>484.61538461538464</v>
      </c>
      <c r="E10" s="2">
        <f t="shared" ref="E10:G10" si="4">E7*E9</f>
        <v>369.23076923076928</v>
      </c>
      <c r="F10" s="2">
        <f t="shared" si="4"/>
        <v>286.15384615384613</v>
      </c>
      <c r="G10" s="2">
        <f t="shared" si="4"/>
        <v>0</v>
      </c>
      <c r="H10" s="3" t="s">
        <v>3</v>
      </c>
    </row>
    <row r="11" spans="1:9" x14ac:dyDescent="0.2">
      <c r="A11" s="4" t="s">
        <v>44</v>
      </c>
      <c r="B11" t="s">
        <v>8</v>
      </c>
      <c r="D11" s="13">
        <v>1</v>
      </c>
      <c r="E11" s="13">
        <v>0.9</v>
      </c>
      <c r="F11" s="13">
        <v>0.25</v>
      </c>
      <c r="G11" s="13">
        <v>1</v>
      </c>
      <c r="H11" s="3" t="s">
        <v>3</v>
      </c>
    </row>
    <row r="12" spans="1:9" x14ac:dyDescent="0.2">
      <c r="A12" s="4" t="s">
        <v>45</v>
      </c>
      <c r="B12" t="s">
        <v>33</v>
      </c>
      <c r="D12" s="12">
        <f>D10*D11</f>
        <v>484.61538461538464</v>
      </c>
      <c r="E12" s="12">
        <f t="shared" ref="E12:G12" si="5">E10*E11</f>
        <v>332.30769230769238</v>
      </c>
      <c r="F12" s="12">
        <f t="shared" si="5"/>
        <v>71.538461538461533</v>
      </c>
      <c r="G12" s="12">
        <f t="shared" si="5"/>
        <v>0</v>
      </c>
      <c r="H12" s="3" t="s">
        <v>3</v>
      </c>
    </row>
    <row r="13" spans="1:9" x14ac:dyDescent="0.2">
      <c r="A13" s="4" t="s">
        <v>46</v>
      </c>
      <c r="B13" t="s">
        <v>25</v>
      </c>
      <c r="C13" s="35">
        <f>ROUND(SUM(D10:G10)/SUM(D7:G7),2)</f>
        <v>0.4</v>
      </c>
      <c r="H13" s="3" t="s">
        <v>2</v>
      </c>
    </row>
    <row r="14" spans="1:9" x14ac:dyDescent="0.2">
      <c r="A14" s="4" t="s">
        <v>21</v>
      </c>
      <c r="B14" t="s">
        <v>19</v>
      </c>
      <c r="C14" s="43">
        <v>101351</v>
      </c>
      <c r="H14" s="3" t="s">
        <v>2</v>
      </c>
    </row>
    <row r="15" spans="1:9" x14ac:dyDescent="0.2">
      <c r="A15" s="4" t="s">
        <v>18</v>
      </c>
      <c r="B15" t="s">
        <v>20</v>
      </c>
      <c r="C15" s="1">
        <f>ROUND(6*C14/260, 0)</f>
        <v>2339</v>
      </c>
      <c r="H15" s="3" t="s">
        <v>2</v>
      </c>
      <c r="I15" s="34" t="s">
        <v>65</v>
      </c>
    </row>
    <row r="16" spans="1:9" x14ac:dyDescent="0.2">
      <c r="A16" s="4" t="s">
        <v>47</v>
      </c>
      <c r="B16" t="s">
        <v>28</v>
      </c>
      <c r="C16" s="1">
        <f>ROUND(C13*C15,0)</f>
        <v>936</v>
      </c>
      <c r="H16" s="3" t="s">
        <v>2</v>
      </c>
    </row>
    <row r="17" spans="1:9" x14ac:dyDescent="0.2">
      <c r="A17" s="20" t="s">
        <v>50</v>
      </c>
      <c r="B17" s="21" t="s">
        <v>29</v>
      </c>
      <c r="C17" s="24">
        <f>MIN(1, C16/SUM(D10:G10))</f>
        <v>0.82105263157894737</v>
      </c>
      <c r="D17" s="22"/>
      <c r="E17" s="22"/>
      <c r="F17" s="22"/>
      <c r="G17" s="22"/>
      <c r="H17" s="23" t="s">
        <v>3</v>
      </c>
    </row>
    <row r="18" spans="1:9" x14ac:dyDescent="0.2">
      <c r="A18" s="20" t="s">
        <v>24</v>
      </c>
      <c r="B18" s="21" t="s">
        <v>7</v>
      </c>
      <c r="C18" s="21"/>
      <c r="D18" s="22">
        <f>D10*ScalingFactor</f>
        <v>397.89473684210526</v>
      </c>
      <c r="E18" s="22">
        <f>E10*ScalingFactor</f>
        <v>303.15789473684214</v>
      </c>
      <c r="F18" s="22">
        <f>F10*ScalingFactor</f>
        <v>234.9473684210526</v>
      </c>
      <c r="G18" s="22">
        <f>G10*ScalingFactor</f>
        <v>0</v>
      </c>
      <c r="H18" s="23" t="s">
        <v>3</v>
      </c>
    </row>
    <row r="19" spans="1:9" x14ac:dyDescent="0.2">
      <c r="A19" s="20" t="s">
        <v>51</v>
      </c>
      <c r="B19" s="21" t="s">
        <v>31</v>
      </c>
      <c r="C19" s="21"/>
      <c r="D19" s="22">
        <f>MIN(D18,D12)</f>
        <v>397.89473684210526</v>
      </c>
      <c r="E19" s="22">
        <f t="shared" ref="E19:G19" si="6">MIN(E18,E12)</f>
        <v>303.15789473684214</v>
      </c>
      <c r="F19" s="22">
        <f t="shared" si="6"/>
        <v>71.538461538461533</v>
      </c>
      <c r="G19" s="22">
        <f t="shared" si="6"/>
        <v>0</v>
      </c>
      <c r="H19" s="23" t="s">
        <v>3</v>
      </c>
    </row>
    <row r="20" spans="1:9" x14ac:dyDescent="0.2">
      <c r="A20" s="20"/>
      <c r="B20" s="21" t="s">
        <v>34</v>
      </c>
      <c r="C20" s="21"/>
      <c r="D20" s="22">
        <f>D19-D12</f>
        <v>-86.720647773279381</v>
      </c>
      <c r="E20" s="22">
        <f t="shared" ref="E20:G20" si="7">E19-E12</f>
        <v>-29.149797570850239</v>
      </c>
      <c r="F20" s="22">
        <f t="shared" si="7"/>
        <v>0</v>
      </c>
      <c r="G20" s="22">
        <f t="shared" si="7"/>
        <v>0</v>
      </c>
      <c r="H20" s="23" t="s">
        <v>3</v>
      </c>
    </row>
    <row r="21" spans="1:9" x14ac:dyDescent="0.2">
      <c r="A21" s="20"/>
      <c r="B21" s="21" t="s">
        <v>55</v>
      </c>
      <c r="C21" s="21"/>
      <c r="D21" s="24">
        <f>IF(D20 &lt; 0, D4, 0)</f>
        <v>0.33870967741935482</v>
      </c>
      <c r="E21" s="24">
        <f t="shared" ref="E21:F21" si="8">IF(E20 &lt; 0, E4, 0)</f>
        <v>0.16129032258064516</v>
      </c>
      <c r="F21" s="24">
        <f t="shared" si="8"/>
        <v>0</v>
      </c>
      <c r="G21" s="22"/>
      <c r="H21" s="23" t="s">
        <v>3</v>
      </c>
    </row>
    <row r="22" spans="1:9" x14ac:dyDescent="0.2">
      <c r="A22" s="20" t="s">
        <v>52</v>
      </c>
      <c r="B22" s="21" t="s">
        <v>56</v>
      </c>
      <c r="C22" s="21"/>
      <c r="D22" s="24">
        <f>IF(SUM(ShortfallIncomeRatioArb)=0,0,D21/SUM(ShortfallIncomeRatioArb))</f>
        <v>0.67741935483870963</v>
      </c>
      <c r="E22" s="24">
        <f>IF(SUM(ShortfallIncomeRatioArb)=0,0,E21/SUM(ShortfallIncomeRatioArb))</f>
        <v>0.32258064516129031</v>
      </c>
      <c r="F22" s="24">
        <f>IF(SUM(ShortfallIncomeRatioArb)=0,0,F21/SUM(ShortfallIncomeRatioArb))</f>
        <v>0</v>
      </c>
      <c r="G22" s="24">
        <f>IF(SUM(ShortfallIncomeRatioArb)=0,0,G21/SUM(ShortfallIncomeRatioArb))</f>
        <v>0</v>
      </c>
      <c r="H22" s="23" t="s">
        <v>3</v>
      </c>
    </row>
    <row r="23" spans="1:9" x14ac:dyDescent="0.2">
      <c r="A23" s="20"/>
      <c r="B23" s="21" t="s">
        <v>32</v>
      </c>
      <c r="C23" s="21"/>
      <c r="D23" s="22">
        <f>D18-D19</f>
        <v>0</v>
      </c>
      <c r="E23" s="22">
        <f>E18-E19</f>
        <v>0</v>
      </c>
      <c r="F23" s="22">
        <f>F18-F19</f>
        <v>163.40890688259105</v>
      </c>
      <c r="G23" s="22">
        <f>G18-G19</f>
        <v>0</v>
      </c>
      <c r="H23" s="23" t="s">
        <v>3</v>
      </c>
    </row>
    <row r="24" spans="1:9" x14ac:dyDescent="0.2">
      <c r="A24" s="20" t="s">
        <v>53</v>
      </c>
      <c r="B24" s="21" t="s">
        <v>35</v>
      </c>
      <c r="C24" s="21"/>
      <c r="D24" s="22">
        <f>MIN(-D20,IF(SUM($D$20:$G$20)&gt;=0, 0, SUM($D$23:$G$23)*D22))</f>
        <v>86.720647773279381</v>
      </c>
      <c r="E24" s="22">
        <f t="shared" ref="E24:G24" si="9">MIN(-E20,IF(SUM($D$20:$G$20)&gt;=0, 0, SUM($D$23:$G$23)*E22))</f>
        <v>29.149797570850239</v>
      </c>
      <c r="F24" s="22">
        <f t="shared" si="9"/>
        <v>0</v>
      </c>
      <c r="G24" s="22">
        <f t="shared" si="9"/>
        <v>0</v>
      </c>
      <c r="H24" s="23" t="s">
        <v>3</v>
      </c>
    </row>
    <row r="25" spans="1:9" x14ac:dyDescent="0.2">
      <c r="A25" s="20"/>
      <c r="B25" s="21" t="s">
        <v>54</v>
      </c>
      <c r="C25" s="21"/>
      <c r="D25" s="24">
        <f>IF(D23 = 0, 0, D4)</f>
        <v>0</v>
      </c>
      <c r="E25" s="24">
        <f t="shared" ref="E25:G25" si="10">IF(E23 = 0, 0, E4)</f>
        <v>0</v>
      </c>
      <c r="F25" s="24">
        <f t="shared" si="10"/>
        <v>0.5</v>
      </c>
      <c r="G25" s="24">
        <f t="shared" si="10"/>
        <v>0</v>
      </c>
      <c r="H25" s="23" t="s">
        <v>3</v>
      </c>
    </row>
    <row r="26" spans="1:9" x14ac:dyDescent="0.2">
      <c r="A26" s="20"/>
      <c r="B26" s="21" t="s">
        <v>57</v>
      </c>
      <c r="C26" s="21"/>
      <c r="D26" s="24">
        <f>IF(SUM(ShortfallIncomeRatioPerson)= 0, 0, D25/SUM(ShortfallIncomeRatioPerson))</f>
        <v>0</v>
      </c>
      <c r="E26" s="24">
        <f>IF(SUM(ShortfallIncomeRatioPerson)= 0, 0, E25/SUM(ShortfallIncomeRatioPerson))</f>
        <v>0</v>
      </c>
      <c r="F26" s="24">
        <f>IF(SUM(ShortfallIncomeRatioPerson)= 0, 0, F25/SUM(ShortfallIncomeRatioPerson))</f>
        <v>1</v>
      </c>
      <c r="G26" s="24">
        <f>IF(SUM(ShortfallIncomeRatioPerson)= 0, 0, G25/SUM(ShortfallIncomeRatioPerson))</f>
        <v>0</v>
      </c>
      <c r="H26" s="23" t="s">
        <v>3</v>
      </c>
    </row>
    <row r="27" spans="1:9" x14ac:dyDescent="0.2">
      <c r="A27" s="20" t="s">
        <v>22</v>
      </c>
      <c r="B27" s="21" t="s">
        <v>9</v>
      </c>
      <c r="C27" s="21"/>
      <c r="D27" s="25">
        <f>ROUND(D19+D24,0)</f>
        <v>485</v>
      </c>
      <c r="E27" s="25">
        <f t="shared" ref="E27:G27" si="11">ROUND(E19+E24,0)</f>
        <v>332</v>
      </c>
      <c r="F27" s="25">
        <f t="shared" si="11"/>
        <v>72</v>
      </c>
      <c r="G27" s="22">
        <f t="shared" si="11"/>
        <v>0</v>
      </c>
      <c r="H27" s="23" t="s">
        <v>2</v>
      </c>
    </row>
    <row r="28" spans="1:9" x14ac:dyDescent="0.2">
      <c r="A28" s="20" t="s">
        <v>23</v>
      </c>
      <c r="B28" s="21" t="s">
        <v>10</v>
      </c>
      <c r="C28" s="21"/>
      <c r="D28" s="21">
        <f>ROUND(D23-SUM(AdjustmentArb)*D26,0)</f>
        <v>0</v>
      </c>
      <c r="E28" s="21">
        <f>ROUND(E23-SUM(AdjustmentArb)*E26,0)</f>
        <v>0</v>
      </c>
      <c r="F28" s="21">
        <f>ROUND(F23-SUM(AdjustmentArb)*F26,0)</f>
        <v>48</v>
      </c>
      <c r="G28" s="21">
        <f>ROUND(G23-SUM(AdjustmentArb)*G26,0)</f>
        <v>0</v>
      </c>
      <c r="H28" s="23" t="s">
        <v>2</v>
      </c>
    </row>
    <row r="29" spans="1:9" x14ac:dyDescent="0.2">
      <c r="A29" s="20"/>
      <c r="B29" s="21" t="s">
        <v>11</v>
      </c>
      <c r="C29" s="26">
        <f>C16-SUM(D27:G28)</f>
        <v>-1</v>
      </c>
      <c r="D29" s="21"/>
      <c r="E29" s="21"/>
      <c r="F29" s="21"/>
      <c r="G29" s="21"/>
      <c r="H29" s="23" t="s">
        <v>2</v>
      </c>
    </row>
    <row r="30" spans="1:9" x14ac:dyDescent="0.2">
      <c r="A30" s="4"/>
      <c r="C30" s="17"/>
    </row>
    <row r="31" spans="1:9" x14ac:dyDescent="0.2">
      <c r="A31" s="27" t="s">
        <v>43</v>
      </c>
      <c r="B31" s="28" t="s">
        <v>30</v>
      </c>
      <c r="C31" s="29"/>
      <c r="D31" s="30">
        <f>ROUND(D10,0)</f>
        <v>485</v>
      </c>
      <c r="E31" s="30">
        <f t="shared" ref="E31:G31" si="12">ROUND(E10,0)</f>
        <v>369</v>
      </c>
      <c r="F31" s="30">
        <f t="shared" si="12"/>
        <v>286</v>
      </c>
      <c r="G31" s="30">
        <f t="shared" si="12"/>
        <v>0</v>
      </c>
      <c r="H31" s="31" t="s">
        <v>2</v>
      </c>
      <c r="I31" s="33" t="s">
        <v>68</v>
      </c>
    </row>
    <row r="32" spans="1:9" x14ac:dyDescent="0.2">
      <c r="A32" s="27" t="s">
        <v>62</v>
      </c>
      <c r="B32" s="28" t="s">
        <v>59</v>
      </c>
      <c r="C32" s="29"/>
      <c r="D32" s="30">
        <f>ROUND(D12,0)</f>
        <v>485</v>
      </c>
      <c r="E32" s="30">
        <f t="shared" ref="E32:G32" si="13">ROUND(E12,0)</f>
        <v>332</v>
      </c>
      <c r="F32" s="30">
        <f t="shared" si="13"/>
        <v>72</v>
      </c>
      <c r="G32" s="30">
        <f t="shared" si="13"/>
        <v>0</v>
      </c>
      <c r="H32" s="31" t="s">
        <v>2</v>
      </c>
    </row>
    <row r="33" spans="1:8" x14ac:dyDescent="0.2">
      <c r="A33" s="27" t="s">
        <v>63</v>
      </c>
      <c r="B33" s="28" t="s">
        <v>60</v>
      </c>
      <c r="C33" s="29"/>
      <c r="D33" s="30">
        <f>D31-D32</f>
        <v>0</v>
      </c>
      <c r="E33" s="30">
        <f t="shared" ref="E33:G33" si="14">E31-E32</f>
        <v>37</v>
      </c>
      <c r="F33" s="30">
        <f t="shared" si="14"/>
        <v>214</v>
      </c>
      <c r="G33" s="30">
        <f t="shared" si="14"/>
        <v>0</v>
      </c>
      <c r="H33" s="31" t="s">
        <v>2</v>
      </c>
    </row>
    <row r="34" spans="1:8" x14ac:dyDescent="0.2">
      <c r="A34" s="27"/>
      <c r="B34" s="32" t="s">
        <v>61</v>
      </c>
      <c r="C34" s="36" t="str">
        <f>IF(SUM(D32:G33)&lt;=MAKSBELOP,"Everyone paid",IF(SUM(D32:G32)&lt;=MAKSBELOP,"Arbeidsgivere fully paid; Person partially paid by Person request", "Arbeidsgivere partial payment ratio by Arbeidsgiver request"))</f>
        <v>Arbeidsgivere fully paid; Person partially paid by Person request</v>
      </c>
      <c r="D34" s="36"/>
      <c r="E34" s="36"/>
      <c r="F34" s="36"/>
      <c r="G34" s="36"/>
      <c r="H34" s="31"/>
    </row>
    <row r="35" spans="1:8" x14ac:dyDescent="0.2">
      <c r="A35" s="27" t="s">
        <v>22</v>
      </c>
      <c r="B35" s="28" t="s">
        <v>9</v>
      </c>
      <c r="C35" s="29"/>
      <c r="D35" s="28">
        <f>IF(SUM($D$32:$G$33)&lt;=MAKSBELOP,D32,IF(SUM($D$32:$G$32)&lt;=MAKSBELOP,D32,ROUND(D32*MAKSBELOP/SUM($D$32:$G$32),0)))</f>
        <v>485</v>
      </c>
      <c r="E35" s="28">
        <f>IF(SUM($D$32:$G$33)&lt;=MAKSBELOP,E32,IF(SUM($D$32:$G$32)&lt;=MAKSBELOP,E32,ROUND(E32*MAKSBELOP/SUM($D$32:$G$32),0)))</f>
        <v>332</v>
      </c>
      <c r="F35" s="28">
        <f>IF(SUM($D$32:$G$33)&lt;=MAKSBELOP,F32,IF(SUM($D$32:$G$32)&lt;=MAKSBELOP,F32,ROUND(F32*MAKSBELOP/SUM($D$32:$G$32),0)))</f>
        <v>72</v>
      </c>
      <c r="G35" s="28">
        <f>IF(SUM($D$32:$G$33)&lt;=MAKSBELOP,G32,IF(SUM($D$32:$G$32)&lt;=MAKSBELOP,G32,ROUND(G32*MAKSBELOP/SUM($D$32:$G$32),0)))</f>
        <v>0</v>
      </c>
      <c r="H35" s="31" t="s">
        <v>2</v>
      </c>
    </row>
    <row r="36" spans="1:8" hidden="1" x14ac:dyDescent="0.2">
      <c r="A36" s="27"/>
      <c r="B36" s="28" t="s">
        <v>64</v>
      </c>
      <c r="C36" s="29">
        <f>MAKSBELOP-SUM(D35:G35)</f>
        <v>47</v>
      </c>
      <c r="D36" s="28"/>
      <c r="E36" s="28"/>
      <c r="F36" s="28"/>
      <c r="G36" s="28"/>
      <c r="H36" s="31"/>
    </row>
    <row r="37" spans="1:8" x14ac:dyDescent="0.2">
      <c r="A37" s="27" t="s">
        <v>23</v>
      </c>
      <c r="B37" s="28" t="s">
        <v>10</v>
      </c>
      <c r="C37" s="28"/>
      <c r="D37" s="28">
        <f>IF(SUM($D$32:$G$33)&lt;=MAKSBELOP,D33,IF(SUM($D$32:$G$32)&lt;=MAKSBELOP,ROUND(PersonRemainder*D33/SUM($D$33:$G$33),0),0))</f>
        <v>0</v>
      </c>
      <c r="E37" s="28">
        <f>IF(SUM($D$32:$G$33)&lt;=MAKSBELOP,E33,IF(SUM($D$32:$G$32)&lt;=MAKSBELOP,ROUND(PersonRemainder*E33/SUM($D$33:$G$33),0),0))</f>
        <v>7</v>
      </c>
      <c r="F37" s="28">
        <f>IF(SUM($D$32:$G$33)&lt;=MAKSBELOP,F33,IF(SUM($D$32:$G$32)&lt;=MAKSBELOP,ROUND(PersonRemainder*F33/SUM($D$33:$G$33),0),0))</f>
        <v>40</v>
      </c>
      <c r="G37" s="28">
        <f>IF(SUM($D$32:$G$33)&lt;=MAKSBELOP,G33,IF(SUM($D$32:$G$32)&lt;=MAKSBELOP,ROUND(PersonRemainder*G33/SUM($D$33:$G$33),0),0))</f>
        <v>0</v>
      </c>
      <c r="H37" s="31" t="s">
        <v>2</v>
      </c>
    </row>
    <row r="38" spans="1:8" x14ac:dyDescent="0.2">
      <c r="A38" s="27"/>
      <c r="B38" s="28" t="s">
        <v>11</v>
      </c>
      <c r="C38" s="29">
        <f>MAKSBELOP-SUM(D35:G37)</f>
        <v>0</v>
      </c>
      <c r="D38" s="28"/>
      <c r="E38" s="28"/>
      <c r="F38" s="28"/>
      <c r="G38" s="28"/>
      <c r="H38" s="31" t="s">
        <v>2</v>
      </c>
    </row>
    <row r="40" spans="1:8" x14ac:dyDescent="0.2">
      <c r="A40" s="8" t="s">
        <v>4</v>
      </c>
      <c r="B40" s="9"/>
      <c r="C40" s="10"/>
      <c r="D40" s="11"/>
    </row>
    <row r="41" spans="1:8" x14ac:dyDescent="0.2">
      <c r="A41" s="37" t="s">
        <v>5</v>
      </c>
      <c r="B41" s="37"/>
      <c r="C41" s="37"/>
      <c r="D41" s="37"/>
    </row>
    <row r="43" spans="1:8" x14ac:dyDescent="0.2">
      <c r="A43" s="15" t="s">
        <v>36</v>
      </c>
      <c r="B43" s="16">
        <v>1430.76</v>
      </c>
    </row>
    <row r="44" spans="1:8" x14ac:dyDescent="0.2">
      <c r="A44" s="15" t="s">
        <v>37</v>
      </c>
      <c r="B44" s="16">
        <f>ROUND(B43*260/12,0)</f>
        <v>31000</v>
      </c>
    </row>
  </sheetData>
  <mergeCells count="2">
    <mergeCell ref="C34:G34"/>
    <mergeCell ref="A41:D4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06B608-BF2F-BB48-9883-32866B0664B3}">
  <dimension ref="A1:H38"/>
  <sheetViews>
    <sheetView tabSelected="1" zoomScale="139" workbookViewId="0">
      <selection activeCell="B46" sqref="B46"/>
    </sheetView>
  </sheetViews>
  <sheetFormatPr baseColWidth="10" defaultRowHeight="15" x14ac:dyDescent="0.2"/>
  <cols>
    <col min="1" max="1" width="35.6640625" customWidth="1"/>
    <col min="2" max="2" width="42.1640625" customWidth="1"/>
    <col min="3" max="3" width="21.1640625" customWidth="1"/>
    <col min="4" max="4" width="16.33203125" bestFit="1" customWidth="1"/>
    <col min="5" max="5" width="15.6640625" bestFit="1" customWidth="1"/>
    <col min="6" max="6" width="17.1640625" bestFit="1" customWidth="1"/>
    <col min="7" max="7" width="12.6640625" bestFit="1" customWidth="1"/>
    <col min="8" max="8" width="8.33203125" bestFit="1" customWidth="1"/>
  </cols>
  <sheetData>
    <row r="1" spans="1:8" ht="16" x14ac:dyDescent="0.2">
      <c r="A1" s="5" t="s">
        <v>0</v>
      </c>
      <c r="B1" s="5" t="s">
        <v>1</v>
      </c>
      <c r="C1" s="5" t="s">
        <v>26</v>
      </c>
      <c r="D1" s="6" t="s">
        <v>12</v>
      </c>
      <c r="E1" s="6" t="s">
        <v>13</v>
      </c>
      <c r="F1" s="6" t="s">
        <v>14</v>
      </c>
      <c r="G1" s="6" t="s">
        <v>15</v>
      </c>
      <c r="H1" s="6" t="s">
        <v>58</v>
      </c>
    </row>
    <row r="2" spans="1:8" x14ac:dyDescent="0.2">
      <c r="A2" s="4"/>
      <c r="H2" s="3"/>
    </row>
    <row r="3" spans="1:8" x14ac:dyDescent="0.2">
      <c r="A3" s="4" t="s">
        <v>49</v>
      </c>
      <c r="B3" t="s">
        <v>39</v>
      </c>
      <c r="D3" s="7">
        <v>21000</v>
      </c>
      <c r="E3" s="7">
        <v>10000</v>
      </c>
      <c r="F3" s="7">
        <v>31000</v>
      </c>
      <c r="G3" s="7">
        <v>0</v>
      </c>
      <c r="H3" s="3" t="s">
        <v>3</v>
      </c>
    </row>
    <row r="4" spans="1:8" x14ac:dyDescent="0.2">
      <c r="A4" s="4"/>
      <c r="B4" t="s">
        <v>40</v>
      </c>
      <c r="D4" s="19">
        <f>D3/SUM($D$3:$G$3)</f>
        <v>0.33870967741935482</v>
      </c>
      <c r="E4" s="19">
        <f t="shared" ref="E4:G4" si="0">E3/SUM($D$3:$G$3)</f>
        <v>0.16129032258064516</v>
      </c>
      <c r="F4" s="19">
        <f t="shared" si="0"/>
        <v>0.5</v>
      </c>
      <c r="G4" s="19">
        <f t="shared" si="0"/>
        <v>0</v>
      </c>
      <c r="H4" s="3" t="s">
        <v>3</v>
      </c>
    </row>
    <row r="5" spans="1:8" x14ac:dyDescent="0.2">
      <c r="A5" s="18" t="s">
        <v>48</v>
      </c>
      <c r="B5" t="s">
        <v>38</v>
      </c>
      <c r="D5" s="2">
        <f>D3*12/260</f>
        <v>969.23076923076928</v>
      </c>
      <c r="E5" s="2">
        <f t="shared" ref="E5:G5" si="1">E3*12/260</f>
        <v>461.53846153846155</v>
      </c>
      <c r="F5" s="2">
        <f t="shared" si="1"/>
        <v>1430.7692307692307</v>
      </c>
      <c r="G5" s="2">
        <f t="shared" si="1"/>
        <v>0</v>
      </c>
      <c r="H5" s="3" t="s">
        <v>3</v>
      </c>
    </row>
    <row r="6" spans="1:8" x14ac:dyDescent="0.2">
      <c r="A6" s="4" t="s">
        <v>41</v>
      </c>
      <c r="B6" t="s">
        <v>6</v>
      </c>
      <c r="D6" s="13">
        <v>1</v>
      </c>
      <c r="E6" s="13">
        <v>1</v>
      </c>
      <c r="F6" s="13">
        <v>1</v>
      </c>
      <c r="G6" s="13">
        <v>1</v>
      </c>
      <c r="H6" s="3" t="s">
        <v>2</v>
      </c>
    </row>
    <row r="7" spans="1:8" x14ac:dyDescent="0.2">
      <c r="A7" s="4" t="s">
        <v>42</v>
      </c>
      <c r="B7" t="s">
        <v>27</v>
      </c>
      <c r="D7" s="2">
        <f>D5*D6</f>
        <v>969.23076923076928</v>
      </c>
      <c r="E7" s="2">
        <f t="shared" ref="E7:G7" si="2">E5*E6</f>
        <v>461.53846153846155</v>
      </c>
      <c r="F7" s="2">
        <f t="shared" si="2"/>
        <v>1430.7692307692307</v>
      </c>
      <c r="G7" s="2">
        <f t="shared" si="2"/>
        <v>0</v>
      </c>
      <c r="H7" s="3" t="s">
        <v>3</v>
      </c>
    </row>
    <row r="8" spans="1:8" x14ac:dyDescent="0.2">
      <c r="A8" s="4" t="s">
        <v>66</v>
      </c>
      <c r="B8" t="s">
        <v>67</v>
      </c>
      <c r="D8" s="1">
        <f>MIN(D7,$C$15)</f>
        <v>969.23076923076928</v>
      </c>
      <c r="E8" s="1">
        <f t="shared" ref="E8:G8" si="3">MIN(E7,$C$15)</f>
        <v>461.53846153846155</v>
      </c>
      <c r="F8" s="1">
        <f t="shared" si="3"/>
        <v>1430.7692307692307</v>
      </c>
      <c r="G8" s="1">
        <f t="shared" si="3"/>
        <v>0</v>
      </c>
      <c r="H8" s="3" t="s">
        <v>2</v>
      </c>
    </row>
    <row r="9" spans="1:8" x14ac:dyDescent="0.2">
      <c r="A9" s="4" t="s">
        <v>16</v>
      </c>
      <c r="B9" t="s">
        <v>17</v>
      </c>
      <c r="D9" s="14">
        <v>0.5</v>
      </c>
      <c r="E9" s="14">
        <v>0.8</v>
      </c>
      <c r="F9" s="14">
        <v>0.2</v>
      </c>
      <c r="G9" s="14">
        <v>1</v>
      </c>
      <c r="H9" s="3" t="s">
        <v>3</v>
      </c>
    </row>
    <row r="10" spans="1:8" x14ac:dyDescent="0.2">
      <c r="A10" s="4" t="s">
        <v>43</v>
      </c>
      <c r="B10" t="s">
        <v>30</v>
      </c>
      <c r="D10" s="2">
        <f>D7*D9</f>
        <v>484.61538461538464</v>
      </c>
      <c r="E10" s="2">
        <f t="shared" ref="E10:G10" si="4">E7*E9</f>
        <v>369.23076923076928</v>
      </c>
      <c r="F10" s="2">
        <f t="shared" si="4"/>
        <v>286.15384615384613</v>
      </c>
      <c r="G10" s="2">
        <f t="shared" si="4"/>
        <v>0</v>
      </c>
      <c r="H10" s="3" t="s">
        <v>3</v>
      </c>
    </row>
    <row r="11" spans="1:8" x14ac:dyDescent="0.2">
      <c r="A11" s="4" t="s">
        <v>44</v>
      </c>
      <c r="B11" t="s">
        <v>8</v>
      </c>
      <c r="D11" s="13">
        <v>1</v>
      </c>
      <c r="E11" s="13">
        <v>0.9</v>
      </c>
      <c r="F11" s="13">
        <v>0.25</v>
      </c>
      <c r="G11" s="13">
        <v>1</v>
      </c>
      <c r="H11" s="3" t="s">
        <v>3</v>
      </c>
    </row>
    <row r="12" spans="1:8" x14ac:dyDescent="0.2">
      <c r="A12" s="4" t="s">
        <v>45</v>
      </c>
      <c r="B12" t="s">
        <v>33</v>
      </c>
      <c r="D12" s="12">
        <f>D10*D11</f>
        <v>484.61538461538464</v>
      </c>
      <c r="E12" s="12">
        <f t="shared" ref="E12:G12" si="5">E10*E11</f>
        <v>332.30769230769238</v>
      </c>
      <c r="F12" s="12">
        <f t="shared" si="5"/>
        <v>71.538461538461533</v>
      </c>
      <c r="G12" s="12">
        <f t="shared" si="5"/>
        <v>0</v>
      </c>
      <c r="H12" s="3" t="s">
        <v>3</v>
      </c>
    </row>
    <row r="13" spans="1:8" x14ac:dyDescent="0.2">
      <c r="A13" s="4" t="s">
        <v>46</v>
      </c>
      <c r="B13" t="s">
        <v>25</v>
      </c>
      <c r="C13" s="38">
        <f>SUM(D10:G10)/SUM(D7:G7)</f>
        <v>0.39838709677419348</v>
      </c>
      <c r="H13" s="3" t="s">
        <v>2</v>
      </c>
    </row>
    <row r="14" spans="1:8" x14ac:dyDescent="0.2">
      <c r="A14" s="4" t="s">
        <v>21</v>
      </c>
      <c r="B14" t="s">
        <v>19</v>
      </c>
      <c r="C14" s="7">
        <v>101351</v>
      </c>
      <c r="H14" s="3" t="s">
        <v>2</v>
      </c>
    </row>
    <row r="15" spans="1:8" x14ac:dyDescent="0.2">
      <c r="A15" s="4" t="s">
        <v>18</v>
      </c>
      <c r="B15" t="s">
        <v>20</v>
      </c>
      <c r="C15" s="39">
        <f>6*C14/260</f>
        <v>2338.8692307692309</v>
      </c>
      <c r="H15" s="3" t="s">
        <v>2</v>
      </c>
    </row>
    <row r="16" spans="1:8" x14ac:dyDescent="0.2">
      <c r="A16" s="4" t="s">
        <v>47</v>
      </c>
      <c r="B16" t="s">
        <v>28</v>
      </c>
      <c r="C16" s="39">
        <f>C13*C15</f>
        <v>931.77532258064502</v>
      </c>
      <c r="H16" s="3" t="s">
        <v>2</v>
      </c>
    </row>
    <row r="17" spans="1:8" hidden="1" x14ac:dyDescent="0.2">
      <c r="A17" s="20" t="s">
        <v>50</v>
      </c>
      <c r="B17" s="21" t="s">
        <v>29</v>
      </c>
      <c r="C17" s="24">
        <f>MIN(1, C16/SUM(D10:G10))</f>
        <v>0.81734677419354829</v>
      </c>
      <c r="D17" s="22"/>
      <c r="E17" s="22"/>
      <c r="F17" s="22"/>
      <c r="G17" s="22"/>
      <c r="H17" s="23" t="s">
        <v>3</v>
      </c>
    </row>
    <row r="18" spans="1:8" hidden="1" x14ac:dyDescent="0.2">
      <c r="A18" s="20" t="s">
        <v>24</v>
      </c>
      <c r="B18" s="21" t="s">
        <v>7</v>
      </c>
      <c r="C18" s="21"/>
      <c r="D18" s="22">
        <f>D10*ScalingFactor</f>
        <v>397.89473684210526</v>
      </c>
      <c r="E18" s="22">
        <f>E10*ScalingFactor</f>
        <v>303.15789473684214</v>
      </c>
      <c r="F18" s="22">
        <f>F10*ScalingFactor</f>
        <v>234.9473684210526</v>
      </c>
      <c r="G18" s="22">
        <f>G10*ScalingFactor</f>
        <v>0</v>
      </c>
      <c r="H18" s="23" t="s">
        <v>3</v>
      </c>
    </row>
    <row r="19" spans="1:8" hidden="1" x14ac:dyDescent="0.2">
      <c r="A19" s="20" t="s">
        <v>51</v>
      </c>
      <c r="B19" s="21" t="s">
        <v>31</v>
      </c>
      <c r="C19" s="21"/>
      <c r="D19" s="22">
        <f>MIN(D18,D12)</f>
        <v>397.89473684210526</v>
      </c>
      <c r="E19" s="22">
        <f t="shared" ref="E19:G19" si="6">MIN(E18,E12)</f>
        <v>303.15789473684214</v>
      </c>
      <c r="F19" s="22">
        <f t="shared" si="6"/>
        <v>71.538461538461533</v>
      </c>
      <c r="G19" s="22">
        <f t="shared" si="6"/>
        <v>0</v>
      </c>
      <c r="H19" s="23" t="s">
        <v>3</v>
      </c>
    </row>
    <row r="20" spans="1:8" hidden="1" x14ac:dyDescent="0.2">
      <c r="A20" s="20"/>
      <c r="B20" s="21" t="s">
        <v>34</v>
      </c>
      <c r="C20" s="21"/>
      <c r="D20" s="22">
        <f>D19-D12</f>
        <v>-86.720647773279381</v>
      </c>
      <c r="E20" s="22">
        <f t="shared" ref="E20:G20" si="7">E19-E12</f>
        <v>-29.149797570850239</v>
      </c>
      <c r="F20" s="22">
        <f t="shared" si="7"/>
        <v>0</v>
      </c>
      <c r="G20" s="22">
        <f t="shared" si="7"/>
        <v>0</v>
      </c>
      <c r="H20" s="23" t="s">
        <v>3</v>
      </c>
    </row>
    <row r="21" spans="1:8" hidden="1" x14ac:dyDescent="0.2">
      <c r="A21" s="20"/>
      <c r="B21" s="21" t="s">
        <v>55</v>
      </c>
      <c r="C21" s="21"/>
      <c r="D21" s="24">
        <f>IF(D20 &lt; 0, D4, 0)</f>
        <v>0.33870967741935482</v>
      </c>
      <c r="E21" s="24">
        <f t="shared" ref="E21:F21" si="8">IF(E20 &lt; 0, E4, 0)</f>
        <v>0.16129032258064516</v>
      </c>
      <c r="F21" s="24">
        <f t="shared" si="8"/>
        <v>0</v>
      </c>
      <c r="G21" s="22"/>
      <c r="H21" s="23" t="s">
        <v>3</v>
      </c>
    </row>
    <row r="22" spans="1:8" hidden="1" x14ac:dyDescent="0.2">
      <c r="A22" s="20" t="s">
        <v>52</v>
      </c>
      <c r="B22" s="21" t="s">
        <v>56</v>
      </c>
      <c r="C22" s="21"/>
      <c r="D22" s="24">
        <f>IF(SUM(ShortfallIncomeRatioArb)=0,0,D21/SUM(ShortfallIncomeRatioArb))</f>
        <v>0.67741935483870963</v>
      </c>
      <c r="E22" s="24">
        <f>IF(SUM(ShortfallIncomeRatioArb)=0,0,E21/SUM(ShortfallIncomeRatioArb))</f>
        <v>0.32258064516129031</v>
      </c>
      <c r="F22" s="24">
        <f>IF(SUM(ShortfallIncomeRatioArb)=0,0,F21/SUM(ShortfallIncomeRatioArb))</f>
        <v>0</v>
      </c>
      <c r="G22" s="24">
        <f>IF(SUM(ShortfallIncomeRatioArb)=0,0,G21/SUM(ShortfallIncomeRatioArb))</f>
        <v>0</v>
      </c>
      <c r="H22" s="23" t="s">
        <v>3</v>
      </c>
    </row>
    <row r="23" spans="1:8" hidden="1" x14ac:dyDescent="0.2">
      <c r="A23" s="20"/>
      <c r="B23" s="21" t="s">
        <v>32</v>
      </c>
      <c r="C23" s="21"/>
      <c r="D23" s="22">
        <f>D18-D19</f>
        <v>0</v>
      </c>
      <c r="E23" s="22">
        <f>E18-E19</f>
        <v>0</v>
      </c>
      <c r="F23" s="22">
        <f>F18-F19</f>
        <v>163.40890688259105</v>
      </c>
      <c r="G23" s="22">
        <f>G18-G19</f>
        <v>0</v>
      </c>
      <c r="H23" s="23" t="s">
        <v>3</v>
      </c>
    </row>
    <row r="24" spans="1:8" hidden="1" x14ac:dyDescent="0.2">
      <c r="A24" s="20" t="s">
        <v>53</v>
      </c>
      <c r="B24" s="21" t="s">
        <v>35</v>
      </c>
      <c r="C24" s="21"/>
      <c r="D24" s="22">
        <f>MIN(-D20,IF(SUM($D$20:$G$20)&gt;=0, 0, SUM($D$23:$G$23)*D22))</f>
        <v>86.720647773279381</v>
      </c>
      <c r="E24" s="22">
        <f t="shared" ref="E24:G24" si="9">MIN(-E20,IF(SUM($D$20:$G$20)&gt;=0, 0, SUM($D$23:$G$23)*E22))</f>
        <v>29.149797570850239</v>
      </c>
      <c r="F24" s="22">
        <f t="shared" si="9"/>
        <v>0</v>
      </c>
      <c r="G24" s="22">
        <f t="shared" si="9"/>
        <v>0</v>
      </c>
      <c r="H24" s="23" t="s">
        <v>3</v>
      </c>
    </row>
    <row r="25" spans="1:8" hidden="1" x14ac:dyDescent="0.2">
      <c r="A25" s="20"/>
      <c r="B25" s="21" t="s">
        <v>54</v>
      </c>
      <c r="C25" s="21"/>
      <c r="D25" s="24">
        <f>IF(D23 = 0, 0, D4)</f>
        <v>0</v>
      </c>
      <c r="E25" s="24">
        <f t="shared" ref="E25:G25" si="10">IF(E23 = 0, 0, E4)</f>
        <v>0</v>
      </c>
      <c r="F25" s="24">
        <f t="shared" si="10"/>
        <v>0.5</v>
      </c>
      <c r="G25" s="24">
        <f t="shared" si="10"/>
        <v>0</v>
      </c>
      <c r="H25" s="23" t="s">
        <v>3</v>
      </c>
    </row>
    <row r="26" spans="1:8" hidden="1" x14ac:dyDescent="0.2">
      <c r="A26" s="20"/>
      <c r="B26" s="21" t="s">
        <v>57</v>
      </c>
      <c r="C26" s="21"/>
      <c r="D26" s="24">
        <f>IF(SUM(ShortfallIncomeRatioPerson)= 0, 0, D25/SUM(ShortfallIncomeRatioPerson))</f>
        <v>0</v>
      </c>
      <c r="E26" s="24">
        <f>IF(SUM(ShortfallIncomeRatioPerson)= 0, 0, E25/SUM(ShortfallIncomeRatioPerson))</f>
        <v>0</v>
      </c>
      <c r="F26" s="24">
        <f>IF(SUM(ShortfallIncomeRatioPerson)= 0, 0, F25/SUM(ShortfallIncomeRatioPerson))</f>
        <v>1</v>
      </c>
      <c r="G26" s="24">
        <f>IF(SUM(ShortfallIncomeRatioPerson)= 0, 0, G25/SUM(ShortfallIncomeRatioPerson))</f>
        <v>0</v>
      </c>
      <c r="H26" s="23" t="s">
        <v>3</v>
      </c>
    </row>
    <row r="27" spans="1:8" hidden="1" x14ac:dyDescent="0.2">
      <c r="A27" s="20" t="s">
        <v>22</v>
      </c>
      <c r="B27" s="21" t="s">
        <v>9</v>
      </c>
      <c r="C27" s="21"/>
      <c r="D27" s="25">
        <f>ROUND(D19+D24,0)</f>
        <v>485</v>
      </c>
      <c r="E27" s="25">
        <f t="shared" ref="E27:G27" si="11">ROUND(E19+E24,0)</f>
        <v>332</v>
      </c>
      <c r="F27" s="25">
        <f t="shared" si="11"/>
        <v>72</v>
      </c>
      <c r="G27" s="22">
        <f t="shared" si="11"/>
        <v>0</v>
      </c>
      <c r="H27" s="23" t="s">
        <v>2</v>
      </c>
    </row>
    <row r="28" spans="1:8" hidden="1" x14ac:dyDescent="0.2">
      <c r="A28" s="20" t="s">
        <v>23</v>
      </c>
      <c r="B28" s="21" t="s">
        <v>10</v>
      </c>
      <c r="C28" s="21"/>
      <c r="D28" s="21">
        <f>ROUND(D23-SUM(AdjustmentArb)*D26,0)</f>
        <v>0</v>
      </c>
      <c r="E28" s="21">
        <f>ROUND(E23-SUM(AdjustmentArb)*E26,0)</f>
        <v>0</v>
      </c>
      <c r="F28" s="21">
        <f>ROUND(F23-SUM(AdjustmentArb)*F26,0)</f>
        <v>48</v>
      </c>
      <c r="G28" s="21">
        <f>ROUND(G23-SUM(AdjustmentArb)*G26,0)</f>
        <v>0</v>
      </c>
      <c r="H28" s="23" t="s">
        <v>2</v>
      </c>
    </row>
    <row r="29" spans="1:8" hidden="1" x14ac:dyDescent="0.2">
      <c r="A29" s="20"/>
      <c r="B29" s="21" t="s">
        <v>11</v>
      </c>
      <c r="C29" s="26">
        <f>C16-SUM(D27:G28)</f>
        <v>-5.2246774193549754</v>
      </c>
      <c r="D29" s="21"/>
      <c r="E29" s="21"/>
      <c r="F29" s="21"/>
      <c r="G29" s="21"/>
      <c r="H29" s="23" t="s">
        <v>2</v>
      </c>
    </row>
    <row r="30" spans="1:8" x14ac:dyDescent="0.2">
      <c r="A30" s="4"/>
      <c r="C30" s="17"/>
      <c r="H30" s="3"/>
    </row>
    <row r="31" spans="1:8" x14ac:dyDescent="0.2">
      <c r="A31" s="27" t="s">
        <v>43</v>
      </c>
      <c r="B31" s="28" t="s">
        <v>30</v>
      </c>
      <c r="C31" s="29"/>
      <c r="D31" s="40">
        <f>D10</f>
        <v>484.61538461538464</v>
      </c>
      <c r="E31" s="40">
        <f>E10</f>
        <v>369.23076923076928</v>
      </c>
      <c r="F31" s="40">
        <f>F10</f>
        <v>286.15384615384613</v>
      </c>
      <c r="G31" s="30">
        <f t="shared" ref="G31" si="12">ROUND(G10,0)</f>
        <v>0</v>
      </c>
      <c r="H31" s="31" t="s">
        <v>2</v>
      </c>
    </row>
    <row r="32" spans="1:8" x14ac:dyDescent="0.2">
      <c r="A32" s="27" t="s">
        <v>62</v>
      </c>
      <c r="B32" s="28" t="s">
        <v>59</v>
      </c>
      <c r="C32" s="29"/>
      <c r="D32" s="40">
        <f>D12</f>
        <v>484.61538461538464</v>
      </c>
      <c r="E32" s="40">
        <f>E12</f>
        <v>332.30769230769238</v>
      </c>
      <c r="F32" s="40">
        <f>F12</f>
        <v>71.538461538461533</v>
      </c>
      <c r="G32" s="30">
        <f t="shared" ref="G32" si="13">ROUND(G12,0)</f>
        <v>0</v>
      </c>
      <c r="H32" s="31" t="s">
        <v>2</v>
      </c>
    </row>
    <row r="33" spans="1:8" x14ac:dyDescent="0.2">
      <c r="A33" s="27" t="s">
        <v>63</v>
      </c>
      <c r="B33" s="28" t="s">
        <v>60</v>
      </c>
      <c r="C33" s="29"/>
      <c r="D33" s="40">
        <f>D31-D32</f>
        <v>0</v>
      </c>
      <c r="E33" s="40">
        <f t="shared" ref="E33:G33" si="14">E31-E32</f>
        <v>36.923076923076906</v>
      </c>
      <c r="F33" s="40">
        <f t="shared" si="14"/>
        <v>214.61538461538458</v>
      </c>
      <c r="G33" s="30">
        <f t="shared" si="14"/>
        <v>0</v>
      </c>
      <c r="H33" s="31" t="s">
        <v>2</v>
      </c>
    </row>
    <row r="34" spans="1:8" x14ac:dyDescent="0.2">
      <c r="A34" s="27"/>
      <c r="B34" s="32" t="s">
        <v>61</v>
      </c>
      <c r="C34" s="36" t="str">
        <f>IF(SUM(D32:G33)&lt;=MAKSBELOP,"Everyone paid",IF(SUM(D32:G32)&lt;=MAKSBELOP,"Arbeidsgivere fully paid; Person partially paid by Person request", "Arbeidsgivere partial payment ratio by Arbeidsgiver request"))</f>
        <v>Arbeidsgivere fully paid; Person partially paid by Person request</v>
      </c>
      <c r="D34" s="36"/>
      <c r="E34" s="36"/>
      <c r="F34" s="36"/>
      <c r="G34" s="36"/>
      <c r="H34" s="31"/>
    </row>
    <row r="35" spans="1:8" x14ac:dyDescent="0.2">
      <c r="A35" s="27" t="s">
        <v>22</v>
      </c>
      <c r="B35" s="28" t="s">
        <v>9</v>
      </c>
      <c r="C35" s="29"/>
      <c r="D35" s="28">
        <f>IF(SUM($D$32:$G$33)&lt;=MAKSBELOP2,ROUND(D32,0),IF(SUM($D$32:$G$32)&lt;=MAKSBELOP2,ROUND(D32,0),ROUND(D32*MAKSBELOP2/SUM($D$32:$G$32),0)))</f>
        <v>485</v>
      </c>
      <c r="E35" s="28">
        <f>IF(SUM($D$32:$G$33)&lt;=MAKSBELOP2,ROUND(E32,0),IF(SUM($D$32:$G$32)&lt;=MAKSBELOP2,ROUND(E32,0),ROUND(E32*MAKSBELOP2/SUM($D$32:$G$32),0)))</f>
        <v>332</v>
      </c>
      <c r="F35" s="28">
        <f>IF(SUM($D$32:$G$33)&lt;=MAKSBELOP2,ROUND(F32,0),IF(SUM($D$32:$G$32)&lt;=MAKSBELOP2,ROUND(F32,0),ROUND(F32*MAKSBELOP2/SUM($D$32:$G$32),0)))</f>
        <v>72</v>
      </c>
      <c r="G35" s="28">
        <f>IF(SUM($D$32:$G$33)&lt;=MAKSBELOP,G32,IF(SUM($D$32:$G$32)&lt;=MAKSBELOP,G32,ROUND(G32*MAKSBELOP/SUM($D$32:$G$32),0)))</f>
        <v>0</v>
      </c>
      <c r="H35" s="31" t="s">
        <v>2</v>
      </c>
    </row>
    <row r="36" spans="1:8" x14ac:dyDescent="0.2">
      <c r="A36" s="27"/>
      <c r="B36" s="28" t="s">
        <v>64</v>
      </c>
      <c r="C36" s="41">
        <f>MAKSBELOP2-SUM(D35:G35)</f>
        <v>42.775322580645025</v>
      </c>
      <c r="D36" s="28"/>
      <c r="E36" s="28"/>
      <c r="F36" s="28"/>
      <c r="G36" s="28"/>
      <c r="H36" s="31"/>
    </row>
    <row r="37" spans="1:8" x14ac:dyDescent="0.2">
      <c r="A37" s="27" t="s">
        <v>23</v>
      </c>
      <c r="B37" s="28" t="s">
        <v>10</v>
      </c>
      <c r="C37" s="28"/>
      <c r="D37" s="42">
        <f>IF(SUM($D$32:$G$33)&lt;=MAKSBELOP2,ROUND(D33,0),IF(SUM($D$32:$G$32)&lt;=MAKSBELOP2,ROUND(PersonRemainder2*D33/SUM($D$33:$G$33),0),0))</f>
        <v>0</v>
      </c>
      <c r="E37" s="42">
        <f>IF(SUM($D$32:$G$33)&lt;=MAKSBELOP2,ROUND(E33,0),IF(SUM($D$32:$G$32)&lt;=MAKSBELOP2,ROUND(PersonRemainder2*E33/SUM($D$33:$G$33),0),0))</f>
        <v>6</v>
      </c>
      <c r="F37" s="42">
        <f>IF(SUM($D$32:$G$33)&lt;=MAKSBELOP2,ROUND(F33,0),IF(SUM($D$32:$G$32)&lt;=MAKSBELOP2,ROUND(PersonRemainder2*F33/SUM($D$33:$G$33),0),0))</f>
        <v>36</v>
      </c>
      <c r="G37" s="28">
        <f>IF(SUM($D$32:$G$33)&lt;=MAKSBELOP,G33,IF(SUM($D$32:$G$32)&lt;=MAKSBELOP,ROUND(PersonRemainder*G33/SUM($D$33:$G$33),0),0))</f>
        <v>0</v>
      </c>
      <c r="H37" s="31" t="s">
        <v>2</v>
      </c>
    </row>
    <row r="38" spans="1:8" x14ac:dyDescent="0.2">
      <c r="A38" s="27"/>
      <c r="B38" s="28" t="s">
        <v>11</v>
      </c>
      <c r="C38" s="41">
        <f>MAKSBELOP2-SUM(D35:G37)</f>
        <v>0.77532258064502457</v>
      </c>
      <c r="D38" s="28"/>
      <c r="E38" s="28"/>
      <c r="F38" s="28"/>
      <c r="G38" s="28"/>
      <c r="H38" s="31" t="s">
        <v>2</v>
      </c>
    </row>
  </sheetData>
  <mergeCells count="1">
    <mergeCell ref="C34:G3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8</vt:i4>
      </vt:variant>
    </vt:vector>
  </HeadingPairs>
  <TitlesOfParts>
    <vt:vector size="10" baseType="lpstr">
      <vt:lpstr>Multiple Employers</vt:lpstr>
      <vt:lpstr>Multiple Employers no rounding</vt:lpstr>
      <vt:lpstr>AdjustmentArb</vt:lpstr>
      <vt:lpstr>MAKSBELOP</vt:lpstr>
      <vt:lpstr>MAKSBELOP2</vt:lpstr>
      <vt:lpstr>PersonRemainder</vt:lpstr>
      <vt:lpstr>PersonRemainder2</vt:lpstr>
      <vt:lpstr>ScalingFactor</vt:lpstr>
      <vt:lpstr>ShortfallIncomeRatioArb</vt:lpstr>
      <vt:lpstr>ShortfallIncomeRatioPerson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 George</dc:creator>
  <cp:lastModifiedBy>Microsoft Office User</cp:lastModifiedBy>
  <dcterms:created xsi:type="dcterms:W3CDTF">2020-05-27T23:24:05Z</dcterms:created>
  <dcterms:modified xsi:type="dcterms:W3CDTF">2021-03-26T11:32:25Z</dcterms:modified>
</cp:coreProperties>
</file>