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015168BD-2C1C-D848-A1FB-3D0518520C72}" xr6:coauthVersionLast="47" xr6:coauthVersionMax="47" xr10:uidLastSave="{00000000-0000-0000-0000-000000000000}"/>
  <bookViews>
    <workbookView xWindow="15560" yWindow="7880" windowWidth="39420" windowHeight="21560" xr2:uid="{D68530E5-53F4-9147-B78C-2EE89FEB1D8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D51" i="1"/>
  <c r="C51" i="1"/>
  <c r="C45" i="1"/>
  <c r="D45" i="1" s="1"/>
  <c r="E45" i="1" s="1"/>
  <c r="B34" i="1"/>
  <c r="D29" i="1"/>
  <c r="B33" i="1" l="1"/>
  <c r="B35" i="1"/>
  <c r="B36" i="1" s="1"/>
  <c r="D14" i="1"/>
  <c r="D28" i="1"/>
  <c r="C21" i="1"/>
  <c r="C5" i="1"/>
  <c r="D15" i="1"/>
  <c r="D21" i="1" s="1"/>
  <c r="D7" i="1"/>
  <c r="B2" i="1"/>
  <c r="C11" i="1" l="1"/>
  <c r="C14" i="1" s="1"/>
  <c r="C15" i="1" s="1"/>
  <c r="E11" i="1"/>
  <c r="E14" i="1" s="1"/>
  <c r="E7" i="1"/>
  <c r="B6" i="1"/>
  <c r="D8" i="1" s="1"/>
  <c r="C7" i="1"/>
  <c r="C28" i="1"/>
  <c r="E28" i="1"/>
  <c r="B12" i="1"/>
  <c r="E8" i="1" l="1"/>
  <c r="C8" i="1"/>
  <c r="E9" i="1" s="1"/>
  <c r="E25" i="1" s="1"/>
  <c r="B10" i="1"/>
  <c r="E15" i="1"/>
  <c r="E21" i="1" s="1"/>
  <c r="C22" i="1" s="1"/>
  <c r="C16" i="1"/>
  <c r="D16" i="1"/>
  <c r="E16" i="1"/>
  <c r="C9" i="1"/>
  <c r="C25" i="1" s="1"/>
  <c r="D20" i="1"/>
  <c r="D22" i="1"/>
  <c r="E22" i="1"/>
  <c r="E20" i="1"/>
  <c r="D9" i="1"/>
  <c r="C20" i="1" l="1"/>
  <c r="C27" i="1" s="1"/>
  <c r="C29" i="1"/>
  <c r="E29" i="1"/>
  <c r="E27" i="1"/>
  <c r="D25" i="1"/>
  <c r="D27" i="1" l="1"/>
  <c r="B32" i="1"/>
  <c r="C34" i="1" l="1"/>
  <c r="D38" i="1" l="1"/>
  <c r="D42" i="1" s="1"/>
  <c r="D43" i="1" s="1"/>
  <c r="C38" i="1"/>
  <c r="C39" i="1"/>
  <c r="E38" i="1"/>
  <c r="E42" i="1" s="1"/>
  <c r="E43" i="1" s="1"/>
  <c r="C42" i="1" l="1"/>
  <c r="C43" i="1" s="1"/>
  <c r="C48" i="1"/>
  <c r="C49" i="1" s="1"/>
  <c r="G38" i="1"/>
  <c r="D39" i="1"/>
  <c r="E39" i="1"/>
  <c r="C40" i="1"/>
  <c r="B44" i="1" l="1"/>
  <c r="E46" i="1" s="1"/>
  <c r="E40" i="1"/>
  <c r="E48" i="1"/>
  <c r="E49" i="1" s="1"/>
  <c r="D40" i="1"/>
  <c r="D48" i="1"/>
  <c r="D49" i="1" s="1"/>
  <c r="G39" i="1"/>
  <c r="G40" i="1" s="1"/>
  <c r="D46" i="1" l="1"/>
  <c r="C46" i="1"/>
  <c r="B50" i="1"/>
  <c r="C52" i="1" s="1"/>
  <c r="G46" i="1" l="1"/>
  <c r="E52" i="1"/>
  <c r="D52" i="1"/>
  <c r="G52" i="1" l="1"/>
  <c r="B54" i="1" s="1"/>
</calcChain>
</file>

<file path=xl/sharedStrings.xml><?xml version="1.0" encoding="utf-8"?>
<sst xmlns="http://schemas.openxmlformats.org/spreadsheetml/2006/main" count="55" uniqueCount="46">
  <si>
    <t>Månedsinntekt</t>
  </si>
  <si>
    <t>Arbeidsgiver 1</t>
  </si>
  <si>
    <t>Arbeidsgiver 2</t>
  </si>
  <si>
    <t>Arbeidsgiver 3</t>
  </si>
  <si>
    <t>Del av total</t>
  </si>
  <si>
    <t>Grunnbeløp</t>
  </si>
  <si>
    <t xml:space="preserve">6G </t>
  </si>
  <si>
    <t>Vektet refusjonsgrad</t>
  </si>
  <si>
    <t>Sykdomsgrad</t>
  </si>
  <si>
    <t>Total sykdomsgrad</t>
  </si>
  <si>
    <t>Månedsinntekt etter 6G</t>
  </si>
  <si>
    <t>Arbeidsgiverbeløp</t>
  </si>
  <si>
    <t>Sykepengegrunnlag</t>
  </si>
  <si>
    <t>Sykepengegrunnlag m/sykdomsgrad</t>
  </si>
  <si>
    <t>Refusjon m/sykdomsgrad</t>
  </si>
  <si>
    <t>Vektet sykdomsgrad fra inntekt</t>
  </si>
  <si>
    <t>Alt over denne linjen er ting Vilkårsgrunnlag kan svare på</t>
  </si>
  <si>
    <t>Beløp som settes på Økonomi av Sykepengegrunnlag</t>
  </si>
  <si>
    <t>Alternativ 1) Vi kan regne refusjon ut fra refusjonsprosenten til arbeidsgiverne</t>
  </si>
  <si>
    <t>Personbeløp</t>
  </si>
  <si>
    <t>(del av total regner Økonomi ut selv)</t>
  </si>
  <si>
    <t>Arbeidsgiverbeløp før avrunding</t>
  </si>
  <si>
    <t>Grunnlag for refusjon</t>
  </si>
  <si>
    <t>Refusjonsgrad</t>
  </si>
  <si>
    <t>Alternativ 2) Vi kan regne refusjon ut fra beløpene til arbeidsgiverne (fra gjødsleren)</t>
  </si>
  <si>
    <t>Personbeløp før avruding alternativ 1</t>
  </si>
  <si>
    <t>(del av total regner Økonomi ut selv, er bare avhengig av grad og redusert inntekt)</t>
  </si>
  <si>
    <t>Vektet persongrad</t>
  </si>
  <si>
    <t>Totalt</t>
  </si>
  <si>
    <t>Ønsket refusjon</t>
  </si>
  <si>
    <t>Refusjonsbegrensning</t>
  </si>
  <si>
    <t>Refusjon kan ikke overstige månedsinntekten, ei heller dekningsgrunnlaget</t>
  </si>
  <si>
    <t>Dekningsgrad</t>
  </si>
  <si>
    <t>Persongrad</t>
  </si>
  <si>
    <t>Vektet refusjonsgrad inkl. Sykdomsgrad</t>
  </si>
  <si>
    <t>Vektet persongrad inkl. Sykdomsgrad</t>
  </si>
  <si>
    <t>(del av total, er avhengig av å vite refusjonsbeløpet, feks. Fra gjødsleren)</t>
  </si>
  <si>
    <t>Alt under denne linjen er ting Økonomi kan svare på.  INPUT: begrenset inntekt, refusjonsgrad (eller beløp) og sykdomsgrad</t>
  </si>
  <si>
    <t>Refusjonsgrad per AG. Regnes ut av vilkårsgrunnlag og settes på Økonomi. I en overgangsfase må det utregnes av Økonomi selv</t>
  </si>
  <si>
    <t>Årlig sum avrundet på dagnivå</t>
  </si>
  <si>
    <t>Avrundingsdifferanse</t>
  </si>
  <si>
    <t>Rest til utbetaling</t>
  </si>
  <si>
    <t>Fordelt beløp</t>
  </si>
  <si>
    <t>Fordelt arbeidsgiverbeløp</t>
  </si>
  <si>
    <t>Fordelt personbeløp</t>
  </si>
  <si>
    <t xml:space="preserve">Totalt utbetalt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</si>
</sst>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0.0000%"/>
    <numFmt numFmtId="165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2" applyNumberFormat="1" applyFont="1"/>
    <xf numFmtId="44" fontId="0" fillId="3" borderId="0" xfId="0" applyNumberFormat="1" applyFill="1"/>
    <xf numFmtId="0" fontId="0" fillId="3" borderId="0" xfId="0" applyFill="1"/>
    <xf numFmtId="9" fontId="0" fillId="0" borderId="0" xfId="0" applyNumberFormat="1"/>
    <xf numFmtId="44" fontId="0" fillId="0" borderId="0" xfId="1" applyFont="1" applyFill="1"/>
    <xf numFmtId="10" fontId="0" fillId="3" borderId="0" xfId="2" applyNumberFormat="1" applyFont="1" applyFill="1"/>
    <xf numFmtId="10" fontId="0" fillId="4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64" fontId="0" fillId="0" borderId="0" xfId="2" applyNumberFormat="1" applyFont="1"/>
    <xf numFmtId="165" fontId="0" fillId="0" borderId="0" xfId="2" applyNumberFormat="1" applyFont="1"/>
    <xf numFmtId="0" fontId="3" fillId="5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860-80D7-1E4E-BCDB-1C6933AA76C9}">
  <dimension ref="A1:I54"/>
  <sheetViews>
    <sheetView tabSelected="1" zoomScale="180" zoomScaleNormal="180" workbookViewId="0">
      <selection activeCell="F6" sqref="F6"/>
    </sheetView>
  </sheetViews>
  <sheetFormatPr baseColWidth="10" defaultRowHeight="16" x14ac:dyDescent="0.2"/>
  <cols>
    <col min="1" max="1" width="34.83203125" customWidth="1"/>
    <col min="2" max="2" width="15.6640625" bestFit="1" customWidth="1"/>
    <col min="3" max="3" width="18.33203125" customWidth="1"/>
    <col min="4" max="4" width="20.33203125" customWidth="1"/>
    <col min="5" max="5" width="20" bestFit="1" customWidth="1"/>
    <col min="6" max="6" width="12.1640625" bestFit="1" customWidth="1"/>
    <col min="7" max="7" width="13.5" customWidth="1"/>
  </cols>
  <sheetData>
    <row r="1" spans="1:9" x14ac:dyDescent="0.2">
      <c r="A1" t="s">
        <v>5</v>
      </c>
      <c r="B1" s="1">
        <v>93634</v>
      </c>
    </row>
    <row r="2" spans="1:9" x14ac:dyDescent="0.2">
      <c r="A2" t="s">
        <v>6</v>
      </c>
      <c r="B2" s="1">
        <f>B1*6</f>
        <v>561804</v>
      </c>
    </row>
    <row r="4" spans="1:9" x14ac:dyDescent="0.2">
      <c r="C4" s="5" t="s">
        <v>1</v>
      </c>
      <c r="D4" s="5" t="s">
        <v>2</v>
      </c>
      <c r="E4" s="5" t="s">
        <v>3</v>
      </c>
      <c r="G4" s="23"/>
      <c r="H4" s="23"/>
      <c r="I4" s="23"/>
    </row>
    <row r="5" spans="1:9" x14ac:dyDescent="0.2">
      <c r="A5" t="s">
        <v>0</v>
      </c>
      <c r="C5" s="1">
        <f>1200.49*260/12</f>
        <v>26010.616666666669</v>
      </c>
      <c r="D5" s="1">
        <v>8000</v>
      </c>
      <c r="E5" s="1">
        <v>5000</v>
      </c>
    </row>
    <row r="6" spans="1:9" x14ac:dyDescent="0.2">
      <c r="B6" s="4">
        <f>MIN(12*SUM(C5:E5),B2)</f>
        <v>468127.4</v>
      </c>
      <c r="C6" s="4"/>
    </row>
    <row r="7" spans="1:9" x14ac:dyDescent="0.2">
      <c r="A7" t="s">
        <v>4</v>
      </c>
      <c r="C7" s="3">
        <f>C5/SUM($C$5:$E$5)</f>
        <v>0.66675738271248386</v>
      </c>
      <c r="D7" s="3">
        <f>D5/SUM($C$5:$E$5)</f>
        <v>0.20507237986924071</v>
      </c>
      <c r="E7" s="3">
        <f>E5/SUM($C$5:$E$5)</f>
        <v>0.12817023741827543</v>
      </c>
    </row>
    <row r="8" spans="1:9" x14ac:dyDescent="0.2">
      <c r="A8" s="9" t="s">
        <v>10</v>
      </c>
      <c r="B8" s="9"/>
      <c r="C8" s="8">
        <f>$B$6*C7/12</f>
        <v>26010.616666666669</v>
      </c>
      <c r="D8" s="8">
        <f>$B$6*D7/12</f>
        <v>8000</v>
      </c>
      <c r="E8" s="8">
        <f>$B$6*E7/12</f>
        <v>4999.9999999999991</v>
      </c>
      <c r="F8" t="s">
        <v>17</v>
      </c>
    </row>
    <row r="9" spans="1:9" x14ac:dyDescent="0.2">
      <c r="A9" t="s">
        <v>4</v>
      </c>
      <c r="C9" s="3">
        <f>C8/SUM($C$8:$E$8)</f>
        <v>0.66675738271248386</v>
      </c>
      <c r="D9" s="3">
        <f>D8/SUM($C$8:$E$8)</f>
        <v>0.20507237986924071</v>
      </c>
      <c r="E9" s="3">
        <f>E8/SUM($C$8:$E$8)</f>
        <v>0.12817023741827543</v>
      </c>
      <c r="F9" t="s">
        <v>20</v>
      </c>
    </row>
    <row r="10" spans="1:9" x14ac:dyDescent="0.2">
      <c r="A10" s="9" t="s">
        <v>12</v>
      </c>
      <c r="B10" s="8">
        <f>12*SUM(C8:E8)</f>
        <v>468127.4</v>
      </c>
      <c r="C10" s="4"/>
    </row>
    <row r="11" spans="1:9" x14ac:dyDescent="0.2">
      <c r="A11" t="s">
        <v>29</v>
      </c>
      <c r="C11" s="11">
        <f>C5</f>
        <v>26010.616666666669</v>
      </c>
      <c r="D11" s="11">
        <v>0</v>
      </c>
      <c r="E11" s="11">
        <f t="shared" ref="D11:E11" si="0">E5</f>
        <v>5000</v>
      </c>
    </row>
    <row r="12" spans="1:9" x14ac:dyDescent="0.2">
      <c r="B12" s="4">
        <f>12*SUM(C11:E11)</f>
        <v>372127.4</v>
      </c>
    </row>
    <row r="13" spans="1:9" x14ac:dyDescent="0.2">
      <c r="A13" t="s">
        <v>32</v>
      </c>
      <c r="C13" s="2">
        <v>1</v>
      </c>
      <c r="D13" s="2">
        <v>1</v>
      </c>
      <c r="E13" s="2">
        <v>1</v>
      </c>
    </row>
    <row r="14" spans="1:9" x14ac:dyDescent="0.2">
      <c r="A14" t="s">
        <v>30</v>
      </c>
      <c r="C14" s="1">
        <f>MIN(C5*C13,C11)</f>
        <v>26010.616666666669</v>
      </c>
      <c r="D14" s="1">
        <f>MIN(D5*D13,D11)</f>
        <v>0</v>
      </c>
      <c r="E14" s="1">
        <f t="shared" ref="D14:E14" si="1">MIN(E5*E13,E11)</f>
        <v>5000</v>
      </c>
      <c r="F14" t="s">
        <v>31</v>
      </c>
    </row>
    <row r="15" spans="1:9" x14ac:dyDescent="0.2">
      <c r="A15" s="9" t="s">
        <v>23</v>
      </c>
      <c r="B15" s="9"/>
      <c r="C15" s="12">
        <f>IF(C5&gt;0,C14/C5,0)</f>
        <v>1</v>
      </c>
      <c r="D15" s="12">
        <f t="shared" ref="D15:E15" si="2">IF(D5&gt;0,D14/D5,0)</f>
        <v>0</v>
      </c>
      <c r="E15" s="12">
        <f t="shared" si="2"/>
        <v>1</v>
      </c>
      <c r="F15" t="s">
        <v>38</v>
      </c>
    </row>
    <row r="16" spans="1:9" x14ac:dyDescent="0.2">
      <c r="A16" t="s">
        <v>4</v>
      </c>
      <c r="C16" s="3">
        <f>C14/SUM($C$14:$E$14)</f>
        <v>0.83876489610816085</v>
      </c>
      <c r="D16" s="3">
        <f t="shared" ref="D16:E16" si="3">D14/SUM($C$14:$E$14)</f>
        <v>0</v>
      </c>
      <c r="E16" s="3">
        <f t="shared" si="3"/>
        <v>0.16123510389183918</v>
      </c>
      <c r="F16" t="s">
        <v>36</v>
      </c>
    </row>
    <row r="17" spans="1:7" x14ac:dyDescent="0.2">
      <c r="A17" s="21" t="s">
        <v>16</v>
      </c>
      <c r="B17" s="21"/>
      <c r="C17" s="21"/>
      <c r="D17" s="21"/>
      <c r="E17" s="21"/>
    </row>
    <row r="18" spans="1:7" x14ac:dyDescent="0.2">
      <c r="A18" s="22" t="s">
        <v>37</v>
      </c>
      <c r="B18" s="22"/>
      <c r="C18" s="22"/>
      <c r="D18" s="22"/>
      <c r="E18" s="22"/>
    </row>
    <row r="19" spans="1:7" x14ac:dyDescent="0.2">
      <c r="A19" s="22"/>
      <c r="B19" s="22"/>
      <c r="C19" s="22"/>
      <c r="D19" s="22"/>
      <c r="E19" s="22"/>
    </row>
    <row r="20" spans="1:7" x14ac:dyDescent="0.2">
      <c r="A20" t="s">
        <v>7</v>
      </c>
      <c r="C20" s="13">
        <f>(C8*C15)/SUMPRODUCT($C$8:$E$8,$C$15:$E$15)</f>
        <v>0.83876489610816085</v>
      </c>
      <c r="D20" s="13">
        <f>(D8*D15)/SUMPRODUCT($C$8:$E$8,$C$15:$E$15)</f>
        <v>0</v>
      </c>
      <c r="E20" s="13">
        <f>(E8*E15)/SUMPRODUCT($C$8:$E$8,$C$15:$E$15)</f>
        <v>0.16123510389183915</v>
      </c>
      <c r="F20" t="s">
        <v>26</v>
      </c>
    </row>
    <row r="21" spans="1:7" x14ac:dyDescent="0.2">
      <c r="A21" t="s">
        <v>33</v>
      </c>
      <c r="B21" s="4"/>
      <c r="C21" s="14">
        <f>(1-C15)</f>
        <v>0</v>
      </c>
      <c r="D21" s="14">
        <f>(1-D15)</f>
        <v>1</v>
      </c>
      <c r="E21" s="14">
        <f>(1-E15)</f>
        <v>0</v>
      </c>
      <c r="F21" t="s">
        <v>26</v>
      </c>
    </row>
    <row r="22" spans="1:7" x14ac:dyDescent="0.2">
      <c r="A22" t="s">
        <v>27</v>
      </c>
      <c r="C22" s="13">
        <f>IF(SUMPRODUCT($C$8:$E$8,$C$21:$E$21)&gt;0,(C8*C21)/SUMPRODUCT($C$8:$E$8,$C$21:$E$21),0)</f>
        <v>0</v>
      </c>
      <c r="D22" s="13">
        <f t="shared" ref="D22:E22" si="4">IF(SUMPRODUCT($C$8:$E$8,$C$21:$E$21)&gt;0,(D8*D21)/SUMPRODUCT($C$8:$E$8,$C$21:$E$21),0)</f>
        <v>1</v>
      </c>
      <c r="E22" s="13">
        <f t="shared" si="4"/>
        <v>0</v>
      </c>
    </row>
    <row r="24" spans="1:7" x14ac:dyDescent="0.2">
      <c r="A24" t="s">
        <v>8</v>
      </c>
      <c r="C24" s="2">
        <v>0.5</v>
      </c>
      <c r="D24" s="2">
        <v>0.8</v>
      </c>
      <c r="E24" s="2">
        <v>1</v>
      </c>
      <c r="G24" s="10"/>
    </row>
    <row r="25" spans="1:7" x14ac:dyDescent="0.2">
      <c r="A25" t="s">
        <v>15</v>
      </c>
      <c r="C25" s="6">
        <f>C24*C9</f>
        <v>0.33337869135624193</v>
      </c>
      <c r="D25" s="6">
        <f>D24*D9</f>
        <v>0.16405790389539257</v>
      </c>
      <c r="E25" s="6">
        <f>E24*E9</f>
        <v>0.12817023741827543</v>
      </c>
    </row>
    <row r="27" spans="1:7" x14ac:dyDescent="0.2">
      <c r="A27" s="9" t="s">
        <v>34</v>
      </c>
      <c r="B27" s="9"/>
      <c r="C27" s="15">
        <f>(C20*C24) / SUMPRODUCT($C$20:$E$20,$C$24:$E$24)</f>
        <v>0.72230411679518591</v>
      </c>
      <c r="D27" s="15">
        <f>(D20*D24) / SUMPRODUCT($C$20:$E$20,$C$24:$E$24)</f>
        <v>0</v>
      </c>
      <c r="E27" s="15">
        <f>(E20*E24) / SUMPRODUCT($C$20:$E$20,$C$24:$E$24)</f>
        <v>0.27769588320481409</v>
      </c>
      <c r="F27" t="s">
        <v>18</v>
      </c>
    </row>
    <row r="28" spans="1:7" x14ac:dyDescent="0.2">
      <c r="A28" t="s">
        <v>34</v>
      </c>
      <c r="C28" s="3">
        <f>C11*C24/SUMPRODUCT($C11:$E$11,$C$24:$E$24)</f>
        <v>0.72230411679518591</v>
      </c>
      <c r="D28" s="3">
        <f>D11*D24/SUMPRODUCT($C11:$E$11,$C$24:$E$24)</f>
        <v>0</v>
      </c>
      <c r="E28" s="3">
        <f>E11*E24/SUMPRODUCT($C11:$E$11,$C$24:$E$24)</f>
        <v>0.27769588320481414</v>
      </c>
      <c r="F28" t="s">
        <v>24</v>
      </c>
    </row>
    <row r="29" spans="1:7" x14ac:dyDescent="0.2">
      <c r="A29" s="9" t="s">
        <v>35</v>
      </c>
      <c r="B29" s="9"/>
      <c r="C29" s="12">
        <f>IF(SUMPRODUCT($C$22:$E$22,$C$24:$E$24)&gt;0,(C22*C24) / SUMPRODUCT($C$22:$E$22,$C$24:$E$24),0)</f>
        <v>0</v>
      </c>
      <c r="D29" s="12">
        <f>IF(SUMPRODUCT($C$22:$E$22,$C$24:$E$24)&gt;0,(D22*D24) / SUMPRODUCT($C$22:$E$22,$C$24:$E$24),0)</f>
        <v>1</v>
      </c>
      <c r="E29" s="12">
        <f t="shared" ref="D29:E29" si="5">IF(SUMPRODUCT($C$22:$E$22,$C$24:$E$24)&gt;0,(E22*E24) / SUMPRODUCT($C$22:$E$22,$C$24:$E$24),0)</f>
        <v>0</v>
      </c>
    </row>
    <row r="31" spans="1:7" x14ac:dyDescent="0.2">
      <c r="D31" s="4"/>
      <c r="E31" s="4"/>
    </row>
    <row r="32" spans="1:7" x14ac:dyDescent="0.2">
      <c r="A32" t="s">
        <v>9</v>
      </c>
      <c r="B32" s="16">
        <f>SUM(C25:E25)</f>
        <v>0.62560683266991002</v>
      </c>
      <c r="C32" s="1"/>
      <c r="D32" s="1"/>
      <c r="E32" s="1"/>
    </row>
    <row r="33" spans="1:7" x14ac:dyDescent="0.2">
      <c r="A33" t="s">
        <v>14</v>
      </c>
      <c r="B33" s="1">
        <f>ROUND((12*SUMPRODUCT(C14:E14,C24:E24))/260,)*260</f>
        <v>216060</v>
      </c>
      <c r="C33" s="1"/>
      <c r="D33" s="3"/>
      <c r="F33" t="s">
        <v>39</v>
      </c>
    </row>
    <row r="34" spans="1:7" x14ac:dyDescent="0.2">
      <c r="A34" t="s">
        <v>13</v>
      </c>
      <c r="B34" s="4">
        <f>ROUND(B10*B32/260,)*260</f>
        <v>292760</v>
      </c>
      <c r="C34" s="4">
        <f>B34/260</f>
        <v>1126</v>
      </c>
      <c r="F34" t="s">
        <v>39</v>
      </c>
    </row>
    <row r="35" spans="1:7" x14ac:dyDescent="0.2">
      <c r="A35" t="s">
        <v>22</v>
      </c>
      <c r="B35" s="4">
        <f>MIN(B33,B34)</f>
        <v>216060</v>
      </c>
    </row>
    <row r="36" spans="1:7" x14ac:dyDescent="0.2">
      <c r="A36" t="s">
        <v>19</v>
      </c>
      <c r="B36" s="4">
        <f>B34-B35</f>
        <v>76700</v>
      </c>
      <c r="C36" s="7"/>
      <c r="D36" s="7"/>
      <c r="E36" s="7"/>
    </row>
    <row r="37" spans="1:7" x14ac:dyDescent="0.2">
      <c r="C37" s="4"/>
      <c r="D37" s="17"/>
      <c r="E37" s="4"/>
    </row>
    <row r="38" spans="1:7" x14ac:dyDescent="0.2">
      <c r="A38" s="18" t="s">
        <v>21</v>
      </c>
      <c r="B38" s="18"/>
      <c r="C38" s="20">
        <f>$B$35*C27/260</f>
        <v>600.23472105679957</v>
      </c>
      <c r="D38" s="20">
        <f>$B$35*D27/260</f>
        <v>0</v>
      </c>
      <c r="E38" s="20">
        <f>$B$35*E27/260</f>
        <v>230.76527894320049</v>
      </c>
      <c r="F38" s="18"/>
      <c r="G38" s="18">
        <f>SUM(C38:E38)</f>
        <v>831</v>
      </c>
    </row>
    <row r="39" spans="1:7" x14ac:dyDescent="0.2">
      <c r="A39" s="18" t="s">
        <v>25</v>
      </c>
      <c r="B39" s="18"/>
      <c r="C39" s="20">
        <f>$B$36*C29/260</f>
        <v>0</v>
      </c>
      <c r="D39" s="20">
        <f>$B$36*D29/260</f>
        <v>295</v>
      </c>
      <c r="E39" s="20">
        <f>$B$36*E29/260</f>
        <v>0</v>
      </c>
      <c r="F39" s="18"/>
      <c r="G39" s="18">
        <f>SUM(C39:E39)</f>
        <v>295</v>
      </c>
    </row>
    <row r="40" spans="1:7" x14ac:dyDescent="0.2">
      <c r="A40" s="18"/>
      <c r="B40" s="18" t="s">
        <v>28</v>
      </c>
      <c r="C40" s="20">
        <f>SUM(C38:C39)</f>
        <v>600.23472105679957</v>
      </c>
      <c r="D40" s="20">
        <f t="shared" ref="D40:E40" si="6">SUM(D38:D39)</f>
        <v>295</v>
      </c>
      <c r="E40" s="20">
        <f t="shared" si="6"/>
        <v>230.76527894320049</v>
      </c>
      <c r="F40" s="18"/>
      <c r="G40" s="18">
        <f>SUM(G38:G39)</f>
        <v>1126</v>
      </c>
    </row>
    <row r="41" spans="1:7" x14ac:dyDescent="0.2">
      <c r="A41" s="18"/>
      <c r="B41" s="18"/>
      <c r="C41" s="20"/>
      <c r="D41" s="20"/>
      <c r="E41" s="20"/>
      <c r="F41" s="18"/>
      <c r="G41" s="18"/>
    </row>
    <row r="42" spans="1:7" x14ac:dyDescent="0.2">
      <c r="A42" s="18" t="s">
        <v>11</v>
      </c>
      <c r="B42" s="18"/>
      <c r="C42" s="20">
        <f>TRUNC(C38)</f>
        <v>600</v>
      </c>
      <c r="D42" s="20">
        <f t="shared" ref="D42:E42" si="7">TRUNC(D38)</f>
        <v>0</v>
      </c>
      <c r="E42" s="20">
        <f t="shared" si="7"/>
        <v>230</v>
      </c>
      <c r="F42" s="18"/>
      <c r="G42" s="18"/>
    </row>
    <row r="43" spans="1:7" x14ac:dyDescent="0.2">
      <c r="A43" s="18" t="s">
        <v>40</v>
      </c>
      <c r="B43" s="18"/>
      <c r="C43" s="20">
        <f>C38-C42</f>
        <v>0.23472105679957167</v>
      </c>
      <c r="D43" s="20">
        <f t="shared" ref="D43:E43" si="8">D38-D42</f>
        <v>0</v>
      </c>
      <c r="E43" s="20">
        <f t="shared" si="8"/>
        <v>0.76527894320048517</v>
      </c>
      <c r="F43" s="18"/>
      <c r="G43" s="18"/>
    </row>
    <row r="44" spans="1:7" x14ac:dyDescent="0.2">
      <c r="A44" s="18" t="s">
        <v>41</v>
      </c>
      <c r="B44" s="20">
        <f>ROUND(SUM(C38:E38)-SUM(C42:E42),)</f>
        <v>1</v>
      </c>
      <c r="C44" s="20"/>
      <c r="D44" s="20"/>
      <c r="E44" s="20"/>
      <c r="F44" s="18"/>
      <c r="G44" s="18"/>
    </row>
    <row r="45" spans="1:7" x14ac:dyDescent="0.2">
      <c r="A45" s="18" t="s">
        <v>42</v>
      </c>
      <c r="B45" s="18"/>
      <c r="C45" s="20">
        <f>IF($B$44&gt;0,IF(LARGE($C$43:$F$43,$B$44)&lt;=C$43,1,0), 0)</f>
        <v>0</v>
      </c>
      <c r="D45" s="20">
        <f>IF(($B$44-C45)&gt;0,IF(LARGE($C$43:$F$43,$B$44)&lt;=D$43,1,0), 0)</f>
        <v>0</v>
      </c>
      <c r="E45" s="20">
        <f>IF(($B$44-SUM($C$45:$D$45))&gt;0,IF(LARGE($C$43:$F$43,$B$44)&lt;=E$43,1,0), 0)</f>
        <v>1</v>
      </c>
      <c r="F45" s="18"/>
      <c r="G45" s="18"/>
    </row>
    <row r="46" spans="1:7" x14ac:dyDescent="0.2">
      <c r="A46" s="19" t="s">
        <v>43</v>
      </c>
      <c r="B46" s="19"/>
      <c r="C46" s="19">
        <f>C42+C45</f>
        <v>600</v>
      </c>
      <c r="D46" s="19">
        <f t="shared" ref="D46:E46" si="9">D42+D45</f>
        <v>0</v>
      </c>
      <c r="E46" s="19">
        <f t="shared" si="9"/>
        <v>231</v>
      </c>
      <c r="F46" s="19"/>
      <c r="G46" s="19">
        <f>SUM(C46:E46)</f>
        <v>831</v>
      </c>
    </row>
    <row r="47" spans="1:7" x14ac:dyDescent="0.2">
      <c r="A47" s="18"/>
      <c r="B47" s="20"/>
      <c r="C47" s="20"/>
      <c r="D47" s="20"/>
      <c r="E47" s="20"/>
      <c r="F47" s="18"/>
      <c r="G47" s="18"/>
    </row>
    <row r="48" spans="1:7" x14ac:dyDescent="0.2">
      <c r="A48" s="18" t="s">
        <v>19</v>
      </c>
      <c r="B48" s="20"/>
      <c r="C48" s="20">
        <f>TRUNC(C39)</f>
        <v>0</v>
      </c>
      <c r="D48" s="20">
        <f t="shared" ref="D48:E48" si="10">TRUNC(D39)</f>
        <v>295</v>
      </c>
      <c r="E48" s="20">
        <f t="shared" si="10"/>
        <v>0</v>
      </c>
      <c r="F48" s="18"/>
      <c r="G48" s="18"/>
    </row>
    <row r="49" spans="1:7" x14ac:dyDescent="0.2">
      <c r="A49" s="18" t="s">
        <v>40</v>
      </c>
      <c r="B49" s="20"/>
      <c r="C49" s="20">
        <f>C39-C48</f>
        <v>0</v>
      </c>
      <c r="D49" s="20">
        <f t="shared" ref="D49:E49" si="11">D39-D48</f>
        <v>0</v>
      </c>
      <c r="E49" s="20">
        <f t="shared" si="11"/>
        <v>0</v>
      </c>
      <c r="F49" s="18"/>
      <c r="G49" s="18"/>
    </row>
    <row r="50" spans="1:7" x14ac:dyDescent="0.2">
      <c r="A50" s="18" t="s">
        <v>41</v>
      </c>
      <c r="B50" s="20">
        <f>ROUND(SUM(C39:E39)-SUM(C48:E48),)</f>
        <v>0</v>
      </c>
      <c r="C50" s="20"/>
      <c r="D50" s="20"/>
      <c r="E50" s="20"/>
      <c r="F50" s="18"/>
      <c r="G50" s="18"/>
    </row>
    <row r="51" spans="1:7" x14ac:dyDescent="0.2">
      <c r="A51" s="18" t="s">
        <v>42</v>
      </c>
      <c r="B51" s="20"/>
      <c r="C51" s="20">
        <f>IF($B$50&gt;0,IF(LARGE($C$49:$F$49,$B$50)&lt;=C$49,1,0), 0)</f>
        <v>0</v>
      </c>
      <c r="D51" s="20">
        <f>IF(($B$50-C49)&gt;0,IF(LARGE($C$49:$F$49,$B$44)&lt;=D$49,1,0), 0)</f>
        <v>0</v>
      </c>
      <c r="E51" s="20">
        <f>IF(($B$50-SUM($C$49:$D$49))&gt;0,IF(LARGE($C$49:$F$49,$B$44)&lt;=E$49,1,0), 0)</f>
        <v>0</v>
      </c>
      <c r="F51" s="18"/>
      <c r="G51" s="18"/>
    </row>
    <row r="52" spans="1:7" x14ac:dyDescent="0.2">
      <c r="A52" s="19" t="s">
        <v>44</v>
      </c>
      <c r="B52" s="19"/>
      <c r="C52" s="19">
        <f>C48+C51</f>
        <v>0</v>
      </c>
      <c r="D52" s="19">
        <f t="shared" ref="D52" si="12">D48+D51</f>
        <v>295</v>
      </c>
      <c r="E52" s="19">
        <f t="shared" ref="E52" si="13">E48+E51</f>
        <v>0</v>
      </c>
      <c r="F52" s="19"/>
      <c r="G52" s="19">
        <f>SUM(C52:E52)</f>
        <v>295</v>
      </c>
    </row>
    <row r="54" spans="1:7" x14ac:dyDescent="0.2">
      <c r="A54" s="19" t="s">
        <v>45</v>
      </c>
      <c r="B54" s="19">
        <f>G46+G52</f>
        <v>1126</v>
      </c>
    </row>
  </sheetData>
  <mergeCells count="2">
    <mergeCell ref="A17:E17"/>
    <mergeCell ref="A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2022-10-23T18:46:58Z</dcterms:created>
  <dcterms:modified xsi:type="dcterms:W3CDTF">2022-10-25T06:30:38Z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2022-10-23T18:48:07Z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1f63c543-bff7-4b3d-9640-36a9346db3f8</vt:lpwstr>
  </property>
  <property fmtid="{D5CDD505-2E9C-101B-9397-08002B2CF9AE}" pid="8" name="MSIP_Label_d3491420-1ae2-4120-89e6-e6f668f067e2_ContentBits">
    <vt:lpwstr>0</vt:lpwstr>
  </property>
</Properties>
</file>