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nav/helse-spleis/doc/okonomi/"/>
    </mc:Choice>
  </mc:AlternateContent>
  <xr:revisionPtr revIDLastSave="0" documentId="13_ncr:1_{98E76527-0CE8-9B4E-920B-4C7F4D958666}" xr6:coauthVersionLast="47" xr6:coauthVersionMax="47" xr10:uidLastSave="{00000000-0000-0000-0000-000000000000}"/>
  <bookViews>
    <workbookView xWindow="36400" yWindow="500" windowWidth="52940" windowHeight="26600" tabRatio="500" xr2:uid="{00000000-000D-0000-FFFF-FFFF00000000}"/>
  </bookViews>
  <sheets>
    <sheet name="Flere arbeidsgivere, ny " sheetId="1" r:id="rId1"/>
    <sheet name="Flere arbeidsgivere, gammel" sheetId="2" r:id="rId2"/>
    <sheet name="Flere arbeidsgivere, eldre" sheetId="3" r:id="rId3"/>
  </sheets>
  <definedNames>
    <definedName name="AdjustmentArb">'Flere arbeidsgivere, gammel'!$D$24:$G$24</definedName>
    <definedName name="MAKSBELOP">'Flere arbeidsgivere, gammel'!$C$16</definedName>
    <definedName name="MAKSBELOP2">'Flere arbeidsgivere, eldre'!$C$16</definedName>
    <definedName name="MAKSBELOP3">'Flere arbeidsgivere, ny '!#REF!</definedName>
    <definedName name="PersonRemainder">'Flere arbeidsgivere, gammel'!$C$36</definedName>
    <definedName name="PersonRemainder2">'Flere arbeidsgivere, eldre'!$C$36</definedName>
    <definedName name="ScalingFactor">'Flere arbeidsgivere, gammel'!$C$17</definedName>
    <definedName name="ShortfallIncomeRatioArb">'Flere arbeidsgivere, gammel'!$D$21:$G$21</definedName>
    <definedName name="ShortfallIncomeRatioPerson">'Flere arbeidsgivere, gammel'!$D$25:$G$25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" i="1" l="1"/>
  <c r="F4" i="1" s="1"/>
  <c r="F20" i="1" s="1"/>
  <c r="B6" i="1"/>
  <c r="B7" i="1" s="1"/>
  <c r="C9" i="1"/>
  <c r="D9" i="1"/>
  <c r="E9" i="1"/>
  <c r="F9" i="1"/>
  <c r="D22" i="1"/>
  <c r="F22" i="1"/>
  <c r="E6" i="1"/>
  <c r="E22" i="1" s="1"/>
  <c r="C6" i="1"/>
  <c r="C22" i="1" s="1"/>
  <c r="C5" i="1"/>
  <c r="C17" i="1" s="1"/>
  <c r="C19" i="1" s="1"/>
  <c r="C21" i="1" s="1"/>
  <c r="C27" i="1" s="1"/>
  <c r="F6" i="1"/>
  <c r="B12" i="1"/>
  <c r="B13" i="1" s="1"/>
  <c r="C4" i="1" l="1"/>
  <c r="C24" i="1" s="1"/>
  <c r="E4" i="1"/>
  <c r="E20" i="1" s="1"/>
  <c r="D4" i="1"/>
  <c r="D24" i="1" s="1"/>
  <c r="C38" i="1"/>
  <c r="B25" i="1"/>
  <c r="C28" i="1" s="1"/>
  <c r="C20" i="1" l="1"/>
  <c r="D20" i="1"/>
  <c r="B34" i="1"/>
  <c r="B26" i="1"/>
  <c r="D5" i="1"/>
  <c r="D17" i="1" s="1"/>
  <c r="E5" i="1"/>
  <c r="E17" i="1" s="1"/>
  <c r="F5" i="1"/>
  <c r="F17" i="1" s="1"/>
  <c r="C15" i="3"/>
  <c r="G10" i="3"/>
  <c r="G31" i="3" s="1"/>
  <c r="G5" i="3"/>
  <c r="G7" i="3" s="1"/>
  <c r="G8" i="3" s="1"/>
  <c r="F5" i="3"/>
  <c r="F7" i="3" s="1"/>
  <c r="E5" i="3"/>
  <c r="E7" i="3" s="1"/>
  <c r="D5" i="3"/>
  <c r="D7" i="3" s="1"/>
  <c r="G4" i="3"/>
  <c r="F4" i="3"/>
  <c r="E4" i="3"/>
  <c r="D4" i="3"/>
  <c r="B44" i="2"/>
  <c r="C15" i="2"/>
  <c r="G5" i="2"/>
  <c r="G7" i="2" s="1"/>
  <c r="G10" i="2" s="1"/>
  <c r="F5" i="2"/>
  <c r="F7" i="2" s="1"/>
  <c r="E5" i="2"/>
  <c r="E7" i="2" s="1"/>
  <c r="D5" i="2"/>
  <c r="D7" i="2" s="1"/>
  <c r="G4" i="2"/>
  <c r="F4" i="2"/>
  <c r="E4" i="2"/>
  <c r="D4" i="2"/>
  <c r="F19" i="1" l="1"/>
  <c r="F21" i="1" s="1"/>
  <c r="F27" i="1" s="1"/>
  <c r="F28" i="1" s="1"/>
  <c r="E19" i="1"/>
  <c r="E21" i="1" s="1"/>
  <c r="E27" i="1" s="1"/>
  <c r="E28" i="1" s="1"/>
  <c r="D19" i="1"/>
  <c r="D21" i="1" s="1"/>
  <c r="D27" i="1" s="1"/>
  <c r="C39" i="1"/>
  <c r="C40" i="1"/>
  <c r="B14" i="1"/>
  <c r="D8" i="2"/>
  <c r="D10" i="2"/>
  <c r="E8" i="2"/>
  <c r="E10" i="2"/>
  <c r="G31" i="2"/>
  <c r="G33" i="2" s="1"/>
  <c r="G12" i="2"/>
  <c r="G32" i="2" s="1"/>
  <c r="D8" i="3"/>
  <c r="D10" i="3"/>
  <c r="E8" i="3"/>
  <c r="E10" i="3"/>
  <c r="G12" i="3"/>
  <c r="G32" i="3" s="1"/>
  <c r="G33" i="3" s="1"/>
  <c r="F8" i="2"/>
  <c r="G8" i="2"/>
  <c r="F8" i="3"/>
  <c r="F10" i="2"/>
  <c r="F10" i="3"/>
  <c r="B35" i="1" l="1"/>
  <c r="D28" i="1"/>
  <c r="B30" i="1"/>
  <c r="B15" i="1"/>
  <c r="B23" i="1"/>
  <c r="F31" i="3"/>
  <c r="F12" i="3"/>
  <c r="F32" i="3" s="1"/>
  <c r="D31" i="3"/>
  <c r="C13" i="3"/>
  <c r="C16" i="3" s="1"/>
  <c r="D12" i="3"/>
  <c r="D32" i="3" s="1"/>
  <c r="F38" i="1"/>
  <c r="F39" i="1"/>
  <c r="E38" i="1"/>
  <c r="E39" i="1"/>
  <c r="F31" i="2"/>
  <c r="F12" i="2"/>
  <c r="F32" i="2" s="1"/>
  <c r="D38" i="1"/>
  <c r="D39" i="1"/>
  <c r="E31" i="2"/>
  <c r="E12" i="2"/>
  <c r="E32" i="2" s="1"/>
  <c r="E31" i="3"/>
  <c r="E12" i="3"/>
  <c r="E32" i="3" s="1"/>
  <c r="D12" i="2"/>
  <c r="D32" i="2" s="1"/>
  <c r="D31" i="2"/>
  <c r="D33" i="2" s="1"/>
  <c r="C13" i="2"/>
  <c r="C16" i="2" s="1"/>
  <c r="B36" i="1" l="1"/>
  <c r="C29" i="1" s="1"/>
  <c r="B32" i="1"/>
  <c r="B24" i="1"/>
  <c r="D40" i="1"/>
  <c r="C17" i="2"/>
  <c r="D35" i="2"/>
  <c r="F33" i="2"/>
  <c r="E40" i="1"/>
  <c r="E33" i="3"/>
  <c r="F40" i="1"/>
  <c r="C17" i="3"/>
  <c r="E33" i="2"/>
  <c r="F35" i="2" s="1"/>
  <c r="D33" i="3"/>
  <c r="E35" i="3" s="1"/>
  <c r="F33" i="3"/>
  <c r="E29" i="1" l="1"/>
  <c r="F29" i="1"/>
  <c r="D29" i="1"/>
  <c r="B33" i="1"/>
  <c r="B31" i="1"/>
  <c r="B37" i="1" s="1"/>
  <c r="E43" i="1" s="1"/>
  <c r="F35" i="3"/>
  <c r="G35" i="2"/>
  <c r="G18" i="3"/>
  <c r="G18" i="2"/>
  <c r="F18" i="3"/>
  <c r="D18" i="3"/>
  <c r="E18" i="2"/>
  <c r="E18" i="3"/>
  <c r="D18" i="2"/>
  <c r="F18" i="2"/>
  <c r="C34" i="2"/>
  <c r="C34" i="3"/>
  <c r="G35" i="3"/>
  <c r="E37" i="2"/>
  <c r="G37" i="3"/>
  <c r="D37" i="2"/>
  <c r="F37" i="2"/>
  <c r="C36" i="2"/>
  <c r="D35" i="3"/>
  <c r="G37" i="2"/>
  <c r="E35" i="2"/>
  <c r="C38" i="2" s="1"/>
  <c r="B41" i="1" l="1"/>
  <c r="C43" i="1"/>
  <c r="D43" i="1"/>
  <c r="F43" i="1"/>
  <c r="F50" i="1" s="1"/>
  <c r="E44" i="1"/>
  <c r="F19" i="3"/>
  <c r="F23" i="3" s="1"/>
  <c r="D19" i="2"/>
  <c r="D23" i="2"/>
  <c r="G19" i="2"/>
  <c r="G23" i="2"/>
  <c r="G19" i="3"/>
  <c r="G23" i="3"/>
  <c r="E19" i="3"/>
  <c r="C36" i="3"/>
  <c r="E19" i="2"/>
  <c r="F19" i="2"/>
  <c r="D19" i="3"/>
  <c r="D23" i="3" s="1"/>
  <c r="C50" i="1" l="1"/>
  <c r="D50" i="1"/>
  <c r="C44" i="1"/>
  <c r="D44" i="1"/>
  <c r="F44" i="1"/>
  <c r="E50" i="1"/>
  <c r="D25" i="3"/>
  <c r="F25" i="3"/>
  <c r="G25" i="2"/>
  <c r="E20" i="3"/>
  <c r="E20" i="2"/>
  <c r="D20" i="3"/>
  <c r="E23" i="3"/>
  <c r="G25" i="3"/>
  <c r="D25" i="2"/>
  <c r="G20" i="3"/>
  <c r="G20" i="2"/>
  <c r="E23" i="2"/>
  <c r="D20" i="2"/>
  <c r="F20" i="2"/>
  <c r="F23" i="2"/>
  <c r="E37" i="3"/>
  <c r="F37" i="3"/>
  <c r="D37" i="3"/>
  <c r="F20" i="3"/>
  <c r="B45" i="1" l="1"/>
  <c r="E21" i="2"/>
  <c r="F21" i="3"/>
  <c r="F21" i="2"/>
  <c r="C38" i="3"/>
  <c r="D21" i="3"/>
  <c r="E25" i="2"/>
  <c r="E25" i="3"/>
  <c r="D21" i="2"/>
  <c r="E21" i="3"/>
  <c r="G26" i="3"/>
  <c r="G26" i="2"/>
  <c r="F26" i="2"/>
  <c r="F25" i="2"/>
  <c r="E26" i="3" s="1"/>
  <c r="B46" i="1" l="1"/>
  <c r="B47" i="1" s="1"/>
  <c r="G22" i="3"/>
  <c r="G24" i="3" s="1"/>
  <c r="G27" i="3" s="1"/>
  <c r="G22" i="2"/>
  <c r="G24" i="2" s="1"/>
  <c r="G27" i="2" s="1"/>
  <c r="F22" i="3"/>
  <c r="F24" i="3" s="1"/>
  <c r="F27" i="3" s="1"/>
  <c r="F22" i="2"/>
  <c r="F24" i="2" s="1"/>
  <c r="F27" i="2" s="1"/>
  <c r="E22" i="3"/>
  <c r="E24" i="3" s="1"/>
  <c r="E27" i="3" s="1"/>
  <c r="E22" i="2"/>
  <c r="E24" i="2" s="1"/>
  <c r="E27" i="2" s="1"/>
  <c r="D22" i="3"/>
  <c r="D24" i="3" s="1"/>
  <c r="D27" i="3" s="1"/>
  <c r="D22" i="2"/>
  <c r="D24" i="2" s="1"/>
  <c r="D27" i="2" s="1"/>
  <c r="F26" i="3"/>
  <c r="F28" i="3" s="1"/>
  <c r="D26" i="2"/>
  <c r="D28" i="2" s="1"/>
  <c r="E26" i="2"/>
  <c r="E28" i="2" s="1"/>
  <c r="D26" i="3"/>
  <c r="D28" i="3" s="1"/>
  <c r="C51" i="1" l="1"/>
  <c r="C52" i="1" s="1"/>
  <c r="B48" i="1"/>
  <c r="B49" i="1" s="1"/>
  <c r="B54" i="1" s="1"/>
  <c r="B55" i="1" s="1"/>
  <c r="G28" i="3"/>
  <c r="G28" i="2"/>
  <c r="F28" i="2"/>
  <c r="C29" i="2" s="1"/>
  <c r="E28" i="3"/>
  <c r="C29" i="3" s="1"/>
  <c r="D51" i="1" l="1"/>
  <c r="E51" i="1" s="1"/>
  <c r="E52" i="1" s="1"/>
  <c r="C56" i="1"/>
  <c r="E56" i="1"/>
  <c r="F56" i="1"/>
  <c r="D52" i="1" l="1"/>
  <c r="F51" i="1" s="1"/>
  <c r="F52" i="1" s="1"/>
  <c r="D56" i="1"/>
  <c r="D57" i="1" s="1"/>
  <c r="F57" i="1" l="1"/>
  <c r="F59" i="1" s="1"/>
  <c r="E57" i="1"/>
  <c r="B64" i="1"/>
  <c r="C57" i="1"/>
  <c r="D59" i="1"/>
  <c r="B58" i="1" l="1"/>
  <c r="C59" i="1"/>
  <c r="E59" i="1"/>
  <c r="F60" i="1" l="1"/>
  <c r="F61" i="1" s="1"/>
  <c r="E60" i="1"/>
  <c r="E61" i="1" s="1"/>
  <c r="D60" i="1"/>
  <c r="D61" i="1" s="1"/>
  <c r="C60" i="1"/>
  <c r="C61" i="1" s="1"/>
</calcChain>
</file>

<file path=xl/sharedStrings.xml><?xml version="1.0" encoding="utf-8"?>
<sst xmlns="http://schemas.openxmlformats.org/spreadsheetml/2006/main" count="376" uniqueCount="156">
  <si>
    <t xml:space="preserve">Begrep	</t>
  </si>
  <si>
    <t>Arbeidsgiver 1</t>
  </si>
  <si>
    <t>Arbeidsgiver 2</t>
  </si>
  <si>
    <t>Arbeidsgiver 3</t>
  </si>
  <si>
    <t>Arbeidsgiver 4</t>
  </si>
  <si>
    <t>Type</t>
  </si>
  <si>
    <t>Kommentar</t>
  </si>
  <si>
    <t>Aktuell månedsinntekt (§ 8-28.)</t>
  </si>
  <si>
    <t>Desimaltall</t>
  </si>
  <si>
    <t>Beregnet månedsinntekt etter § 8-28</t>
  </si>
  <si>
    <t>Arbeidsforholdets inntekts andel av den totale inntekten</t>
  </si>
  <si>
    <t>Aktuell dagsinntekt</t>
  </si>
  <si>
    <t>Dagsats beregnet kun ut ifra beregnet månedsinntekt (uten hensyn til andre arbeidsforhold,grad etc)</t>
  </si>
  <si>
    <t>Dekningsgrad</t>
  </si>
  <si>
    <t>Heltall</t>
  </si>
  <si>
    <t>For arbeidstaker er det 100%, for næringsdrivende 80%</t>
  </si>
  <si>
    <t>Dekningsgrunnlag</t>
  </si>
  <si>
    <t>Dagsats</t>
  </si>
  <si>
    <t>Grad</t>
  </si>
  <si>
    <t>Arbeidsuførhetsgrad</t>
  </si>
  <si>
    <t>Gradert dekningsgrunnlag</t>
  </si>
  <si>
    <t>Refusjonsgrad</t>
  </si>
  <si>
    <t>Forventet refusjon</t>
  </si>
  <si>
    <t>Sykdomsgrad</t>
  </si>
  <si>
    <t>Den totale graden av arbeidsuførhet på tvers av alle arbeidsforholdene</t>
  </si>
  <si>
    <t>Grunnbeløp</t>
  </si>
  <si>
    <t>Grunnbeløpet pr år</t>
  </si>
  <si>
    <t>6G</t>
  </si>
  <si>
    <t>Maksbeløp</t>
  </si>
  <si>
    <t>Maks dagsats redusert for grad av arbeidsuførhet</t>
  </si>
  <si>
    <t>Arbeidsgiverbeløp før 6g</t>
  </si>
  <si>
    <t>Det beløpet arbeidsgiver krever refundert/forventer å få ut ifra refusjonsgrad</t>
  </si>
  <si>
    <t>Personbeløp før 6g</t>
  </si>
  <si>
    <t xml:space="preserve">Situasjon </t>
  </si>
  <si>
    <t xml:space="preserve">Arbeidsgiverbeløp før avrunding </t>
  </si>
  <si>
    <t>Arbeidsgiverbeløp</t>
  </si>
  <si>
    <t>Avrundet arbeidsgiverbeløp</t>
  </si>
  <si>
    <t xml:space="preserve">Avrundingsdifferanse </t>
  </si>
  <si>
    <t xml:space="preserve">Brukes til å fordele restbeløp i B29 på alle arbeidsgiverne  </t>
  </si>
  <si>
    <t>Avrundingsbeløp fordelt</t>
  </si>
  <si>
    <t>Fordelt restbeløp</t>
  </si>
  <si>
    <t>Arbeidsgiverbeløp, inkl. avrunding</t>
  </si>
  <si>
    <t>Rest til utbetaling til arbeidsgiver</t>
  </si>
  <si>
    <t xml:space="preserve">Utebetales til arbeidsgivere fordelt etter differansen i rad 25 (høyeste tall får penger først) </t>
  </si>
  <si>
    <t xml:space="preserve">Total utbetaling til arbeidsgivere </t>
  </si>
  <si>
    <t xml:space="preserve">Personutbetalinger før avrunding </t>
  </si>
  <si>
    <t xml:space="preserve">Personutbetaling før avrunding </t>
  </si>
  <si>
    <t xml:space="preserve">Personutbetalinger </t>
  </si>
  <si>
    <t xml:space="preserve">Brukes til å fordele restbeløp </t>
  </si>
  <si>
    <t xml:space="preserve">Avrundingsbeløp fordelt </t>
  </si>
  <si>
    <t xml:space="preserve">Personbeløp, inkl. avrunding </t>
  </si>
  <si>
    <t xml:space="preserve">Rest til utbetaling til person </t>
  </si>
  <si>
    <t>Utebetales til arbeidstakere fordelt etter differansen i rad 34 (høyest tall får penger først)</t>
  </si>
  <si>
    <t>Personbeløp</t>
  </si>
  <si>
    <t xml:space="preserve">Inkludert restbeløpet i raden over </t>
  </si>
  <si>
    <t xml:space="preserve">Totalt utbetalt </t>
  </si>
  <si>
    <t>Term</t>
  </si>
  <si>
    <t>Meaning</t>
  </si>
  <si>
    <t>Person</t>
  </si>
  <si>
    <t>Emp 1</t>
  </si>
  <si>
    <t>Emp 2</t>
  </si>
  <si>
    <t>Emp 3</t>
  </si>
  <si>
    <t>Emp 4</t>
  </si>
  <si>
    <t>Precision</t>
  </si>
  <si>
    <t>Monthly income</t>
  </si>
  <si>
    <t>Double</t>
  </si>
  <si>
    <t>Income ratio</t>
  </si>
  <si>
    <t>Daily income</t>
  </si>
  <si>
    <t>New: Fred 18-06</t>
  </si>
  <si>
    <t>Rebate percentage</t>
  </si>
  <si>
    <t>Integer</t>
  </si>
  <si>
    <t>Maximum paid before 6G &amp; Grad</t>
  </si>
  <si>
    <t>New: Fred 26-06</t>
  </si>
  <si>
    <t>Maximum assuming 100% sick, only employer</t>
  </si>
  <si>
    <t>Percentage sick</t>
  </si>
  <si>
    <t>Maximum with Grad</t>
  </si>
  <si>
    <t>Employer percentage</t>
  </si>
  <si>
    <t>Employer desires</t>
  </si>
  <si>
    <t>Weighted percentage sick</t>
  </si>
  <si>
    <t>Annual limitation</t>
  </si>
  <si>
    <t>Daily limitation</t>
  </si>
  <si>
    <t>Grad scaled limitation</t>
  </si>
  <si>
    <t>Dekningsfaktor</t>
  </si>
  <si>
    <t>Scaling factor</t>
  </si>
  <si>
    <t>Beløp</t>
  </si>
  <si>
    <t>After 6G limitation</t>
  </si>
  <si>
    <t>Beløp til arbeidsgiver før fordeling</t>
  </si>
  <si>
    <t>Initial amount to employer</t>
  </si>
  <si>
    <t>Employer shortfall</t>
  </si>
  <si>
    <t>Shortfall income ratio - arbeidsgiver</t>
  </si>
  <si>
    <t xml:space="preserve">Fordelingsgrad </t>
  </si>
  <si>
    <t>Shortfall ratio - arbeidsgiver</t>
  </si>
  <si>
    <t>Initial amount to employee</t>
  </si>
  <si>
    <t>Ekstra fordeling</t>
  </si>
  <si>
    <t>Adjustment for employers</t>
  </si>
  <si>
    <t>Shortfall income ratio - person</t>
  </si>
  <si>
    <t>Shortfall ratio - person</t>
  </si>
  <si>
    <t>Amount to employer</t>
  </si>
  <si>
    <t>Amount to employee</t>
  </si>
  <si>
    <t>Daily rounding error</t>
  </si>
  <si>
    <t>Ideal arbeidsgiver w/o 6G</t>
  </si>
  <si>
    <t>Ideal person w/o 6G</t>
  </si>
  <si>
    <t>Situation</t>
  </si>
  <si>
    <t>Remainder for employees</t>
  </si>
  <si>
    <t>*Definitions</t>
  </si>
  <si>
    <r>
      <rPr>
        <b/>
        <sz val="11"/>
        <color rgb="FF000000"/>
        <rFont val="Calibri"/>
        <family val="2"/>
        <charset val="1"/>
      </rPr>
      <t>Double</t>
    </r>
    <r>
      <rPr>
        <sz val="11"/>
        <color rgb="FF000000"/>
        <rFont val="Calibri"/>
        <family val="2"/>
        <charset val="1"/>
      </rPr>
      <t xml:space="preserve"> in computer is 15-17 significant figures</t>
    </r>
  </si>
  <si>
    <t>Daily</t>
  </si>
  <si>
    <t>Annual</t>
  </si>
  <si>
    <t>Omregnet årsinntekt</t>
  </si>
  <si>
    <t>Sykepengegrunnlag</t>
  </si>
  <si>
    <t>Aktuell månedsinntekt omregnet til årsinntekt</t>
  </si>
  <si>
    <t>Samlet årsinntekt for alle arbeidsgiverne, før 6G</t>
  </si>
  <si>
    <t>... som dagsats</t>
  </si>
  <si>
    <t>Sykepengegrunnlag før 6g</t>
  </si>
  <si>
    <t>Vektet grad</t>
  </si>
  <si>
    <t>Det beløpet arbeidsgiver ønsker refundert</t>
  </si>
  <si>
    <t>Sykdomsgrad hensyntat vektet gjennomsnitt inntekt</t>
  </si>
  <si>
    <t>Sykepengegrunnlag inkl Sykdomsgrad</t>
  </si>
  <si>
    <t>Seks ganger grunnbeløpet</t>
  </si>
  <si>
    <t>Dagsbeløpet (1/260) avrundet</t>
  </si>
  <si>
    <t>Sykepengegrunnlaget begrenset til 6G som dagsats</t>
  </si>
  <si>
    <t>Sykepengegrunnlaget begrenset for total sykdomsgrad. Redusert til dagsats (1/260), rundet av, så ganget opp igjen til årsinntekt</t>
  </si>
  <si>
    <t>Total forventet refusjon</t>
  </si>
  <si>
    <t>6G refusjons-reduksjonsfaktor</t>
  </si>
  <si>
    <t>Kvotient for å redusere utbetaling til arbeidsgiver proposjonalt med andel refusjon som overstiger sykepengegrunnlaget</t>
  </si>
  <si>
    <t>... som årlig</t>
  </si>
  <si>
    <t>Den totale mengden refusjon arbeidsgiverne ønsker, som årssum</t>
  </si>
  <si>
    <t>Den totale mengden refusjon arbeidsgiverne ønsker, per dag</t>
  </si>
  <si>
    <t>Totalt dekningsgrunnlag for alle arbeidsgiverne</t>
  </si>
  <si>
    <t>Totalt dekningsgrunnlag</t>
  </si>
  <si>
    <t>Totalt dekningsgrunnlag for alle arbeidsgiverne, som årlig</t>
  </si>
  <si>
    <t>Total forventet personbeløp</t>
  </si>
  <si>
    <t>Det maksimale beløpet som skal utbetales til person</t>
  </si>
  <si>
    <t>Det maksimale beløpet som skal utbetales til person, som årlig</t>
  </si>
  <si>
    <t xml:space="preserve">Utbetaling til arbeidsgivere med avrunding og fordelt restbeløp </t>
  </si>
  <si>
    <t>Det beløpet arbeidstakeren kan få utbetalt før reduksjon for 6G</t>
  </si>
  <si>
    <t>Total utbetaling til arbeidsgivere , eksl. avrunding</t>
  </si>
  <si>
    <t xml:space="preserve">Total utbetaling til arbeidsgivere (ekskludert restbeløpet) </t>
  </si>
  <si>
    <t xml:space="preserve">Total utbetaling til arbeidsgivere (inkludert restbeløpet) </t>
  </si>
  <si>
    <t>Total utbetaling til arbeidsgivere (inkludert restbeløpet) , som årlig</t>
  </si>
  <si>
    <t>Personbeløp 6g-reduksjonsfaktor</t>
  </si>
  <si>
    <t>Gradert refusjon</t>
  </si>
  <si>
    <t>Totalt refusjon</t>
  </si>
  <si>
    <t>Det som skal betales per dag, totalt</t>
  </si>
  <si>
    <t>Maks dagsats redusert for arbeidsuførhetsgrad. Rundet av på dagsats etter gradering</t>
  </si>
  <si>
    <t>Maks refusjon før redusering for dekningsgrunnlag. Rundet av på dagsats før og etter gradering</t>
  </si>
  <si>
    <t>Vektet refusjonssgrad</t>
  </si>
  <si>
    <t>Hvor stor andel av total refusjon hver arbeidsgiver vil ha</t>
  </si>
  <si>
    <t>Rest til utbetaling før avrunding</t>
  </si>
  <si>
    <t>Arbeidsgiverrefusjon som følge av andel av dagsats vektet refusjon utgjør</t>
  </si>
  <si>
    <t>Utregnet refusjon før avrunding</t>
  </si>
  <si>
    <t>Sykepengegrunnlaget begrenset til 6G.</t>
  </si>
  <si>
    <t xml:space="preserve">Maks dagsats før reduksjon til 6G og reduksjon for total sykdomsgrad. </t>
  </si>
  <si>
    <t>Arbeidsgrad</t>
  </si>
  <si>
    <t>Nei</t>
  </si>
  <si>
    <t>Tilkommen inntekt?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</si>
</sst>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(* #,##0.00_);_(* \(#,##0.00\);_(* \-??_);_(@_)"/>
    <numFmt numFmtId="165" formatCode="_(* #,##0_);_(* \(#,##0\);_(* \-??_);_(@_)"/>
    <numFmt numFmtId="166" formatCode="0.0000000000"/>
    <numFmt numFmtId="167" formatCode="_(* #,##0.0000000000_);_(* \(#,##0.0000000000\);_(* \-??_);_(@_)"/>
    <numFmt numFmtId="168" formatCode="_(* #,##0.0000000000_);_(* \(#,##0.0000000000\);_(* \-??????????_);_(@_)"/>
    <numFmt numFmtId="169" formatCode="0.0000000000%"/>
    <numFmt numFmtId="170" formatCode="#,##0.0000000000"/>
    <numFmt numFmtId="171" formatCode="_(* #,##0.000000000_);_(* \(#,##0.000000000\);_(* \-??_);_(@_)"/>
    <numFmt numFmtId="172" formatCode="_-* #,##0.000000_-;\-* #,##0.000000_-;_-* &quot;-&quot;??????????_-;_-@_-"/>
    <numFmt numFmtId="173" formatCode="_-* #,##0.000000_-;\-* #,##0.000000_-;_-* &quot;-&quot;??????_-;_-@_-"/>
    <numFmt numFmtId="174" formatCode="_-* #,##0.0000000000_-;\-* #,##0.0000000000_-;_-* &quot;-&quot;??????????_-;_-@_-"/>
    <numFmt numFmtId="175" formatCode="_-* #,##0.00000000_-;\-* #,##0.00000000_-;_-* &quot;-&quot;??????????_-;_-@_-"/>
    <numFmt numFmtId="176" formatCode="_-* #,##0.000000000_-;\-* #,##0.000000000_-;_-* &quot;-&quot;??_-;_-@_-"/>
    <numFmt numFmtId="177" formatCode="_(* #,##0.00000_);_(* \(#,##0.00000\);_(* \-??_);_(@_)"/>
    <numFmt numFmtId="178" formatCode="0.0"/>
    <numFmt numFmtId="179" formatCode="0.000000%"/>
    <numFmt numFmtId="180" formatCode="0.0000000%"/>
    <numFmt numFmtId="181" formatCode="_-* #,##0.0000000_-;\-* #,##0.0000000_-;_-* &quot;-&quot;???????_-;_-@_-"/>
    <numFmt numFmtId="182" formatCode="_-* #,##0.0000_-;\-* #,##0.0000_-;_-* &quot;-&quot;??_-;_-@_-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4" fillId="0" borderId="0" applyBorder="0" applyProtection="0"/>
    <xf numFmtId="9" fontId="4" fillId="0" borderId="0" applyBorder="0" applyProtection="0"/>
  </cellStyleXfs>
  <cellXfs count="9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/>
    <xf numFmtId="165" fontId="0" fillId="3" borderId="0" xfId="1" applyNumberFormat="1" applyFont="1" applyFill="1" applyBorder="1" applyProtection="1"/>
    <xf numFmtId="10" fontId="0" fillId="0" borderId="0" xfId="2" applyNumberFormat="1" applyFont="1" applyBorder="1" applyProtection="1"/>
    <xf numFmtId="166" fontId="0" fillId="0" borderId="0" xfId="1" applyNumberFormat="1" applyFont="1" applyBorder="1" applyProtection="1"/>
    <xf numFmtId="9" fontId="0" fillId="3" borderId="0" xfId="2" applyFont="1" applyFill="1" applyBorder="1" applyProtection="1"/>
    <xf numFmtId="165" fontId="0" fillId="0" borderId="0" xfId="1" applyNumberFormat="1" applyFont="1" applyBorder="1" applyProtection="1"/>
    <xf numFmtId="10" fontId="0" fillId="3" borderId="0" xfId="2" applyNumberFormat="1" applyFont="1" applyFill="1" applyBorder="1" applyProtection="1"/>
    <xf numFmtId="166" fontId="0" fillId="0" borderId="0" xfId="2" applyNumberFormat="1" applyFont="1" applyBorder="1" applyProtection="1"/>
    <xf numFmtId="165" fontId="0" fillId="2" borderId="1" xfId="0" applyNumberFormat="1" applyFill="1" applyBorder="1"/>
    <xf numFmtId="166" fontId="0" fillId="2" borderId="1" xfId="1" applyNumberFormat="1" applyFont="1" applyFill="1" applyBorder="1" applyProtection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 applyAlignment="1">
      <alignment horizontal="left"/>
    </xf>
    <xf numFmtId="165" fontId="0" fillId="2" borderId="3" xfId="0" applyNumberFormat="1" applyFill="1" applyBorder="1" applyAlignment="1">
      <alignment horizontal="left"/>
    </xf>
    <xf numFmtId="165" fontId="0" fillId="2" borderId="4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1" xfId="0" applyNumberFormat="1" applyFill="1" applyBorder="1"/>
    <xf numFmtId="1" fontId="0" fillId="2" borderId="1" xfId="0" applyNumberFormat="1" applyFill="1" applyBorder="1"/>
    <xf numFmtId="0" fontId="1" fillId="4" borderId="1" xfId="0" applyFont="1" applyFill="1" applyBorder="1"/>
    <xf numFmtId="165" fontId="0" fillId="4" borderId="1" xfId="0" applyNumberFormat="1" applyFill="1" applyBorder="1"/>
    <xf numFmtId="1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5" fontId="0" fillId="2" borderId="1" xfId="1" applyNumberFormat="1" applyFont="1" applyFill="1" applyBorder="1" applyProtection="1"/>
    <xf numFmtId="164" fontId="0" fillId="2" borderId="1" xfId="1" applyFont="1" applyFill="1" applyBorder="1" applyProtection="1"/>
    <xf numFmtId="1" fontId="1" fillId="2" borderId="1" xfId="0" applyNumberFormat="1" applyFont="1" applyFill="1" applyBorder="1"/>
    <xf numFmtId="3" fontId="0" fillId="2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3" fontId="0" fillId="2" borderId="1" xfId="1" applyNumberFormat="1" applyFont="1" applyFill="1" applyBorder="1" applyProtection="1"/>
    <xf numFmtId="3" fontId="1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165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67" fontId="0" fillId="0" borderId="0" xfId="1" applyNumberFormat="1" applyFont="1" applyBorder="1" applyProtection="1"/>
    <xf numFmtId="0" fontId="3" fillId="0" borderId="0" xfId="0" applyFont="1"/>
    <xf numFmtId="168" fontId="0" fillId="0" borderId="0" xfId="0" applyNumberFormat="1"/>
    <xf numFmtId="9" fontId="0" fillId="0" borderId="0" xfId="2" applyFont="1" applyBorder="1" applyProtection="1"/>
    <xf numFmtId="0" fontId="1" fillId="5" borderId="1" xfId="0" applyFont="1" applyFill="1" applyBorder="1"/>
    <xf numFmtId="0" fontId="0" fillId="5" borderId="1" xfId="0" applyFill="1" applyBorder="1"/>
    <xf numFmtId="10" fontId="0" fillId="5" borderId="1" xfId="2" applyNumberFormat="1" applyFont="1" applyFill="1" applyBorder="1" applyProtection="1"/>
    <xf numFmtId="168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165" fontId="0" fillId="5" borderId="1" xfId="1" applyNumberFormat="1" applyFont="1" applyFill="1" applyBorder="1" applyProtection="1"/>
    <xf numFmtId="165" fontId="0" fillId="5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1" applyNumberFormat="1" applyFont="1" applyFill="1" applyBorder="1" applyProtecti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9" fontId="0" fillId="0" borderId="0" xfId="2" applyNumberFormat="1" applyFont="1" applyBorder="1" applyProtection="1"/>
    <xf numFmtId="170" fontId="0" fillId="0" borderId="0" xfId="1" applyNumberFormat="1" applyFont="1" applyBorder="1" applyProtection="1"/>
    <xf numFmtId="170" fontId="0" fillId="2" borderId="1" xfId="1" applyNumberFormat="1" applyFont="1" applyFill="1" applyBorder="1" applyProtection="1"/>
    <xf numFmtId="170" fontId="0" fillId="2" borderId="1" xfId="0" applyNumberFormat="1" applyFill="1" applyBorder="1"/>
    <xf numFmtId="166" fontId="0" fillId="0" borderId="0" xfId="0" applyNumberFormat="1"/>
    <xf numFmtId="0" fontId="0" fillId="0" borderId="6" xfId="0" applyBorder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72" fontId="0" fillId="0" borderId="0" xfId="0" applyNumberFormat="1"/>
    <xf numFmtId="171" fontId="0" fillId="2" borderId="4" xfId="0" applyNumberFormat="1" applyFill="1" applyBorder="1" applyAlignment="1">
      <alignment horizontal="left"/>
    </xf>
    <xf numFmtId="0" fontId="1" fillId="2" borderId="6" xfId="0" applyFont="1" applyFill="1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73" fontId="0" fillId="0" borderId="0" xfId="0" applyNumberFormat="1"/>
    <xf numFmtId="174" fontId="0" fillId="0" borderId="0" xfId="0" applyNumberFormat="1"/>
    <xf numFmtId="166" fontId="0" fillId="7" borderId="1" xfId="0" applyNumberFormat="1" applyFill="1" applyBorder="1"/>
    <xf numFmtId="2" fontId="0" fillId="2" borderId="1" xfId="0" applyNumberFormat="1" applyFill="1" applyBorder="1"/>
    <xf numFmtId="175" fontId="0" fillId="0" borderId="0" xfId="0" applyNumberFormat="1"/>
    <xf numFmtId="43" fontId="0" fillId="0" borderId="0" xfId="0" applyNumberFormat="1"/>
    <xf numFmtId="176" fontId="0" fillId="0" borderId="0" xfId="0" applyNumberFormat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177" fontId="0" fillId="2" borderId="5" xfId="0" applyNumberFormat="1" applyFill="1" applyBorder="1"/>
    <xf numFmtId="9" fontId="4" fillId="0" borderId="0" xfId="2"/>
    <xf numFmtId="178" fontId="0" fillId="0" borderId="0" xfId="0" applyNumberFormat="1"/>
    <xf numFmtId="1" fontId="0" fillId="0" borderId="0" xfId="1" applyNumberFormat="1" applyFont="1" applyBorder="1" applyProtection="1"/>
    <xf numFmtId="1" fontId="0" fillId="0" borderId="0" xfId="0" applyNumberFormat="1"/>
    <xf numFmtId="179" fontId="4" fillId="0" borderId="0" xfId="2" applyNumberFormat="1"/>
    <xf numFmtId="180" fontId="4" fillId="0" borderId="0" xfId="2" applyNumberFormat="1"/>
    <xf numFmtId="166" fontId="0" fillId="8" borderId="0" xfId="0" applyNumberFormat="1" applyFill="1"/>
    <xf numFmtId="173" fontId="0" fillId="8" borderId="0" xfId="0" applyNumberFormat="1" applyFill="1"/>
    <xf numFmtId="182" fontId="0" fillId="0" borderId="0" xfId="0" applyNumberFormat="1"/>
    <xf numFmtId="181" fontId="0" fillId="0" borderId="0" xfId="0" applyNumberFormat="1"/>
    <xf numFmtId="0" fontId="4" fillId="0" borderId="0" xfId="2" applyNumberFormat="1"/>
    <xf numFmtId="2" fontId="0" fillId="0" borderId="0" xfId="1" applyNumberFormat="1" applyFont="1" applyBorder="1" applyProtection="1"/>
    <xf numFmtId="165" fontId="0" fillId="2" borderId="1" xfId="0" applyNumberForma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200" zoomScaleNormal="200" workbookViewId="0">
      <selection activeCell="D9" sqref="D9"/>
    </sheetView>
  </sheetViews>
  <sheetFormatPr baseColWidth="10" defaultColWidth="10.6640625" defaultRowHeight="15" x14ac:dyDescent="0.2"/>
  <cols>
    <col min="1" max="1" width="31.1640625" customWidth="1"/>
    <col min="2" max="2" width="16" customWidth="1"/>
    <col min="3" max="3" width="15.6640625" customWidth="1"/>
    <col min="4" max="4" width="24.83203125" bestFit="1" customWidth="1"/>
    <col min="5" max="5" width="17.1640625" customWidth="1"/>
    <col min="6" max="6" width="15.6640625" customWidth="1"/>
    <col min="8" max="8" width="107.6640625" customWidth="1"/>
  </cols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">
      <c r="A2" s="3" t="s">
        <v>155</v>
      </c>
      <c r="C2" t="s">
        <v>154</v>
      </c>
      <c r="D2" t="s">
        <v>154</v>
      </c>
      <c r="E2" t="s">
        <v>154</v>
      </c>
      <c r="F2" t="s">
        <v>154</v>
      </c>
      <c r="G2" s="4"/>
      <c r="H2" s="5"/>
    </row>
    <row r="3" spans="1:8" x14ac:dyDescent="0.2">
      <c r="A3" s="3" t="s">
        <v>7</v>
      </c>
      <c r="C3" s="6">
        <v>31000</v>
      </c>
      <c r="D3" s="6">
        <v>25000</v>
      </c>
      <c r="E3" s="6"/>
      <c r="F3" s="6"/>
      <c r="G3" s="4" t="s">
        <v>8</v>
      </c>
      <c r="H3" s="5" t="s">
        <v>9</v>
      </c>
    </row>
    <row r="4" spans="1:8" x14ac:dyDescent="0.2">
      <c r="A4" s="3"/>
      <c r="C4" s="7">
        <f>C3*12/$B$10</f>
        <v>0.5535714285714286</v>
      </c>
      <c r="D4" s="7">
        <f>D3*12/$B$10</f>
        <v>0.44642857142857145</v>
      </c>
      <c r="E4" s="7">
        <f>E3*12/$B$10</f>
        <v>0</v>
      </c>
      <c r="F4" s="7">
        <f>F3*12/$B$10</f>
        <v>0</v>
      </c>
      <c r="G4" s="4" t="s">
        <v>8</v>
      </c>
      <c r="H4" s="5" t="s">
        <v>10</v>
      </c>
    </row>
    <row r="5" spans="1:8" x14ac:dyDescent="0.2">
      <c r="A5" t="s">
        <v>108</v>
      </c>
      <c r="C5" s="36">
        <f>C3*12</f>
        <v>372000</v>
      </c>
      <c r="D5" s="36">
        <f t="shared" ref="D5:F5" si="0">D3*12</f>
        <v>300000</v>
      </c>
      <c r="E5" s="36">
        <f t="shared" si="0"/>
        <v>0</v>
      </c>
      <c r="F5" s="36">
        <f t="shared" si="0"/>
        <v>0</v>
      </c>
      <c r="G5" s="4" t="s">
        <v>8</v>
      </c>
      <c r="H5" s="63" t="s">
        <v>110</v>
      </c>
    </row>
    <row r="6" spans="1:8" x14ac:dyDescent="0.2">
      <c r="A6" s="3" t="s">
        <v>22</v>
      </c>
      <c r="B6" s="65">
        <f>SUM(C6:F6)</f>
        <v>56000</v>
      </c>
      <c r="C6" s="65">
        <f>C3*1</f>
        <v>31000</v>
      </c>
      <c r="D6" s="65">
        <v>25000</v>
      </c>
      <c r="E6" s="65">
        <f>E3*0.25</f>
        <v>0</v>
      </c>
      <c r="F6" s="65">
        <f>F3*0.3</f>
        <v>0</v>
      </c>
      <c r="G6" s="4" t="s">
        <v>8</v>
      </c>
      <c r="H6" s="5" t="s">
        <v>115</v>
      </c>
    </row>
    <row r="7" spans="1:8" x14ac:dyDescent="0.2">
      <c r="A7" s="39" t="s">
        <v>125</v>
      </c>
      <c r="B7">
        <f>B6*12</f>
        <v>672000</v>
      </c>
    </row>
    <row r="8" spans="1:8" x14ac:dyDescent="0.2">
      <c r="A8" s="3" t="s">
        <v>18</v>
      </c>
      <c r="C8" s="11">
        <v>1</v>
      </c>
      <c r="D8" s="11">
        <v>1</v>
      </c>
      <c r="E8" s="11">
        <v>0.2</v>
      </c>
      <c r="F8" s="11">
        <v>0.5</v>
      </c>
      <c r="G8" s="4" t="s">
        <v>8</v>
      </c>
      <c r="H8" s="5" t="s">
        <v>19</v>
      </c>
    </row>
    <row r="9" spans="1:8" x14ac:dyDescent="0.2">
      <c r="A9" s="97" t="s">
        <v>153</v>
      </c>
      <c r="C9" s="66">
        <f>1-C8</f>
        <v>0</v>
      </c>
      <c r="D9" s="66">
        <f t="shared" ref="D9:F9" si="1">1-D8</f>
        <v>0</v>
      </c>
      <c r="E9" s="66">
        <f t="shared" si="1"/>
        <v>0.8</v>
      </c>
      <c r="F9" s="66">
        <f t="shared" si="1"/>
        <v>0.5</v>
      </c>
    </row>
    <row r="10" spans="1:8" x14ac:dyDescent="0.2">
      <c r="A10" s="39" t="s">
        <v>113</v>
      </c>
      <c r="B10" s="64">
        <f>12*SUMIF(C2:F2,"Nei",C3:F3)</f>
        <v>672000</v>
      </c>
      <c r="G10" s="4" t="s">
        <v>8</v>
      </c>
      <c r="H10" t="s">
        <v>111</v>
      </c>
    </row>
    <row r="11" spans="1:8" x14ac:dyDescent="0.2">
      <c r="A11" s="3" t="s">
        <v>25</v>
      </c>
      <c r="B11" s="6">
        <v>93634</v>
      </c>
      <c r="G11" s="4" t="s">
        <v>14</v>
      </c>
      <c r="H11" s="5" t="s">
        <v>26</v>
      </c>
    </row>
    <row r="12" spans="1:8" x14ac:dyDescent="0.2">
      <c r="A12" s="39" t="s">
        <v>27</v>
      </c>
      <c r="B12" s="36">
        <f>B11*6</f>
        <v>561804</v>
      </c>
      <c r="G12" s="4" t="s">
        <v>14</v>
      </c>
      <c r="H12" t="s">
        <v>118</v>
      </c>
    </row>
    <row r="13" spans="1:8" x14ac:dyDescent="0.2">
      <c r="A13" s="3" t="s">
        <v>112</v>
      </c>
      <c r="B13" s="94">
        <f>ROUND(B12/260,)</f>
        <v>2161</v>
      </c>
      <c r="G13" s="4" t="s">
        <v>14</v>
      </c>
      <c r="H13" t="s">
        <v>119</v>
      </c>
    </row>
    <row r="14" spans="1:8" x14ac:dyDescent="0.2">
      <c r="A14" s="39" t="s">
        <v>109</v>
      </c>
      <c r="B14" s="64">
        <f>MIN(B10,B12)</f>
        <v>561804</v>
      </c>
      <c r="G14" s="4" t="s">
        <v>8</v>
      </c>
      <c r="H14" t="s">
        <v>151</v>
      </c>
    </row>
    <row r="15" spans="1:8" x14ac:dyDescent="0.2">
      <c r="A15" s="39" t="s">
        <v>112</v>
      </c>
      <c r="B15" s="65">
        <f>ROUND(B14/260,0)</f>
        <v>2161</v>
      </c>
      <c r="G15" s="4" t="s">
        <v>14</v>
      </c>
      <c r="H15" t="s">
        <v>120</v>
      </c>
    </row>
    <row r="17" spans="1:8" x14ac:dyDescent="0.2">
      <c r="A17" s="3" t="s">
        <v>11</v>
      </c>
      <c r="C17" s="8">
        <f>C5/260</f>
        <v>1430.7692307692307</v>
      </c>
      <c r="D17" s="8">
        <f>D5/260</f>
        <v>1153.8461538461538</v>
      </c>
      <c r="E17" s="8">
        <f>E5/260</f>
        <v>0</v>
      </c>
      <c r="F17" s="8">
        <f>F5/260</f>
        <v>0</v>
      </c>
      <c r="G17" s="4" t="s">
        <v>8</v>
      </c>
      <c r="H17" s="5" t="s">
        <v>12</v>
      </c>
    </row>
    <row r="18" spans="1:8" x14ac:dyDescent="0.2">
      <c r="A18" s="3" t="s">
        <v>13</v>
      </c>
      <c r="C18" s="9">
        <v>1</v>
      </c>
      <c r="D18" s="9">
        <v>1</v>
      </c>
      <c r="E18" s="9">
        <v>1</v>
      </c>
      <c r="F18" s="9">
        <v>1</v>
      </c>
      <c r="G18" s="4" t="s">
        <v>14</v>
      </c>
      <c r="H18" s="5" t="s">
        <v>15</v>
      </c>
    </row>
    <row r="19" spans="1:8" x14ac:dyDescent="0.2">
      <c r="A19" s="3" t="s">
        <v>16</v>
      </c>
      <c r="C19" s="94">
        <f>C17*C18</f>
        <v>1430.7692307692307</v>
      </c>
      <c r="D19" s="94">
        <f t="shared" ref="D19:F19" si="2">D17*D18</f>
        <v>1153.8461538461538</v>
      </c>
      <c r="E19" s="94">
        <f t="shared" si="2"/>
        <v>0</v>
      </c>
      <c r="F19" s="85">
        <f t="shared" si="2"/>
        <v>0</v>
      </c>
      <c r="G19" s="4" t="s">
        <v>8</v>
      </c>
      <c r="H19" s="5" t="s">
        <v>152</v>
      </c>
    </row>
    <row r="20" spans="1:8" x14ac:dyDescent="0.2">
      <c r="A20" s="3" t="s">
        <v>114</v>
      </c>
      <c r="C20" s="66">
        <f>C9*C4</f>
        <v>0</v>
      </c>
      <c r="D20" s="66">
        <f t="shared" ref="D20:F20" si="3">D9*D4</f>
        <v>0</v>
      </c>
      <c r="E20" s="66">
        <f t="shared" si="3"/>
        <v>0</v>
      </c>
      <c r="F20" s="66">
        <f t="shared" si="3"/>
        <v>0</v>
      </c>
      <c r="G20" s="4" t="s">
        <v>8</v>
      </c>
      <c r="H20" t="s">
        <v>116</v>
      </c>
    </row>
    <row r="21" spans="1:8" x14ac:dyDescent="0.2">
      <c r="A21" s="3" t="s">
        <v>20</v>
      </c>
      <c r="C21" s="85">
        <f>ROUND(C19*C8,0)</f>
        <v>1431</v>
      </c>
      <c r="D21" s="85">
        <f>ROUND(D19*D8,0)</f>
        <v>1154</v>
      </c>
      <c r="E21" s="85">
        <f>ROUND(E19*E8,0)</f>
        <v>0</v>
      </c>
      <c r="F21" s="85">
        <f>ROUND(F19*F8,0)</f>
        <v>0</v>
      </c>
      <c r="G21" s="4" t="s">
        <v>14</v>
      </c>
      <c r="H21" s="5" t="s">
        <v>144</v>
      </c>
    </row>
    <row r="22" spans="1:8" x14ac:dyDescent="0.2">
      <c r="A22" s="3" t="s">
        <v>141</v>
      </c>
      <c r="C22" s="86">
        <f>ROUND(C6*12/260*C8,0)</f>
        <v>1431</v>
      </c>
      <c r="D22" s="86">
        <f>ROUND(D6*12/260*D8,0)</f>
        <v>1154</v>
      </c>
      <c r="E22" s="86">
        <f>ROUND(E6*12/260*E8,0)</f>
        <v>0</v>
      </c>
      <c r="F22" s="86">
        <f>ROUND(F6*12/260*F8,0)</f>
        <v>0</v>
      </c>
      <c r="G22" s="4" t="s">
        <v>14</v>
      </c>
      <c r="H22" t="s">
        <v>145</v>
      </c>
    </row>
    <row r="23" spans="1:8" x14ac:dyDescent="0.2">
      <c r="A23" s="3" t="s">
        <v>129</v>
      </c>
      <c r="B23" s="65">
        <f>SUM(C21:F21)</f>
        <v>2585</v>
      </c>
      <c r="G23" s="4" t="s">
        <v>8</v>
      </c>
      <c r="H23" t="s">
        <v>128</v>
      </c>
    </row>
    <row r="24" spans="1:8" x14ac:dyDescent="0.2">
      <c r="A24" s="3" t="s">
        <v>125</v>
      </c>
      <c r="B24" s="65">
        <f>B23*260</f>
        <v>672100</v>
      </c>
      <c r="C24" s="66">
        <f>C8*C4</f>
        <v>0.5535714285714286</v>
      </c>
      <c r="D24" s="66">
        <f>D8*D4</f>
        <v>0.44642857142857145</v>
      </c>
      <c r="G24" s="4" t="s">
        <v>8</v>
      </c>
      <c r="H24" t="s">
        <v>130</v>
      </c>
    </row>
    <row r="25" spans="1:8" x14ac:dyDescent="0.2">
      <c r="A25" s="3" t="s">
        <v>142</v>
      </c>
      <c r="B25" s="65">
        <f>SUM(C22:F22)</f>
        <v>2585</v>
      </c>
      <c r="C25" s="62"/>
    </row>
    <row r="26" spans="1:8" x14ac:dyDescent="0.2">
      <c r="A26" s="3" t="s">
        <v>125</v>
      </c>
      <c r="B26" s="65">
        <f>B25*260</f>
        <v>672100</v>
      </c>
      <c r="C26" s="66"/>
    </row>
    <row r="27" spans="1:8" x14ac:dyDescent="0.2">
      <c r="A27" s="3" t="s">
        <v>22</v>
      </c>
      <c r="C27" s="86">
        <f>MIN(C21,C22)</f>
        <v>1431</v>
      </c>
      <c r="D27" s="86">
        <f t="shared" ref="D27:F27" si="4">MIN(D21,D22)</f>
        <v>1154</v>
      </c>
      <c r="E27" s="86">
        <f>MIN(E21,E22)</f>
        <v>0</v>
      </c>
      <c r="F27" s="86">
        <f t="shared" si="4"/>
        <v>0</v>
      </c>
      <c r="G27" s="4" t="s">
        <v>14</v>
      </c>
      <c r="H27" s="5" t="s">
        <v>115</v>
      </c>
    </row>
    <row r="28" spans="1:8" x14ac:dyDescent="0.2">
      <c r="A28" s="3" t="s">
        <v>146</v>
      </c>
      <c r="C28" s="88">
        <f>C27/$B$25</f>
        <v>0.55357833655706001</v>
      </c>
      <c r="D28" s="87">
        <f>D27/$B$25</f>
        <v>0.44642166344294004</v>
      </c>
      <c r="E28" s="88">
        <f>E27/$B$25</f>
        <v>0</v>
      </c>
      <c r="F28" s="83">
        <f>F27/$B$25</f>
        <v>0</v>
      </c>
      <c r="G28" s="4" t="s">
        <v>8</v>
      </c>
      <c r="H28" t="s">
        <v>147</v>
      </c>
    </row>
    <row r="29" spans="1:8" x14ac:dyDescent="0.2">
      <c r="A29" s="3" t="s">
        <v>150</v>
      </c>
      <c r="C29" s="89">
        <f>$B$36*C28</f>
        <v>1196.2827852998066</v>
      </c>
      <c r="D29" s="62">
        <f>$B$36*D28</f>
        <v>964.71721470019338</v>
      </c>
      <c r="E29" s="62">
        <f>$B$36*E28</f>
        <v>0</v>
      </c>
      <c r="F29" s="62">
        <f>$B$36*F28</f>
        <v>0</v>
      </c>
      <c r="H29" t="s">
        <v>149</v>
      </c>
    </row>
    <row r="30" spans="1:8" x14ac:dyDescent="0.2">
      <c r="A30" s="3" t="s">
        <v>122</v>
      </c>
      <c r="B30" s="84">
        <f>SUM(C27:F27)</f>
        <v>2585</v>
      </c>
      <c r="C30" s="93"/>
      <c r="D30" s="79"/>
      <c r="E30" s="79"/>
      <c r="F30" s="79"/>
      <c r="G30" s="4" t="s">
        <v>14</v>
      </c>
      <c r="H30" t="s">
        <v>127</v>
      </c>
    </row>
    <row r="31" spans="1:8" x14ac:dyDescent="0.2">
      <c r="A31" s="3" t="s">
        <v>125</v>
      </c>
      <c r="B31" s="65">
        <f>B30*260</f>
        <v>672100</v>
      </c>
      <c r="C31" s="62"/>
      <c r="D31" s="62"/>
      <c r="E31" s="62"/>
      <c r="F31" s="62"/>
      <c r="G31" s="4" t="s">
        <v>8</v>
      </c>
      <c r="H31" t="s">
        <v>126</v>
      </c>
    </row>
    <row r="32" spans="1:8" x14ac:dyDescent="0.2">
      <c r="A32" s="3" t="s">
        <v>131</v>
      </c>
      <c r="B32" s="62">
        <f>B23-B30</f>
        <v>0</v>
      </c>
      <c r="C32" s="92"/>
      <c r="D32" s="73"/>
      <c r="G32" s="4" t="s">
        <v>8</v>
      </c>
      <c r="H32" t="s">
        <v>132</v>
      </c>
    </row>
    <row r="33" spans="1:8" x14ac:dyDescent="0.2">
      <c r="A33" s="3" t="s">
        <v>125</v>
      </c>
      <c r="B33" s="65">
        <f>B32*260</f>
        <v>0</v>
      </c>
      <c r="C33" s="74"/>
      <c r="D33" s="73"/>
      <c r="G33" s="4" t="s">
        <v>8</v>
      </c>
      <c r="H33" t="s">
        <v>133</v>
      </c>
    </row>
    <row r="34" spans="1:8" x14ac:dyDescent="0.2">
      <c r="A34" s="3" t="s">
        <v>23</v>
      </c>
      <c r="B34" s="12">
        <f>1-MIN(1,SUM(C20:F20))</f>
        <v>1</v>
      </c>
      <c r="C34" s="77"/>
      <c r="E34" s="78"/>
      <c r="F34" s="73"/>
      <c r="G34" s="4" t="s">
        <v>8</v>
      </c>
      <c r="H34" s="5" t="s">
        <v>24</v>
      </c>
    </row>
    <row r="35" spans="1:8" x14ac:dyDescent="0.2">
      <c r="A35" s="3" t="s">
        <v>117</v>
      </c>
      <c r="B35" s="67">
        <f>ROUND(B14*B34/260,)*260</f>
        <v>561860</v>
      </c>
      <c r="C35" s="73"/>
      <c r="D35" s="73"/>
      <c r="E35" s="73"/>
      <c r="G35" s="4" t="s">
        <v>14</v>
      </c>
      <c r="H35" t="s">
        <v>121</v>
      </c>
    </row>
    <row r="36" spans="1:8" x14ac:dyDescent="0.2">
      <c r="A36" s="3" t="s">
        <v>112</v>
      </c>
      <c r="B36" s="90">
        <f>B35/260</f>
        <v>2161</v>
      </c>
      <c r="C36" s="73"/>
      <c r="D36" s="91"/>
      <c r="G36" s="4" t="s">
        <v>14</v>
      </c>
      <c r="H36" t="s">
        <v>143</v>
      </c>
    </row>
    <row r="37" spans="1:8" x14ac:dyDescent="0.2">
      <c r="A37" s="3" t="s">
        <v>123</v>
      </c>
      <c r="B37" s="73">
        <f>B35/MAX(B35,B31)</f>
        <v>0.83597678916827856</v>
      </c>
      <c r="G37" s="4" t="s">
        <v>8</v>
      </c>
      <c r="H37" t="s">
        <v>124</v>
      </c>
    </row>
    <row r="38" spans="1:8" x14ac:dyDescent="0.2">
      <c r="A38" s="1" t="s">
        <v>20</v>
      </c>
      <c r="B38" s="13"/>
      <c r="C38" s="14">
        <f>C21</f>
        <v>1431</v>
      </c>
      <c r="D38" s="14">
        <f>D21</f>
        <v>1154</v>
      </c>
      <c r="E38" s="14">
        <f>E21</f>
        <v>0</v>
      </c>
      <c r="F38" s="14">
        <f>F21</f>
        <v>0</v>
      </c>
      <c r="G38" s="15" t="s">
        <v>14</v>
      </c>
      <c r="H38" s="16" t="s">
        <v>29</v>
      </c>
    </row>
    <row r="39" spans="1:8" x14ac:dyDescent="0.2">
      <c r="A39" s="1" t="s">
        <v>30</v>
      </c>
      <c r="B39" s="13"/>
      <c r="C39" s="14">
        <f>C27</f>
        <v>1431</v>
      </c>
      <c r="D39" s="14">
        <f>D27</f>
        <v>1154</v>
      </c>
      <c r="E39" s="14">
        <f>E27</f>
        <v>0</v>
      </c>
      <c r="F39" s="14">
        <f>F27</f>
        <v>0</v>
      </c>
      <c r="G39" s="15" t="s">
        <v>14</v>
      </c>
      <c r="H39" s="16" t="s">
        <v>31</v>
      </c>
    </row>
    <row r="40" spans="1:8" x14ac:dyDescent="0.2">
      <c r="A40" s="1" t="s">
        <v>32</v>
      </c>
      <c r="B40" s="13"/>
      <c r="C40" s="14">
        <f>C38-C39</f>
        <v>0</v>
      </c>
      <c r="D40" s="14">
        <f>D38-D39</f>
        <v>0</v>
      </c>
      <c r="E40" s="14">
        <f>E38-E39</f>
        <v>0</v>
      </c>
      <c r="F40" s="14">
        <f>F38-F39</f>
        <v>0</v>
      </c>
      <c r="G40" s="15" t="s">
        <v>14</v>
      </c>
      <c r="H40" s="16" t="s">
        <v>135</v>
      </c>
    </row>
    <row r="41" spans="1:8" x14ac:dyDescent="0.2">
      <c r="A41" s="1" t="s">
        <v>33</v>
      </c>
      <c r="B41" s="17" t="str">
        <f>IF(B33&lt;=B35,"Arbeidsgiver og person blir refundert hele beløpet",IF(B31&lt;=B35,"Arbeidsgivere blir refundert hele beløpet; Person blir delvis refundert", "Arbeidsgivere blir delvis refundert"))</f>
        <v>Arbeidsgiver og person blir refundert hele beløpet</v>
      </c>
      <c r="C41" s="17"/>
      <c r="D41" s="17"/>
      <c r="E41" s="17"/>
      <c r="F41" s="17"/>
      <c r="G41" s="15"/>
      <c r="H41" s="16"/>
    </row>
    <row r="42" spans="1:8" x14ac:dyDescent="0.2">
      <c r="A42" s="1"/>
      <c r="B42" s="18"/>
      <c r="C42" s="68"/>
      <c r="D42" s="19"/>
      <c r="E42" s="19"/>
      <c r="F42" s="20"/>
      <c r="G42" s="15"/>
      <c r="H42" s="16"/>
    </row>
    <row r="43" spans="1:8" x14ac:dyDescent="0.2">
      <c r="A43" s="1" t="s">
        <v>34</v>
      </c>
      <c r="B43" s="18"/>
      <c r="C43" s="21">
        <f>C39*$B$37</f>
        <v>1196.2827852998066</v>
      </c>
      <c r="D43" s="21">
        <f>D39*$B$37</f>
        <v>964.71721470019349</v>
      </c>
      <c r="E43" s="21">
        <f>E39*$B$37</f>
        <v>0</v>
      </c>
      <c r="F43" s="21">
        <f>F39*$B$37</f>
        <v>0</v>
      </c>
      <c r="G43" s="15" t="s">
        <v>8</v>
      </c>
      <c r="H43" s="16" t="s">
        <v>34</v>
      </c>
    </row>
    <row r="44" spans="1:8" x14ac:dyDescent="0.2">
      <c r="A44" s="1" t="s">
        <v>35</v>
      </c>
      <c r="B44" s="13"/>
      <c r="C44" s="16">
        <f>FLOOR(C43,1)</f>
        <v>1196</v>
      </c>
      <c r="D44" s="16">
        <f>FLOOR(D43,1)</f>
        <v>964</v>
      </c>
      <c r="E44" s="16">
        <f>FLOOR(E43,1)</f>
        <v>0</v>
      </c>
      <c r="F44" s="16">
        <f>FLOOR(F43,1)</f>
        <v>0</v>
      </c>
      <c r="G44" s="15" t="s">
        <v>14</v>
      </c>
      <c r="H44" s="16" t="s">
        <v>36</v>
      </c>
    </row>
    <row r="45" spans="1:8" x14ac:dyDescent="0.2">
      <c r="A45" s="1" t="s">
        <v>136</v>
      </c>
      <c r="B45" s="13">
        <f>SUM(C44:F44)</f>
        <v>2160</v>
      </c>
      <c r="C45" s="22"/>
      <c r="D45" s="16"/>
      <c r="E45" s="16"/>
      <c r="F45" s="16"/>
      <c r="G45" s="15" t="s">
        <v>14</v>
      </c>
      <c r="H45" s="16" t="s">
        <v>137</v>
      </c>
    </row>
    <row r="46" spans="1:8" x14ac:dyDescent="0.2">
      <c r="A46" s="1" t="s">
        <v>148</v>
      </c>
      <c r="B46" s="82">
        <f>SUM(C43:F43)-B45</f>
        <v>1</v>
      </c>
      <c r="C46" s="80"/>
      <c r="D46" s="80"/>
      <c r="E46" s="80"/>
      <c r="F46" s="80"/>
      <c r="G46" s="81" t="s">
        <v>8</v>
      </c>
      <c r="H46" s="80" t="s">
        <v>43</v>
      </c>
    </row>
    <row r="47" spans="1:8" x14ac:dyDescent="0.2">
      <c r="A47" s="1" t="s">
        <v>42</v>
      </c>
      <c r="B47" s="27">
        <f>ROUND(B46,)</f>
        <v>1</v>
      </c>
      <c r="C47" s="16"/>
      <c r="D47" s="16"/>
      <c r="E47" s="16"/>
      <c r="F47" s="16"/>
      <c r="G47" s="15" t="s">
        <v>14</v>
      </c>
      <c r="H47" s="16" t="s">
        <v>43</v>
      </c>
    </row>
    <row r="48" spans="1:8" x14ac:dyDescent="0.2">
      <c r="A48" s="1" t="s">
        <v>44</v>
      </c>
      <c r="B48" s="13">
        <f>B45+B47</f>
        <v>2161</v>
      </c>
      <c r="C48" s="22"/>
      <c r="D48" s="16"/>
      <c r="E48" s="16"/>
      <c r="F48" s="16"/>
      <c r="G48" s="15" t="s">
        <v>14</v>
      </c>
      <c r="H48" s="16" t="s">
        <v>138</v>
      </c>
    </row>
    <row r="49" spans="1:8" x14ac:dyDescent="0.2">
      <c r="A49" s="1" t="s">
        <v>125</v>
      </c>
      <c r="B49" s="13">
        <f>B48*260</f>
        <v>561860</v>
      </c>
      <c r="C49" s="22"/>
      <c r="D49" s="16"/>
      <c r="E49" s="16"/>
      <c r="F49" s="16"/>
      <c r="G49" s="15" t="s">
        <v>14</v>
      </c>
      <c r="H49" s="16" t="s">
        <v>139</v>
      </c>
    </row>
    <row r="50" spans="1:8" x14ac:dyDescent="0.2">
      <c r="A50" s="1" t="s">
        <v>37</v>
      </c>
      <c r="B50" s="13"/>
      <c r="C50" s="21">
        <f>C43-TRUNC(C43)</f>
        <v>0.28278529980661915</v>
      </c>
      <c r="D50" s="21">
        <f>D43-TRUNC(D43)</f>
        <v>0.71721470019349454</v>
      </c>
      <c r="E50" s="21">
        <f>E43-TRUNC(E43)</f>
        <v>0</v>
      </c>
      <c r="F50" s="21">
        <f>F43-TRUNC(F43)</f>
        <v>0</v>
      </c>
      <c r="G50" s="15" t="s">
        <v>8</v>
      </c>
      <c r="H50" s="16" t="s">
        <v>38</v>
      </c>
    </row>
    <row r="51" spans="1:8" x14ac:dyDescent="0.2">
      <c r="A51" s="1" t="s">
        <v>39</v>
      </c>
      <c r="B51" s="13"/>
      <c r="C51" s="22">
        <f>IF($B$47&gt;0,IF(LARGE($C$50:$F$50,$B$47)&lt;=C$50,1,0), 0)</f>
        <v>0</v>
      </c>
      <c r="D51" s="22">
        <f>IF(($B$47-C51)&gt;0,IF(LARGE($C$50:$F$50,$B$47)&lt;=D$50,1,0), 0)</f>
        <v>1</v>
      </c>
      <c r="E51" s="22">
        <f>IF(($B$47-SUM($C$51:$D$51))&gt;0,IF(LARGE($C$50:$F$50,$B$47)&lt;=E$50,1,0), 0)</f>
        <v>0</v>
      </c>
      <c r="F51" s="22">
        <f>IF(($B$47-SUM($C$51:$D$52))&gt;0,IF(LARGE($C$50:$F$50,$B$47)&lt;=F$50,1,0), 0)</f>
        <v>0</v>
      </c>
      <c r="G51" s="15" t="s">
        <v>14</v>
      </c>
      <c r="H51" s="16" t="s">
        <v>40</v>
      </c>
    </row>
    <row r="52" spans="1:8" x14ac:dyDescent="0.2">
      <c r="A52" s="23" t="s">
        <v>41</v>
      </c>
      <c r="B52" s="24"/>
      <c r="C52" s="25">
        <f>C44+C51</f>
        <v>1196</v>
      </c>
      <c r="D52" s="25">
        <f>D44+D51</f>
        <v>965</v>
      </c>
      <c r="E52" s="25">
        <f>E44+E51</f>
        <v>0</v>
      </c>
      <c r="F52" s="25">
        <f>F44+F51</f>
        <v>0</v>
      </c>
      <c r="G52" s="26" t="s">
        <v>14</v>
      </c>
      <c r="H52" s="23" t="s">
        <v>134</v>
      </c>
    </row>
    <row r="53" spans="1:8" x14ac:dyDescent="0.2">
      <c r="A53" s="1"/>
      <c r="B53" s="76"/>
      <c r="C53" s="21"/>
      <c r="D53" s="21"/>
      <c r="E53" s="21"/>
      <c r="F53" s="21"/>
      <c r="G53" s="15"/>
      <c r="H53" s="16"/>
    </row>
    <row r="54" spans="1:8" x14ac:dyDescent="0.2">
      <c r="A54" s="1" t="s">
        <v>53</v>
      </c>
      <c r="B54" s="30">
        <f>ROUND((B35-B49)/260,)</f>
        <v>0</v>
      </c>
      <c r="C54" s="13"/>
      <c r="D54" s="13"/>
      <c r="E54" s="13"/>
      <c r="F54" s="13"/>
      <c r="G54" s="15" t="s">
        <v>14</v>
      </c>
      <c r="H54" s="16" t="s">
        <v>54</v>
      </c>
    </row>
    <row r="55" spans="1:8" x14ac:dyDescent="0.2">
      <c r="A55" s="69" t="s">
        <v>140</v>
      </c>
      <c r="B55" s="75">
        <f>IF(B32 &gt; 0, MIN(1,B54/B32), 0)</f>
        <v>0</v>
      </c>
      <c r="C55" s="71"/>
      <c r="D55" s="70"/>
      <c r="E55" s="70"/>
      <c r="F55" s="70"/>
      <c r="G55" s="72" t="s">
        <v>8</v>
      </c>
      <c r="H55" s="70"/>
    </row>
    <row r="56" spans="1:8" x14ac:dyDescent="0.2">
      <c r="A56" s="1" t="s">
        <v>45</v>
      </c>
      <c r="B56" s="28"/>
      <c r="C56" s="14">
        <f>C40*$B$55</f>
        <v>0</v>
      </c>
      <c r="D56" s="14">
        <f>D40*$B$55</f>
        <v>0</v>
      </c>
      <c r="E56" s="14">
        <f>E40*$B$55</f>
        <v>0</v>
      </c>
      <c r="F56" s="14">
        <f>F40*$B$55</f>
        <v>0</v>
      </c>
      <c r="G56" s="15" t="s">
        <v>8</v>
      </c>
      <c r="H56" s="16" t="s">
        <v>46</v>
      </c>
    </row>
    <row r="57" spans="1:8" x14ac:dyDescent="0.2">
      <c r="A57" s="1" t="s">
        <v>47</v>
      </c>
      <c r="B57" s="16"/>
      <c r="C57" s="29">
        <f>FLOOR(C56, 1)</f>
        <v>0</v>
      </c>
      <c r="D57" s="29">
        <f>FLOOR(D56, 1)</f>
        <v>0</v>
      </c>
      <c r="E57" s="29">
        <f>FLOOR(E56, 1)</f>
        <v>0</v>
      </c>
      <c r="F57" s="29">
        <f>FLOOR(F56, 1)</f>
        <v>0</v>
      </c>
      <c r="G57" s="15" t="s">
        <v>14</v>
      </c>
      <c r="H57" s="16"/>
    </row>
    <row r="58" spans="1:8" x14ac:dyDescent="0.2">
      <c r="A58" s="1" t="s">
        <v>51</v>
      </c>
      <c r="B58" s="33">
        <f>B54-SUM(C57:F57)</f>
        <v>0</v>
      </c>
      <c r="C58" s="16"/>
      <c r="D58" s="16"/>
      <c r="E58" s="16"/>
      <c r="F58" s="16"/>
      <c r="G58" s="15" t="s">
        <v>14</v>
      </c>
      <c r="H58" s="16" t="s">
        <v>52</v>
      </c>
    </row>
    <row r="59" spans="1:8" x14ac:dyDescent="0.2">
      <c r="A59" s="1" t="s">
        <v>37</v>
      </c>
      <c r="B59" s="30"/>
      <c r="C59" s="21">
        <f>C56-TRUNC(C57)</f>
        <v>0</v>
      </c>
      <c r="D59" s="21">
        <f>D56-TRUNC(D57)</f>
        <v>0</v>
      </c>
      <c r="E59" s="21">
        <f>E56-TRUNC(E57)</f>
        <v>0</v>
      </c>
      <c r="F59" s="21">
        <f>F56-TRUNC(F57)</f>
        <v>0</v>
      </c>
      <c r="G59" s="15" t="s">
        <v>8</v>
      </c>
      <c r="H59" s="16" t="s">
        <v>48</v>
      </c>
    </row>
    <row r="60" spans="1:8" x14ac:dyDescent="0.2">
      <c r="A60" s="1" t="s">
        <v>49</v>
      </c>
      <c r="B60" s="30"/>
      <c r="C60" s="22">
        <f>IF($B$58&gt;0, IF(LARGE($C$59:$F$59,$B$58)&lt;=C$59,1,0), 0)</f>
        <v>0</v>
      </c>
      <c r="D60" s="22">
        <f>IF($B$58&gt;0, IF(LARGE($C$59:$F$59,$B$58)&lt;=D$59,1,0), 0)</f>
        <v>0</v>
      </c>
      <c r="E60" s="22">
        <f>IF($B$58&gt;0, IF(LARGE($C$59:$F$59,$B$58)&lt;=E$59,1,0), 0)</f>
        <v>0</v>
      </c>
      <c r="F60" s="22">
        <f>IF($B$58&gt;0, IF(LARGE($C$59:$F$59,$B$58)&lt;=F$59,1,0), 0)</f>
        <v>0</v>
      </c>
      <c r="G60" s="15" t="s">
        <v>14</v>
      </c>
      <c r="H60" s="16"/>
    </row>
    <row r="61" spans="1:8" x14ac:dyDescent="0.2">
      <c r="A61" s="23" t="s">
        <v>50</v>
      </c>
      <c r="B61" s="31"/>
      <c r="C61" s="25">
        <f>C57+C60</f>
        <v>0</v>
      </c>
      <c r="D61" s="25">
        <f>D57+D60</f>
        <v>0</v>
      </c>
      <c r="E61" s="25">
        <f>E57+E60</f>
        <v>0</v>
      </c>
      <c r="F61" s="25">
        <f>F57+F60</f>
        <v>0</v>
      </c>
      <c r="G61" s="26" t="s">
        <v>14</v>
      </c>
      <c r="H61" s="32"/>
    </row>
    <row r="62" spans="1:8" x14ac:dyDescent="0.2">
      <c r="A62" s="1"/>
      <c r="B62" s="30"/>
      <c r="C62" s="22"/>
      <c r="D62" s="22"/>
      <c r="E62" s="22"/>
      <c r="F62" s="22"/>
      <c r="G62" s="15"/>
      <c r="H62" s="16"/>
    </row>
    <row r="63" spans="1:8" x14ac:dyDescent="0.2">
      <c r="A63" s="1"/>
      <c r="B63" s="30"/>
      <c r="C63" s="16"/>
      <c r="D63" s="16"/>
      <c r="E63" s="16"/>
      <c r="F63" s="16"/>
      <c r="G63" s="15"/>
      <c r="H63" s="16"/>
    </row>
    <row r="64" spans="1:8" x14ac:dyDescent="0.2">
      <c r="A64" s="23" t="s">
        <v>55</v>
      </c>
      <c r="B64" s="34">
        <f>B48+B54</f>
        <v>2161</v>
      </c>
      <c r="C64" s="32"/>
      <c r="D64" s="32"/>
      <c r="E64" s="32"/>
      <c r="F64" s="32"/>
      <c r="G64" s="35"/>
      <c r="H64" s="32"/>
    </row>
  </sheetData>
  <dataValidations count="2">
    <dataValidation type="list" allowBlank="1" showInputMessage="1" showErrorMessage="1" sqref="C2" xr:uid="{F6473A73-E798-8B4E-9BD5-79C536C252F3}">
      <formula1>"Nei, Ja"</formula1>
    </dataValidation>
    <dataValidation type="list" allowBlank="1" showInputMessage="1" showErrorMessage="1" sqref="D2:F2" xr:uid="{9F11E83E-224A-EB44-9967-5889595FBD51}">
      <formula1>"Nei,Ja"</formula1>
    </dataValidation>
  </dataValidation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zoomScale="140" zoomScaleNormal="14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27" customWidth="1"/>
    <col min="2" max="2" width="34.33203125" customWidth="1"/>
    <col min="3" max="3" width="17.33203125" customWidth="1"/>
    <col min="4" max="4" width="18.33203125" customWidth="1"/>
    <col min="5" max="5" width="16.33203125" customWidth="1"/>
    <col min="6" max="6" width="17.33203125" customWidth="1"/>
    <col min="7" max="7" width="15.6640625" customWidth="1"/>
    <col min="8" max="8" width="8.6640625" style="4" customWidth="1"/>
    <col min="9" max="9" width="13.5" customWidth="1"/>
  </cols>
  <sheetData>
    <row r="1" spans="1:9" s="39" customFormat="1" ht="16" x14ac:dyDescent="0.2">
      <c r="A1" s="37" t="s">
        <v>56</v>
      </c>
      <c r="B1" s="37" t="s">
        <v>57</v>
      </c>
      <c r="C1" s="37" t="s">
        <v>58</v>
      </c>
      <c r="D1" s="38" t="s">
        <v>59</v>
      </c>
      <c r="E1" s="38" t="s">
        <v>60</v>
      </c>
      <c r="F1" s="38" t="s">
        <v>61</v>
      </c>
      <c r="G1" s="38" t="s">
        <v>62</v>
      </c>
      <c r="H1" s="38" t="s">
        <v>63</v>
      </c>
    </row>
    <row r="2" spans="1:9" x14ac:dyDescent="0.2">
      <c r="A2" s="39"/>
    </row>
    <row r="3" spans="1:9" x14ac:dyDescent="0.2">
      <c r="A3" s="39" t="s">
        <v>7</v>
      </c>
      <c r="B3" t="s">
        <v>64</v>
      </c>
      <c r="D3" s="6">
        <v>21000</v>
      </c>
      <c r="E3" s="6">
        <v>10000</v>
      </c>
      <c r="F3" s="6">
        <v>31000</v>
      </c>
      <c r="G3" s="6">
        <v>0</v>
      </c>
      <c r="H3" s="4" t="s">
        <v>65</v>
      </c>
    </row>
    <row r="4" spans="1:9" x14ac:dyDescent="0.2">
      <c r="A4" s="39"/>
      <c r="B4" t="s">
        <v>66</v>
      </c>
      <c r="D4" s="7">
        <f>D3/SUM($D$3:$G$3)</f>
        <v>0.33870967741935482</v>
      </c>
      <c r="E4" s="7">
        <f>E3/SUM($D$3:$G$3)</f>
        <v>0.16129032258064516</v>
      </c>
      <c r="F4" s="7">
        <f>F3/SUM($D$3:$G$3)</f>
        <v>0.5</v>
      </c>
      <c r="G4" s="7">
        <f>G3/SUM($D$3:$G$3)</f>
        <v>0</v>
      </c>
      <c r="H4" s="4" t="s">
        <v>65</v>
      </c>
    </row>
    <row r="5" spans="1:9" x14ac:dyDescent="0.2">
      <c r="A5" s="39" t="s">
        <v>11</v>
      </c>
      <c r="B5" t="s">
        <v>67</v>
      </c>
      <c r="D5" s="40">
        <f>D3*12/260</f>
        <v>969.23076923076928</v>
      </c>
      <c r="E5" s="40">
        <f>E3*12/260</f>
        <v>461.53846153846155</v>
      </c>
      <c r="F5" s="40">
        <f>F3*12/260</f>
        <v>1430.7692307692307</v>
      </c>
      <c r="G5" s="40">
        <f>G3*12/260</f>
        <v>0</v>
      </c>
      <c r="H5" s="4" t="s">
        <v>65</v>
      </c>
      <c r="I5" t="s">
        <v>68</v>
      </c>
    </row>
    <row r="6" spans="1:9" x14ac:dyDescent="0.2">
      <c r="A6" s="39" t="s">
        <v>13</v>
      </c>
      <c r="B6" t="s">
        <v>69</v>
      </c>
      <c r="D6" s="9">
        <v>1</v>
      </c>
      <c r="E6" s="9">
        <v>1</v>
      </c>
      <c r="F6" s="9">
        <v>1</v>
      </c>
      <c r="G6" s="9">
        <v>1</v>
      </c>
      <c r="H6" s="4" t="s">
        <v>70</v>
      </c>
    </row>
    <row r="7" spans="1:9" x14ac:dyDescent="0.2">
      <c r="A7" s="39" t="s">
        <v>16</v>
      </c>
      <c r="B7" t="s">
        <v>71</v>
      </c>
      <c r="D7" s="40">
        <f>D5*D6</f>
        <v>969.23076923076928</v>
      </c>
      <c r="E7" s="40">
        <f>E5*E6</f>
        <v>461.53846153846155</v>
      </c>
      <c r="F7" s="40">
        <f>F5*F6</f>
        <v>1430.7692307692307</v>
      </c>
      <c r="G7" s="40">
        <f>G5*G6</f>
        <v>0</v>
      </c>
      <c r="H7" s="4" t="s">
        <v>65</v>
      </c>
      <c r="I7" s="41" t="s">
        <v>72</v>
      </c>
    </row>
    <row r="8" spans="1:9" x14ac:dyDescent="0.2">
      <c r="A8" s="39" t="s">
        <v>17</v>
      </c>
      <c r="B8" t="s">
        <v>73</v>
      </c>
      <c r="D8" s="10">
        <f>MIN(D7,$C$15)</f>
        <v>969.23076923076928</v>
      </c>
      <c r="E8" s="10">
        <f>MIN(E7,$C$15)</f>
        <v>461.53846153846155</v>
      </c>
      <c r="F8" s="10">
        <f>MIN(F7,$C$15)</f>
        <v>1430.7692307692307</v>
      </c>
      <c r="G8" s="10">
        <f>MIN(G7,$C$15)</f>
        <v>0</v>
      </c>
      <c r="H8" s="4" t="s">
        <v>70</v>
      </c>
      <c r="I8" t="s">
        <v>68</v>
      </c>
    </row>
    <row r="9" spans="1:9" x14ac:dyDescent="0.2">
      <c r="A9" s="39" t="s">
        <v>18</v>
      </c>
      <c r="B9" t="s">
        <v>74</v>
      </c>
      <c r="D9" s="11">
        <v>0.5</v>
      </c>
      <c r="E9" s="11">
        <v>0.8</v>
      </c>
      <c r="F9" s="11">
        <v>0.2</v>
      </c>
      <c r="G9" s="11">
        <v>1</v>
      </c>
      <c r="H9" s="4" t="s">
        <v>65</v>
      </c>
    </row>
    <row r="10" spans="1:9" x14ac:dyDescent="0.2">
      <c r="A10" s="39" t="s">
        <v>20</v>
      </c>
      <c r="B10" t="s">
        <v>75</v>
      </c>
      <c r="D10" s="40">
        <f>D7*D9</f>
        <v>484.61538461538464</v>
      </c>
      <c r="E10" s="40">
        <f>E7*E9</f>
        <v>369.23076923076928</v>
      </c>
      <c r="F10" s="40">
        <f>F7*F9</f>
        <v>286.15384615384613</v>
      </c>
      <c r="G10" s="40">
        <f>G7*G9</f>
        <v>0</v>
      </c>
      <c r="H10" s="4" t="s">
        <v>65</v>
      </c>
    </row>
    <row r="11" spans="1:9" x14ac:dyDescent="0.2">
      <c r="A11" s="39" t="s">
        <v>21</v>
      </c>
      <c r="B11" t="s">
        <v>76</v>
      </c>
      <c r="D11" s="9">
        <v>1</v>
      </c>
      <c r="E11" s="9">
        <v>0.9</v>
      </c>
      <c r="F11" s="9">
        <v>0.25</v>
      </c>
      <c r="G11" s="9">
        <v>1</v>
      </c>
      <c r="H11" s="4" t="s">
        <v>65</v>
      </c>
    </row>
    <row r="12" spans="1:9" x14ac:dyDescent="0.2">
      <c r="A12" s="39" t="s">
        <v>22</v>
      </c>
      <c r="B12" t="s">
        <v>77</v>
      </c>
      <c r="D12" s="42">
        <f>D10*D11</f>
        <v>484.61538461538464</v>
      </c>
      <c r="E12" s="42">
        <f>E10*E11</f>
        <v>332.30769230769238</v>
      </c>
      <c r="F12" s="42">
        <f>F10*F11</f>
        <v>71.538461538461533</v>
      </c>
      <c r="G12" s="42">
        <f>G10*G11</f>
        <v>0</v>
      </c>
      <c r="H12" s="4" t="s">
        <v>65</v>
      </c>
    </row>
    <row r="13" spans="1:9" x14ac:dyDescent="0.2">
      <c r="A13" s="39" t="s">
        <v>23</v>
      </c>
      <c r="B13" t="s">
        <v>78</v>
      </c>
      <c r="C13" s="43">
        <f>ROUND(SUM(D10:G10)/SUM(D7:G7),2)</f>
        <v>0.4</v>
      </c>
      <c r="H13" s="4" t="s">
        <v>70</v>
      </c>
    </row>
    <row r="14" spans="1:9" x14ac:dyDescent="0.2">
      <c r="A14" s="39" t="s">
        <v>25</v>
      </c>
      <c r="B14" t="s">
        <v>79</v>
      </c>
      <c r="C14" s="6">
        <v>93634</v>
      </c>
      <c r="H14" s="4" t="s">
        <v>70</v>
      </c>
    </row>
    <row r="15" spans="1:9" x14ac:dyDescent="0.2">
      <c r="A15" s="39" t="s">
        <v>27</v>
      </c>
      <c r="B15" t="s">
        <v>80</v>
      </c>
      <c r="C15" s="10">
        <f>ROUND(6*C14/260, 0)</f>
        <v>2161</v>
      </c>
      <c r="H15" s="4" t="s">
        <v>70</v>
      </c>
      <c r="I15" t="s">
        <v>68</v>
      </c>
    </row>
    <row r="16" spans="1:9" x14ac:dyDescent="0.2">
      <c r="A16" s="39" t="s">
        <v>28</v>
      </c>
      <c r="B16" t="s">
        <v>81</v>
      </c>
      <c r="C16" s="10">
        <f>ROUND(C13*C15,0)</f>
        <v>864</v>
      </c>
      <c r="H16" s="4" t="s">
        <v>70</v>
      </c>
    </row>
    <row r="17" spans="1:9" hidden="1" x14ac:dyDescent="0.2">
      <c r="A17" s="44" t="s">
        <v>82</v>
      </c>
      <c r="B17" s="45" t="s">
        <v>83</v>
      </c>
      <c r="C17" s="46">
        <f>MIN(1, C16/SUM(D10:G10))</f>
        <v>0.75789473684210529</v>
      </c>
      <c r="D17" s="47"/>
      <c r="E17" s="47"/>
      <c r="F17" s="47"/>
      <c r="G17" s="47"/>
      <c r="H17" s="48" t="s">
        <v>65</v>
      </c>
    </row>
    <row r="18" spans="1:9" hidden="1" x14ac:dyDescent="0.2">
      <c r="A18" s="44" t="s">
        <v>84</v>
      </c>
      <c r="B18" s="45" t="s">
        <v>85</v>
      </c>
      <c r="C18" s="45"/>
      <c r="D18" s="47">
        <f>D10*ScalingFactor</f>
        <v>367.28744939271257</v>
      </c>
      <c r="E18" s="47">
        <f>E10*ScalingFactor</f>
        <v>279.83805668016197</v>
      </c>
      <c r="F18" s="47">
        <f>F10*ScalingFactor</f>
        <v>216.87449392712549</v>
      </c>
      <c r="G18" s="47">
        <f>G10*ScalingFactor</f>
        <v>0</v>
      </c>
      <c r="H18" s="48" t="s">
        <v>65</v>
      </c>
    </row>
    <row r="19" spans="1:9" hidden="1" x14ac:dyDescent="0.2">
      <c r="A19" s="44" t="s">
        <v>86</v>
      </c>
      <c r="B19" s="45" t="s">
        <v>87</v>
      </c>
      <c r="C19" s="45"/>
      <c r="D19" s="47">
        <f>MIN(D18,D12)</f>
        <v>367.28744939271257</v>
      </c>
      <c r="E19" s="47">
        <f>MIN(E18,E12)</f>
        <v>279.83805668016197</v>
      </c>
      <c r="F19" s="47">
        <f>MIN(F18,F12)</f>
        <v>71.538461538461533</v>
      </c>
      <c r="G19" s="47">
        <f>MIN(G18,G12)</f>
        <v>0</v>
      </c>
      <c r="H19" s="48" t="s">
        <v>65</v>
      </c>
    </row>
    <row r="20" spans="1:9" hidden="1" x14ac:dyDescent="0.2">
      <c r="A20" s="44"/>
      <c r="B20" s="45" t="s">
        <v>88</v>
      </c>
      <c r="C20" s="45"/>
      <c r="D20" s="47">
        <f>D19-D12</f>
        <v>-117.32793522267207</v>
      </c>
      <c r="E20" s="47">
        <f>E19-E12</f>
        <v>-52.469635627530408</v>
      </c>
      <c r="F20" s="47">
        <f>F19-F12</f>
        <v>0</v>
      </c>
      <c r="G20" s="47">
        <f>G19-G12</f>
        <v>0</v>
      </c>
      <c r="H20" s="48" t="s">
        <v>65</v>
      </c>
    </row>
    <row r="21" spans="1:9" hidden="1" x14ac:dyDescent="0.2">
      <c r="A21" s="44"/>
      <c r="B21" s="45" t="s">
        <v>89</v>
      </c>
      <c r="C21" s="45"/>
      <c r="D21" s="46">
        <f>IF(D20 &lt; 0, D4, 0)</f>
        <v>0.33870967741935482</v>
      </c>
      <c r="E21" s="46">
        <f>IF(E20 &lt; 0, E4, 0)</f>
        <v>0.16129032258064516</v>
      </c>
      <c r="F21" s="46">
        <f>IF(F20 &lt; 0, F4, 0)</f>
        <v>0</v>
      </c>
      <c r="G21" s="47"/>
      <c r="H21" s="48" t="s">
        <v>65</v>
      </c>
    </row>
    <row r="22" spans="1:9" hidden="1" x14ac:dyDescent="0.2">
      <c r="A22" s="44" t="s">
        <v>90</v>
      </c>
      <c r="B22" s="45" t="s">
        <v>91</v>
      </c>
      <c r="C22" s="45"/>
      <c r="D22" s="46">
        <f>IF(SUM(ShortfallIncomeRatioArb)=0,0,D21/SUM(ShortfallIncomeRatioArb))</f>
        <v>0.67741935483870963</v>
      </c>
      <c r="E22" s="46">
        <f>IF(SUM(ShortfallIncomeRatioArb)=0,0,E21/SUM(ShortfallIncomeRatioArb))</f>
        <v>0.32258064516129031</v>
      </c>
      <c r="F22" s="46">
        <f>IF(SUM(ShortfallIncomeRatioArb)=0,0,F21/SUM(ShortfallIncomeRatioArb))</f>
        <v>0</v>
      </c>
      <c r="G22" s="46">
        <f>IF(SUM(ShortfallIncomeRatioArb)=0,0,G21/SUM(ShortfallIncomeRatioArb))</f>
        <v>0</v>
      </c>
      <c r="H22" s="48" t="s">
        <v>65</v>
      </c>
    </row>
    <row r="23" spans="1:9" hidden="1" x14ac:dyDescent="0.2">
      <c r="A23" s="44"/>
      <c r="B23" s="45" t="s">
        <v>92</v>
      </c>
      <c r="C23" s="45"/>
      <c r="D23" s="47">
        <f>D18-D19</f>
        <v>0</v>
      </c>
      <c r="E23" s="47">
        <f>E18-E19</f>
        <v>0</v>
      </c>
      <c r="F23" s="47">
        <f>F18-F19</f>
        <v>145.33603238866397</v>
      </c>
      <c r="G23" s="47">
        <f>G18-G19</f>
        <v>0</v>
      </c>
      <c r="H23" s="48" t="s">
        <v>65</v>
      </c>
    </row>
    <row r="24" spans="1:9" hidden="1" x14ac:dyDescent="0.2">
      <c r="A24" s="44" t="s">
        <v>93</v>
      </c>
      <c r="B24" s="45" t="s">
        <v>94</v>
      </c>
      <c r="C24" s="45"/>
      <c r="D24" s="47">
        <f>MIN(-D20,IF(SUM($D$20:$G$20)&gt;=0, 0, SUM($D$23:$G$23)*D22))</f>
        <v>98.453441295546554</v>
      </c>
      <c r="E24" s="47">
        <f>MIN(-E20,IF(SUM($D$20:$G$20)&gt;=0, 0, SUM($D$23:$G$23)*E22))</f>
        <v>46.882591093117405</v>
      </c>
      <c r="F24" s="47">
        <f>MIN(-F20,IF(SUM($D$20:$G$20)&gt;=0, 0, SUM($D$23:$G$23)*F22))</f>
        <v>0</v>
      </c>
      <c r="G24" s="47">
        <f>MIN(-G20,IF(SUM($D$20:$G$20)&gt;=0, 0, SUM($D$23:$G$23)*G22))</f>
        <v>0</v>
      </c>
      <c r="H24" s="48" t="s">
        <v>65</v>
      </c>
    </row>
    <row r="25" spans="1:9" hidden="1" x14ac:dyDescent="0.2">
      <c r="A25" s="44"/>
      <c r="B25" s="45" t="s">
        <v>95</v>
      </c>
      <c r="C25" s="45"/>
      <c r="D25" s="46">
        <f>IF(D23 = 0, 0, D4)</f>
        <v>0</v>
      </c>
      <c r="E25" s="46">
        <f>IF(E23 = 0, 0, E4)</f>
        <v>0</v>
      </c>
      <c r="F25" s="46">
        <f>IF(F23 = 0, 0, F4)</f>
        <v>0.5</v>
      </c>
      <c r="G25" s="46">
        <f>IF(G23 = 0, 0, G4)</f>
        <v>0</v>
      </c>
      <c r="H25" s="48" t="s">
        <v>65</v>
      </c>
    </row>
    <row r="26" spans="1:9" hidden="1" x14ac:dyDescent="0.2">
      <c r="A26" s="44"/>
      <c r="B26" s="45" t="s">
        <v>96</v>
      </c>
      <c r="C26" s="45"/>
      <c r="D26" s="46">
        <f>IF(SUM(ShortfallIncomeRatioPerson)= 0, 0, D25/SUM(ShortfallIncomeRatioPerson))</f>
        <v>0</v>
      </c>
      <c r="E26" s="46">
        <f>IF(SUM(ShortfallIncomeRatioPerson)= 0, 0, E25/SUM(ShortfallIncomeRatioPerson))</f>
        <v>0</v>
      </c>
      <c r="F26" s="46">
        <f>IF(SUM(ShortfallIncomeRatioPerson)= 0, 0, F25/SUM(ShortfallIncomeRatioPerson))</f>
        <v>1</v>
      </c>
      <c r="G26" s="46">
        <f>IF(SUM(ShortfallIncomeRatioPerson)= 0, 0, G25/SUM(ShortfallIncomeRatioPerson))</f>
        <v>0</v>
      </c>
      <c r="H26" s="48" t="s">
        <v>65</v>
      </c>
    </row>
    <row r="27" spans="1:9" hidden="1" x14ac:dyDescent="0.2">
      <c r="A27" s="44" t="s">
        <v>35</v>
      </c>
      <c r="B27" s="45" t="s">
        <v>97</v>
      </c>
      <c r="C27" s="45"/>
      <c r="D27" s="49">
        <f>ROUND(D19+D24,0)</f>
        <v>466</v>
      </c>
      <c r="E27" s="49">
        <f>ROUND(E19+E24,0)</f>
        <v>327</v>
      </c>
      <c r="F27" s="49">
        <f>ROUND(F19+F24,0)</f>
        <v>72</v>
      </c>
      <c r="G27" s="47">
        <f>ROUND(G19+G24,0)</f>
        <v>0</v>
      </c>
      <c r="H27" s="48" t="s">
        <v>70</v>
      </c>
    </row>
    <row r="28" spans="1:9" hidden="1" x14ac:dyDescent="0.2">
      <c r="A28" s="44" t="s">
        <v>53</v>
      </c>
      <c r="B28" s="45" t="s">
        <v>98</v>
      </c>
      <c r="C28" s="45"/>
      <c r="D28" s="45">
        <f>ROUND(D23-SUM(AdjustmentArb)*D26,0)</f>
        <v>0</v>
      </c>
      <c r="E28" s="45">
        <f>ROUND(E23-SUM(AdjustmentArb)*E26,0)</f>
        <v>0</v>
      </c>
      <c r="F28" s="45">
        <f>ROUND(F23-SUM(AdjustmentArb)*F26,0)</f>
        <v>0</v>
      </c>
      <c r="G28" s="45">
        <f>ROUND(G23-SUM(AdjustmentArb)*G26,0)</f>
        <v>0</v>
      </c>
      <c r="H28" s="48" t="s">
        <v>70</v>
      </c>
    </row>
    <row r="29" spans="1:9" hidden="1" x14ac:dyDescent="0.2">
      <c r="A29" s="44"/>
      <c r="B29" s="45" t="s">
        <v>99</v>
      </c>
      <c r="C29" s="50">
        <f>C16-SUM(D27:G28)</f>
        <v>-1</v>
      </c>
      <c r="D29" s="45"/>
      <c r="E29" s="45"/>
      <c r="F29" s="45"/>
      <c r="G29" s="45"/>
      <c r="H29" s="48" t="s">
        <v>70</v>
      </c>
    </row>
    <row r="30" spans="1:9" x14ac:dyDescent="0.2">
      <c r="A30" s="39"/>
      <c r="C30" s="36"/>
    </row>
    <row r="31" spans="1:9" x14ac:dyDescent="0.2">
      <c r="A31" s="1" t="s">
        <v>20</v>
      </c>
      <c r="B31" s="16" t="s">
        <v>75</v>
      </c>
      <c r="C31" s="13"/>
      <c r="D31" s="27">
        <f>ROUND(D10,0)</f>
        <v>485</v>
      </c>
      <c r="E31" s="27">
        <f>ROUND(E10,0)</f>
        <v>369</v>
      </c>
      <c r="F31" s="27">
        <f>ROUND(F10,0)</f>
        <v>286</v>
      </c>
      <c r="G31" s="27">
        <f>ROUND(G10,0)</f>
        <v>0</v>
      </c>
      <c r="H31" s="15" t="s">
        <v>70</v>
      </c>
      <c r="I31" s="41" t="s">
        <v>72</v>
      </c>
    </row>
    <row r="32" spans="1:9" x14ac:dyDescent="0.2">
      <c r="A32" s="1" t="s">
        <v>30</v>
      </c>
      <c r="B32" s="16" t="s">
        <v>100</v>
      </c>
      <c r="C32" s="13"/>
      <c r="D32" s="27">
        <f>ROUND(D12,0)</f>
        <v>485</v>
      </c>
      <c r="E32" s="27">
        <f>ROUND(E12,0)</f>
        <v>332</v>
      </c>
      <c r="F32" s="27">
        <f>ROUND(F12,0)</f>
        <v>72</v>
      </c>
      <c r="G32" s="27">
        <f>ROUND(G12,0)</f>
        <v>0</v>
      </c>
      <c r="H32" s="15" t="s">
        <v>70</v>
      </c>
    </row>
    <row r="33" spans="1:8" x14ac:dyDescent="0.2">
      <c r="A33" s="1" t="s">
        <v>32</v>
      </c>
      <c r="B33" s="16" t="s">
        <v>101</v>
      </c>
      <c r="C33" s="13"/>
      <c r="D33" s="27">
        <f>D31-D32</f>
        <v>0</v>
      </c>
      <c r="E33" s="27">
        <f>E31-E32</f>
        <v>37</v>
      </c>
      <c r="F33" s="27">
        <f>F31-F32</f>
        <v>214</v>
      </c>
      <c r="G33" s="27">
        <f>G31-G32</f>
        <v>0</v>
      </c>
      <c r="H33" s="15" t="s">
        <v>70</v>
      </c>
    </row>
    <row r="34" spans="1:8" x14ac:dyDescent="0.2">
      <c r="A34" s="1"/>
      <c r="B34" s="51" t="s">
        <v>102</v>
      </c>
      <c r="C34" s="95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5"/>
      <c r="E34" s="95"/>
      <c r="F34" s="95"/>
      <c r="G34" s="95"/>
      <c r="H34" s="15"/>
    </row>
    <row r="35" spans="1:8" x14ac:dyDescent="0.2">
      <c r="A35" s="1" t="s">
        <v>35</v>
      </c>
      <c r="B35" s="16" t="s">
        <v>97</v>
      </c>
      <c r="C35" s="13"/>
      <c r="D35" s="16">
        <f>IF(SUM($D$32:$G$33)&lt;=MAKSBELOP,D32,IF(SUM($D$32:$G$32)&lt;=MAKSBELOP,D32,ROUND(D32*MAKSBELOP/SUM($D$32:$G$32),0)))</f>
        <v>471</v>
      </c>
      <c r="E35" s="16">
        <f>IF(SUM($D$32:$G$33)&lt;=MAKSBELOP,E32,IF(SUM($D$32:$G$32)&lt;=MAKSBELOP,E32,ROUND(E32*MAKSBELOP/SUM($D$32:$G$32),0)))</f>
        <v>323</v>
      </c>
      <c r="F35" s="16">
        <f>IF(SUM($D$32:$G$33)&lt;=MAKSBELOP,F32,IF(SUM($D$32:$G$32)&lt;=MAKSBELOP,F32,ROUND(F32*MAKSBELOP/SUM($D$32:$G$32),0)))</f>
        <v>70</v>
      </c>
      <c r="G35" s="16">
        <f>IF(SUM($D$32:$G$33)&lt;=MAKSBELOP,G32,IF(SUM($D$32:$G$32)&lt;=MAKSBELOP,G32,ROUND(G32*MAKSBELOP/SUM($D$32:$G$32),0)))</f>
        <v>0</v>
      </c>
      <c r="H35" s="15" t="s">
        <v>70</v>
      </c>
    </row>
    <row r="36" spans="1:8" hidden="1" x14ac:dyDescent="0.2">
      <c r="A36" s="1"/>
      <c r="B36" s="16" t="s">
        <v>103</v>
      </c>
      <c r="C36" s="13">
        <f>MAKSBELOP-SUM(D35:G35)</f>
        <v>0</v>
      </c>
      <c r="D36" s="16"/>
      <c r="E36" s="16"/>
      <c r="F36" s="16"/>
      <c r="G36" s="16"/>
      <c r="H36" s="15"/>
    </row>
    <row r="37" spans="1:8" x14ac:dyDescent="0.2">
      <c r="A37" s="1" t="s">
        <v>53</v>
      </c>
      <c r="B37" s="16" t="s">
        <v>98</v>
      </c>
      <c r="C37" s="16"/>
      <c r="D37" s="16">
        <f>IF(SUM($D$32:$G$33)&lt;=MAKSBELOP,D33,IF(SUM($D$32:$G$32)&lt;=MAKSBELOP,ROUND(PersonRemainder*D33/SUM($D$33:$G$33),0),0))</f>
        <v>0</v>
      </c>
      <c r="E37" s="16">
        <f>IF(SUM($D$32:$G$33)&lt;=MAKSBELOP,E33,IF(SUM($D$32:$G$32)&lt;=MAKSBELOP,ROUND(PersonRemainder*E33/SUM($D$33:$G$33),0),0))</f>
        <v>0</v>
      </c>
      <c r="F37" s="16">
        <f>IF(SUM($D$32:$G$33)&lt;=MAKSBELOP,F33,IF(SUM($D$32:$G$32)&lt;=MAKSBELOP,ROUND(PersonRemainder*F33/SUM($D$33:$G$33),0),0))</f>
        <v>0</v>
      </c>
      <c r="G37" s="16">
        <f>IF(SUM($D$32:$G$33)&lt;=MAKSBELOP,G33,IF(SUM($D$32:$G$32)&lt;=MAKSBELOP,ROUND(PersonRemainder*G33/SUM($D$33:$G$33),0),0))</f>
        <v>0</v>
      </c>
      <c r="H37" s="15" t="s">
        <v>70</v>
      </c>
    </row>
    <row r="38" spans="1:8" x14ac:dyDescent="0.2">
      <c r="A38" s="1"/>
      <c r="B38" s="16" t="s">
        <v>99</v>
      </c>
      <c r="C38" s="13">
        <f>MAKSBELOP-SUM(D35:G37)</f>
        <v>0</v>
      </c>
      <c r="D38" s="16"/>
      <c r="E38" s="16"/>
      <c r="F38" s="16"/>
      <c r="G38" s="16"/>
      <c r="H38" s="15" t="s">
        <v>70</v>
      </c>
    </row>
    <row r="40" spans="1:8" x14ac:dyDescent="0.2">
      <c r="A40" s="52" t="s">
        <v>104</v>
      </c>
      <c r="B40" s="53"/>
      <c r="C40" s="54"/>
      <c r="D40" s="55"/>
    </row>
    <row r="41" spans="1:8" x14ac:dyDescent="0.2">
      <c r="A41" s="96" t="s">
        <v>105</v>
      </c>
      <c r="B41" s="96"/>
      <c r="C41" s="96"/>
      <c r="D41" s="96"/>
    </row>
    <row r="43" spans="1:8" x14ac:dyDescent="0.2">
      <c r="A43" s="56" t="s">
        <v>106</v>
      </c>
      <c r="B43" s="57">
        <v>1430.76</v>
      </c>
    </row>
    <row r="44" spans="1:8" x14ac:dyDescent="0.2">
      <c r="A44" s="56" t="s">
        <v>107</v>
      </c>
      <c r="B44" s="57">
        <f>ROUND(B43*260/12,0)</f>
        <v>31000</v>
      </c>
    </row>
  </sheetData>
  <mergeCells count="2">
    <mergeCell ref="C34:G34"/>
    <mergeCell ref="A41:D4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228" zoomScaleNormal="228" workbookViewId="0">
      <selection activeCell="C16" sqref="C16"/>
    </sheetView>
  </sheetViews>
  <sheetFormatPr baseColWidth="10" defaultColWidth="10.6640625" defaultRowHeight="15" x14ac:dyDescent="0.2"/>
  <cols>
    <col min="1" max="1" width="35.6640625" customWidth="1"/>
    <col min="2" max="2" width="42.1640625" customWidth="1"/>
    <col min="3" max="3" width="21.1640625" customWidth="1"/>
    <col min="4" max="4" width="16.33203125" customWidth="1"/>
    <col min="5" max="5" width="15.6640625" customWidth="1"/>
    <col min="6" max="6" width="17.1640625" customWidth="1"/>
    <col min="7" max="7" width="12.6640625" customWidth="1"/>
    <col min="8" max="8" width="8.33203125" customWidth="1"/>
  </cols>
  <sheetData>
    <row r="1" spans="1:8" ht="16" x14ac:dyDescent="0.2">
      <c r="A1" s="37" t="s">
        <v>56</v>
      </c>
      <c r="B1" s="37" t="s">
        <v>57</v>
      </c>
      <c r="C1" s="37" t="s">
        <v>58</v>
      </c>
      <c r="D1" s="38" t="s">
        <v>59</v>
      </c>
      <c r="E1" s="38" t="s">
        <v>60</v>
      </c>
      <c r="F1" s="38" t="s">
        <v>61</v>
      </c>
      <c r="G1" s="38" t="s">
        <v>62</v>
      </c>
      <c r="H1" s="38" t="s">
        <v>63</v>
      </c>
    </row>
    <row r="2" spans="1:8" x14ac:dyDescent="0.2">
      <c r="A2" s="39"/>
      <c r="H2" s="4"/>
    </row>
    <row r="3" spans="1:8" x14ac:dyDescent="0.2">
      <c r="A3" s="39" t="s">
        <v>7</v>
      </c>
      <c r="B3" t="s">
        <v>64</v>
      </c>
      <c r="D3" s="6">
        <v>21000</v>
      </c>
      <c r="E3" s="6">
        <v>10000</v>
      </c>
      <c r="F3" s="6">
        <v>31000</v>
      </c>
      <c r="G3" s="6">
        <v>0</v>
      </c>
      <c r="H3" s="4" t="s">
        <v>65</v>
      </c>
    </row>
    <row r="4" spans="1:8" x14ac:dyDescent="0.2">
      <c r="A4" s="39"/>
      <c r="B4" t="s">
        <v>66</v>
      </c>
      <c r="D4" s="7">
        <f>D3/SUM($D$3:$G$3)</f>
        <v>0.33870967741935482</v>
      </c>
      <c r="E4" s="7">
        <f>E3/SUM($D$3:$G$3)</f>
        <v>0.16129032258064516</v>
      </c>
      <c r="F4" s="7">
        <f>F3/SUM($D$3:$G$3)</f>
        <v>0.5</v>
      </c>
      <c r="G4" s="7">
        <f>G3/SUM($D$3:$G$3)</f>
        <v>0</v>
      </c>
      <c r="H4" s="4" t="s">
        <v>65</v>
      </c>
    </row>
    <row r="5" spans="1:8" x14ac:dyDescent="0.2">
      <c r="A5" s="39" t="s">
        <v>11</v>
      </c>
      <c r="B5" t="s">
        <v>67</v>
      </c>
      <c r="D5" s="40">
        <f>D3*12/260</f>
        <v>969.23076923076928</v>
      </c>
      <c r="E5" s="40">
        <f>E3*12/260</f>
        <v>461.53846153846155</v>
      </c>
      <c r="F5" s="40">
        <f>F3*12/260</f>
        <v>1430.7692307692307</v>
      </c>
      <c r="G5" s="40">
        <f>G3*12/260</f>
        <v>0</v>
      </c>
      <c r="H5" s="4" t="s">
        <v>65</v>
      </c>
    </row>
    <row r="6" spans="1:8" x14ac:dyDescent="0.2">
      <c r="A6" s="39" t="s">
        <v>13</v>
      </c>
      <c r="B6" t="s">
        <v>69</v>
      </c>
      <c r="D6" s="9">
        <v>1</v>
      </c>
      <c r="E6" s="9">
        <v>1</v>
      </c>
      <c r="F6" s="9">
        <v>1</v>
      </c>
      <c r="G6" s="9">
        <v>1</v>
      </c>
      <c r="H6" s="4" t="s">
        <v>70</v>
      </c>
    </row>
    <row r="7" spans="1:8" x14ac:dyDescent="0.2">
      <c r="A7" s="39" t="s">
        <v>16</v>
      </c>
      <c r="B7" t="s">
        <v>71</v>
      </c>
      <c r="D7" s="40">
        <f>D5*D6</f>
        <v>969.23076923076928</v>
      </c>
      <c r="E7" s="40">
        <f>E5*E6</f>
        <v>461.53846153846155</v>
      </c>
      <c r="F7" s="40">
        <f>F5*F6</f>
        <v>1430.7692307692307</v>
      </c>
      <c r="G7" s="40">
        <f>G5*G6</f>
        <v>0</v>
      </c>
      <c r="H7" s="4" t="s">
        <v>65</v>
      </c>
    </row>
    <row r="8" spans="1:8" x14ac:dyDescent="0.2">
      <c r="A8" s="39" t="s">
        <v>17</v>
      </c>
      <c r="B8" t="s">
        <v>73</v>
      </c>
      <c r="D8" s="10">
        <f>MIN(D7,$C$15)</f>
        <v>969.23076923076928</v>
      </c>
      <c r="E8" s="10">
        <f>MIN(E7,$C$15)</f>
        <v>461.53846153846155</v>
      </c>
      <c r="F8" s="10">
        <f>MIN(F7,$C$15)</f>
        <v>1430.7692307692307</v>
      </c>
      <c r="G8" s="10">
        <f>MIN(G7,$C$15)</f>
        <v>0</v>
      </c>
      <c r="H8" s="4" t="s">
        <v>70</v>
      </c>
    </row>
    <row r="9" spans="1:8" x14ac:dyDescent="0.2">
      <c r="A9" s="39" t="s">
        <v>18</v>
      </c>
      <c r="B9" t="s">
        <v>74</v>
      </c>
      <c r="D9" s="11">
        <v>0.5</v>
      </c>
      <c r="E9" s="11">
        <v>0.8</v>
      </c>
      <c r="F9" s="11">
        <v>0.2</v>
      </c>
      <c r="G9" s="11">
        <v>1</v>
      </c>
      <c r="H9" s="4" t="s">
        <v>65</v>
      </c>
    </row>
    <row r="10" spans="1:8" x14ac:dyDescent="0.2">
      <c r="A10" s="39" t="s">
        <v>20</v>
      </c>
      <c r="B10" t="s">
        <v>75</v>
      </c>
      <c r="D10" s="40">
        <f>D7*D9</f>
        <v>484.61538461538464</v>
      </c>
      <c r="E10" s="40">
        <f>E7*E9</f>
        <v>369.23076923076928</v>
      </c>
      <c r="F10" s="40">
        <f>F7*F9</f>
        <v>286.15384615384613</v>
      </c>
      <c r="G10" s="40">
        <f>G7*G9</f>
        <v>0</v>
      </c>
      <c r="H10" s="4" t="s">
        <v>65</v>
      </c>
    </row>
    <row r="11" spans="1:8" x14ac:dyDescent="0.2">
      <c r="A11" s="39" t="s">
        <v>21</v>
      </c>
      <c r="B11" t="s">
        <v>76</v>
      </c>
      <c r="D11" s="9">
        <v>1</v>
      </c>
      <c r="E11" s="9">
        <v>0.9</v>
      </c>
      <c r="F11" s="9">
        <v>0.25</v>
      </c>
      <c r="G11" s="9">
        <v>1</v>
      </c>
      <c r="H11" s="4" t="s">
        <v>65</v>
      </c>
    </row>
    <row r="12" spans="1:8" x14ac:dyDescent="0.2">
      <c r="A12" s="39" t="s">
        <v>22</v>
      </c>
      <c r="B12" t="s">
        <v>77</v>
      </c>
      <c r="D12" s="42">
        <f>D10*D11</f>
        <v>484.61538461538464</v>
      </c>
      <c r="E12" s="42">
        <f>E10*E11</f>
        <v>332.30769230769238</v>
      </c>
      <c r="F12" s="42">
        <f>F10*F11</f>
        <v>71.538461538461533</v>
      </c>
      <c r="G12" s="42">
        <f>G10*G11</f>
        <v>0</v>
      </c>
      <c r="H12" s="4" t="s">
        <v>65</v>
      </c>
    </row>
    <row r="13" spans="1:8" x14ac:dyDescent="0.2">
      <c r="A13" s="39" t="s">
        <v>23</v>
      </c>
      <c r="B13" t="s">
        <v>78</v>
      </c>
      <c r="C13" s="58">
        <f>SUM(D10:G10)/SUM(D7:G7)</f>
        <v>0.39838709677419348</v>
      </c>
      <c r="H13" s="4" t="s">
        <v>70</v>
      </c>
    </row>
    <row r="14" spans="1:8" x14ac:dyDescent="0.2">
      <c r="A14" s="39" t="s">
        <v>25</v>
      </c>
      <c r="B14" t="s">
        <v>79</v>
      </c>
      <c r="C14" s="6">
        <v>101351</v>
      </c>
      <c r="H14" s="4" t="s">
        <v>70</v>
      </c>
    </row>
    <row r="15" spans="1:8" x14ac:dyDescent="0.2">
      <c r="A15" s="39" t="s">
        <v>27</v>
      </c>
      <c r="B15" t="s">
        <v>80</v>
      </c>
      <c r="C15" s="59">
        <f>6*C14/260</f>
        <v>2338.8692307692309</v>
      </c>
      <c r="H15" s="4" t="s">
        <v>70</v>
      </c>
    </row>
    <row r="16" spans="1:8" x14ac:dyDescent="0.2">
      <c r="A16" s="39" t="s">
        <v>28</v>
      </c>
      <c r="B16" t="s">
        <v>81</v>
      </c>
      <c r="C16" s="59">
        <f>C13*C15</f>
        <v>931.77532258064502</v>
      </c>
      <c r="H16" s="4" t="s">
        <v>70</v>
      </c>
    </row>
    <row r="17" spans="1:8" hidden="1" x14ac:dyDescent="0.2">
      <c r="A17" s="44" t="s">
        <v>82</v>
      </c>
      <c r="B17" s="45" t="s">
        <v>83</v>
      </c>
      <c r="C17" s="46">
        <f>MIN(1, C16/SUM(D10:G10))</f>
        <v>0.81734677419354829</v>
      </c>
      <c r="D17" s="47"/>
      <c r="E17" s="47"/>
      <c r="F17" s="47"/>
      <c r="G17" s="47"/>
      <c r="H17" s="48" t="s">
        <v>65</v>
      </c>
    </row>
    <row r="18" spans="1:8" hidden="1" x14ac:dyDescent="0.2">
      <c r="A18" s="44" t="s">
        <v>84</v>
      </c>
      <c r="B18" s="45" t="s">
        <v>85</v>
      </c>
      <c r="C18" s="45"/>
      <c r="D18" s="47">
        <f>D10*ScalingFactor</f>
        <v>367.28744939271257</v>
      </c>
      <c r="E18" s="47">
        <f>E10*ScalingFactor</f>
        <v>279.83805668016197</v>
      </c>
      <c r="F18" s="47">
        <f>F10*ScalingFactor</f>
        <v>216.87449392712549</v>
      </c>
      <c r="G18" s="47">
        <f>G10*ScalingFactor</f>
        <v>0</v>
      </c>
      <c r="H18" s="48" t="s">
        <v>65</v>
      </c>
    </row>
    <row r="19" spans="1:8" hidden="1" x14ac:dyDescent="0.2">
      <c r="A19" s="44" t="s">
        <v>86</v>
      </c>
      <c r="B19" s="45" t="s">
        <v>87</v>
      </c>
      <c r="C19" s="45"/>
      <c r="D19" s="47">
        <f>MIN(D18,D12)</f>
        <v>367.28744939271257</v>
      </c>
      <c r="E19" s="47">
        <f>MIN(E18,E12)</f>
        <v>279.83805668016197</v>
      </c>
      <c r="F19" s="47">
        <f>MIN(F18,F12)</f>
        <v>71.538461538461533</v>
      </c>
      <c r="G19" s="47">
        <f>MIN(G18,G12)</f>
        <v>0</v>
      </c>
      <c r="H19" s="48" t="s">
        <v>65</v>
      </c>
    </row>
    <row r="20" spans="1:8" hidden="1" x14ac:dyDescent="0.2">
      <c r="A20" s="44"/>
      <c r="B20" s="45" t="s">
        <v>88</v>
      </c>
      <c r="C20" s="45"/>
      <c r="D20" s="47">
        <f>D19-D12</f>
        <v>-117.32793522267207</v>
      </c>
      <c r="E20" s="47">
        <f>E19-E12</f>
        <v>-52.469635627530408</v>
      </c>
      <c r="F20" s="47">
        <f>F19-F12</f>
        <v>0</v>
      </c>
      <c r="G20" s="47">
        <f>G19-G12</f>
        <v>0</v>
      </c>
      <c r="H20" s="48" t="s">
        <v>65</v>
      </c>
    </row>
    <row r="21" spans="1:8" hidden="1" x14ac:dyDescent="0.2">
      <c r="A21" s="44"/>
      <c r="B21" s="45" t="s">
        <v>89</v>
      </c>
      <c r="C21" s="45"/>
      <c r="D21" s="46">
        <f>IF(D20 &lt; 0, D4, 0)</f>
        <v>0.33870967741935482</v>
      </c>
      <c r="E21" s="46">
        <f>IF(E20 &lt; 0, E4, 0)</f>
        <v>0.16129032258064516</v>
      </c>
      <c r="F21" s="46">
        <f>IF(F20 &lt; 0, F4, 0)</f>
        <v>0</v>
      </c>
      <c r="G21" s="47"/>
      <c r="H21" s="48" t="s">
        <v>65</v>
      </c>
    </row>
    <row r="22" spans="1:8" hidden="1" x14ac:dyDescent="0.2">
      <c r="A22" s="44" t="s">
        <v>90</v>
      </c>
      <c r="B22" s="45" t="s">
        <v>91</v>
      </c>
      <c r="C22" s="45"/>
      <c r="D22" s="46">
        <f>IF(SUM(ShortfallIncomeRatioArb)=0,0,D21/SUM(ShortfallIncomeRatioArb))</f>
        <v>0.67741935483870963</v>
      </c>
      <c r="E22" s="46">
        <f>IF(SUM(ShortfallIncomeRatioArb)=0,0,E21/SUM(ShortfallIncomeRatioArb))</f>
        <v>0.32258064516129031</v>
      </c>
      <c r="F22" s="46">
        <f>IF(SUM(ShortfallIncomeRatioArb)=0,0,F21/SUM(ShortfallIncomeRatioArb))</f>
        <v>0</v>
      </c>
      <c r="G22" s="46">
        <f>IF(SUM(ShortfallIncomeRatioArb)=0,0,G21/SUM(ShortfallIncomeRatioArb))</f>
        <v>0</v>
      </c>
      <c r="H22" s="48" t="s">
        <v>65</v>
      </c>
    </row>
    <row r="23" spans="1:8" hidden="1" x14ac:dyDescent="0.2">
      <c r="A23" s="44"/>
      <c r="B23" s="45" t="s">
        <v>92</v>
      </c>
      <c r="C23" s="45"/>
      <c r="D23" s="47">
        <f>D18-D19</f>
        <v>0</v>
      </c>
      <c r="E23" s="47">
        <f>E18-E19</f>
        <v>0</v>
      </c>
      <c r="F23" s="47">
        <f>F18-F19</f>
        <v>145.33603238866397</v>
      </c>
      <c r="G23" s="47">
        <f>G18-G19</f>
        <v>0</v>
      </c>
      <c r="H23" s="48" t="s">
        <v>65</v>
      </c>
    </row>
    <row r="24" spans="1:8" hidden="1" x14ac:dyDescent="0.2">
      <c r="A24" s="44" t="s">
        <v>93</v>
      </c>
      <c r="B24" s="45" t="s">
        <v>94</v>
      </c>
      <c r="C24" s="45"/>
      <c r="D24" s="47">
        <f>MIN(-D20,IF(SUM($D$20:$G$20)&gt;=0, 0, SUM($D$23:$G$23)*D22))</f>
        <v>98.453441295546554</v>
      </c>
      <c r="E24" s="47">
        <f>MIN(-E20,IF(SUM($D$20:$G$20)&gt;=0, 0, SUM($D$23:$G$23)*E22))</f>
        <v>46.882591093117405</v>
      </c>
      <c r="F24" s="47">
        <f>MIN(-F20,IF(SUM($D$20:$G$20)&gt;=0, 0, SUM($D$23:$G$23)*F22))</f>
        <v>0</v>
      </c>
      <c r="G24" s="47">
        <f>MIN(-G20,IF(SUM($D$20:$G$20)&gt;=0, 0, SUM($D$23:$G$23)*G22))</f>
        <v>0</v>
      </c>
      <c r="H24" s="48" t="s">
        <v>65</v>
      </c>
    </row>
    <row r="25" spans="1:8" hidden="1" x14ac:dyDescent="0.2">
      <c r="A25" s="44"/>
      <c r="B25" s="45" t="s">
        <v>95</v>
      </c>
      <c r="C25" s="45"/>
      <c r="D25" s="46">
        <f>IF(D23 = 0, 0, D4)</f>
        <v>0</v>
      </c>
      <c r="E25" s="46">
        <f>IF(E23 = 0, 0, E4)</f>
        <v>0</v>
      </c>
      <c r="F25" s="46">
        <f>IF(F23 = 0, 0, F4)</f>
        <v>0.5</v>
      </c>
      <c r="G25" s="46">
        <f>IF(G23 = 0, 0, G4)</f>
        <v>0</v>
      </c>
      <c r="H25" s="48" t="s">
        <v>65</v>
      </c>
    </row>
    <row r="26" spans="1:8" hidden="1" x14ac:dyDescent="0.2">
      <c r="A26" s="44"/>
      <c r="B26" s="45" t="s">
        <v>96</v>
      </c>
      <c r="C26" s="45"/>
      <c r="D26" s="46">
        <f>IF(SUM(ShortfallIncomeRatioPerson)= 0, 0, D25/SUM(ShortfallIncomeRatioPerson))</f>
        <v>0</v>
      </c>
      <c r="E26" s="46">
        <f>IF(SUM(ShortfallIncomeRatioPerson)= 0, 0, E25/SUM(ShortfallIncomeRatioPerson))</f>
        <v>0</v>
      </c>
      <c r="F26" s="46">
        <f>IF(SUM(ShortfallIncomeRatioPerson)= 0, 0, F25/SUM(ShortfallIncomeRatioPerson))</f>
        <v>1</v>
      </c>
      <c r="G26" s="46">
        <f>IF(SUM(ShortfallIncomeRatioPerson)= 0, 0, G25/SUM(ShortfallIncomeRatioPerson))</f>
        <v>0</v>
      </c>
      <c r="H26" s="48" t="s">
        <v>65</v>
      </c>
    </row>
    <row r="27" spans="1:8" hidden="1" x14ac:dyDescent="0.2">
      <c r="A27" s="44" t="s">
        <v>35</v>
      </c>
      <c r="B27" s="45" t="s">
        <v>97</v>
      </c>
      <c r="C27" s="45"/>
      <c r="D27" s="49">
        <f>ROUND(D19+D24,0)</f>
        <v>466</v>
      </c>
      <c r="E27" s="49">
        <f>ROUND(E19+E24,0)</f>
        <v>327</v>
      </c>
      <c r="F27" s="49">
        <f>ROUND(F19+F24,0)</f>
        <v>72</v>
      </c>
      <c r="G27" s="47">
        <f>ROUND(G19+G24,0)</f>
        <v>0</v>
      </c>
      <c r="H27" s="48" t="s">
        <v>70</v>
      </c>
    </row>
    <row r="28" spans="1:8" hidden="1" x14ac:dyDescent="0.2">
      <c r="A28" s="44" t="s">
        <v>53</v>
      </c>
      <c r="B28" s="45" t="s">
        <v>98</v>
      </c>
      <c r="C28" s="45"/>
      <c r="D28" s="45">
        <f>ROUND(D23-SUM(AdjustmentArb)*D26,0)</f>
        <v>0</v>
      </c>
      <c r="E28" s="45">
        <f>ROUND(E23-SUM(AdjustmentArb)*E26,0)</f>
        <v>0</v>
      </c>
      <c r="F28" s="45">
        <f>ROUND(F23-SUM(AdjustmentArb)*F26,0)</f>
        <v>0</v>
      </c>
      <c r="G28" s="45">
        <f>ROUND(G23-SUM(AdjustmentArb)*G26,0)</f>
        <v>0</v>
      </c>
      <c r="H28" s="48" t="s">
        <v>70</v>
      </c>
    </row>
    <row r="29" spans="1:8" hidden="1" x14ac:dyDescent="0.2">
      <c r="A29" s="44"/>
      <c r="B29" s="45" t="s">
        <v>99</v>
      </c>
      <c r="C29" s="50">
        <f>C16-SUM(D27:G28)</f>
        <v>66.775322580645025</v>
      </c>
      <c r="D29" s="45"/>
      <c r="E29" s="45"/>
      <c r="F29" s="45"/>
      <c r="G29" s="45"/>
      <c r="H29" s="48" t="s">
        <v>70</v>
      </c>
    </row>
    <row r="30" spans="1:8" x14ac:dyDescent="0.2">
      <c r="A30" s="39"/>
      <c r="C30" s="36"/>
      <c r="H30" s="4"/>
    </row>
    <row r="31" spans="1:8" x14ac:dyDescent="0.2">
      <c r="A31" s="1" t="s">
        <v>20</v>
      </c>
      <c r="B31" s="16" t="s">
        <v>75</v>
      </c>
      <c r="C31" s="13"/>
      <c r="D31" s="60">
        <f>D10</f>
        <v>484.61538461538464</v>
      </c>
      <c r="E31" s="60">
        <f>E10</f>
        <v>369.23076923076928</v>
      </c>
      <c r="F31" s="60">
        <f>F10</f>
        <v>286.15384615384613</v>
      </c>
      <c r="G31" s="27">
        <f>ROUND(G10,0)</f>
        <v>0</v>
      </c>
      <c r="H31" s="15" t="s">
        <v>70</v>
      </c>
    </row>
    <row r="32" spans="1:8" x14ac:dyDescent="0.2">
      <c r="A32" s="1" t="s">
        <v>30</v>
      </c>
      <c r="B32" s="16" t="s">
        <v>100</v>
      </c>
      <c r="C32" s="13"/>
      <c r="D32" s="60">
        <f>D12</f>
        <v>484.61538461538464</v>
      </c>
      <c r="E32" s="60">
        <f>E12</f>
        <v>332.30769230769238</v>
      </c>
      <c r="F32" s="60">
        <f>F12</f>
        <v>71.538461538461533</v>
      </c>
      <c r="G32" s="27">
        <f>ROUND(G12,0)</f>
        <v>0</v>
      </c>
      <c r="H32" s="15" t="s">
        <v>70</v>
      </c>
    </row>
    <row r="33" spans="1:8" x14ac:dyDescent="0.2">
      <c r="A33" s="1" t="s">
        <v>32</v>
      </c>
      <c r="B33" s="16" t="s">
        <v>101</v>
      </c>
      <c r="C33" s="13"/>
      <c r="D33" s="60">
        <f>D31-D32</f>
        <v>0</v>
      </c>
      <c r="E33" s="60">
        <f>E31-E32</f>
        <v>36.923076923076906</v>
      </c>
      <c r="F33" s="60">
        <f>F31-F32</f>
        <v>214.61538461538458</v>
      </c>
      <c r="G33" s="27">
        <f>G31-G32</f>
        <v>0</v>
      </c>
      <c r="H33" s="15" t="s">
        <v>70</v>
      </c>
    </row>
    <row r="34" spans="1:8" x14ac:dyDescent="0.2">
      <c r="A34" s="1"/>
      <c r="B34" s="51" t="s">
        <v>102</v>
      </c>
      <c r="C34" s="95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5"/>
      <c r="E34" s="95"/>
      <c r="F34" s="95"/>
      <c r="G34" s="95"/>
      <c r="H34" s="15"/>
    </row>
    <row r="35" spans="1:8" x14ac:dyDescent="0.2">
      <c r="A35" s="1" t="s">
        <v>35</v>
      </c>
      <c r="B35" s="16" t="s">
        <v>97</v>
      </c>
      <c r="C35" s="13"/>
      <c r="D35" s="16">
        <f>IF(SUM($D$32:$G$33)&lt;=MAKSBELOP2,ROUND(D32,0),IF(SUM($D$32:$G$32)&lt;=MAKSBELOP2,ROUND(D32,0),ROUND(D32*MAKSBELOP2/SUM($D$32:$G$32),0)))</f>
        <v>485</v>
      </c>
      <c r="E35" s="16">
        <f>IF(SUM($D$32:$G$33)&lt;=MAKSBELOP2,ROUND(E32,0),IF(SUM($D$32:$G$32)&lt;=MAKSBELOP2,ROUND(E32,0),ROUND(E32*MAKSBELOP2/SUM($D$32:$G$32),0)))</f>
        <v>332</v>
      </c>
      <c r="F35" s="16">
        <f>IF(SUM($D$32:$G$33)&lt;=MAKSBELOP2,ROUND(F32,0),IF(SUM($D$32:$G$32)&lt;=MAKSBELOP2,ROUND(F32,0),ROUND(F32*MAKSBELOP2/SUM($D$32:$G$32),0)))</f>
        <v>72</v>
      </c>
      <c r="G35" s="16">
        <f>IF(SUM($D$32:$G$33)&lt;=MAKSBELOP,G32,IF(SUM($D$32:$G$32)&lt;=MAKSBELOP,G32,ROUND(G32*MAKSBELOP/SUM($D$32:$G$32),0)))</f>
        <v>0</v>
      </c>
      <c r="H35" s="15" t="s">
        <v>70</v>
      </c>
    </row>
    <row r="36" spans="1:8" x14ac:dyDescent="0.2">
      <c r="A36" s="1"/>
      <c r="B36" s="16" t="s">
        <v>103</v>
      </c>
      <c r="C36" s="61">
        <f>MAKSBELOP2-SUM(D35:G35)</f>
        <v>42.775322580645025</v>
      </c>
      <c r="D36" s="16"/>
      <c r="E36" s="16"/>
      <c r="F36" s="16"/>
      <c r="G36" s="16"/>
      <c r="H36" s="15"/>
    </row>
    <row r="37" spans="1:8" x14ac:dyDescent="0.2">
      <c r="A37" s="1" t="s">
        <v>53</v>
      </c>
      <c r="B37" s="16" t="s">
        <v>98</v>
      </c>
      <c r="C37" s="16"/>
      <c r="D37" s="22">
        <f>IF(SUM($D$32:$G$33)&lt;=MAKSBELOP2,ROUND(D33,0),IF(SUM($D$32:$G$32)&lt;=MAKSBELOP2,ROUND(PersonRemainder2*D33/SUM($D$33:$G$33),0),0))</f>
        <v>0</v>
      </c>
      <c r="E37" s="22">
        <f>IF(SUM($D$32:$G$33)&lt;=MAKSBELOP2,ROUND(E33,0),IF(SUM($D$32:$G$32)&lt;=MAKSBELOP2,ROUND(PersonRemainder2*E33/SUM($D$33:$G$33),0),0))</f>
        <v>6</v>
      </c>
      <c r="F37" s="22">
        <f>IF(SUM($D$32:$G$33)&lt;=MAKSBELOP2,ROUND(F33,0),IF(SUM($D$32:$G$32)&lt;=MAKSBELOP2,ROUND(PersonRemainder2*F33/SUM($D$33:$G$33),0),0))</f>
        <v>36</v>
      </c>
      <c r="G37" s="16">
        <f>IF(SUM($D$32:$G$33)&lt;=MAKSBELOP,G33,IF(SUM($D$32:$G$32)&lt;=MAKSBELOP,ROUND(PersonRemainder*G33/SUM($D$33:$G$33),0),0))</f>
        <v>0</v>
      </c>
      <c r="H37" s="15" t="s">
        <v>70</v>
      </c>
    </row>
    <row r="38" spans="1:8" x14ac:dyDescent="0.2">
      <c r="A38" s="1"/>
      <c r="B38" s="16" t="s">
        <v>99</v>
      </c>
      <c r="C38" s="61">
        <f>MAKSBELOP2-SUM(D35:G37)</f>
        <v>0.77532258064502457</v>
      </c>
      <c r="D38" s="16"/>
      <c r="E38" s="16"/>
      <c r="F38" s="16"/>
      <c r="G38" s="16"/>
      <c r="H38" s="15" t="s">
        <v>70</v>
      </c>
    </row>
  </sheetData>
  <mergeCells count="1">
    <mergeCell ref="C34:G3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Flere arbeidsgivere, ny </vt:lpstr>
      <vt:lpstr>Flere arbeidsgivere, gammel</vt:lpstr>
      <vt:lpstr>Flere arbeidsgivere, eldre</vt:lpstr>
      <vt:lpstr>AdjustmentArb</vt:lpstr>
      <vt:lpstr>MAKSBELOP</vt:lpstr>
      <vt:lpstr>MAKSBELOP2</vt:lpstr>
      <vt:lpstr>PersonRemainder</vt:lpstr>
      <vt:lpstr>PersonRemainder2</vt:lpstr>
      <vt:lpstr>ScalingFactor</vt:lpstr>
      <vt:lpstr>ShortfallIncomeRatioArb</vt:lpstr>
      <vt:lpstr>ShortfallIncomeRatioPerson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George</dc:creator>
  <dc:description/>
  <cp:lastModifiedBy>Steinsland, David</cp:lastModifiedBy>
  <cp:revision>1</cp:revision>
  <dcterms:created xsi:type="dcterms:W3CDTF">2020-05-27T23:24:05Z</dcterms:created>
  <dcterms:modified xsi:type="dcterms:W3CDTF">2023-11-14T12:01:36Z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2023-11-14T11:43:35Z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ffc76a0b-7b50-462a-b9e5-23d04e2fc036</vt:lpwstr>
  </property>
  <property fmtid="{D5CDD505-2E9C-101B-9397-08002B2CF9AE}" pid="8" name="MSIP_Label_9396317e-03ca-4ddd-bc6f-adf29e7f1a41_ContentBits">
    <vt:lpwstr>0</vt:lpwstr>
  </property>
</Properties>
</file>