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C181A854-8498-814C-85F5-F53B923251CC}" xr6:coauthVersionLast="47" xr6:coauthVersionMax="47" xr10:uidLastSave="{00000000-0000-0000-0000-000000000000}"/>
  <bookViews>
    <workbookView xWindow="8200" yWindow="5940" windowWidth="52940" windowHeight="3274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'!#REF!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0" i="1" l="1"/>
  <c r="E50" i="1"/>
  <c r="D50" i="1"/>
  <c r="C50" i="1"/>
  <c r="C51" i="1" s="1"/>
  <c r="D6" i="1"/>
  <c r="F21" i="1"/>
  <c r="C21" i="1"/>
  <c r="F18" i="1"/>
  <c r="C18" i="1"/>
  <c r="C20" i="1" s="1"/>
  <c r="D36" i="1"/>
  <c r="E6" i="1"/>
  <c r="E21" i="1" s="1"/>
  <c r="D21" i="1"/>
  <c r="C4" i="1"/>
  <c r="C19" i="1" s="1"/>
  <c r="D4" i="1"/>
  <c r="C6" i="1"/>
  <c r="C5" i="1"/>
  <c r="C16" i="1" s="1"/>
  <c r="F6" i="1"/>
  <c r="B11" i="1"/>
  <c r="B12" i="1" s="1"/>
  <c r="C37" i="1" l="1"/>
  <c r="B24" i="1"/>
  <c r="B7" i="1"/>
  <c r="C26" i="1" l="1"/>
  <c r="C27" i="1" s="1"/>
  <c r="B25" i="1"/>
  <c r="D5" i="1"/>
  <c r="D16" i="1" s="1"/>
  <c r="E5" i="1"/>
  <c r="E16" i="1" s="1"/>
  <c r="F5" i="1"/>
  <c r="F16" i="1" s="1"/>
  <c r="F20" i="1" s="1"/>
  <c r="F26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F4" i="1"/>
  <c r="F19" i="1" s="1"/>
  <c r="E18" i="1" l="1"/>
  <c r="E20" i="1" s="1"/>
  <c r="E26" i="1" s="1"/>
  <c r="E27" i="1" s="1"/>
  <c r="E30" i="1" s="1"/>
  <c r="D18" i="1"/>
  <c r="D20" i="1" s="1"/>
  <c r="D26" i="1" s="1"/>
  <c r="C38" i="1"/>
  <c r="C29" i="1"/>
  <c r="C30" i="1"/>
  <c r="C39" i="1"/>
  <c r="B9" i="1"/>
  <c r="B13" i="1" s="1"/>
  <c r="D8" i="2"/>
  <c r="D10" i="2"/>
  <c r="E8" i="2"/>
  <c r="E10" i="2"/>
  <c r="G31" i="2"/>
  <c r="G33" i="2" s="1"/>
  <c r="G12" i="2"/>
  <c r="G32" i="2" s="1"/>
  <c r="F27" i="1"/>
  <c r="F30" i="1" s="1"/>
  <c r="D8" i="3"/>
  <c r="D10" i="3"/>
  <c r="E8" i="3"/>
  <c r="E10" i="3"/>
  <c r="G12" i="3"/>
  <c r="G32" i="3" s="1"/>
  <c r="G33" i="3" s="1"/>
  <c r="F8" i="2"/>
  <c r="G8" i="2"/>
  <c r="F8" i="3"/>
  <c r="F10" i="2"/>
  <c r="F10" i="3"/>
  <c r="D19" i="1"/>
  <c r="E4" i="1"/>
  <c r="E19" i="1" s="1"/>
  <c r="D27" i="1" l="1"/>
  <c r="D30" i="1" s="1"/>
  <c r="D33" i="1" s="1"/>
  <c r="B29" i="1"/>
  <c r="B14" i="1"/>
  <c r="B33" i="1"/>
  <c r="B34" i="1" s="1"/>
  <c r="B22" i="1"/>
  <c r="F31" i="3"/>
  <c r="F12" i="3"/>
  <c r="F32" i="3" s="1"/>
  <c r="D31" i="3"/>
  <c r="C13" i="3"/>
  <c r="C16" i="3" s="1"/>
  <c r="D12" i="3"/>
  <c r="D32" i="3" s="1"/>
  <c r="F37" i="1"/>
  <c r="F38" i="1"/>
  <c r="E37" i="1"/>
  <c r="E38" i="1"/>
  <c r="F31" i="2"/>
  <c r="F12" i="2"/>
  <c r="F32" i="2" s="1"/>
  <c r="D37" i="1"/>
  <c r="D38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35" i="1" l="1"/>
  <c r="B31" i="1"/>
  <c r="B23" i="1"/>
  <c r="D39" i="1"/>
  <c r="C17" i="2"/>
  <c r="D35" i="2"/>
  <c r="F33" i="2"/>
  <c r="E39" i="1"/>
  <c r="E33" i="3"/>
  <c r="F39" i="1"/>
  <c r="C17" i="3"/>
  <c r="E33" i="2"/>
  <c r="F35" i="2" s="1"/>
  <c r="D33" i="3"/>
  <c r="E35" i="3" s="1"/>
  <c r="F33" i="3"/>
  <c r="D34" i="1" l="1"/>
  <c r="E28" i="1"/>
  <c r="D31" i="1"/>
  <c r="C28" i="1"/>
  <c r="C32" i="1" s="1"/>
  <c r="F28" i="1"/>
  <c r="D28" i="1"/>
  <c r="B32" i="1"/>
  <c r="B40" i="1" s="1"/>
  <c r="B30" i="1"/>
  <c r="B36" i="1" s="1"/>
  <c r="E42" i="1" s="1"/>
  <c r="F35" i="3"/>
  <c r="G35" i="2"/>
  <c r="G18" i="3"/>
  <c r="G18" i="2"/>
  <c r="F18" i="3"/>
  <c r="D18" i="3"/>
  <c r="E18" i="2"/>
  <c r="E18" i="3"/>
  <c r="D18" i="2"/>
  <c r="F18" i="2"/>
  <c r="C34" i="2"/>
  <c r="C34" i="3"/>
  <c r="G35" i="3"/>
  <c r="E37" i="2"/>
  <c r="G37" i="3"/>
  <c r="D37" i="2"/>
  <c r="F37" i="2"/>
  <c r="C36" i="2"/>
  <c r="D35" i="3"/>
  <c r="G37" i="2"/>
  <c r="E35" i="2"/>
  <c r="C38" i="2" s="1"/>
  <c r="C42" i="1" l="1"/>
  <c r="D42" i="1"/>
  <c r="F42" i="1"/>
  <c r="F49" i="1" s="1"/>
  <c r="E43" i="1"/>
  <c r="F19" i="3"/>
  <c r="F23" i="3" s="1"/>
  <c r="D19" i="2"/>
  <c r="D23" i="2"/>
  <c r="G19" i="2"/>
  <c r="G23" i="2"/>
  <c r="G19" i="3"/>
  <c r="G23" i="3"/>
  <c r="E19" i="3"/>
  <c r="C36" i="3"/>
  <c r="E19" i="2"/>
  <c r="F19" i="2"/>
  <c r="D19" i="3"/>
  <c r="D23" i="3" s="1"/>
  <c r="C49" i="1" l="1"/>
  <c r="D49" i="1"/>
  <c r="C43" i="1"/>
  <c r="D43" i="1"/>
  <c r="F43" i="1"/>
  <c r="E49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44" i="1" l="1"/>
  <c r="E21" i="2"/>
  <c r="F21" i="3"/>
  <c r="F21" i="2"/>
  <c r="C38" i="3"/>
  <c r="D21" i="3"/>
  <c r="E25" i="2"/>
  <c r="E25" i="3"/>
  <c r="D21" i="2"/>
  <c r="E21" i="3"/>
  <c r="G26" i="3"/>
  <c r="G26" i="2"/>
  <c r="F26" i="2"/>
  <c r="F25" i="2"/>
  <c r="E26" i="3" s="1"/>
  <c r="B45" i="1" l="1"/>
  <c r="B46" i="1" s="1"/>
  <c r="G22" i="3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B47" i="1" l="1"/>
  <c r="B48" i="1" s="1"/>
  <c r="B53" i="1" s="1"/>
  <c r="B54" i="1" s="1"/>
  <c r="G28" i="3"/>
  <c r="G28" i="2"/>
  <c r="F28" i="2"/>
  <c r="C29" i="2" s="1"/>
  <c r="E28" i="3"/>
  <c r="C29" i="3" s="1"/>
  <c r="C55" i="1" l="1"/>
  <c r="E55" i="1"/>
  <c r="F55" i="1"/>
  <c r="D51" i="1"/>
  <c r="E51" i="1"/>
  <c r="F51" i="1"/>
  <c r="D55" i="1" l="1"/>
  <c r="D56" i="1" s="1"/>
  <c r="F56" i="1" l="1"/>
  <c r="F58" i="1" s="1"/>
  <c r="E56" i="1"/>
  <c r="B63" i="1"/>
  <c r="C56" i="1"/>
  <c r="D58" i="1"/>
  <c r="B57" i="1" l="1"/>
  <c r="C58" i="1"/>
  <c r="E58" i="1"/>
  <c r="F59" i="1" l="1"/>
  <c r="F60" i="1" s="1"/>
  <c r="E59" i="1"/>
  <c r="E60" i="1" s="1"/>
  <c r="D59" i="1"/>
  <c r="D60" i="1" s="1"/>
  <c r="C59" i="1"/>
  <c r="C60" i="1" s="1"/>
</calcChain>
</file>

<file path=xl/sharedStrings.xml><?xml version="1.0" encoding="utf-8"?>
<sst xmlns="http://schemas.openxmlformats.org/spreadsheetml/2006/main" count="370" uniqueCount="153">
  <si>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</si>
  <si>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</si>
  <si>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</si>
  <si>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</si>
  <si>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</si>
  <si>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</si>
  <si>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</si>
  <si>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</si>
  <si>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</si>
  <si>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</si>
  <si>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</si>
  <si>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</si>
  <si>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</si>
  <si>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</si>
  <si>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</si>
  <si>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</si>
  <si>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</si>
  <si>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Dagsats</t>
  </si>
  <si>
    <t>Grad</t>
  </si>
  <si>
    <t>Arbeidsuførhetsgrad</t>
  </si>
  <si>
    <t>Gradert dekningsgrunnlag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</si>
  <si>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</si>
  <si>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</si>
  <si>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</si>
  <si>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</si>
  <si>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</si>
  <si>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</si>
  <si>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</si>
  <si>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</si>
  <si>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</si>
  <si>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</si>
  <si>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</si>
  <si>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</si>
  <si>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</si>
  <si>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</si>
  <si>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</si>
  <si>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</si>
  <si>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</si>
  <si>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</si>
  <si>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</si>
  <si>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</si>
  <si>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</si>
  <si>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</si>
  <si>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</si>
  <si>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</si>
  <si>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</si>
  <si>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</si>
  <si>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</si>
  <si>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</si>
  <si>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</si>
  <si>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</si>
  <si>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</si>
  <si>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</si>
  <si>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</si>
  <si>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</si>
  <si>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</si>
  <si>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</si>
  <si>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</si>
  <si>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</si>
  <si>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</si>
  <si>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</si>
  <si>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</si>
  <si>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</si>
  <si>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</si>
  <si>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</si>
  <si>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</si>
  <si>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</si>
  <si>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</si>
  <si>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</si>
  <si>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</si>
  <si>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</si>
  <si>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</si>
  <si>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</si>
  <si>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</si>
  <si>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</si>
  <si>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</si>
  <si>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</si>
  <si>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</si>
  <si>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</si>
  <si>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</si>
  <si>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</si>
  <si>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</si>
  <si>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</si>
  <si>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</si>
  <si>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</si>
  <si>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</si>
  <si>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</si>
  <si>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</si>
  <si>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</si>
  <si>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</si>
  <si>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</si>
  <si>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</si>
  <si>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</si>
  <si>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</si>
  <si>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</si>
  <si>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</si>
  <si>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</si>
  <si>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</si>
  <si>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</si>
  <si>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</si>
  <si>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</si>
  <si>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</si>
  <si>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</si>
  <si>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</si>
  <si>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</si>
  <si>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</si>
  <si>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</si>
  <si>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</si>
  <si>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</si>
  <si>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</si>
  <si>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</si>
  <si>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</si>
  <si>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</si>
  <si>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</si>
  <si>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</si>
  <si>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</si>
  <si>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</si>
  <si>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</si>
  <si>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</si>
  <si>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</si>
  <si>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</si>
  <si>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</si>
  <si>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</si>
  <si>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</si>
  <si>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</si>
  <si>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</si>
  <si>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</si>
  <si>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</si>
  <si>
    <t>Totalt dekningsgrunnlag for alle arbeidsgiverne</t>
  </si>
  <si>
    <t>Totalt dekningsgrunnlag</t>
  </si>
  <si>
    <t>Totalt dekningsgrunnlag for alle arbeidsgiverne, som årlig</t>
  </si>
  <si>
    <t>Total forventet personbeløp</t>
  </si>
  <si>
    <t>Det maksimale beløpet som skal utbetales til person</t>
  </si>
  <si>
    <t>Det maksimale beløpet som skal utbetales til person, som årlig</t>
  </si>
  <si>
    <t xml:space="preserve">Utbetaling til arbeidsgivere med avrunding og fordelt restbeløp </t>
  </si>
  <si>
    <t>Det beløpet arbeidstakeren kan få utbetalt før reduksjon for 6G</t>
  </si>
  <si>
    <t>Total utbetaling til arbeidsgivere , eksl. avrunding</t>
  </si>
  <si>
    <t xml:space="preserve">Total utbetaling til arbeidsgivere (ekskludert restbeløpet) </t>
  </si>
  <si>
    <t xml:space="preserve">Total utbetaling til arbeidsgivere (inkludert restbeløpet) </t>
  </si>
  <si>
    <t>Total utbetaling til arbeidsgivere (inkludert restbeløpet) , som årlig</t>
  </si>
  <si>
    <t>Personbeløp 6g-reduksjonsfaktor</t>
  </si>
  <si>
    <t>Gradert refusjon</t>
  </si>
  <si>
    <t>Totalt refusjon</t>
  </si>
  <si>
    <t>Det som skal betales per dag, totalt</t>
  </si>
  <si>
    <t>Maks dagsats redusert for arbeidsuførhetsgrad. Rundet av på dagsats etter gradering</t>
  </si>
  <si>
    <t>Maks refusjon før redusering for dekningsgrunnlag. Rundet av på dagsats før og etter gradering</t>
  </si>
  <si>
    <t>Vektet refusjonssgrad</t>
  </si>
  <si>
    <t>Hvor stor andel av total refusjon hver arbeidsgiver vil ha</t>
  </si>
  <si>
    <t>Rest til utbetaling før avrunding</t>
  </si>
  <si>
    <t>Arbeidsgiverrefusjon som følge av andel av dagsats vektet refusjon utgjør</t>
  </si>
  <si>
    <t>Utregnet refusjon før avrunding</t>
  </si>
  <si>
    <t>Sykepengegrunnlaget begrenset til 6G.</t>
  </si>
  <si>
    <t xml:space="preserve">Maks dagsats før reduksjon til 6G og reduksjon for total sykdomsgrad.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</si>
</sst>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1" formatCode="_(* #,##0.000000000_);_(* \(#,##0.000000000\);_(* \-??_);_(@_)"/>
    <numFmt numFmtId="172" formatCode="_-* #,##0.000000_-;\-* #,##0.000000_-;_-* &quot;-&quot;??????????_-;_-@_-"/>
    <numFmt numFmtId="173" formatCode="_-* #,##0.000000_-;\-* #,##0.000000_-;_-* &quot;-&quot;??????_-;_-@_-"/>
    <numFmt numFmtId="174" formatCode="_-* #,##0.0000000000_-;\-* #,##0.0000000000_-;_-* &quot;-&quot;??????????_-;_-@_-"/>
    <numFmt numFmtId="175" formatCode="_-* #,##0.00000000_-;\-* #,##0.00000000_-;_-* &quot;-&quot;??????????_-;_-@_-"/>
    <numFmt numFmtId="176" formatCode="_-* #,##0.000000000_-;\-* #,##0.000000000_-;_-* &quot;-&quot;??_-;_-@_-"/>
    <numFmt numFmtId="177" formatCode="_(* #,##0.00000_);_(* \(#,##0.00000\);_(* \-??_);_(@_)"/>
    <numFmt numFmtId="178" formatCode="0.0"/>
    <numFmt numFmtId="183" formatCode="0.000000%"/>
    <numFmt numFmtId="184" formatCode="0.0000000%"/>
    <numFmt numFmtId="186" formatCode="_-* #,##0.0000000_-;\-* #,##0.0000000_-;_-* &quot;-&quot;???????_-;_-@_-"/>
    <numFmt numFmtId="191" formatCode="_-* #,##0.0000_-;\-* #,##0.0000_-;_-* &quot;-&quot;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1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72" fontId="0" fillId="0" borderId="0" xfId="0" applyNumberFormat="1"/>
    <xf numFmtId="171" fontId="0" fillId="2" borderId="4" xfId="0" applyNumberFormat="1" applyFill="1" applyBorder="1" applyAlignment="1">
      <alignment horizontal="left"/>
    </xf>
    <xf numFmtId="0" fontId="1" fillId="2" borderId="6" xfId="0" applyFont="1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73" fontId="0" fillId="0" borderId="0" xfId="0" applyNumberFormat="1"/>
    <xf numFmtId="174" fontId="0" fillId="0" borderId="0" xfId="0" applyNumberFormat="1"/>
    <xf numFmtId="166" fontId="0" fillId="7" borderId="1" xfId="0" applyNumberFormat="1" applyFill="1" applyBorder="1"/>
    <xf numFmtId="2" fontId="0" fillId="2" borderId="1" xfId="0" applyNumberFormat="1" applyFill="1" applyBorder="1"/>
    <xf numFmtId="173" fontId="0" fillId="0" borderId="0" xfId="0" applyNumberFormat="1" applyBorder="1"/>
    <xf numFmtId="175" fontId="0" fillId="0" borderId="0" xfId="0" applyNumberFormat="1" applyBorder="1"/>
    <xf numFmtId="43" fontId="0" fillId="0" borderId="0" xfId="0" applyNumberFormat="1" applyBorder="1"/>
    <xf numFmtId="176" fontId="0" fillId="0" borderId="0" xfId="0" applyNumberFormat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177" fontId="0" fillId="2" borderId="5" xfId="0" applyNumberFormat="1" applyFill="1" applyBorder="1"/>
    <xf numFmtId="9" fontId="4" fillId="0" borderId="0" xfId="2"/>
    <xf numFmtId="178" fontId="0" fillId="0" borderId="0" xfId="0" applyNumberFormat="1"/>
    <xf numFmtId="1" fontId="0" fillId="0" borderId="0" xfId="1" applyNumberFormat="1" applyFont="1" applyBorder="1" applyAlignment="1" applyProtection="1"/>
    <xf numFmtId="1" fontId="0" fillId="0" borderId="0" xfId="0" applyNumberFormat="1"/>
    <xf numFmtId="1" fontId="0" fillId="0" borderId="0" xfId="0" applyNumberFormat="1" applyBorder="1"/>
    <xf numFmtId="165" fontId="0" fillId="2" borderId="1" xfId="0" applyNumberForma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183" fontId="4" fillId="0" borderId="0" xfId="2" applyNumberFormat="1"/>
    <xf numFmtId="184" fontId="4" fillId="0" borderId="0" xfId="2" applyNumberFormat="1"/>
    <xf numFmtId="0" fontId="0" fillId="0" borderId="0" xfId="0" applyNumberFormat="1"/>
    <xf numFmtId="166" fontId="0" fillId="8" borderId="0" xfId="0" applyNumberFormat="1" applyFill="1"/>
    <xf numFmtId="184" fontId="4" fillId="0" borderId="0" xfId="2" applyNumberFormat="1" applyFill="1"/>
    <xf numFmtId="173" fontId="0" fillId="8" borderId="0" xfId="0" applyNumberFormat="1" applyFill="1"/>
    <xf numFmtId="191" fontId="0" fillId="0" borderId="0" xfId="0" applyNumberFormat="1"/>
    <xf numFmtId="186" fontId="0" fillId="0" borderId="0" xfId="0" applyNumberFormat="1"/>
    <xf numFmtId="0" fontId="4" fillId="0" borderId="0" xfId="2" applyNumberFormat="1"/>
    <xf numFmtId="0" fontId="0" fillId="0" borderId="0" xfId="0" applyNumberFormat="1" applyBorder="1"/>
    <xf numFmtId="2" fontId="0" fillId="0" borderId="0" xfId="0" applyNumberFormat="1" applyBorder="1"/>
    <xf numFmtId="2" fontId="0" fillId="0" borderId="0" xfId="1" applyNumberFormat="1" applyFont="1" applyBorder="1" applyAlignment="1" applyProtection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22" zoomScale="200" zoomScaleNormal="200" workbookViewId="0">
      <selection activeCell="D49" sqref="D49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3" width="15.6640625" customWidth="1"/>
    <col min="4" max="4" width="24.83203125" bestFit="1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/>
      <c r="B2" s="4"/>
      <c r="C2" s="4"/>
      <c r="D2" s="4"/>
      <c r="E2" s="4"/>
      <c r="F2" s="4"/>
      <c r="G2" s="5"/>
      <c r="H2" s="6"/>
    </row>
    <row r="3" spans="1:8" x14ac:dyDescent="0.2">
      <c r="A3" s="3" t="s">
        <v>7</v>
      </c>
      <c r="B3" s="4"/>
      <c r="C3" s="7">
        <v>31000</v>
      </c>
      <c r="D3" s="7">
        <v>31000</v>
      </c>
      <c r="E3" s="7"/>
      <c r="F3" s="7"/>
      <c r="G3" s="5" t="s">
        <v>8</v>
      </c>
      <c r="H3" s="6" t="s">
        <v>9</v>
      </c>
    </row>
    <row r="4" spans="1:8" x14ac:dyDescent="0.2">
      <c r="A4" s="3"/>
      <c r="B4" s="4"/>
      <c r="C4" s="8">
        <f>C3/SUM($C$3:$F$3)</f>
        <v>0.5</v>
      </c>
      <c r="D4" s="8">
        <f>D3/SUM($C$3:$F$3)</f>
        <v>0.5</v>
      </c>
      <c r="E4" s="8">
        <f>E3/SUM($C$3:$F$3)</f>
        <v>0</v>
      </c>
      <c r="F4" s="8">
        <f>F3/SUM($C$3:$F$3)</f>
        <v>0</v>
      </c>
      <c r="G4" s="5" t="s">
        <v>8</v>
      </c>
      <c r="H4" s="6" t="s">
        <v>10</v>
      </c>
    </row>
    <row r="5" spans="1:8" x14ac:dyDescent="0.2">
      <c r="A5" t="s">
        <v>108</v>
      </c>
      <c r="C5" s="38">
        <f>C3*12</f>
        <v>372000</v>
      </c>
      <c r="D5" s="38">
        <f t="shared" ref="D5:F5" si="0">D3*12</f>
        <v>372000</v>
      </c>
      <c r="E5" s="38">
        <f t="shared" si="0"/>
        <v>0</v>
      </c>
      <c r="F5" s="38">
        <f t="shared" si="0"/>
        <v>0</v>
      </c>
      <c r="G5" s="69" t="s">
        <v>8</v>
      </c>
      <c r="H5" s="68" t="s">
        <v>110</v>
      </c>
    </row>
    <row r="6" spans="1:8" x14ac:dyDescent="0.2">
      <c r="A6" s="3" t="s">
        <v>22</v>
      </c>
      <c r="B6" s="4"/>
      <c r="C6" s="109">
        <f>C3*1</f>
        <v>31000</v>
      </c>
      <c r="D6" s="109">
        <f>D3*1</f>
        <v>31000</v>
      </c>
      <c r="E6" s="109">
        <f>E3*0.25</f>
        <v>0</v>
      </c>
      <c r="F6" s="109">
        <f>F3*0.3</f>
        <v>0</v>
      </c>
      <c r="G6" s="5" t="s">
        <v>8</v>
      </c>
      <c r="H6" s="6" t="s">
        <v>115</v>
      </c>
    </row>
    <row r="7" spans="1:8" x14ac:dyDescent="0.2">
      <c r="A7" s="67" t="s">
        <v>125</v>
      </c>
      <c r="B7" s="71">
        <f>SUM(C6:F6)*12</f>
        <v>744000</v>
      </c>
    </row>
    <row r="8" spans="1:8" x14ac:dyDescent="0.2">
      <c r="A8" s="3" t="s">
        <v>18</v>
      </c>
      <c r="B8" s="4"/>
      <c r="C8" s="12">
        <v>1</v>
      </c>
      <c r="D8" s="12">
        <v>1</v>
      </c>
      <c r="E8" s="12">
        <v>0.2</v>
      </c>
      <c r="F8" s="12">
        <v>0.5</v>
      </c>
      <c r="G8" s="5" t="s">
        <v>8</v>
      </c>
      <c r="H8" s="6" t="s">
        <v>19</v>
      </c>
    </row>
    <row r="9" spans="1:8" x14ac:dyDescent="0.2">
      <c r="A9" s="67" t="s">
        <v>113</v>
      </c>
      <c r="B9" s="70">
        <f>SUM(C5:F5)</f>
        <v>744000</v>
      </c>
      <c r="G9" s="69" t="s">
        <v>8</v>
      </c>
      <c r="H9" t="s">
        <v>111</v>
      </c>
    </row>
    <row r="10" spans="1:8" x14ac:dyDescent="0.2">
      <c r="A10" s="3" t="s">
        <v>25</v>
      </c>
      <c r="B10" s="7">
        <v>93634</v>
      </c>
      <c r="G10" s="5" t="s">
        <v>14</v>
      </c>
      <c r="H10" s="6" t="s">
        <v>26</v>
      </c>
    </row>
    <row r="11" spans="1:8" x14ac:dyDescent="0.2">
      <c r="A11" s="67" t="s">
        <v>27</v>
      </c>
      <c r="B11" s="38">
        <f>B10*6</f>
        <v>561804</v>
      </c>
      <c r="G11" s="69" t="s">
        <v>14</v>
      </c>
      <c r="H11" s="74" t="s">
        <v>118</v>
      </c>
    </row>
    <row r="12" spans="1:8" x14ac:dyDescent="0.2">
      <c r="A12" s="3" t="s">
        <v>112</v>
      </c>
      <c r="B12" s="110">
        <f>ROUND(B11/260,)</f>
        <v>2161</v>
      </c>
      <c r="G12" s="69" t="s">
        <v>14</v>
      </c>
      <c r="H12" s="74" t="s">
        <v>119</v>
      </c>
    </row>
    <row r="13" spans="1:8" x14ac:dyDescent="0.2">
      <c r="A13" s="67" t="s">
        <v>109</v>
      </c>
      <c r="B13" s="70">
        <f>MIN(B9,B11)</f>
        <v>561804</v>
      </c>
      <c r="G13" s="69" t="s">
        <v>8</v>
      </c>
      <c r="H13" s="74" t="s">
        <v>151</v>
      </c>
    </row>
    <row r="14" spans="1:8" x14ac:dyDescent="0.2">
      <c r="A14" s="67" t="s">
        <v>112</v>
      </c>
      <c r="B14" s="71">
        <f>ROUND(B13/260,0)</f>
        <v>2161</v>
      </c>
      <c r="G14" s="69" t="s">
        <v>14</v>
      </c>
      <c r="H14" s="74" t="s">
        <v>120</v>
      </c>
    </row>
    <row r="16" spans="1:8" x14ac:dyDescent="0.2">
      <c r="A16" s="3" t="s">
        <v>11</v>
      </c>
      <c r="B16" s="4"/>
      <c r="C16" s="9">
        <f>C5/260</f>
        <v>1430.7692307692307</v>
      </c>
      <c r="D16" s="9">
        <f>D5/260</f>
        <v>1430.7692307692307</v>
      </c>
      <c r="E16" s="9">
        <f>E5/260</f>
        <v>0</v>
      </c>
      <c r="F16" s="9">
        <f>F5/260</f>
        <v>0</v>
      </c>
      <c r="G16" s="5" t="s">
        <v>8</v>
      </c>
      <c r="H16" s="6" t="s">
        <v>12</v>
      </c>
    </row>
    <row r="17" spans="1:8" x14ac:dyDescent="0.2">
      <c r="A17" s="3" t="s">
        <v>13</v>
      </c>
      <c r="B17" s="4"/>
      <c r="C17" s="10">
        <v>1</v>
      </c>
      <c r="D17" s="10">
        <v>1</v>
      </c>
      <c r="E17" s="10">
        <v>1</v>
      </c>
      <c r="F17" s="10">
        <v>1</v>
      </c>
      <c r="G17" s="5" t="s">
        <v>14</v>
      </c>
      <c r="H17" s="6" t="s">
        <v>15</v>
      </c>
    </row>
    <row r="18" spans="1:8" x14ac:dyDescent="0.2">
      <c r="A18" s="3" t="s">
        <v>16</v>
      </c>
      <c r="B18" s="4"/>
      <c r="C18" s="110">
        <f>C16*C17</f>
        <v>1430.7692307692307</v>
      </c>
      <c r="D18" s="110">
        <f t="shared" ref="D18:F18" si="1">D16*D17</f>
        <v>1430.7692307692307</v>
      </c>
      <c r="E18" s="110">
        <f t="shared" si="1"/>
        <v>0</v>
      </c>
      <c r="F18" s="94">
        <f t="shared" si="1"/>
        <v>0</v>
      </c>
      <c r="G18" s="5" t="s">
        <v>8</v>
      </c>
      <c r="H18" s="6" t="s">
        <v>152</v>
      </c>
    </row>
    <row r="19" spans="1:8" x14ac:dyDescent="0.2">
      <c r="A19" s="72" t="s">
        <v>114</v>
      </c>
      <c r="C19" s="73">
        <f>C8*C4</f>
        <v>0.5</v>
      </c>
      <c r="D19" s="73">
        <f>D8*D4</f>
        <v>0.5</v>
      </c>
      <c r="E19" s="73">
        <f>E8*E4</f>
        <v>0</v>
      </c>
      <c r="F19" s="73">
        <f>F8*F4</f>
        <v>0</v>
      </c>
      <c r="G19" s="69" t="s">
        <v>8</v>
      </c>
      <c r="H19" s="74" t="s">
        <v>116</v>
      </c>
    </row>
    <row r="20" spans="1:8" x14ac:dyDescent="0.2">
      <c r="A20" s="3" t="s">
        <v>20</v>
      </c>
      <c r="B20" s="4"/>
      <c r="C20" s="94">
        <f>ROUND(C18*C8,0)</f>
        <v>1431</v>
      </c>
      <c r="D20" s="94">
        <f t="shared" ref="D20:F20" si="2">ROUND(D18*D8,0)</f>
        <v>1431</v>
      </c>
      <c r="E20" s="94">
        <f t="shared" si="2"/>
        <v>0</v>
      </c>
      <c r="F20" s="94">
        <f t="shared" si="2"/>
        <v>0</v>
      </c>
      <c r="G20" s="5" t="s">
        <v>14</v>
      </c>
      <c r="H20" s="6" t="s">
        <v>144</v>
      </c>
    </row>
    <row r="21" spans="1:8" x14ac:dyDescent="0.2">
      <c r="A21" s="72" t="s">
        <v>141</v>
      </c>
      <c r="C21" s="95">
        <f>ROUND(C6*12/260*C8,0)</f>
        <v>1431</v>
      </c>
      <c r="D21" s="95">
        <f t="shared" ref="D21:F21" si="3">ROUND(D6*12/260*D8,0)</f>
        <v>1431</v>
      </c>
      <c r="E21" s="95">
        <f t="shared" si="3"/>
        <v>0</v>
      </c>
      <c r="F21" s="95">
        <f t="shared" si="3"/>
        <v>0</v>
      </c>
      <c r="G21" s="69" t="s">
        <v>14</v>
      </c>
      <c r="H21" s="74" t="s">
        <v>145</v>
      </c>
    </row>
    <row r="22" spans="1:8" x14ac:dyDescent="0.2">
      <c r="A22" s="72" t="s">
        <v>129</v>
      </c>
      <c r="B22" s="71">
        <f>SUM(C20:F20)</f>
        <v>2862</v>
      </c>
      <c r="G22" s="69" t="s">
        <v>8</v>
      </c>
      <c r="H22" s="74" t="s">
        <v>128</v>
      </c>
    </row>
    <row r="23" spans="1:8" x14ac:dyDescent="0.2">
      <c r="A23" s="72" t="s">
        <v>125</v>
      </c>
      <c r="B23" s="71">
        <f>B22*260</f>
        <v>744120</v>
      </c>
      <c r="G23" s="69" t="s">
        <v>8</v>
      </c>
      <c r="H23" s="74" t="s">
        <v>130</v>
      </c>
    </row>
    <row r="24" spans="1:8" x14ac:dyDescent="0.2">
      <c r="A24" s="72" t="s">
        <v>142</v>
      </c>
      <c r="B24" s="71">
        <f>SUM(C21:F21)</f>
        <v>2862</v>
      </c>
      <c r="C24" s="66"/>
    </row>
    <row r="25" spans="1:8" x14ac:dyDescent="0.2">
      <c r="A25" s="72" t="s">
        <v>125</v>
      </c>
      <c r="B25" s="71">
        <f>B24*260</f>
        <v>744120</v>
      </c>
    </row>
    <row r="26" spans="1:8" x14ac:dyDescent="0.2">
      <c r="A26" s="3" t="s">
        <v>22</v>
      </c>
      <c r="B26" s="4"/>
      <c r="C26" s="96">
        <f>MIN(C20,C21)</f>
        <v>1431</v>
      </c>
      <c r="D26" s="96">
        <f t="shared" ref="D26:F26" si="4">MIN(D20,D21)</f>
        <v>1431</v>
      </c>
      <c r="E26" s="96">
        <f>MIN(E20,E21)</f>
        <v>0</v>
      </c>
      <c r="F26" s="96">
        <f t="shared" si="4"/>
        <v>0</v>
      </c>
      <c r="G26" s="5" t="s">
        <v>14</v>
      </c>
      <c r="H26" s="6" t="s">
        <v>115</v>
      </c>
    </row>
    <row r="27" spans="1:8" x14ac:dyDescent="0.2">
      <c r="A27" s="72" t="s">
        <v>146</v>
      </c>
      <c r="C27" s="103">
        <f>C26/$B$24</f>
        <v>0.5</v>
      </c>
      <c r="D27" s="99">
        <f t="shared" ref="D27:F27" si="5">D26/$B$24</f>
        <v>0.5</v>
      </c>
      <c r="E27" s="100">
        <f>E26/$B$24</f>
        <v>0</v>
      </c>
      <c r="F27" s="92">
        <f t="shared" si="5"/>
        <v>0</v>
      </c>
      <c r="G27" s="69" t="s">
        <v>8</v>
      </c>
      <c r="H27" s="74" t="s">
        <v>147</v>
      </c>
    </row>
    <row r="28" spans="1:8" x14ac:dyDescent="0.2">
      <c r="A28" s="72" t="s">
        <v>150</v>
      </c>
      <c r="C28" s="102">
        <f>$B$35*C27</f>
        <v>1080.5</v>
      </c>
      <c r="D28" s="66">
        <f>$B$35*D27</f>
        <v>1080.5</v>
      </c>
      <c r="E28" s="66">
        <f>$B$35*E27</f>
        <v>0</v>
      </c>
      <c r="F28" s="66">
        <f>$B$35*F27</f>
        <v>0</v>
      </c>
      <c r="H28" s="74" t="s">
        <v>149</v>
      </c>
    </row>
    <row r="29" spans="1:8" x14ac:dyDescent="0.2">
      <c r="A29" s="72" t="s">
        <v>122</v>
      </c>
      <c r="B29" s="93">
        <f>SUM(C26:F26)</f>
        <v>2862</v>
      </c>
      <c r="C29" s="107">
        <f>1/C27</f>
        <v>2</v>
      </c>
      <c r="D29" s="88"/>
      <c r="E29" s="88"/>
      <c r="F29" s="88"/>
      <c r="G29" s="69" t="s">
        <v>14</v>
      </c>
      <c r="H29" s="74" t="s">
        <v>127</v>
      </c>
    </row>
    <row r="30" spans="1:8" x14ac:dyDescent="0.2">
      <c r="A30" s="72" t="s">
        <v>125</v>
      </c>
      <c r="B30" s="71">
        <f>B29*260</f>
        <v>744120</v>
      </c>
      <c r="C30" s="66">
        <f>FLOOR(C27*$D$36,1)</f>
        <v>500</v>
      </c>
      <c r="D30" s="66">
        <f t="shared" ref="D30:F30" si="6">FLOOR(D27*$D$36,1)</f>
        <v>500</v>
      </c>
      <c r="E30" s="66">
        <f t="shared" si="6"/>
        <v>0</v>
      </c>
      <c r="F30" s="66">
        <f t="shared" si="6"/>
        <v>0</v>
      </c>
      <c r="G30" s="69" t="s">
        <v>8</v>
      </c>
      <c r="H30" s="74" t="s">
        <v>126</v>
      </c>
    </row>
    <row r="31" spans="1:8" x14ac:dyDescent="0.2">
      <c r="A31" s="72" t="s">
        <v>131</v>
      </c>
      <c r="B31" s="66">
        <f>B22-B29</f>
        <v>0</v>
      </c>
      <c r="C31" s="106"/>
      <c r="D31" s="81">
        <f>(B35*D36)/FLOOR((1/C27*D36),1)</f>
        <v>1080.5</v>
      </c>
      <c r="F31" s="101"/>
      <c r="G31" s="69" t="s">
        <v>8</v>
      </c>
      <c r="H31" s="74" t="s">
        <v>132</v>
      </c>
    </row>
    <row r="32" spans="1:8" x14ac:dyDescent="0.2">
      <c r="A32" s="72" t="s">
        <v>125</v>
      </c>
      <c r="B32" s="71">
        <f>B31*260</f>
        <v>0</v>
      </c>
      <c r="C32" s="82">
        <f>1/(FLOOR(C28,1)/B35)</f>
        <v>2.0009259259259258</v>
      </c>
      <c r="D32" s="81"/>
      <c r="G32" s="69" t="s">
        <v>8</v>
      </c>
      <c r="H32" s="74" t="s">
        <v>133</v>
      </c>
    </row>
    <row r="33" spans="1:8" x14ac:dyDescent="0.2">
      <c r="A33" s="3" t="s">
        <v>23</v>
      </c>
      <c r="B33" s="13">
        <f>SUM(C19:F19)</f>
        <v>1</v>
      </c>
      <c r="C33" s="86"/>
      <c r="D33" s="108">
        <f>1*D36-SUM(C30:F30)</f>
        <v>0</v>
      </c>
      <c r="E33" s="87"/>
      <c r="F33" s="85"/>
      <c r="G33" s="5" t="s">
        <v>8</v>
      </c>
      <c r="H33" s="6" t="s">
        <v>24</v>
      </c>
    </row>
    <row r="34" spans="1:8" x14ac:dyDescent="0.2">
      <c r="A34" s="72" t="s">
        <v>117</v>
      </c>
      <c r="B34" s="75">
        <f>ROUND(B13*B33/260,)*260</f>
        <v>561860</v>
      </c>
      <c r="C34" s="85"/>
      <c r="D34" s="81">
        <f>B35*D33/100</f>
        <v>0</v>
      </c>
      <c r="E34" s="85"/>
      <c r="F34" s="4"/>
      <c r="G34" s="69" t="s">
        <v>14</v>
      </c>
      <c r="H34" s="74" t="s">
        <v>121</v>
      </c>
    </row>
    <row r="35" spans="1:8" x14ac:dyDescent="0.2">
      <c r="A35" s="72" t="s">
        <v>112</v>
      </c>
      <c r="B35" s="104">
        <f>B34/260</f>
        <v>2161</v>
      </c>
      <c r="C35" s="81"/>
      <c r="D35" s="105"/>
      <c r="G35" s="69" t="s">
        <v>14</v>
      </c>
      <c r="H35" s="74" t="s">
        <v>143</v>
      </c>
    </row>
    <row r="36" spans="1:8" x14ac:dyDescent="0.2">
      <c r="A36" s="72" t="s">
        <v>123</v>
      </c>
      <c r="B36" s="81">
        <f>B34/MAX(B34,B30)</f>
        <v>0.75506638714185881</v>
      </c>
      <c r="D36" s="101">
        <f>1000</f>
        <v>1000</v>
      </c>
      <c r="G36" s="69" t="s">
        <v>8</v>
      </c>
      <c r="H36" s="74" t="s">
        <v>124</v>
      </c>
    </row>
    <row r="37" spans="1:8" x14ac:dyDescent="0.2">
      <c r="A37" s="1" t="s">
        <v>20</v>
      </c>
      <c r="B37" s="14"/>
      <c r="C37" s="15">
        <f>C20</f>
        <v>1431</v>
      </c>
      <c r="D37" s="15">
        <f>D20</f>
        <v>1431</v>
      </c>
      <c r="E37" s="15">
        <f>E20</f>
        <v>0</v>
      </c>
      <c r="F37" s="15">
        <f>F20</f>
        <v>0</v>
      </c>
      <c r="G37" s="16" t="s">
        <v>14</v>
      </c>
      <c r="H37" s="23" t="s">
        <v>29</v>
      </c>
    </row>
    <row r="38" spans="1:8" x14ac:dyDescent="0.2">
      <c r="A38" s="1" t="s">
        <v>30</v>
      </c>
      <c r="B38" s="14"/>
      <c r="C38" s="15">
        <f>C26</f>
        <v>1431</v>
      </c>
      <c r="D38" s="15">
        <f>D26</f>
        <v>1431</v>
      </c>
      <c r="E38" s="15">
        <f>E26</f>
        <v>0</v>
      </c>
      <c r="F38" s="15">
        <f>F26</f>
        <v>0</v>
      </c>
      <c r="G38" s="16" t="s">
        <v>14</v>
      </c>
      <c r="H38" s="23" t="s">
        <v>31</v>
      </c>
    </row>
    <row r="39" spans="1:8" x14ac:dyDescent="0.2">
      <c r="A39" s="1" t="s">
        <v>32</v>
      </c>
      <c r="B39" s="14"/>
      <c r="C39" s="15">
        <f>C37-C38</f>
        <v>0</v>
      </c>
      <c r="D39" s="15">
        <f>D37-D38</f>
        <v>0</v>
      </c>
      <c r="E39" s="15">
        <f>E37-E38</f>
        <v>0</v>
      </c>
      <c r="F39" s="15">
        <f>F37-F38</f>
        <v>0</v>
      </c>
      <c r="G39" s="16" t="s">
        <v>14</v>
      </c>
      <c r="H39" s="23" t="s">
        <v>135</v>
      </c>
    </row>
    <row r="40" spans="1:8" x14ac:dyDescent="0.2">
      <c r="A40" s="1" t="s">
        <v>33</v>
      </c>
      <c r="B40" s="18" t="str">
        <f>IF(B32&lt;=B34,"Arbeidsgiver og person blir refundert hele beløpet",IF(B30&lt;=B34,"Arbeidsgivere blir refundert hele beløpet; Person blir delvis refundert", "Arbeidsgivere blir delvis refundert"))</f>
        <v>Arbeidsgiver og person blir refundert hele beløpet</v>
      </c>
      <c r="C40" s="18"/>
      <c r="D40" s="18"/>
      <c r="E40" s="18"/>
      <c r="F40" s="18"/>
      <c r="G40" s="16"/>
      <c r="H40" s="23"/>
    </row>
    <row r="41" spans="1:8" x14ac:dyDescent="0.2">
      <c r="A41" s="1"/>
      <c r="B41" s="19"/>
      <c r="C41" s="76"/>
      <c r="D41" s="20"/>
      <c r="E41" s="20"/>
      <c r="F41" s="21"/>
      <c r="G41" s="16"/>
      <c r="H41" s="23"/>
    </row>
    <row r="42" spans="1:8" x14ac:dyDescent="0.2">
      <c r="A42" s="1" t="s">
        <v>34</v>
      </c>
      <c r="B42" s="19"/>
      <c r="C42" s="22">
        <f>C38*$B$36</f>
        <v>1080.5</v>
      </c>
      <c r="D42" s="22">
        <f>D38*$B$36</f>
        <v>1080.5</v>
      </c>
      <c r="E42" s="22">
        <f>E38*$B$36</f>
        <v>0</v>
      </c>
      <c r="F42" s="22">
        <f>F38*$B$36</f>
        <v>0</v>
      </c>
      <c r="G42" s="16" t="s">
        <v>8</v>
      </c>
      <c r="H42" s="23" t="s">
        <v>34</v>
      </c>
    </row>
    <row r="43" spans="1:8" x14ac:dyDescent="0.2">
      <c r="A43" s="1" t="s">
        <v>35</v>
      </c>
      <c r="B43" s="14"/>
      <c r="C43" s="23">
        <f>FLOOR(C42,1)</f>
        <v>1080</v>
      </c>
      <c r="D43" s="23">
        <f>FLOOR(D42,1)</f>
        <v>1080</v>
      </c>
      <c r="E43" s="23">
        <f>FLOOR(E42,1)</f>
        <v>0</v>
      </c>
      <c r="F43" s="23">
        <f>FLOOR(F42,1)</f>
        <v>0</v>
      </c>
      <c r="G43" s="16" t="s">
        <v>14</v>
      </c>
      <c r="H43" s="23" t="s">
        <v>36</v>
      </c>
    </row>
    <row r="44" spans="1:8" x14ac:dyDescent="0.2">
      <c r="A44" s="1" t="s">
        <v>136</v>
      </c>
      <c r="B44" s="14">
        <f>SUM(C43:F43)</f>
        <v>2160</v>
      </c>
      <c r="C44" s="24"/>
      <c r="D44" s="23"/>
      <c r="E44" s="23"/>
      <c r="F44" s="23"/>
      <c r="G44" s="16" t="s">
        <v>14</v>
      </c>
      <c r="H44" s="23" t="s">
        <v>137</v>
      </c>
    </row>
    <row r="45" spans="1:8" x14ac:dyDescent="0.2">
      <c r="A45" s="1" t="s">
        <v>148</v>
      </c>
      <c r="B45" s="91">
        <f>SUM(C42:F42)-B44</f>
        <v>1</v>
      </c>
      <c r="C45" s="89"/>
      <c r="D45" s="89"/>
      <c r="E45" s="89"/>
      <c r="F45" s="89"/>
      <c r="G45" s="90" t="s">
        <v>8</v>
      </c>
      <c r="H45" s="89" t="s">
        <v>43</v>
      </c>
    </row>
    <row r="46" spans="1:8" x14ac:dyDescent="0.2">
      <c r="A46" s="1" t="s">
        <v>42</v>
      </c>
      <c r="B46" s="29">
        <f>ROUND(B45,)</f>
        <v>1</v>
      </c>
      <c r="C46" s="23"/>
      <c r="D46" s="23"/>
      <c r="E46" s="23"/>
      <c r="F46" s="23"/>
      <c r="G46" s="16" t="s">
        <v>14</v>
      </c>
      <c r="H46" s="23" t="s">
        <v>43</v>
      </c>
    </row>
    <row r="47" spans="1:8" x14ac:dyDescent="0.2">
      <c r="A47" s="1" t="s">
        <v>44</v>
      </c>
      <c r="B47" s="14">
        <f>B44+B46</f>
        <v>2161</v>
      </c>
      <c r="C47" s="24"/>
      <c r="D47" s="23"/>
      <c r="E47" s="23"/>
      <c r="F47" s="23"/>
      <c r="G47" s="16" t="s">
        <v>14</v>
      </c>
      <c r="H47" s="23" t="s">
        <v>138</v>
      </c>
    </row>
    <row r="48" spans="1:8" x14ac:dyDescent="0.2">
      <c r="A48" s="1" t="s">
        <v>125</v>
      </c>
      <c r="B48" s="14">
        <f>B47*260</f>
        <v>561860</v>
      </c>
      <c r="C48" s="24"/>
      <c r="D48" s="23"/>
      <c r="E48" s="23"/>
      <c r="F48" s="23"/>
      <c r="G48" s="16" t="s">
        <v>14</v>
      </c>
      <c r="H48" s="23" t="s">
        <v>139</v>
      </c>
    </row>
    <row r="49" spans="1:8" x14ac:dyDescent="0.2">
      <c r="A49" s="1" t="s">
        <v>37</v>
      </c>
      <c r="B49" s="14"/>
      <c r="C49" s="22">
        <f>C42-TRUNC(C42)</f>
        <v>0.5</v>
      </c>
      <c r="D49" s="22">
        <f>D42-TRUNC(D42)</f>
        <v>0.5</v>
      </c>
      <c r="E49" s="22">
        <f>E42-TRUNC(E42)</f>
        <v>0</v>
      </c>
      <c r="F49" s="22">
        <f>F42-TRUNC(F42)</f>
        <v>0</v>
      </c>
      <c r="G49" s="16" t="s">
        <v>8</v>
      </c>
      <c r="H49" s="23" t="s">
        <v>38</v>
      </c>
    </row>
    <row r="50" spans="1:8" x14ac:dyDescent="0.2">
      <c r="A50" s="1" t="s">
        <v>39</v>
      </c>
      <c r="B50" s="14"/>
      <c r="C50" s="24">
        <f>IF($B$46&gt;0,IF(LARGE($C$49:$F$49,$B$46)&lt;=C$49,1,0), 0)</f>
        <v>1</v>
      </c>
      <c r="D50" s="24">
        <f>IF(($B$46-C50)&gt;0,IF(LARGE($C$49:$F$49,$B$46)&lt;=D$49,1,0), 0)</f>
        <v>0</v>
      </c>
      <c r="E50" s="24">
        <f>IF(($B$46-SUM($C$50:$D$50))&gt;0,IF(LARGE($C$49:$F$49,$B$46)&lt;=E$49,1,0), 0)</f>
        <v>0</v>
      </c>
      <c r="F50" s="24">
        <f>IF(($B$46-SUM($C$50:$D$51))&gt;0,IF(LARGE($C$49:$F$49,$B$46)&lt;=F$49,1,0), 0)</f>
        <v>0</v>
      </c>
      <c r="G50" s="16" t="s">
        <v>14</v>
      </c>
      <c r="H50" s="23" t="s">
        <v>40</v>
      </c>
    </row>
    <row r="51" spans="1:8" x14ac:dyDescent="0.2">
      <c r="A51" s="25" t="s">
        <v>41</v>
      </c>
      <c r="B51" s="26"/>
      <c r="C51" s="27">
        <f>C43+C50</f>
        <v>1081</v>
      </c>
      <c r="D51" s="27">
        <f>D43+D50</f>
        <v>1080</v>
      </c>
      <c r="E51" s="27">
        <f>E43+E50</f>
        <v>0</v>
      </c>
      <c r="F51" s="27">
        <f>F43+F50</f>
        <v>0</v>
      </c>
      <c r="G51" s="28" t="s">
        <v>14</v>
      </c>
      <c r="H51" s="25" t="s">
        <v>134</v>
      </c>
    </row>
    <row r="52" spans="1:8" x14ac:dyDescent="0.2">
      <c r="A52" s="1"/>
      <c r="B52" s="84"/>
      <c r="C52" s="22"/>
      <c r="D52" s="22"/>
      <c r="E52" s="22"/>
      <c r="F52" s="22"/>
      <c r="G52" s="16"/>
      <c r="H52" s="23"/>
    </row>
    <row r="53" spans="1:8" x14ac:dyDescent="0.2">
      <c r="A53" s="1" t="s">
        <v>53</v>
      </c>
      <c r="B53" s="32">
        <f>ROUND((B34-B48)/260,)</f>
        <v>0</v>
      </c>
      <c r="C53" s="14"/>
      <c r="D53" s="14"/>
      <c r="E53" s="14"/>
      <c r="F53" s="14"/>
      <c r="G53" s="16" t="s">
        <v>14</v>
      </c>
      <c r="H53" s="23" t="s">
        <v>54</v>
      </c>
    </row>
    <row r="54" spans="1:8" x14ac:dyDescent="0.2">
      <c r="A54" s="77" t="s">
        <v>140</v>
      </c>
      <c r="B54" s="83">
        <f>IF(B31 &gt; 0, MIN(1,B53/B31), 0)</f>
        <v>0</v>
      </c>
      <c r="C54" s="79"/>
      <c r="D54" s="78"/>
      <c r="E54" s="78"/>
      <c r="F54" s="78"/>
      <c r="G54" s="80" t="s">
        <v>8</v>
      </c>
      <c r="H54" s="78"/>
    </row>
    <row r="55" spans="1:8" x14ac:dyDescent="0.2">
      <c r="A55" s="1" t="s">
        <v>45</v>
      </c>
      <c r="B55" s="30"/>
      <c r="C55" s="15">
        <f>C39*$B$54</f>
        <v>0</v>
      </c>
      <c r="D55" s="15">
        <f>D39*$B$54</f>
        <v>0</v>
      </c>
      <c r="E55" s="15">
        <f>E39*$B$54</f>
        <v>0</v>
      </c>
      <c r="F55" s="15">
        <f>F39*$B$54</f>
        <v>0</v>
      </c>
      <c r="G55" s="16" t="s">
        <v>8</v>
      </c>
      <c r="H55" s="23" t="s">
        <v>46</v>
      </c>
    </row>
    <row r="56" spans="1:8" x14ac:dyDescent="0.2">
      <c r="A56" s="1" t="s">
        <v>47</v>
      </c>
      <c r="B56" s="23"/>
      <c r="C56" s="31">
        <f>FLOOR(C55, 1)</f>
        <v>0</v>
      </c>
      <c r="D56" s="31">
        <f>FLOOR(D55, 1)</f>
        <v>0</v>
      </c>
      <c r="E56" s="31">
        <f>FLOOR(E55, 1)</f>
        <v>0</v>
      </c>
      <c r="F56" s="31">
        <f>FLOOR(F55, 1)</f>
        <v>0</v>
      </c>
      <c r="G56" s="16" t="s">
        <v>14</v>
      </c>
      <c r="H56" s="23"/>
    </row>
    <row r="57" spans="1:8" x14ac:dyDescent="0.2">
      <c r="A57" s="1" t="s">
        <v>51</v>
      </c>
      <c r="B57" s="35">
        <f>B53-SUM(C56:F56)</f>
        <v>0</v>
      </c>
      <c r="C57" s="23"/>
      <c r="D57" s="23"/>
      <c r="E57" s="23"/>
      <c r="F57" s="23"/>
      <c r="G57" s="16" t="s">
        <v>14</v>
      </c>
      <c r="H57" s="23" t="s">
        <v>52</v>
      </c>
    </row>
    <row r="58" spans="1:8" x14ac:dyDescent="0.2">
      <c r="A58" s="1" t="s">
        <v>37</v>
      </c>
      <c r="B58" s="32"/>
      <c r="C58" s="22">
        <f>C55-TRUNC(C56)</f>
        <v>0</v>
      </c>
      <c r="D58" s="22">
        <f>D55-TRUNC(D56)</f>
        <v>0</v>
      </c>
      <c r="E58" s="22">
        <f>E55-TRUNC(E56)</f>
        <v>0</v>
      </c>
      <c r="F58" s="22">
        <f>F55-TRUNC(F56)</f>
        <v>0</v>
      </c>
      <c r="G58" s="16" t="s">
        <v>8</v>
      </c>
      <c r="H58" s="23" t="s">
        <v>48</v>
      </c>
    </row>
    <row r="59" spans="1:8" x14ac:dyDescent="0.2">
      <c r="A59" s="1" t="s">
        <v>49</v>
      </c>
      <c r="B59" s="32"/>
      <c r="C59" s="24">
        <f>IF($B$57&gt;0, IF(LARGE($C$58:$F$58,$B$57)&lt;=C$58,1,0), 0)</f>
        <v>0</v>
      </c>
      <c r="D59" s="24">
        <f>IF($B$57&gt;0, IF(LARGE($C$58:$F$58,$B$57)&lt;=D$58,1,0), 0)</f>
        <v>0</v>
      </c>
      <c r="E59" s="24">
        <f>IF($B$57&gt;0, IF(LARGE($C$58:$F$58,$B$57)&lt;=E$58,1,0), 0)</f>
        <v>0</v>
      </c>
      <c r="F59" s="24">
        <f>IF($B$57&gt;0, IF(LARGE($C$58:$F$58,$B$57)&lt;=F$58,1,0), 0)</f>
        <v>0</v>
      </c>
      <c r="G59" s="16" t="s">
        <v>14</v>
      </c>
      <c r="H59" s="23"/>
    </row>
    <row r="60" spans="1:8" x14ac:dyDescent="0.2">
      <c r="A60" s="25" t="s">
        <v>50</v>
      </c>
      <c r="B60" s="33"/>
      <c r="C60" s="27">
        <f>C56+C59</f>
        <v>0</v>
      </c>
      <c r="D60" s="27">
        <f>D56+D59</f>
        <v>0</v>
      </c>
      <c r="E60" s="27">
        <f>E56+E59</f>
        <v>0</v>
      </c>
      <c r="F60" s="27">
        <f>F56+F59</f>
        <v>0</v>
      </c>
      <c r="G60" s="28" t="s">
        <v>14</v>
      </c>
      <c r="H60" s="34"/>
    </row>
    <row r="61" spans="1:8" x14ac:dyDescent="0.2">
      <c r="A61" s="1"/>
      <c r="B61" s="32"/>
      <c r="C61" s="24"/>
      <c r="D61" s="24"/>
      <c r="E61" s="24"/>
      <c r="F61" s="24"/>
      <c r="G61" s="16"/>
      <c r="H61" s="23"/>
    </row>
    <row r="62" spans="1:8" x14ac:dyDescent="0.2">
      <c r="A62" s="1"/>
      <c r="B62" s="32"/>
      <c r="C62" s="23"/>
      <c r="D62" s="23"/>
      <c r="E62" s="23"/>
      <c r="F62" s="23"/>
      <c r="G62" s="16"/>
      <c r="H62" s="23"/>
    </row>
    <row r="63" spans="1:8" x14ac:dyDescent="0.2">
      <c r="A63" s="25" t="s">
        <v>55</v>
      </c>
      <c r="B63" s="36">
        <f>B47+B53</f>
        <v>2161</v>
      </c>
      <c r="C63" s="34"/>
      <c r="D63" s="34"/>
      <c r="E63" s="34"/>
      <c r="F63" s="34"/>
      <c r="G63" s="37"/>
      <c r="H63" s="34"/>
    </row>
    <row r="64" spans="1:8" x14ac:dyDescent="0.2">
      <c r="H64" s="4"/>
    </row>
  </sheetData>
  <pageMargins left="0.7" right="0.7" top="0.75" bottom="0.75" header="0.51180555555555496" footer="0.51180555555555496"/>
  <pageSetup paperSize="9" orientation="portrait" horizontalDpi="300" verticalDpi="300"/>
  <ignoredErrors>
    <ignoredError sqref="B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39" customWidth="1"/>
    <col min="9" max="9" width="13.5" customWidth="1"/>
  </cols>
  <sheetData>
    <row r="1" spans="1:9" s="42" customFormat="1" ht="16" x14ac:dyDescent="0.2">
      <c r="A1" s="40" t="s">
        <v>56</v>
      </c>
      <c r="B1" s="40" t="s">
        <v>57</v>
      </c>
      <c r="C1" s="40" t="s">
        <v>58</v>
      </c>
      <c r="D1" s="41" t="s">
        <v>59</v>
      </c>
      <c r="E1" s="41" t="s">
        <v>60</v>
      </c>
      <c r="F1" s="41" t="s">
        <v>61</v>
      </c>
      <c r="G1" s="41" t="s">
        <v>62</v>
      </c>
      <c r="H1" s="41" t="s">
        <v>63</v>
      </c>
    </row>
    <row r="2" spans="1:9" x14ac:dyDescent="0.2">
      <c r="A2" s="42"/>
    </row>
    <row r="3" spans="1:9" x14ac:dyDescent="0.2">
      <c r="A3" s="42" t="s">
        <v>7</v>
      </c>
      <c r="B3" t="s">
        <v>64</v>
      </c>
      <c r="D3" s="7">
        <v>21000</v>
      </c>
      <c r="E3" s="7">
        <v>10000</v>
      </c>
      <c r="F3" s="7">
        <v>31000</v>
      </c>
      <c r="G3" s="7">
        <v>0</v>
      </c>
      <c r="H3" s="39" t="s">
        <v>65</v>
      </c>
    </row>
    <row r="4" spans="1:9" x14ac:dyDescent="0.2">
      <c r="A4" s="42"/>
      <c r="B4" t="s">
        <v>66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39" t="s">
        <v>65</v>
      </c>
    </row>
    <row r="5" spans="1:9" x14ac:dyDescent="0.2">
      <c r="A5" s="42" t="s">
        <v>11</v>
      </c>
      <c r="B5" t="s">
        <v>67</v>
      </c>
      <c r="D5" s="43">
        <f>D3*12/260</f>
        <v>969.23076923076928</v>
      </c>
      <c r="E5" s="43">
        <f>E3*12/260</f>
        <v>461.53846153846155</v>
      </c>
      <c r="F5" s="43">
        <f>F3*12/260</f>
        <v>1430.7692307692307</v>
      </c>
      <c r="G5" s="43">
        <f>G3*12/260</f>
        <v>0</v>
      </c>
      <c r="H5" s="39" t="s">
        <v>65</v>
      </c>
      <c r="I5" s="44" t="s">
        <v>68</v>
      </c>
    </row>
    <row r="6" spans="1:9" x14ac:dyDescent="0.2">
      <c r="A6" s="42" t="s">
        <v>13</v>
      </c>
      <c r="B6" t="s">
        <v>69</v>
      </c>
      <c r="D6" s="10">
        <v>1</v>
      </c>
      <c r="E6" s="10">
        <v>1</v>
      </c>
      <c r="F6" s="10">
        <v>1</v>
      </c>
      <c r="G6" s="10">
        <v>1</v>
      </c>
      <c r="H6" s="39" t="s">
        <v>70</v>
      </c>
    </row>
    <row r="7" spans="1:9" x14ac:dyDescent="0.2">
      <c r="A7" s="42" t="s">
        <v>16</v>
      </c>
      <c r="B7" t="s">
        <v>71</v>
      </c>
      <c r="D7" s="43">
        <f>D5*D6</f>
        <v>969.23076923076928</v>
      </c>
      <c r="E7" s="43">
        <f>E5*E6</f>
        <v>461.53846153846155</v>
      </c>
      <c r="F7" s="43">
        <f>F5*F6</f>
        <v>1430.7692307692307</v>
      </c>
      <c r="G7" s="43">
        <f>G5*G6</f>
        <v>0</v>
      </c>
      <c r="H7" s="39" t="s">
        <v>65</v>
      </c>
      <c r="I7" s="45" t="s">
        <v>72</v>
      </c>
    </row>
    <row r="8" spans="1:9" x14ac:dyDescent="0.2">
      <c r="A8" s="42" t="s">
        <v>17</v>
      </c>
      <c r="B8" t="s">
        <v>73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39" t="s">
        <v>70</v>
      </c>
      <c r="I8" s="44" t="s">
        <v>68</v>
      </c>
    </row>
    <row r="9" spans="1:9" x14ac:dyDescent="0.2">
      <c r="A9" s="42" t="s">
        <v>18</v>
      </c>
      <c r="B9" t="s">
        <v>74</v>
      </c>
      <c r="D9" s="12">
        <v>0.5</v>
      </c>
      <c r="E9" s="12">
        <v>0.8</v>
      </c>
      <c r="F9" s="12">
        <v>0.2</v>
      </c>
      <c r="G9" s="12">
        <v>1</v>
      </c>
      <c r="H9" s="39" t="s">
        <v>65</v>
      </c>
    </row>
    <row r="10" spans="1:9" x14ac:dyDescent="0.2">
      <c r="A10" s="42" t="s">
        <v>20</v>
      </c>
      <c r="B10" t="s">
        <v>75</v>
      </c>
      <c r="D10" s="43">
        <f>D7*D9</f>
        <v>484.61538461538464</v>
      </c>
      <c r="E10" s="43">
        <f>E7*E9</f>
        <v>369.23076923076928</v>
      </c>
      <c r="F10" s="43">
        <f>F7*F9</f>
        <v>286.15384615384613</v>
      </c>
      <c r="G10" s="43">
        <f>G7*G9</f>
        <v>0</v>
      </c>
      <c r="H10" s="39" t="s">
        <v>65</v>
      </c>
    </row>
    <row r="11" spans="1:9" x14ac:dyDescent="0.2">
      <c r="A11" s="42" t="s">
        <v>21</v>
      </c>
      <c r="B11" t="s">
        <v>76</v>
      </c>
      <c r="D11" s="10">
        <v>1</v>
      </c>
      <c r="E11" s="10">
        <v>0.9</v>
      </c>
      <c r="F11" s="10">
        <v>0.25</v>
      </c>
      <c r="G11" s="10">
        <v>1</v>
      </c>
      <c r="H11" s="39" t="s">
        <v>65</v>
      </c>
    </row>
    <row r="12" spans="1:9" x14ac:dyDescent="0.2">
      <c r="A12" s="42" t="s">
        <v>22</v>
      </c>
      <c r="B12" t="s">
        <v>77</v>
      </c>
      <c r="D12" s="46">
        <f>D10*D11</f>
        <v>484.61538461538464</v>
      </c>
      <c r="E12" s="46">
        <f>E10*E11</f>
        <v>332.30769230769238</v>
      </c>
      <c r="F12" s="46">
        <f>F10*F11</f>
        <v>71.538461538461533</v>
      </c>
      <c r="G12" s="46">
        <f>G10*G11</f>
        <v>0</v>
      </c>
      <c r="H12" s="39" t="s">
        <v>65</v>
      </c>
    </row>
    <row r="13" spans="1:9" x14ac:dyDescent="0.2">
      <c r="A13" s="42" t="s">
        <v>23</v>
      </c>
      <c r="B13" t="s">
        <v>78</v>
      </c>
      <c r="C13" s="47">
        <f>ROUND(SUM(D10:G10)/SUM(D7:G7),2)</f>
        <v>0.4</v>
      </c>
      <c r="H13" s="39" t="s">
        <v>70</v>
      </c>
    </row>
    <row r="14" spans="1:9" x14ac:dyDescent="0.2">
      <c r="A14" s="42" t="s">
        <v>25</v>
      </c>
      <c r="B14" t="s">
        <v>79</v>
      </c>
      <c r="C14" s="7">
        <v>93634</v>
      </c>
      <c r="H14" s="39" t="s">
        <v>70</v>
      </c>
    </row>
    <row r="15" spans="1:9" x14ac:dyDescent="0.2">
      <c r="A15" s="42" t="s">
        <v>27</v>
      </c>
      <c r="B15" t="s">
        <v>80</v>
      </c>
      <c r="C15" s="11">
        <f>ROUND(6*C14/260, 0)</f>
        <v>2161</v>
      </c>
      <c r="H15" s="39" t="s">
        <v>70</v>
      </c>
      <c r="I15" s="44" t="s">
        <v>68</v>
      </c>
    </row>
    <row r="16" spans="1:9" x14ac:dyDescent="0.2">
      <c r="A16" s="42" t="s">
        <v>28</v>
      </c>
      <c r="B16" t="s">
        <v>81</v>
      </c>
      <c r="C16" s="11">
        <f>ROUND(C13*C15,0)</f>
        <v>864</v>
      </c>
      <c r="H16" s="39" t="s">
        <v>70</v>
      </c>
    </row>
    <row r="17" spans="1:9" hidden="1" x14ac:dyDescent="0.2">
      <c r="A17" s="48" t="s">
        <v>82</v>
      </c>
      <c r="B17" s="49" t="s">
        <v>83</v>
      </c>
      <c r="C17" s="50">
        <f>MIN(1, C16/SUM(D10:G10))</f>
        <v>0.75789473684210529</v>
      </c>
      <c r="D17" s="51"/>
      <c r="E17" s="51"/>
      <c r="F17" s="51"/>
      <c r="G17" s="51"/>
      <c r="H17" s="52" t="s">
        <v>65</v>
      </c>
    </row>
    <row r="18" spans="1:9" hidden="1" x14ac:dyDescent="0.2">
      <c r="A18" s="48" t="s">
        <v>84</v>
      </c>
      <c r="B18" s="49" t="s">
        <v>85</v>
      </c>
      <c r="C18" s="49"/>
      <c r="D18" s="51">
        <f>D10*ScalingFactor</f>
        <v>367.28744939271257</v>
      </c>
      <c r="E18" s="51">
        <f>E10*ScalingFactor</f>
        <v>279.83805668016197</v>
      </c>
      <c r="F18" s="51">
        <f>F10*ScalingFactor</f>
        <v>216.87449392712549</v>
      </c>
      <c r="G18" s="51">
        <f>G10*ScalingFactor</f>
        <v>0</v>
      </c>
      <c r="H18" s="52" t="s">
        <v>65</v>
      </c>
    </row>
    <row r="19" spans="1:9" hidden="1" x14ac:dyDescent="0.2">
      <c r="A19" s="48" t="s">
        <v>86</v>
      </c>
      <c r="B19" s="49" t="s">
        <v>87</v>
      </c>
      <c r="C19" s="49"/>
      <c r="D19" s="51">
        <f>MIN(D18,D12)</f>
        <v>367.28744939271257</v>
      </c>
      <c r="E19" s="51">
        <f>MIN(E18,E12)</f>
        <v>279.83805668016197</v>
      </c>
      <c r="F19" s="51">
        <f>MIN(F18,F12)</f>
        <v>71.538461538461533</v>
      </c>
      <c r="G19" s="51">
        <f>MIN(G18,G12)</f>
        <v>0</v>
      </c>
      <c r="H19" s="52" t="s">
        <v>65</v>
      </c>
    </row>
    <row r="20" spans="1:9" hidden="1" x14ac:dyDescent="0.2">
      <c r="A20" s="48"/>
      <c r="B20" s="49" t="s">
        <v>88</v>
      </c>
      <c r="C20" s="49"/>
      <c r="D20" s="51">
        <f>D19-D12</f>
        <v>-117.32793522267207</v>
      </c>
      <c r="E20" s="51">
        <f>E19-E12</f>
        <v>-52.469635627530408</v>
      </c>
      <c r="F20" s="51">
        <f>F19-F12</f>
        <v>0</v>
      </c>
      <c r="G20" s="51">
        <f>G19-G12</f>
        <v>0</v>
      </c>
      <c r="H20" s="52" t="s">
        <v>65</v>
      </c>
    </row>
    <row r="21" spans="1:9" hidden="1" x14ac:dyDescent="0.2">
      <c r="A21" s="48"/>
      <c r="B21" s="49" t="s">
        <v>89</v>
      </c>
      <c r="C21" s="49"/>
      <c r="D21" s="50">
        <f>IF(D20 &lt; 0, D4, 0)</f>
        <v>0.33870967741935482</v>
      </c>
      <c r="E21" s="50">
        <f>IF(E20 &lt; 0, E4, 0)</f>
        <v>0.16129032258064516</v>
      </c>
      <c r="F21" s="50">
        <f>IF(F20 &lt; 0, F4, 0)</f>
        <v>0</v>
      </c>
      <c r="G21" s="51"/>
      <c r="H21" s="52" t="s">
        <v>65</v>
      </c>
    </row>
    <row r="22" spans="1:9" hidden="1" x14ac:dyDescent="0.2">
      <c r="A22" s="48" t="s">
        <v>90</v>
      </c>
      <c r="B22" s="49" t="s">
        <v>91</v>
      </c>
      <c r="C22" s="49"/>
      <c r="D22" s="50">
        <f>IF(SUM(ShortfallIncomeRatioArb)=0,0,D21/SUM(ShortfallIncomeRatioArb))</f>
        <v>0.67741935483870963</v>
      </c>
      <c r="E22" s="50">
        <f>IF(SUM(ShortfallIncomeRatioArb)=0,0,E21/SUM(ShortfallIncomeRatioArb))</f>
        <v>0.32258064516129031</v>
      </c>
      <c r="F22" s="50">
        <f>IF(SUM(ShortfallIncomeRatioArb)=0,0,F21/SUM(ShortfallIncomeRatioArb))</f>
        <v>0</v>
      </c>
      <c r="G22" s="50">
        <f>IF(SUM(ShortfallIncomeRatioArb)=0,0,G21/SUM(ShortfallIncomeRatioArb))</f>
        <v>0</v>
      </c>
      <c r="H22" s="52" t="s">
        <v>65</v>
      </c>
    </row>
    <row r="23" spans="1:9" hidden="1" x14ac:dyDescent="0.2">
      <c r="A23" s="48"/>
      <c r="B23" s="49" t="s">
        <v>92</v>
      </c>
      <c r="C23" s="49"/>
      <c r="D23" s="51">
        <f>D18-D19</f>
        <v>0</v>
      </c>
      <c r="E23" s="51">
        <f>E18-E19</f>
        <v>0</v>
      </c>
      <c r="F23" s="51">
        <f>F18-F19</f>
        <v>145.33603238866397</v>
      </c>
      <c r="G23" s="51">
        <f>G18-G19</f>
        <v>0</v>
      </c>
      <c r="H23" s="52" t="s">
        <v>65</v>
      </c>
    </row>
    <row r="24" spans="1:9" hidden="1" x14ac:dyDescent="0.2">
      <c r="A24" s="48" t="s">
        <v>93</v>
      </c>
      <c r="B24" s="49" t="s">
        <v>94</v>
      </c>
      <c r="C24" s="49"/>
      <c r="D24" s="51">
        <f>MIN(-D20,IF(SUM($D$20:$G$20)&gt;=0, 0, SUM($D$23:$G$23)*D22))</f>
        <v>98.453441295546554</v>
      </c>
      <c r="E24" s="51">
        <f>MIN(-E20,IF(SUM($D$20:$G$20)&gt;=0, 0, SUM($D$23:$G$23)*E22))</f>
        <v>46.882591093117405</v>
      </c>
      <c r="F24" s="51">
        <f>MIN(-F20,IF(SUM($D$20:$G$20)&gt;=0, 0, SUM($D$23:$G$23)*F22))</f>
        <v>0</v>
      </c>
      <c r="G24" s="51">
        <f>MIN(-G20,IF(SUM($D$20:$G$20)&gt;=0, 0, SUM($D$23:$G$23)*G22))</f>
        <v>0</v>
      </c>
      <c r="H24" s="52" t="s">
        <v>65</v>
      </c>
    </row>
    <row r="25" spans="1:9" hidden="1" x14ac:dyDescent="0.2">
      <c r="A25" s="48"/>
      <c r="B25" s="49" t="s">
        <v>95</v>
      </c>
      <c r="C25" s="49"/>
      <c r="D25" s="50">
        <f>IF(D23 = 0, 0, D4)</f>
        <v>0</v>
      </c>
      <c r="E25" s="50">
        <f>IF(E23 = 0, 0, E4)</f>
        <v>0</v>
      </c>
      <c r="F25" s="50">
        <f>IF(F23 = 0, 0, F4)</f>
        <v>0.5</v>
      </c>
      <c r="G25" s="50">
        <f>IF(G23 = 0, 0, G4)</f>
        <v>0</v>
      </c>
      <c r="H25" s="52" t="s">
        <v>65</v>
      </c>
    </row>
    <row r="26" spans="1:9" hidden="1" x14ac:dyDescent="0.2">
      <c r="A26" s="48"/>
      <c r="B26" s="49" t="s">
        <v>96</v>
      </c>
      <c r="C26" s="49"/>
      <c r="D26" s="50">
        <f>IF(SUM(ShortfallIncomeRatioPerson)= 0, 0, D25/SUM(ShortfallIncomeRatioPerson))</f>
        <v>0</v>
      </c>
      <c r="E26" s="50">
        <f>IF(SUM(ShortfallIncomeRatioPerson)= 0, 0, E25/SUM(ShortfallIncomeRatioPerson))</f>
        <v>0</v>
      </c>
      <c r="F26" s="50">
        <f>IF(SUM(ShortfallIncomeRatioPerson)= 0, 0, F25/SUM(ShortfallIncomeRatioPerson))</f>
        <v>1</v>
      </c>
      <c r="G26" s="50">
        <f>IF(SUM(ShortfallIncomeRatioPerson)= 0, 0, G25/SUM(ShortfallIncomeRatioPerson))</f>
        <v>0</v>
      </c>
      <c r="H26" s="52" t="s">
        <v>65</v>
      </c>
    </row>
    <row r="27" spans="1:9" hidden="1" x14ac:dyDescent="0.2">
      <c r="A27" s="48" t="s">
        <v>35</v>
      </c>
      <c r="B27" s="49" t="s">
        <v>97</v>
      </c>
      <c r="C27" s="49"/>
      <c r="D27" s="53">
        <f>ROUND(D19+D24,0)</f>
        <v>466</v>
      </c>
      <c r="E27" s="53">
        <f>ROUND(E19+E24,0)</f>
        <v>327</v>
      </c>
      <c r="F27" s="53">
        <f>ROUND(F19+F24,0)</f>
        <v>72</v>
      </c>
      <c r="G27" s="51">
        <f>ROUND(G19+G24,0)</f>
        <v>0</v>
      </c>
      <c r="H27" s="52" t="s">
        <v>70</v>
      </c>
    </row>
    <row r="28" spans="1:9" hidden="1" x14ac:dyDescent="0.2">
      <c r="A28" s="48" t="s">
        <v>53</v>
      </c>
      <c r="B28" s="49" t="s">
        <v>98</v>
      </c>
      <c r="C28" s="49"/>
      <c r="D28" s="49">
        <f>ROUND(D23-SUM(AdjustmentArb)*D26,0)</f>
        <v>0</v>
      </c>
      <c r="E28" s="49">
        <f>ROUND(E23-SUM(AdjustmentArb)*E26,0)</f>
        <v>0</v>
      </c>
      <c r="F28" s="49">
        <f>ROUND(F23-SUM(AdjustmentArb)*F26,0)</f>
        <v>0</v>
      </c>
      <c r="G28" s="49">
        <f>ROUND(G23-SUM(AdjustmentArb)*G26,0)</f>
        <v>0</v>
      </c>
      <c r="H28" s="52" t="s">
        <v>70</v>
      </c>
    </row>
    <row r="29" spans="1:9" hidden="1" x14ac:dyDescent="0.2">
      <c r="A29" s="48"/>
      <c r="B29" s="49" t="s">
        <v>99</v>
      </c>
      <c r="C29" s="54">
        <f>C16-SUM(D27:G28)</f>
        <v>-1</v>
      </c>
      <c r="D29" s="49"/>
      <c r="E29" s="49"/>
      <c r="F29" s="49"/>
      <c r="G29" s="49"/>
      <c r="H29" s="52" t="s">
        <v>70</v>
      </c>
    </row>
    <row r="30" spans="1:9" x14ac:dyDescent="0.2">
      <c r="A30" s="42"/>
      <c r="C30" s="38"/>
    </row>
    <row r="31" spans="1:9" x14ac:dyDescent="0.2">
      <c r="A31" s="1" t="s">
        <v>20</v>
      </c>
      <c r="B31" s="17" t="s">
        <v>75</v>
      </c>
      <c r="C31" s="14"/>
      <c r="D31" s="29">
        <f>ROUND(D10,0)</f>
        <v>485</v>
      </c>
      <c r="E31" s="29">
        <f>ROUND(E10,0)</f>
        <v>369</v>
      </c>
      <c r="F31" s="29">
        <f>ROUND(F10,0)</f>
        <v>286</v>
      </c>
      <c r="G31" s="29">
        <f>ROUND(G10,0)</f>
        <v>0</v>
      </c>
      <c r="H31" s="16" t="s">
        <v>70</v>
      </c>
      <c r="I31" s="45" t="s">
        <v>72</v>
      </c>
    </row>
    <row r="32" spans="1:9" x14ac:dyDescent="0.2">
      <c r="A32" s="1" t="s">
        <v>30</v>
      </c>
      <c r="B32" s="17" t="s">
        <v>100</v>
      </c>
      <c r="C32" s="14"/>
      <c r="D32" s="29">
        <f>ROUND(D12,0)</f>
        <v>485</v>
      </c>
      <c r="E32" s="29">
        <f>ROUND(E12,0)</f>
        <v>332</v>
      </c>
      <c r="F32" s="29">
        <f>ROUND(F12,0)</f>
        <v>72</v>
      </c>
      <c r="G32" s="29">
        <f>ROUND(G12,0)</f>
        <v>0</v>
      </c>
      <c r="H32" s="16" t="s">
        <v>70</v>
      </c>
    </row>
    <row r="33" spans="1:8" x14ac:dyDescent="0.2">
      <c r="A33" s="1" t="s">
        <v>32</v>
      </c>
      <c r="B33" s="17" t="s">
        <v>101</v>
      </c>
      <c r="C33" s="14"/>
      <c r="D33" s="29">
        <f>D31-D32</f>
        <v>0</v>
      </c>
      <c r="E33" s="29">
        <f>E31-E32</f>
        <v>37</v>
      </c>
      <c r="F33" s="29">
        <f>F31-F32</f>
        <v>214</v>
      </c>
      <c r="G33" s="29">
        <f>G31-G32</f>
        <v>0</v>
      </c>
      <c r="H33" s="16" t="s">
        <v>70</v>
      </c>
    </row>
    <row r="34" spans="1:8" x14ac:dyDescent="0.2">
      <c r="A34" s="1"/>
      <c r="B34" s="55" t="s">
        <v>102</v>
      </c>
      <c r="C34" s="97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97"/>
      <c r="E34" s="97"/>
      <c r="F34" s="97"/>
      <c r="G34" s="97"/>
      <c r="H34" s="16"/>
    </row>
    <row r="35" spans="1:8" x14ac:dyDescent="0.2">
      <c r="A35" s="1" t="s">
        <v>35</v>
      </c>
      <c r="B35" s="17" t="s">
        <v>97</v>
      </c>
      <c r="C35" s="14"/>
      <c r="D35" s="17">
        <f>IF(SUM($D$32:$G$33)&lt;=MAKSBELOP,D32,IF(SUM($D$32:$G$32)&lt;=MAKSBELOP,D32,ROUND(D32*MAKSBELOP/SUM($D$32:$G$32),0)))</f>
        <v>471</v>
      </c>
      <c r="E35" s="17">
        <f>IF(SUM($D$32:$G$33)&lt;=MAKSBELOP,E32,IF(SUM($D$32:$G$32)&lt;=MAKSBELOP,E32,ROUND(E32*MAKSBELOP/SUM($D$32:$G$32),0)))</f>
        <v>323</v>
      </c>
      <c r="F35" s="17">
        <f>IF(SUM($D$32:$G$33)&lt;=MAKSBELOP,F32,IF(SUM($D$32:$G$32)&lt;=MAKSBELOP,F32,ROUND(F32*MAKSBELOP/SUM($D$32:$G$32),0)))</f>
        <v>70</v>
      </c>
      <c r="G35" s="17">
        <f>IF(SUM($D$32:$G$33)&lt;=MAKSBELOP,G32,IF(SUM($D$32:$G$32)&lt;=MAKSBELOP,G32,ROUND(G32*MAKSBELOP/SUM($D$32:$G$32),0)))</f>
        <v>0</v>
      </c>
      <c r="H35" s="16" t="s">
        <v>70</v>
      </c>
    </row>
    <row r="36" spans="1:8" hidden="1" x14ac:dyDescent="0.2">
      <c r="A36" s="1"/>
      <c r="B36" s="17" t="s">
        <v>103</v>
      </c>
      <c r="C36" s="14">
        <f>MAKSBELOP-SUM(D35:G35)</f>
        <v>0</v>
      </c>
      <c r="D36" s="17"/>
      <c r="E36" s="17"/>
      <c r="F36" s="17"/>
      <c r="G36" s="17"/>
      <c r="H36" s="16"/>
    </row>
    <row r="37" spans="1:8" x14ac:dyDescent="0.2">
      <c r="A37" s="1" t="s">
        <v>53</v>
      </c>
      <c r="B37" s="17" t="s">
        <v>98</v>
      </c>
      <c r="C37" s="17"/>
      <c r="D37" s="17">
        <f>IF(SUM($D$32:$G$33)&lt;=MAKSBELOP,D33,IF(SUM($D$32:$G$32)&lt;=MAKSBELOP,ROUND(PersonRemainder*D33/SUM($D$33:$G$33),0),0))</f>
        <v>0</v>
      </c>
      <c r="E37" s="17">
        <f>IF(SUM($D$32:$G$33)&lt;=MAKSBELOP,E33,IF(SUM($D$32:$G$32)&lt;=MAKSBELOP,ROUND(PersonRemainder*E33/SUM($D$33:$G$33),0),0))</f>
        <v>0</v>
      </c>
      <c r="F37" s="17">
        <f>IF(SUM($D$32:$G$33)&lt;=MAKSBELOP,F33,IF(SUM($D$32:$G$32)&lt;=MAKSBELOP,ROUND(PersonRemainder*F33/SUM($D$33:$G$33),0),0))</f>
        <v>0</v>
      </c>
      <c r="G37" s="17">
        <f>IF(SUM($D$32:$G$33)&lt;=MAKSBELOP,G33,IF(SUM($D$32:$G$32)&lt;=MAKSBELOP,ROUND(PersonRemainder*G33/SUM($D$33:$G$33),0),0))</f>
        <v>0</v>
      </c>
      <c r="H37" s="16" t="s">
        <v>70</v>
      </c>
    </row>
    <row r="38" spans="1:8" x14ac:dyDescent="0.2">
      <c r="A38" s="1"/>
      <c r="B38" s="17" t="s">
        <v>99</v>
      </c>
      <c r="C38" s="14">
        <f>MAKSBELOP-SUM(D35:G37)</f>
        <v>0</v>
      </c>
      <c r="D38" s="17"/>
      <c r="E38" s="17"/>
      <c r="F38" s="17"/>
      <c r="G38" s="17"/>
      <c r="H38" s="16" t="s">
        <v>70</v>
      </c>
    </row>
    <row r="40" spans="1:8" x14ac:dyDescent="0.2">
      <c r="A40" s="56" t="s">
        <v>104</v>
      </c>
      <c r="B40" s="57"/>
      <c r="C40" s="58"/>
      <c r="D40" s="59"/>
    </row>
    <row r="41" spans="1:8" x14ac:dyDescent="0.2">
      <c r="A41" s="98" t="s">
        <v>105</v>
      </c>
      <c r="B41" s="98"/>
      <c r="C41" s="98"/>
      <c r="D41" s="98"/>
    </row>
    <row r="43" spans="1:8" x14ac:dyDescent="0.2">
      <c r="A43" s="60" t="s">
        <v>106</v>
      </c>
      <c r="B43" s="61">
        <v>1430.76</v>
      </c>
    </row>
    <row r="44" spans="1:8" x14ac:dyDescent="0.2">
      <c r="A44" s="60" t="s">
        <v>107</v>
      </c>
      <c r="B44" s="61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0" t="s">
        <v>56</v>
      </c>
      <c r="B1" s="40" t="s">
        <v>57</v>
      </c>
      <c r="C1" s="40" t="s">
        <v>58</v>
      </c>
      <c r="D1" s="41" t="s">
        <v>59</v>
      </c>
      <c r="E1" s="41" t="s">
        <v>60</v>
      </c>
      <c r="F1" s="41" t="s">
        <v>61</v>
      </c>
      <c r="G1" s="41" t="s">
        <v>62</v>
      </c>
      <c r="H1" s="41" t="s">
        <v>63</v>
      </c>
    </row>
    <row r="2" spans="1:8" x14ac:dyDescent="0.2">
      <c r="A2" s="42"/>
      <c r="H2" s="39"/>
    </row>
    <row r="3" spans="1:8" x14ac:dyDescent="0.2">
      <c r="A3" s="42" t="s">
        <v>7</v>
      </c>
      <c r="B3" t="s">
        <v>64</v>
      </c>
      <c r="D3" s="7">
        <v>21000</v>
      </c>
      <c r="E3" s="7">
        <v>10000</v>
      </c>
      <c r="F3" s="7">
        <v>31000</v>
      </c>
      <c r="G3" s="7">
        <v>0</v>
      </c>
      <c r="H3" s="39" t="s">
        <v>65</v>
      </c>
    </row>
    <row r="4" spans="1:8" x14ac:dyDescent="0.2">
      <c r="A4" s="42"/>
      <c r="B4" t="s">
        <v>66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39" t="s">
        <v>65</v>
      </c>
    </row>
    <row r="5" spans="1:8" x14ac:dyDescent="0.2">
      <c r="A5" s="42" t="s">
        <v>11</v>
      </c>
      <c r="B5" t="s">
        <v>67</v>
      </c>
      <c r="D5" s="43">
        <f>D3*12/260</f>
        <v>969.23076923076928</v>
      </c>
      <c r="E5" s="43">
        <f>E3*12/260</f>
        <v>461.53846153846155</v>
      </c>
      <c r="F5" s="43">
        <f>F3*12/260</f>
        <v>1430.7692307692307</v>
      </c>
      <c r="G5" s="43">
        <f>G3*12/260</f>
        <v>0</v>
      </c>
      <c r="H5" s="39" t="s">
        <v>65</v>
      </c>
    </row>
    <row r="6" spans="1:8" x14ac:dyDescent="0.2">
      <c r="A6" s="42" t="s">
        <v>13</v>
      </c>
      <c r="B6" t="s">
        <v>69</v>
      </c>
      <c r="D6" s="10">
        <v>1</v>
      </c>
      <c r="E6" s="10">
        <v>1</v>
      </c>
      <c r="F6" s="10">
        <v>1</v>
      </c>
      <c r="G6" s="10">
        <v>1</v>
      </c>
      <c r="H6" s="39" t="s">
        <v>70</v>
      </c>
    </row>
    <row r="7" spans="1:8" x14ac:dyDescent="0.2">
      <c r="A7" s="42" t="s">
        <v>16</v>
      </c>
      <c r="B7" t="s">
        <v>71</v>
      </c>
      <c r="D7" s="43">
        <f>D5*D6</f>
        <v>969.23076923076928</v>
      </c>
      <c r="E7" s="43">
        <f>E5*E6</f>
        <v>461.53846153846155</v>
      </c>
      <c r="F7" s="43">
        <f>F5*F6</f>
        <v>1430.7692307692307</v>
      </c>
      <c r="G7" s="43">
        <f>G5*G6</f>
        <v>0</v>
      </c>
      <c r="H7" s="39" t="s">
        <v>65</v>
      </c>
    </row>
    <row r="8" spans="1:8" x14ac:dyDescent="0.2">
      <c r="A8" s="42" t="s">
        <v>17</v>
      </c>
      <c r="B8" t="s">
        <v>73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39" t="s">
        <v>70</v>
      </c>
    </row>
    <row r="9" spans="1:8" x14ac:dyDescent="0.2">
      <c r="A9" s="42" t="s">
        <v>18</v>
      </c>
      <c r="B9" t="s">
        <v>74</v>
      </c>
      <c r="D9" s="12">
        <v>0.5</v>
      </c>
      <c r="E9" s="12">
        <v>0.8</v>
      </c>
      <c r="F9" s="12">
        <v>0.2</v>
      </c>
      <c r="G9" s="12">
        <v>1</v>
      </c>
      <c r="H9" s="39" t="s">
        <v>65</v>
      </c>
    </row>
    <row r="10" spans="1:8" x14ac:dyDescent="0.2">
      <c r="A10" s="42" t="s">
        <v>20</v>
      </c>
      <c r="B10" t="s">
        <v>75</v>
      </c>
      <c r="D10" s="43">
        <f>D7*D9</f>
        <v>484.61538461538464</v>
      </c>
      <c r="E10" s="43">
        <f>E7*E9</f>
        <v>369.23076923076928</v>
      </c>
      <c r="F10" s="43">
        <f>F7*F9</f>
        <v>286.15384615384613</v>
      </c>
      <c r="G10" s="43">
        <f>G7*G9</f>
        <v>0</v>
      </c>
      <c r="H10" s="39" t="s">
        <v>65</v>
      </c>
    </row>
    <row r="11" spans="1:8" x14ac:dyDescent="0.2">
      <c r="A11" s="42" t="s">
        <v>21</v>
      </c>
      <c r="B11" t="s">
        <v>76</v>
      </c>
      <c r="D11" s="10">
        <v>1</v>
      </c>
      <c r="E11" s="10">
        <v>0.9</v>
      </c>
      <c r="F11" s="10">
        <v>0.25</v>
      </c>
      <c r="G11" s="10">
        <v>1</v>
      </c>
      <c r="H11" s="39" t="s">
        <v>65</v>
      </c>
    </row>
    <row r="12" spans="1:8" x14ac:dyDescent="0.2">
      <c r="A12" s="42" t="s">
        <v>22</v>
      </c>
      <c r="B12" t="s">
        <v>77</v>
      </c>
      <c r="D12" s="46">
        <f>D10*D11</f>
        <v>484.61538461538464</v>
      </c>
      <c r="E12" s="46">
        <f>E10*E11</f>
        <v>332.30769230769238</v>
      </c>
      <c r="F12" s="46">
        <f>F10*F11</f>
        <v>71.538461538461533</v>
      </c>
      <c r="G12" s="46">
        <f>G10*G11</f>
        <v>0</v>
      </c>
      <c r="H12" s="39" t="s">
        <v>65</v>
      </c>
    </row>
    <row r="13" spans="1:8" x14ac:dyDescent="0.2">
      <c r="A13" s="42" t="s">
        <v>23</v>
      </c>
      <c r="B13" t="s">
        <v>78</v>
      </c>
      <c r="C13" s="62">
        <f>SUM(D10:G10)/SUM(D7:G7)</f>
        <v>0.39838709677419348</v>
      </c>
      <c r="H13" s="39" t="s">
        <v>70</v>
      </c>
    </row>
    <row r="14" spans="1:8" x14ac:dyDescent="0.2">
      <c r="A14" s="42" t="s">
        <v>25</v>
      </c>
      <c r="B14" t="s">
        <v>79</v>
      </c>
      <c r="C14" s="7">
        <v>101351</v>
      </c>
      <c r="H14" s="39" t="s">
        <v>70</v>
      </c>
    </row>
    <row r="15" spans="1:8" x14ac:dyDescent="0.2">
      <c r="A15" s="42" t="s">
        <v>27</v>
      </c>
      <c r="B15" t="s">
        <v>80</v>
      </c>
      <c r="C15" s="63">
        <f>6*C14/260</f>
        <v>2338.8692307692309</v>
      </c>
      <c r="H15" s="39" t="s">
        <v>70</v>
      </c>
    </row>
    <row r="16" spans="1:8" x14ac:dyDescent="0.2">
      <c r="A16" s="42" t="s">
        <v>28</v>
      </c>
      <c r="B16" t="s">
        <v>81</v>
      </c>
      <c r="C16" s="63">
        <f>C13*C15</f>
        <v>931.77532258064502</v>
      </c>
      <c r="H16" s="39" t="s">
        <v>70</v>
      </c>
    </row>
    <row r="17" spans="1:8" hidden="1" x14ac:dyDescent="0.2">
      <c r="A17" s="48" t="s">
        <v>82</v>
      </c>
      <c r="B17" s="49" t="s">
        <v>83</v>
      </c>
      <c r="C17" s="50">
        <f>MIN(1, C16/SUM(D10:G10))</f>
        <v>0.81734677419354829</v>
      </c>
      <c r="D17" s="51"/>
      <c r="E17" s="51"/>
      <c r="F17" s="51"/>
      <c r="G17" s="51"/>
      <c r="H17" s="52" t="s">
        <v>65</v>
      </c>
    </row>
    <row r="18" spans="1:8" hidden="1" x14ac:dyDescent="0.2">
      <c r="A18" s="48" t="s">
        <v>84</v>
      </c>
      <c r="B18" s="49" t="s">
        <v>85</v>
      </c>
      <c r="C18" s="49"/>
      <c r="D18" s="51">
        <f>D10*ScalingFactor</f>
        <v>367.28744939271257</v>
      </c>
      <c r="E18" s="51">
        <f>E10*ScalingFactor</f>
        <v>279.83805668016197</v>
      </c>
      <c r="F18" s="51">
        <f>F10*ScalingFactor</f>
        <v>216.87449392712549</v>
      </c>
      <c r="G18" s="51">
        <f>G10*ScalingFactor</f>
        <v>0</v>
      </c>
      <c r="H18" s="52" t="s">
        <v>65</v>
      </c>
    </row>
    <row r="19" spans="1:8" hidden="1" x14ac:dyDescent="0.2">
      <c r="A19" s="48" t="s">
        <v>86</v>
      </c>
      <c r="B19" s="49" t="s">
        <v>87</v>
      </c>
      <c r="C19" s="49"/>
      <c r="D19" s="51">
        <f>MIN(D18,D12)</f>
        <v>367.28744939271257</v>
      </c>
      <c r="E19" s="51">
        <f>MIN(E18,E12)</f>
        <v>279.83805668016197</v>
      </c>
      <c r="F19" s="51">
        <f>MIN(F18,F12)</f>
        <v>71.538461538461533</v>
      </c>
      <c r="G19" s="51">
        <f>MIN(G18,G12)</f>
        <v>0</v>
      </c>
      <c r="H19" s="52" t="s">
        <v>65</v>
      </c>
    </row>
    <row r="20" spans="1:8" hidden="1" x14ac:dyDescent="0.2">
      <c r="A20" s="48"/>
      <c r="B20" s="49" t="s">
        <v>88</v>
      </c>
      <c r="C20" s="49"/>
      <c r="D20" s="51">
        <f>D19-D12</f>
        <v>-117.32793522267207</v>
      </c>
      <c r="E20" s="51">
        <f>E19-E12</f>
        <v>-52.469635627530408</v>
      </c>
      <c r="F20" s="51">
        <f>F19-F12</f>
        <v>0</v>
      </c>
      <c r="G20" s="51">
        <f>G19-G12</f>
        <v>0</v>
      </c>
      <c r="H20" s="52" t="s">
        <v>65</v>
      </c>
    </row>
    <row r="21" spans="1:8" hidden="1" x14ac:dyDescent="0.2">
      <c r="A21" s="48"/>
      <c r="B21" s="49" t="s">
        <v>89</v>
      </c>
      <c r="C21" s="49"/>
      <c r="D21" s="50">
        <f>IF(D20 &lt; 0, D4, 0)</f>
        <v>0.33870967741935482</v>
      </c>
      <c r="E21" s="50">
        <f>IF(E20 &lt; 0, E4, 0)</f>
        <v>0.16129032258064516</v>
      </c>
      <c r="F21" s="50">
        <f>IF(F20 &lt; 0, F4, 0)</f>
        <v>0</v>
      </c>
      <c r="G21" s="51"/>
      <c r="H21" s="52" t="s">
        <v>65</v>
      </c>
    </row>
    <row r="22" spans="1:8" hidden="1" x14ac:dyDescent="0.2">
      <c r="A22" s="48" t="s">
        <v>90</v>
      </c>
      <c r="B22" s="49" t="s">
        <v>91</v>
      </c>
      <c r="C22" s="49"/>
      <c r="D22" s="50">
        <f>IF(SUM(ShortfallIncomeRatioArb)=0,0,D21/SUM(ShortfallIncomeRatioArb))</f>
        <v>0.67741935483870963</v>
      </c>
      <c r="E22" s="50">
        <f>IF(SUM(ShortfallIncomeRatioArb)=0,0,E21/SUM(ShortfallIncomeRatioArb))</f>
        <v>0.32258064516129031</v>
      </c>
      <c r="F22" s="50">
        <f>IF(SUM(ShortfallIncomeRatioArb)=0,0,F21/SUM(ShortfallIncomeRatioArb))</f>
        <v>0</v>
      </c>
      <c r="G22" s="50">
        <f>IF(SUM(ShortfallIncomeRatioArb)=0,0,G21/SUM(ShortfallIncomeRatioArb))</f>
        <v>0</v>
      </c>
      <c r="H22" s="52" t="s">
        <v>65</v>
      </c>
    </row>
    <row r="23" spans="1:8" hidden="1" x14ac:dyDescent="0.2">
      <c r="A23" s="48"/>
      <c r="B23" s="49" t="s">
        <v>92</v>
      </c>
      <c r="C23" s="49"/>
      <c r="D23" s="51">
        <f>D18-D19</f>
        <v>0</v>
      </c>
      <c r="E23" s="51">
        <f>E18-E19</f>
        <v>0</v>
      </c>
      <c r="F23" s="51">
        <f>F18-F19</f>
        <v>145.33603238866397</v>
      </c>
      <c r="G23" s="51">
        <f>G18-G19</f>
        <v>0</v>
      </c>
      <c r="H23" s="52" t="s">
        <v>65</v>
      </c>
    </row>
    <row r="24" spans="1:8" hidden="1" x14ac:dyDescent="0.2">
      <c r="A24" s="48" t="s">
        <v>93</v>
      </c>
      <c r="B24" s="49" t="s">
        <v>94</v>
      </c>
      <c r="C24" s="49"/>
      <c r="D24" s="51">
        <f>MIN(-D20,IF(SUM($D$20:$G$20)&gt;=0, 0, SUM($D$23:$G$23)*D22))</f>
        <v>98.453441295546554</v>
      </c>
      <c r="E24" s="51">
        <f>MIN(-E20,IF(SUM($D$20:$G$20)&gt;=0, 0, SUM($D$23:$G$23)*E22))</f>
        <v>46.882591093117405</v>
      </c>
      <c r="F24" s="51">
        <f>MIN(-F20,IF(SUM($D$20:$G$20)&gt;=0, 0, SUM($D$23:$G$23)*F22))</f>
        <v>0</v>
      </c>
      <c r="G24" s="51">
        <f>MIN(-G20,IF(SUM($D$20:$G$20)&gt;=0, 0, SUM($D$23:$G$23)*G22))</f>
        <v>0</v>
      </c>
      <c r="H24" s="52" t="s">
        <v>65</v>
      </c>
    </row>
    <row r="25" spans="1:8" hidden="1" x14ac:dyDescent="0.2">
      <c r="A25" s="48"/>
      <c r="B25" s="49" t="s">
        <v>95</v>
      </c>
      <c r="C25" s="49"/>
      <c r="D25" s="50">
        <f>IF(D23 = 0, 0, D4)</f>
        <v>0</v>
      </c>
      <c r="E25" s="50">
        <f>IF(E23 = 0, 0, E4)</f>
        <v>0</v>
      </c>
      <c r="F25" s="50">
        <f>IF(F23 = 0, 0, F4)</f>
        <v>0.5</v>
      </c>
      <c r="G25" s="50">
        <f>IF(G23 = 0, 0, G4)</f>
        <v>0</v>
      </c>
      <c r="H25" s="52" t="s">
        <v>65</v>
      </c>
    </row>
    <row r="26" spans="1:8" hidden="1" x14ac:dyDescent="0.2">
      <c r="A26" s="48"/>
      <c r="B26" s="49" t="s">
        <v>96</v>
      </c>
      <c r="C26" s="49"/>
      <c r="D26" s="50">
        <f>IF(SUM(ShortfallIncomeRatioPerson)= 0, 0, D25/SUM(ShortfallIncomeRatioPerson))</f>
        <v>0</v>
      </c>
      <c r="E26" s="50">
        <f>IF(SUM(ShortfallIncomeRatioPerson)= 0, 0, E25/SUM(ShortfallIncomeRatioPerson))</f>
        <v>0</v>
      </c>
      <c r="F26" s="50">
        <f>IF(SUM(ShortfallIncomeRatioPerson)= 0, 0, F25/SUM(ShortfallIncomeRatioPerson))</f>
        <v>1</v>
      </c>
      <c r="G26" s="50">
        <f>IF(SUM(ShortfallIncomeRatioPerson)= 0, 0, G25/SUM(ShortfallIncomeRatioPerson))</f>
        <v>0</v>
      </c>
      <c r="H26" s="52" t="s">
        <v>65</v>
      </c>
    </row>
    <row r="27" spans="1:8" hidden="1" x14ac:dyDescent="0.2">
      <c r="A27" s="48" t="s">
        <v>35</v>
      </c>
      <c r="B27" s="49" t="s">
        <v>97</v>
      </c>
      <c r="C27" s="49"/>
      <c r="D27" s="53">
        <f>ROUND(D19+D24,0)</f>
        <v>466</v>
      </c>
      <c r="E27" s="53">
        <f>ROUND(E19+E24,0)</f>
        <v>327</v>
      </c>
      <c r="F27" s="53">
        <f>ROUND(F19+F24,0)</f>
        <v>72</v>
      </c>
      <c r="G27" s="51">
        <f>ROUND(G19+G24,0)</f>
        <v>0</v>
      </c>
      <c r="H27" s="52" t="s">
        <v>70</v>
      </c>
    </row>
    <row r="28" spans="1:8" hidden="1" x14ac:dyDescent="0.2">
      <c r="A28" s="48" t="s">
        <v>53</v>
      </c>
      <c r="B28" s="49" t="s">
        <v>98</v>
      </c>
      <c r="C28" s="49"/>
      <c r="D28" s="49">
        <f>ROUND(D23-SUM(AdjustmentArb)*D26,0)</f>
        <v>0</v>
      </c>
      <c r="E28" s="49">
        <f>ROUND(E23-SUM(AdjustmentArb)*E26,0)</f>
        <v>0</v>
      </c>
      <c r="F28" s="49">
        <f>ROUND(F23-SUM(AdjustmentArb)*F26,0)</f>
        <v>0</v>
      </c>
      <c r="G28" s="49">
        <f>ROUND(G23-SUM(AdjustmentArb)*G26,0)</f>
        <v>0</v>
      </c>
      <c r="H28" s="52" t="s">
        <v>70</v>
      </c>
    </row>
    <row r="29" spans="1:8" hidden="1" x14ac:dyDescent="0.2">
      <c r="A29" s="48"/>
      <c r="B29" s="49" t="s">
        <v>99</v>
      </c>
      <c r="C29" s="54">
        <f>C16-SUM(D27:G28)</f>
        <v>66.775322580645025</v>
      </c>
      <c r="D29" s="49"/>
      <c r="E29" s="49"/>
      <c r="F29" s="49"/>
      <c r="G29" s="49"/>
      <c r="H29" s="52" t="s">
        <v>70</v>
      </c>
    </row>
    <row r="30" spans="1:8" x14ac:dyDescent="0.2">
      <c r="A30" s="42"/>
      <c r="C30" s="38"/>
      <c r="H30" s="39"/>
    </row>
    <row r="31" spans="1:8" x14ac:dyDescent="0.2">
      <c r="A31" s="1" t="s">
        <v>20</v>
      </c>
      <c r="B31" s="17" t="s">
        <v>75</v>
      </c>
      <c r="C31" s="14"/>
      <c r="D31" s="64">
        <f>D10</f>
        <v>484.61538461538464</v>
      </c>
      <c r="E31" s="64">
        <f>E10</f>
        <v>369.23076923076928</v>
      </c>
      <c r="F31" s="64">
        <f>F10</f>
        <v>286.15384615384613</v>
      </c>
      <c r="G31" s="29">
        <f>ROUND(G10,0)</f>
        <v>0</v>
      </c>
      <c r="H31" s="16" t="s">
        <v>70</v>
      </c>
    </row>
    <row r="32" spans="1:8" x14ac:dyDescent="0.2">
      <c r="A32" s="1" t="s">
        <v>30</v>
      </c>
      <c r="B32" s="17" t="s">
        <v>100</v>
      </c>
      <c r="C32" s="14"/>
      <c r="D32" s="64">
        <f>D12</f>
        <v>484.61538461538464</v>
      </c>
      <c r="E32" s="64">
        <f>E12</f>
        <v>332.30769230769238</v>
      </c>
      <c r="F32" s="64">
        <f>F12</f>
        <v>71.538461538461533</v>
      </c>
      <c r="G32" s="29">
        <f>ROUND(G12,0)</f>
        <v>0</v>
      </c>
      <c r="H32" s="16" t="s">
        <v>70</v>
      </c>
    </row>
    <row r="33" spans="1:8" x14ac:dyDescent="0.2">
      <c r="A33" s="1" t="s">
        <v>32</v>
      </c>
      <c r="B33" s="17" t="s">
        <v>101</v>
      </c>
      <c r="C33" s="14"/>
      <c r="D33" s="64">
        <f>D31-D32</f>
        <v>0</v>
      </c>
      <c r="E33" s="64">
        <f>E31-E32</f>
        <v>36.923076923076906</v>
      </c>
      <c r="F33" s="64">
        <f>F31-F32</f>
        <v>214.61538461538458</v>
      </c>
      <c r="G33" s="29">
        <f>G31-G32</f>
        <v>0</v>
      </c>
      <c r="H33" s="16" t="s">
        <v>70</v>
      </c>
    </row>
    <row r="34" spans="1:8" x14ac:dyDescent="0.2">
      <c r="A34" s="1"/>
      <c r="B34" s="55" t="s">
        <v>102</v>
      </c>
      <c r="C34" s="97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97"/>
      <c r="E34" s="97"/>
      <c r="F34" s="97"/>
      <c r="G34" s="97"/>
      <c r="H34" s="16"/>
    </row>
    <row r="35" spans="1:8" x14ac:dyDescent="0.2">
      <c r="A35" s="1" t="s">
        <v>35</v>
      </c>
      <c r="B35" s="17" t="s">
        <v>97</v>
      </c>
      <c r="C35" s="14"/>
      <c r="D35" s="17">
        <f>IF(SUM($D$32:$G$33)&lt;=MAKSBELOP2,ROUND(D32,0),IF(SUM($D$32:$G$32)&lt;=MAKSBELOP2,ROUND(D32,0),ROUND(D32*MAKSBELOP2/SUM($D$32:$G$32),0)))</f>
        <v>485</v>
      </c>
      <c r="E35" s="17">
        <f>IF(SUM($D$32:$G$33)&lt;=MAKSBELOP2,ROUND(E32,0),IF(SUM($D$32:$G$32)&lt;=MAKSBELOP2,ROUND(E32,0),ROUND(E32*MAKSBELOP2/SUM($D$32:$G$32),0)))</f>
        <v>332</v>
      </c>
      <c r="F35" s="17">
        <f>IF(SUM($D$32:$G$33)&lt;=MAKSBELOP2,ROUND(F32,0),IF(SUM($D$32:$G$32)&lt;=MAKSBELOP2,ROUND(F32,0),ROUND(F32*MAKSBELOP2/SUM($D$32:$G$32),0)))</f>
        <v>72</v>
      </c>
      <c r="G35" s="17">
        <f>IF(SUM($D$32:$G$33)&lt;=MAKSBELOP,G32,IF(SUM($D$32:$G$32)&lt;=MAKSBELOP,G32,ROUND(G32*MAKSBELOP/SUM($D$32:$G$32),0)))</f>
        <v>0</v>
      </c>
      <c r="H35" s="16" t="s">
        <v>70</v>
      </c>
    </row>
    <row r="36" spans="1:8" x14ac:dyDescent="0.2">
      <c r="A36" s="1"/>
      <c r="B36" s="17" t="s">
        <v>103</v>
      </c>
      <c r="C36" s="65">
        <f>MAKSBELOP2-SUM(D35:G35)</f>
        <v>42.775322580645025</v>
      </c>
      <c r="D36" s="17"/>
      <c r="E36" s="17"/>
      <c r="F36" s="17"/>
      <c r="G36" s="17"/>
      <c r="H36" s="16"/>
    </row>
    <row r="37" spans="1:8" x14ac:dyDescent="0.2">
      <c r="A37" s="1" t="s">
        <v>53</v>
      </c>
      <c r="B37" s="17" t="s">
        <v>98</v>
      </c>
      <c r="C37" s="17"/>
      <c r="D37" s="24">
        <f>IF(SUM($D$32:$G$33)&lt;=MAKSBELOP2,ROUND(D33,0),IF(SUM($D$32:$G$32)&lt;=MAKSBELOP2,ROUND(PersonRemainder2*D33/SUM($D$33:$G$33),0),0))</f>
        <v>0</v>
      </c>
      <c r="E37" s="24">
        <f>IF(SUM($D$32:$G$33)&lt;=MAKSBELOP2,ROUND(E33,0),IF(SUM($D$32:$G$32)&lt;=MAKSBELOP2,ROUND(PersonRemainder2*E33/SUM($D$33:$G$33),0),0))</f>
        <v>6</v>
      </c>
      <c r="F37" s="24">
        <f>IF(SUM($D$32:$G$33)&lt;=MAKSBELOP2,ROUND(F33,0),IF(SUM($D$32:$G$32)&lt;=MAKSBELOP2,ROUND(PersonRemainder2*F33/SUM($D$33:$G$33),0),0))</f>
        <v>36</v>
      </c>
      <c r="G37" s="17">
        <f>IF(SUM($D$32:$G$33)&lt;=MAKSBELOP,G33,IF(SUM($D$32:$G$32)&lt;=MAKSBELOP,ROUND(PersonRemainder*G33/SUM($D$33:$G$33),0),0))</f>
        <v>0</v>
      </c>
      <c r="H37" s="16" t="s">
        <v>70</v>
      </c>
    </row>
    <row r="38" spans="1:8" x14ac:dyDescent="0.2">
      <c r="A38" s="1"/>
      <c r="B38" s="17" t="s">
        <v>99</v>
      </c>
      <c r="C38" s="65">
        <f>MAKSBELOP2-SUM(D35:G37)</f>
        <v>0.77532258064502457</v>
      </c>
      <c r="D38" s="17"/>
      <c r="E38" s="17"/>
      <c r="F38" s="17"/>
      <c r="G38" s="17"/>
      <c r="H38" s="16" t="s">
        <v>70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2022-06-21T12:28:10Z</dcterms:modified>
  <dc:language>en-US</dc:language>
</cp:coreProperties>
</file>