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/dev/nav/helse-spleis/doc/okonomi/"/>
    </mc:Choice>
  </mc:AlternateContent>
  <xr:revisionPtr revIDLastSave="0" documentId="13_ncr:1_{C33B8B89-FAF3-844D-9564-79DACC236F23}" xr6:coauthVersionLast="47" xr6:coauthVersionMax="47" xr10:uidLastSave="{00000000-0000-0000-0000-000000000000}"/>
  <bookViews>
    <workbookView xWindow="0" yWindow="500" windowWidth="65700" windowHeight="36520" tabRatio="500" xr2:uid="{00000000-000D-0000-FFFF-FFFF00000000}"/>
  </bookViews>
  <sheets>
    <sheet name="Flere arbeidsgivere, ny " sheetId="1" r:id="rId1"/>
    <sheet name="Flere arbeidsgivere, gammel" sheetId="2" r:id="rId2"/>
    <sheet name="Flere arbeidsgivere, eldre" sheetId="3" r:id="rId3"/>
  </sheets>
  <definedNames>
    <definedName name="AdjustmentArb">'Flere arbeidsgivere, gammel'!$D$24:$G$24</definedName>
    <definedName name="MAKSBELOP">'Flere arbeidsgivere, gammel'!$C$16</definedName>
    <definedName name="MAKSBELOP2">'Flere arbeidsgivere, eldre'!$C$16</definedName>
    <definedName name="MAKSBELOP3">'Flere arbeidsgivere, ny '!#REF!</definedName>
    <definedName name="PersonRemainder">'Flere arbeidsgivere, gammel'!$C$36</definedName>
    <definedName name="PersonRemainder2">'Flere arbeidsgivere, eldre'!$C$36</definedName>
    <definedName name="ScalingFactor">'Flere arbeidsgivere, gammel'!$C$17</definedName>
    <definedName name="ShortfallIncomeRatioArb">'Flere arbeidsgivere, gammel'!$D$21:$G$21</definedName>
    <definedName name="ShortfallIncomeRatioPerson">'Flere arbeidsgivere, gammel'!$D$25:$G$25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48" i="1" l="1"/>
  <c r="D49" i="1"/>
  <c r="B35" i="1"/>
  <c r="B30" i="1"/>
  <c r="C47" i="1"/>
  <c r="D47" i="1"/>
  <c r="E47" i="1"/>
  <c r="F47" i="1"/>
  <c r="D6" i="1"/>
  <c r="C6" i="1"/>
  <c r="B11" i="1"/>
  <c r="B12" i="1" s="1"/>
  <c r="F6" i="1"/>
  <c r="E6" i="1"/>
  <c r="E49" i="1" l="1"/>
  <c r="C49" i="1"/>
  <c r="F49" i="1"/>
  <c r="B7" i="1"/>
  <c r="D5" i="1" l="1"/>
  <c r="D16" i="1" s="1"/>
  <c r="E5" i="1"/>
  <c r="E16" i="1" s="1"/>
  <c r="E18" i="1" s="1"/>
  <c r="F5" i="1"/>
  <c r="F16" i="1" s="1"/>
  <c r="F18" i="1" s="1"/>
  <c r="C5" i="1"/>
  <c r="C16" i="1" s="1"/>
  <c r="C18" i="1" s="1"/>
  <c r="C20" i="1" s="1"/>
  <c r="C23" i="1" s="1"/>
  <c r="C15" i="3"/>
  <c r="G10" i="3"/>
  <c r="G31" i="3" s="1"/>
  <c r="G5" i="3"/>
  <c r="G7" i="3" s="1"/>
  <c r="G8" i="3" s="1"/>
  <c r="F5" i="3"/>
  <c r="F7" i="3" s="1"/>
  <c r="E5" i="3"/>
  <c r="E7" i="3" s="1"/>
  <c r="D5" i="3"/>
  <c r="D7" i="3" s="1"/>
  <c r="G4" i="3"/>
  <c r="F4" i="3"/>
  <c r="E4" i="3"/>
  <c r="D4" i="3"/>
  <c r="B44" i="2"/>
  <c r="C15" i="2"/>
  <c r="G5" i="2"/>
  <c r="G7" i="2" s="1"/>
  <c r="G10" i="2" s="1"/>
  <c r="F5" i="2"/>
  <c r="F7" i="2" s="1"/>
  <c r="E5" i="2"/>
  <c r="E7" i="2" s="1"/>
  <c r="D5" i="2"/>
  <c r="D7" i="2" s="1"/>
  <c r="G4" i="2"/>
  <c r="F4" i="2"/>
  <c r="E4" i="2"/>
  <c r="D4" i="2"/>
  <c r="D18" i="1"/>
  <c r="F4" i="1"/>
  <c r="F19" i="1" s="1"/>
  <c r="C32" i="1" l="1"/>
  <c r="C33" i="1"/>
  <c r="B9" i="1"/>
  <c r="B13" i="1" s="1"/>
  <c r="D8" i="2"/>
  <c r="D10" i="2"/>
  <c r="E8" i="2"/>
  <c r="E10" i="2"/>
  <c r="G31" i="2"/>
  <c r="G33" i="2" s="1"/>
  <c r="G12" i="2"/>
  <c r="G32" i="2" s="1"/>
  <c r="D20" i="1"/>
  <c r="D23" i="1" s="1"/>
  <c r="E20" i="1"/>
  <c r="E23" i="1" s="1"/>
  <c r="F20" i="1"/>
  <c r="F23" i="1" s="1"/>
  <c r="D8" i="3"/>
  <c r="D10" i="3"/>
  <c r="E8" i="3"/>
  <c r="E10" i="3"/>
  <c r="G12" i="3"/>
  <c r="G32" i="3" s="1"/>
  <c r="G33" i="3" s="1"/>
  <c r="F8" i="2"/>
  <c r="G8" i="2"/>
  <c r="F8" i="3"/>
  <c r="F10" i="2"/>
  <c r="F10" i="3"/>
  <c r="C4" i="1"/>
  <c r="C19" i="1" s="1"/>
  <c r="D4" i="1"/>
  <c r="D19" i="1" s="1"/>
  <c r="E4" i="1"/>
  <c r="E19" i="1" s="1"/>
  <c r="B21" i="1" l="1"/>
  <c r="B24" i="1"/>
  <c r="C34" i="1"/>
  <c r="B14" i="1"/>
  <c r="B28" i="1"/>
  <c r="F31" i="3"/>
  <c r="F12" i="3"/>
  <c r="F32" i="3" s="1"/>
  <c r="D31" i="3"/>
  <c r="C13" i="3"/>
  <c r="C16" i="3" s="1"/>
  <c r="D12" i="3"/>
  <c r="D32" i="3" s="1"/>
  <c r="F32" i="1"/>
  <c r="F33" i="1"/>
  <c r="E32" i="1"/>
  <c r="E33" i="1"/>
  <c r="F31" i="2"/>
  <c r="F12" i="2"/>
  <c r="F32" i="2" s="1"/>
  <c r="D32" i="1"/>
  <c r="D33" i="1"/>
  <c r="E31" i="2"/>
  <c r="E12" i="2"/>
  <c r="E32" i="2" s="1"/>
  <c r="E31" i="3"/>
  <c r="E12" i="3"/>
  <c r="E32" i="3" s="1"/>
  <c r="D12" i="2"/>
  <c r="D32" i="2" s="1"/>
  <c r="D31" i="2"/>
  <c r="D33" i="2" s="1"/>
  <c r="C13" i="2"/>
  <c r="C16" i="2" s="1"/>
  <c r="B25" i="1" l="1"/>
  <c r="B26" i="1"/>
  <c r="B22" i="1"/>
  <c r="B29" i="1"/>
  <c r="D34" i="1"/>
  <c r="C17" i="2"/>
  <c r="D35" i="2"/>
  <c r="F33" i="2"/>
  <c r="E34" i="1"/>
  <c r="E33" i="3"/>
  <c r="F34" i="1"/>
  <c r="C17" i="3"/>
  <c r="E33" i="2"/>
  <c r="F35" i="2" s="1"/>
  <c r="D33" i="3"/>
  <c r="E35" i="3" s="1"/>
  <c r="F33" i="3"/>
  <c r="B27" i="1" l="1"/>
  <c r="F35" i="3"/>
  <c r="G35" i="2"/>
  <c r="G18" i="3"/>
  <c r="G18" i="2"/>
  <c r="F18" i="3"/>
  <c r="D18" i="3"/>
  <c r="E18" i="2"/>
  <c r="E18" i="3"/>
  <c r="D18" i="2"/>
  <c r="F18" i="2"/>
  <c r="C34" i="2"/>
  <c r="C34" i="3"/>
  <c r="G35" i="3"/>
  <c r="E37" i="2"/>
  <c r="G37" i="3"/>
  <c r="D37" i="2"/>
  <c r="F37" i="2"/>
  <c r="C36" i="2"/>
  <c r="D35" i="3"/>
  <c r="G37" i="2"/>
  <c r="E35" i="2"/>
  <c r="C38" i="2" s="1"/>
  <c r="C37" i="1" l="1"/>
  <c r="D37" i="1"/>
  <c r="D43" i="1" s="1"/>
  <c r="F37" i="1"/>
  <c r="F43" i="1" s="1"/>
  <c r="E37" i="1"/>
  <c r="E38" i="1" s="1"/>
  <c r="F19" i="3"/>
  <c r="F23" i="3" s="1"/>
  <c r="D19" i="2"/>
  <c r="D23" i="2"/>
  <c r="G19" i="2"/>
  <c r="G23" i="2"/>
  <c r="G19" i="3"/>
  <c r="G23" i="3"/>
  <c r="E19" i="3"/>
  <c r="C36" i="3"/>
  <c r="E19" i="2"/>
  <c r="F19" i="2"/>
  <c r="D19" i="3"/>
  <c r="D23" i="3" s="1"/>
  <c r="C38" i="1" l="1"/>
  <c r="D38" i="1"/>
  <c r="C43" i="1"/>
  <c r="F38" i="1"/>
  <c r="E43" i="1"/>
  <c r="D25" i="3"/>
  <c r="F25" i="3"/>
  <c r="G25" i="2"/>
  <c r="E20" i="3"/>
  <c r="E20" i="2"/>
  <c r="D20" i="3"/>
  <c r="E23" i="3"/>
  <c r="G25" i="3"/>
  <c r="D25" i="2"/>
  <c r="G20" i="3"/>
  <c r="G20" i="2"/>
  <c r="E23" i="2"/>
  <c r="D20" i="2"/>
  <c r="F20" i="2"/>
  <c r="F23" i="2"/>
  <c r="E37" i="3"/>
  <c r="F37" i="3"/>
  <c r="D37" i="3"/>
  <c r="F20" i="3"/>
  <c r="B39" i="1" l="1"/>
  <c r="B40" i="1" s="1"/>
  <c r="B41" i="1" s="1"/>
  <c r="B42" i="1" s="1"/>
  <c r="B47" i="1" s="1"/>
  <c r="E21" i="2"/>
  <c r="F21" i="3"/>
  <c r="F21" i="2"/>
  <c r="C38" i="3"/>
  <c r="D21" i="3"/>
  <c r="E25" i="2"/>
  <c r="E25" i="3"/>
  <c r="D21" i="2"/>
  <c r="E21" i="3"/>
  <c r="G26" i="3"/>
  <c r="G26" i="2"/>
  <c r="F26" i="2"/>
  <c r="F25" i="2"/>
  <c r="E26" i="3" s="1"/>
  <c r="G22" i="3" l="1"/>
  <c r="G24" i="3" s="1"/>
  <c r="G27" i="3" s="1"/>
  <c r="G22" i="2"/>
  <c r="G24" i="2" s="1"/>
  <c r="G27" i="2" s="1"/>
  <c r="F22" i="3"/>
  <c r="F24" i="3" s="1"/>
  <c r="F27" i="3" s="1"/>
  <c r="F22" i="2"/>
  <c r="F24" i="2" s="1"/>
  <c r="F27" i="2" s="1"/>
  <c r="E22" i="3"/>
  <c r="E24" i="3" s="1"/>
  <c r="E27" i="3" s="1"/>
  <c r="E22" i="2"/>
  <c r="E24" i="2" s="1"/>
  <c r="E27" i="2" s="1"/>
  <c r="D22" i="3"/>
  <c r="D24" i="3" s="1"/>
  <c r="D27" i="3" s="1"/>
  <c r="D22" i="2"/>
  <c r="D24" i="2" s="1"/>
  <c r="D27" i="2" s="1"/>
  <c r="F26" i="3"/>
  <c r="F28" i="3" s="1"/>
  <c r="D26" i="2"/>
  <c r="D28" i="2" s="1"/>
  <c r="E26" i="2"/>
  <c r="E28" i="2" s="1"/>
  <c r="D26" i="3"/>
  <c r="D28" i="3" s="1"/>
  <c r="G28" i="3" l="1"/>
  <c r="G28" i="2"/>
  <c r="F28" i="2"/>
  <c r="C29" i="2" s="1"/>
  <c r="E28" i="3"/>
  <c r="C29" i="3" s="1"/>
  <c r="C44" i="1" l="1"/>
  <c r="C45" i="1" s="1"/>
  <c r="D44" i="1"/>
  <c r="D45" i="1" s="1"/>
  <c r="E44" i="1"/>
  <c r="E45" i="1" s="1"/>
  <c r="F44" i="1"/>
  <c r="F45" i="1" s="1"/>
  <c r="D50" i="1" l="1"/>
  <c r="F50" i="1" l="1"/>
  <c r="F52" i="1" s="1"/>
  <c r="E50" i="1"/>
  <c r="B57" i="1"/>
  <c r="C50" i="1"/>
  <c r="D52" i="1"/>
  <c r="E52" i="1" l="1"/>
  <c r="B51" i="1"/>
  <c r="C52" i="1"/>
  <c r="F53" i="1" l="1"/>
  <c r="F54" i="1" s="1"/>
  <c r="E53" i="1"/>
  <c r="E54" i="1" s="1"/>
  <c r="D53" i="1"/>
  <c r="D54" i="1" s="1"/>
  <c r="C53" i="1"/>
  <c r="C54" i="1" s="1"/>
</calcChain>
</file>

<file path=xl/sharedStrings.xml><?xml version="1.0" encoding="utf-8"?>
<sst xmlns="http://schemas.openxmlformats.org/spreadsheetml/2006/main" count="361" uniqueCount="151">
  <si>
    <t xml:space="preserve">Begrep	</t>
  </si>
  <si>
    <t>Arbeidsgiver 1</t>
  </si>
  <si>
    <t>Arbeidsgiver 2</t>
  </si>
  <si>
    <t>Arbeidsgiver 3</t>
  </si>
  <si>
    <t>Arbeidsgiver 4</t>
  </si>
  <si>
    <t>Type</t>
  </si>
  <si>
    <t>Kommentar</t>
  </si>
  <si>
    <t>Aktuell månedsinntekt (§ 8-28.)</t>
  </si>
  <si>
    <t>Desimaltall</t>
  </si>
  <si>
    <t>Beregnet månedsinntekt etter § 8-28</t>
  </si>
  <si>
    <t>Arbeidsforholdets inntekts andel av den totale inntekten</t>
  </si>
  <si>
    <t>Aktuell dagsinntekt</t>
  </si>
  <si>
    <t>Dagsats beregnet kun ut ifra beregnet månedsinntekt (uten hensyn til andre arbeidsforhold,grad etc)</t>
  </si>
  <si>
    <t>Dekningsgrad</t>
  </si>
  <si>
    <t>Heltall</t>
  </si>
  <si>
    <t>For arbeidstaker er det 100%, for næringsdrivende 80%</t>
  </si>
  <si>
    <t>Dekningsgrunnlag</t>
  </si>
  <si>
    <t>Dagsats</t>
  </si>
  <si>
    <t>Grad</t>
  </si>
  <si>
    <t>Arbeidsuførhetsgrad</t>
  </si>
  <si>
    <t>Gradert dekningsgrunnlag</t>
  </si>
  <si>
    <t>Maks dagsats redusert for arbeidsuførhetsgrad</t>
  </si>
  <si>
    <t>Refusjonsgrad</t>
  </si>
  <si>
    <t>Forventet refusjon</t>
  </si>
  <si>
    <t>Sykdomsgrad</t>
  </si>
  <si>
    <t>Den totale graden av arbeidsuførhet på tvers av alle arbeidsforholdene</t>
  </si>
  <si>
    <t>Grunnbeløp</t>
  </si>
  <si>
    <t>Grunnbeløpet pr år</t>
  </si>
  <si>
    <t>6G</t>
  </si>
  <si>
    <t>Maksbeløp</t>
  </si>
  <si>
    <t>Maks dagsats redusert for grad av arbeidsuførhet</t>
  </si>
  <si>
    <t>Arbeidsgiverbeløp før 6g</t>
  </si>
  <si>
    <t>Det beløpet arbeidsgiver krever refundert/forventer å få ut ifra refusjonsgrad</t>
  </si>
  <si>
    <t>Personbeløp før 6g</t>
  </si>
  <si>
    <t xml:space="preserve">Situasjon </t>
  </si>
  <si>
    <t xml:space="preserve">Arbeidsgiverbeløp før avrunding </t>
  </si>
  <si>
    <t>Arbeidsgiverbeløp</t>
  </si>
  <si>
    <t>Avrundet arbeidsgiverbeløp</t>
  </si>
  <si>
    <t xml:space="preserve">Avrundingsdifferanse </t>
  </si>
  <si>
    <t xml:space="preserve">Brukes til å fordele restbeløp i B29 på alle arbeidsgiverne  </t>
  </si>
  <si>
    <t>Avrundingsbeløp fordelt</t>
  </si>
  <si>
    <t>Fordelt restbeløp</t>
  </si>
  <si>
    <t>Arbeidsgiverbeløp, inkl. avrunding</t>
  </si>
  <si>
    <t>Rest til utbetaling til arbeidsgiver</t>
  </si>
  <si>
    <t xml:space="preserve">Utebetales til arbeidsgivere fordelt etter differansen i rad 25 (høyeste tall får penger først) </t>
  </si>
  <si>
    <t xml:space="preserve">Total utbetaling til arbeidsgivere </t>
  </si>
  <si>
    <t xml:space="preserve">Personutbetalinger før avrunding </t>
  </si>
  <si>
    <t xml:space="preserve">Personutbetaling før avrunding </t>
  </si>
  <si>
    <t xml:space="preserve">Personutbetalinger </t>
  </si>
  <si>
    <t xml:space="preserve">Brukes til å fordele restbeløp </t>
  </si>
  <si>
    <t xml:space="preserve">Avrundingsbeløp fordelt </t>
  </si>
  <si>
    <t xml:space="preserve">Personbeløp, inkl. avrunding </t>
  </si>
  <si>
    <t xml:space="preserve">Rest til utbetaling til person </t>
  </si>
  <si>
    <t>Utebetales til arbeidstakere fordelt etter differansen i rad 34 (høyest tall får penger først)</t>
  </si>
  <si>
    <t>Personbeløp</t>
  </si>
  <si>
    <t xml:space="preserve">Inkludert restbeløpet i raden over </t>
  </si>
  <si>
    <t xml:space="preserve">Totalt utbetalt </t>
  </si>
  <si>
    <t xml:space="preserve">Formel: Det arbeidsgiver skal ha i refusjon ganger maks samlet dagsats redusert for 6G, delt på totalt refusjonskrav for alle arbeidsgiverne. </t>
  </si>
  <si>
    <t>Eksempel: 969 x 2150/2629 = 792</t>
  </si>
  <si>
    <t>Term</t>
  </si>
  <si>
    <t>Meaning</t>
  </si>
  <si>
    <t>Person</t>
  </si>
  <si>
    <t>Emp 1</t>
  </si>
  <si>
    <t>Emp 2</t>
  </si>
  <si>
    <t>Emp 3</t>
  </si>
  <si>
    <t>Emp 4</t>
  </si>
  <si>
    <t>Precision</t>
  </si>
  <si>
    <t>Monthly income</t>
  </si>
  <si>
    <t>Double</t>
  </si>
  <si>
    <t>Income ratio</t>
  </si>
  <si>
    <t>Daily income</t>
  </si>
  <si>
    <t>New: Fred 18-06</t>
  </si>
  <si>
    <t>Rebate percentage</t>
  </si>
  <si>
    <t>Integer</t>
  </si>
  <si>
    <t>Maximum paid before 6G &amp; Grad</t>
  </si>
  <si>
    <t>New: Fred 26-06</t>
  </si>
  <si>
    <t>Maximum assuming 100% sick, only employer</t>
  </si>
  <si>
    <t>Percentage sick</t>
  </si>
  <si>
    <t>Maximum with Grad</t>
  </si>
  <si>
    <t>Employer percentage</t>
  </si>
  <si>
    <t>Employer desires</t>
  </si>
  <si>
    <t>Weighted percentage sick</t>
  </si>
  <si>
    <t>Annual limitation</t>
  </si>
  <si>
    <t>Daily limitation</t>
  </si>
  <si>
    <t>Grad scaled limitation</t>
  </si>
  <si>
    <t>Dekningsfaktor</t>
  </si>
  <si>
    <t>Scaling factor</t>
  </si>
  <si>
    <t>Beløp</t>
  </si>
  <si>
    <t>After 6G limitation</t>
  </si>
  <si>
    <t>Beløp til arbeidsgiver før fordeling</t>
  </si>
  <si>
    <t>Initial amount to employer</t>
  </si>
  <si>
    <t>Employer shortfall</t>
  </si>
  <si>
    <t>Shortfall income ratio - arbeidsgiver</t>
  </si>
  <si>
    <t xml:space="preserve">Fordelingsgrad </t>
  </si>
  <si>
    <t>Shortfall ratio - arbeidsgiver</t>
  </si>
  <si>
    <t>Initial amount to employee</t>
  </si>
  <si>
    <t>Ekstra fordeling</t>
  </si>
  <si>
    <t>Adjustment for employers</t>
  </si>
  <si>
    <t>Shortfall income ratio - person</t>
  </si>
  <si>
    <t>Shortfall ratio - person</t>
  </si>
  <si>
    <t>Amount to employer</t>
  </si>
  <si>
    <t>Amount to employee</t>
  </si>
  <si>
    <t>Daily rounding error</t>
  </si>
  <si>
    <t>Ideal arbeidsgiver w/o 6G</t>
  </si>
  <si>
    <t>Ideal person w/o 6G</t>
  </si>
  <si>
    <t>Situation</t>
  </si>
  <si>
    <t>Remainder for employees</t>
  </si>
  <si>
    <t>*Definitions</t>
  </si>
  <si>
    <r>
      <rPr>
        <b/>
        <sz val="11"/>
        <color rgb="FF000000"/>
        <rFont val="Calibri"/>
        <family val="2"/>
        <charset val="1"/>
      </rPr>
      <t>Double</t>
    </r>
    <r>
      <rPr>
        <sz val="11"/>
        <color rgb="FF000000"/>
        <rFont val="Calibri"/>
        <family val="2"/>
        <charset val="1"/>
      </rPr>
      <t xml:space="preserve"> in computer is 15-17 significant figures</t>
    </r>
  </si>
  <si>
    <t>Daily</t>
  </si>
  <si>
    <t>Annual</t>
  </si>
  <si>
    <t>Omregnet årsinntekt</t>
  </si>
  <si>
    <t>Sykepengegrunnlag</t>
  </si>
  <si>
    <t>Aktuell månedsinntekt omregnet til årsinntekt</t>
  </si>
  <si>
    <t>Samlet årsinntekt for alle arbeidsgiverne, før 6G</t>
  </si>
  <si>
    <t>... som dagsats</t>
  </si>
  <si>
    <t>Sykepengegrunnlag før 6g</t>
  </si>
  <si>
    <t>Total utbetalt</t>
  </si>
  <si>
    <t>AG1</t>
  </si>
  <si>
    <t>AG2</t>
  </si>
  <si>
    <t>AG3</t>
  </si>
  <si>
    <t>AG4</t>
  </si>
  <si>
    <t>Vektet grad</t>
  </si>
  <si>
    <t>Det beløpet arbeidsgiver ønsker refundert</t>
  </si>
  <si>
    <t>Sykdomsgrad hensyntat vektet gjennomsnitt inntekt</t>
  </si>
  <si>
    <t>Sykepengegrunnlag inkl Sykdomsgrad</t>
  </si>
  <si>
    <t>Seks ganger grunnbeløpet</t>
  </si>
  <si>
    <t>Dagsbeløpet (1/260) avrundet</t>
  </si>
  <si>
    <t>Sykepengegrunnlaget begrenset til 6G. Redusert til dagsats (1/260), rundet av, så ganget opp igjen til årsinntekt</t>
  </si>
  <si>
    <t>Sykepengegrunnlaget begrenset til 6G som dagsats</t>
  </si>
  <si>
    <t>Sykepengegrunnlaget begrenset for total sykdomsgrad. Redusert til dagsats (1/260), rundet av, så ganget opp igjen til årsinntekt</t>
  </si>
  <si>
    <t>Total forventet refusjon</t>
  </si>
  <si>
    <t>6G refusjons-reduksjonsfaktor</t>
  </si>
  <si>
    <t>Kvotient for å redusere utbetaling til arbeidsgiver proposjonalt med andel refusjon som overstiger sykepengegrunnlaget</t>
  </si>
  <si>
    <t>... som årlig</t>
  </si>
  <si>
    <t>Den totale mengden refusjon arbeidsgiverne ønsker, som årssum</t>
  </si>
  <si>
    <t>Den totale mengden refusjon arbeidsgiverne ønsker, per dag</t>
  </si>
  <si>
    <t>Maks dagsats før reduksjon til 6G og reduksjon for total sykdomsgrad</t>
  </si>
  <si>
    <t>Totalt dekningsgrunnlag for alle arbeidsgiverne</t>
  </si>
  <si>
    <t>Totalt dekningsgrunnlag</t>
  </si>
  <si>
    <t>Totalt dekningsgrunnlag for alle arbeidsgiverne, som årlig</t>
  </si>
  <si>
    <t>Total forventet personbeløp</t>
  </si>
  <si>
    <t>Det maksimale beløpet som skal utbetales til person</t>
  </si>
  <si>
    <t>Det maksimale beløpet som skal utbetales til person, som årlig</t>
  </si>
  <si>
    <t xml:space="preserve">Utbetaling til arbeidsgivere med avrunding og fordelt restbeløp </t>
  </si>
  <si>
    <t>Det beløpet arbeidstakeren kan få utbetalt før reduksjon for 6G</t>
  </si>
  <si>
    <t>Total utbetaling til arbeidsgivere , eksl. avrunding</t>
  </si>
  <si>
    <t xml:space="preserve">Total utbetaling til arbeidsgivere (ekskludert restbeløpet) </t>
  </si>
  <si>
    <t xml:space="preserve">Total utbetaling til arbeidsgivere (inkludert restbeløpet) </t>
  </si>
  <si>
    <t>Total utbetaling til arbeidsgivere (inkludert restbeløpet) , som årlig</t>
  </si>
  <si>
    <t>Personbeløp 6g-reduksjonsfaktor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</si>
</sst>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* #,##0.00_);_(* \(#,##0.00\);_(* \-??_);_(@_)"/>
    <numFmt numFmtId="165" formatCode="_(* #,##0_);_(* \(#,##0\);_(* \-??_);_(@_)"/>
    <numFmt numFmtId="166" formatCode="0.0000000000"/>
    <numFmt numFmtId="167" formatCode="_(* #,##0.0000000000_);_(* \(#,##0.0000000000\);_(* \-??_);_(@_)"/>
    <numFmt numFmtId="168" formatCode="_(* #,##0.0000000000_);_(* \(#,##0.0000000000\);_(* \-??????????_);_(@_)"/>
    <numFmt numFmtId="169" formatCode="0.0000000000%"/>
    <numFmt numFmtId="170" formatCode="#,##0.0000000000"/>
    <numFmt numFmtId="171" formatCode="_(* #,##0.000000000_);_(* \(#,##0.000000000\);_(* \-??_);_(@_)"/>
    <numFmt numFmtId="172" formatCode="_-* #,##0.000000_-;\-* #,##0.000000_-;_-* &quot;-&quot;??????????_-;_-@_-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0000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E2F0D9"/>
        <bgColor rgb="FFDEEBF7"/>
      </patternFill>
    </fill>
    <fill>
      <patternFill patternType="solid">
        <fgColor rgb="FFDEEBF7"/>
        <bgColor rgb="FFE2F0D9"/>
      </patternFill>
    </fill>
    <fill>
      <patternFill patternType="solid">
        <fgColor rgb="FFC5E0B4"/>
        <bgColor rgb="FFE2F0D9"/>
      </patternFill>
    </fill>
    <fill>
      <patternFill patternType="solid">
        <fgColor rgb="FFFFF2CC"/>
        <bgColor rgb="FFF2F2F2"/>
      </patternFill>
    </fill>
    <fill>
      <patternFill patternType="solid">
        <fgColor rgb="FFF2F2F2"/>
        <bgColor rgb="FFE2F0D9"/>
      </patternFill>
    </fill>
    <fill>
      <patternFill patternType="solid">
        <fgColor theme="9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164" fontId="4" fillId="0" borderId="0" applyBorder="0" applyProtection="0"/>
    <xf numFmtId="9" fontId="4" fillId="0" borderId="0" applyBorder="0" applyProtection="0"/>
  </cellStyleXfs>
  <cellXfs count="86">
    <xf numFmtId="0" fontId="0" fillId="0" borderId="0" xfId="0"/>
    <xf numFmtId="0" fontId="1" fillId="2" borderId="1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2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165" fontId="0" fillId="3" borderId="0" xfId="1" applyNumberFormat="1" applyFont="1" applyFill="1" applyBorder="1" applyAlignment="1" applyProtection="1"/>
    <xf numFmtId="10" fontId="0" fillId="0" borderId="0" xfId="2" applyNumberFormat="1" applyFont="1" applyBorder="1" applyAlignment="1" applyProtection="1"/>
    <xf numFmtId="166" fontId="0" fillId="0" borderId="0" xfId="1" applyNumberFormat="1" applyFont="1" applyBorder="1" applyAlignment="1" applyProtection="1"/>
    <xf numFmtId="9" fontId="0" fillId="3" borderId="0" xfId="2" applyFont="1" applyFill="1" applyBorder="1" applyAlignment="1" applyProtection="1"/>
    <xf numFmtId="165" fontId="0" fillId="0" borderId="0" xfId="1" applyNumberFormat="1" applyFont="1" applyBorder="1" applyAlignment="1" applyProtection="1"/>
    <xf numFmtId="10" fontId="0" fillId="3" borderId="0" xfId="2" applyNumberFormat="1" applyFont="1" applyFill="1" applyBorder="1" applyAlignment="1" applyProtection="1"/>
    <xf numFmtId="166" fontId="0" fillId="0" borderId="0" xfId="0" applyNumberFormat="1" applyBorder="1"/>
    <xf numFmtId="166" fontId="0" fillId="0" borderId="0" xfId="2" applyNumberFormat="1" applyFont="1" applyBorder="1" applyAlignment="1" applyProtection="1"/>
    <xf numFmtId="165" fontId="0" fillId="2" borderId="1" xfId="0" applyNumberFormat="1" applyFill="1" applyBorder="1"/>
    <xf numFmtId="166" fontId="0" fillId="2" borderId="1" xfId="1" applyNumberFormat="1" applyFont="1" applyFill="1" applyBorder="1" applyAlignment="1" applyProtection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/>
    <xf numFmtId="165" fontId="0" fillId="2" borderId="1" xfId="0" applyNumberFormat="1" applyFill="1" applyBorder="1" applyAlignment="1">
      <alignment horizontal="left"/>
    </xf>
    <xf numFmtId="165" fontId="0" fillId="2" borderId="3" xfId="0" applyNumberFormat="1" applyFill="1" applyBorder="1" applyAlignment="1">
      <alignment horizontal="left"/>
    </xf>
    <xf numFmtId="165" fontId="0" fillId="2" borderId="4" xfId="0" applyNumberFormat="1" applyFill="1" applyBorder="1" applyAlignment="1">
      <alignment horizontal="left"/>
    </xf>
    <xf numFmtId="165" fontId="0" fillId="2" borderId="5" xfId="0" applyNumberFormat="1" applyFill="1" applyBorder="1" applyAlignment="1">
      <alignment horizontal="left"/>
    </xf>
    <xf numFmtId="166" fontId="0" fillId="2" borderId="1" xfId="0" applyNumberFormat="1" applyFill="1" applyBorder="1"/>
    <xf numFmtId="0" fontId="0" fillId="2" borderId="1" xfId="0" applyFont="1" applyFill="1" applyBorder="1"/>
    <xf numFmtId="1" fontId="0" fillId="2" borderId="1" xfId="0" applyNumberFormat="1" applyFill="1" applyBorder="1"/>
    <xf numFmtId="0" fontId="1" fillId="4" borderId="1" xfId="0" applyFont="1" applyFill="1" applyBorder="1"/>
    <xf numFmtId="165" fontId="0" fillId="4" borderId="1" xfId="0" applyNumberFormat="1" applyFill="1" applyBorder="1"/>
    <xf numFmtId="1" fontId="1" fillId="4" borderId="1" xfId="0" applyNumberFormat="1" applyFont="1" applyFill="1" applyBorder="1"/>
    <xf numFmtId="0" fontId="1" fillId="4" borderId="1" xfId="0" applyFont="1" applyFill="1" applyBorder="1" applyAlignment="1">
      <alignment horizontal="center"/>
    </xf>
    <xf numFmtId="165" fontId="0" fillId="2" borderId="1" xfId="1" applyNumberFormat="1" applyFont="1" applyFill="1" applyBorder="1" applyAlignment="1" applyProtection="1"/>
    <xf numFmtId="164" fontId="0" fillId="2" borderId="1" xfId="1" applyFont="1" applyFill="1" applyBorder="1" applyAlignment="1" applyProtection="1"/>
    <xf numFmtId="1" fontId="1" fillId="2" borderId="1" xfId="0" applyNumberFormat="1" applyFont="1" applyFill="1" applyBorder="1"/>
    <xf numFmtId="3" fontId="0" fillId="2" borderId="1" xfId="0" applyNumberFormat="1" applyFill="1" applyBorder="1"/>
    <xf numFmtId="3" fontId="0" fillId="4" borderId="1" xfId="0" applyNumberFormat="1" applyFill="1" applyBorder="1"/>
    <xf numFmtId="0" fontId="0" fillId="4" borderId="1" xfId="0" applyFill="1" applyBorder="1"/>
    <xf numFmtId="3" fontId="0" fillId="2" borderId="1" xfId="1" applyNumberFormat="1" applyFont="1" applyFill="1" applyBorder="1" applyAlignment="1" applyProtection="1"/>
    <xf numFmtId="3" fontId="1" fillId="4" borderId="1" xfId="0" applyNumberFormat="1" applyFont="1" applyFill="1" applyBorder="1"/>
    <xf numFmtId="0" fontId="0" fillId="4" borderId="1" xfId="0" applyFill="1" applyBorder="1" applyAlignment="1">
      <alignment horizontal="center"/>
    </xf>
    <xf numFmtId="165" fontId="0" fillId="0" borderId="0" xfId="0" applyNumberFormat="1"/>
    <xf numFmtId="0" fontId="1" fillId="0" borderId="0" xfId="0" applyFont="1" applyBorder="1"/>
    <xf numFmtId="0" fontId="0" fillId="0" borderId="0" xfId="0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167" fontId="0" fillId="0" borderId="0" xfId="1" applyNumberFormat="1" applyFont="1" applyBorder="1" applyAlignment="1" applyProtection="1"/>
    <xf numFmtId="0" fontId="0" fillId="0" borderId="0" xfId="0" applyFont="1"/>
    <xf numFmtId="0" fontId="3" fillId="0" borderId="0" xfId="0" applyFont="1"/>
    <xf numFmtId="168" fontId="0" fillId="0" borderId="0" xfId="0" applyNumberFormat="1"/>
    <xf numFmtId="9" fontId="0" fillId="0" borderId="0" xfId="2" applyFont="1" applyBorder="1" applyAlignment="1" applyProtection="1"/>
    <xf numFmtId="0" fontId="1" fillId="5" borderId="1" xfId="0" applyFont="1" applyFill="1" applyBorder="1"/>
    <xf numFmtId="0" fontId="0" fillId="5" borderId="1" xfId="0" applyFont="1" applyFill="1" applyBorder="1"/>
    <xf numFmtId="10" fontId="0" fillId="5" borderId="1" xfId="2" applyNumberFormat="1" applyFont="1" applyFill="1" applyBorder="1" applyAlignment="1" applyProtection="1"/>
    <xf numFmtId="168" fontId="0" fillId="5" borderId="1" xfId="0" applyNumberFormat="1" applyFill="1" applyBorder="1"/>
    <xf numFmtId="0" fontId="0" fillId="5" borderId="1" xfId="0" applyFont="1" applyFill="1" applyBorder="1" applyAlignment="1">
      <alignment horizontal="center"/>
    </xf>
    <xf numFmtId="165" fontId="0" fillId="5" borderId="1" xfId="1" applyNumberFormat="1" applyFont="1" applyFill="1" applyBorder="1" applyAlignment="1" applyProtection="1"/>
    <xf numFmtId="165" fontId="0" fillId="5" borderId="1" xfId="0" applyNumberFormat="1" applyFill="1" applyBorder="1"/>
    <xf numFmtId="0" fontId="1" fillId="2" borderId="1" xfId="0" applyFont="1" applyFill="1" applyBorder="1" applyAlignment="1">
      <alignment horizontal="right"/>
    </xf>
    <xf numFmtId="0" fontId="1" fillId="6" borderId="0" xfId="0" applyFont="1" applyFill="1"/>
    <xf numFmtId="0" fontId="0" fillId="6" borderId="0" xfId="0" applyFill="1"/>
    <xf numFmtId="0" fontId="0" fillId="6" borderId="0" xfId="0" applyFill="1" applyAlignment="1">
      <alignment horizontal="center"/>
    </xf>
    <xf numFmtId="165" fontId="0" fillId="6" borderId="0" xfId="1" applyNumberFormat="1" applyFont="1" applyFill="1" applyBorder="1" applyAlignment="1" applyProtection="1"/>
    <xf numFmtId="0" fontId="0" fillId="0" borderId="0" xfId="0" applyFont="1" applyAlignment="1">
      <alignment horizontal="right"/>
    </xf>
    <xf numFmtId="0" fontId="0" fillId="0" borderId="0" xfId="0" applyAlignment="1">
      <alignment horizontal="left"/>
    </xf>
    <xf numFmtId="169" fontId="0" fillId="0" borderId="0" xfId="2" applyNumberFormat="1" applyFont="1" applyBorder="1" applyAlignment="1" applyProtection="1"/>
    <xf numFmtId="170" fontId="0" fillId="0" borderId="0" xfId="1" applyNumberFormat="1" applyFont="1" applyBorder="1" applyAlignment="1" applyProtection="1"/>
    <xf numFmtId="170" fontId="0" fillId="2" borderId="1" xfId="1" applyNumberFormat="1" applyFont="1" applyFill="1" applyBorder="1" applyAlignment="1" applyProtection="1"/>
    <xf numFmtId="170" fontId="0" fillId="2" borderId="1" xfId="0" applyNumberFormat="1" applyFill="1" applyBorder="1"/>
    <xf numFmtId="166" fontId="0" fillId="0" borderId="0" xfId="0" applyNumberFormat="1"/>
    <xf numFmtId="0" fontId="1" fillId="0" borderId="0" xfId="0" applyFont="1" applyFill="1" applyBorder="1"/>
    <xf numFmtId="0" fontId="0" fillId="0" borderId="6" xfId="0" applyFill="1" applyBorder="1"/>
    <xf numFmtId="0" fontId="0" fillId="0" borderId="0" xfId="0" applyFill="1" applyBorder="1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1" fillId="0" borderId="2" xfId="0" applyFont="1" applyFill="1" applyBorder="1"/>
    <xf numFmtId="10" fontId="0" fillId="0" borderId="0" xfId="0" applyNumberFormat="1"/>
    <xf numFmtId="0" fontId="0" fillId="0" borderId="0" xfId="0" applyFill="1" applyBorder="1"/>
    <xf numFmtId="172" fontId="0" fillId="0" borderId="0" xfId="0" applyNumberFormat="1"/>
    <xf numFmtId="171" fontId="0" fillId="2" borderId="4" xfId="0" applyNumberFormat="1" applyFill="1" applyBorder="1" applyAlignment="1">
      <alignment horizontal="left"/>
    </xf>
    <xf numFmtId="2" fontId="4" fillId="0" borderId="0" xfId="2" applyNumberFormat="1"/>
    <xf numFmtId="0" fontId="1" fillId="2" borderId="6" xfId="0" applyFont="1" applyFill="1" applyBorder="1"/>
    <xf numFmtId="0" fontId="0" fillId="7" borderId="0" xfId="0" applyFill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left"/>
    </xf>
    <xf numFmtId="0" fontId="1" fillId="6" borderId="0" xfId="0" applyFont="1" applyFill="1" applyBorder="1" applyAlignment="1">
      <alignment horizontal="left"/>
    </xf>
  </cellXfs>
  <cellStyles count="3"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"/>
  <sheetViews>
    <sheetView tabSelected="1" topLeftCell="A9" zoomScale="200" zoomScaleNormal="200" workbookViewId="0">
      <selection activeCell="D29" sqref="D29"/>
    </sheetView>
  </sheetViews>
  <sheetFormatPr baseColWidth="10" defaultColWidth="10.6640625" defaultRowHeight="15" x14ac:dyDescent="0.2"/>
  <cols>
    <col min="1" max="1" width="31.1640625" customWidth="1"/>
    <col min="2" max="2" width="16" customWidth="1"/>
    <col min="3" max="4" width="15.6640625" customWidth="1"/>
    <col min="5" max="5" width="17.1640625" customWidth="1"/>
    <col min="6" max="6" width="15.6640625" customWidth="1"/>
    <col min="8" max="8" width="107.6640625" customWidth="1"/>
  </cols>
  <sheetData>
    <row r="1" spans="1:8" x14ac:dyDescent="0.2">
      <c r="A1" s="1" t="s">
        <v>0</v>
      </c>
      <c r="B1" s="1"/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1" t="s">
        <v>6</v>
      </c>
    </row>
    <row r="2" spans="1:8" x14ac:dyDescent="0.2">
      <c r="A2" s="3"/>
      <c r="B2" s="4"/>
      <c r="C2" s="4"/>
      <c r="D2" s="4"/>
      <c r="E2" s="4"/>
      <c r="F2" s="4"/>
      <c r="G2" s="5"/>
      <c r="H2" s="6"/>
    </row>
    <row r="3" spans="1:8" x14ac:dyDescent="0.2">
      <c r="A3" s="3" t="s">
        <v>7</v>
      </c>
      <c r="B3" s="4"/>
      <c r="C3" s="7">
        <v>13000</v>
      </c>
      <c r="D3" s="7">
        <v>14000</v>
      </c>
      <c r="E3" s="7">
        <v>15000</v>
      </c>
      <c r="F3" s="7">
        <v>13000</v>
      </c>
      <c r="G3" s="5" t="s">
        <v>8</v>
      </c>
      <c r="H3" s="6" t="s">
        <v>9</v>
      </c>
    </row>
    <row r="4" spans="1:8" x14ac:dyDescent="0.2">
      <c r="A4" s="3"/>
      <c r="B4" s="4"/>
      <c r="C4" s="8">
        <f>C3/SUM($C$3:$F$3)</f>
        <v>0.23636363636363636</v>
      </c>
      <c r="D4" s="8">
        <f>D3/SUM($C$3:$F$3)</f>
        <v>0.25454545454545452</v>
      </c>
      <c r="E4" s="8">
        <f>E3/SUM($C$3:$F$3)</f>
        <v>0.27272727272727271</v>
      </c>
      <c r="F4" s="8">
        <f>F3/SUM($C$3:$F$3)</f>
        <v>0.23636363636363636</v>
      </c>
      <c r="G4" s="5" t="s">
        <v>8</v>
      </c>
      <c r="H4" s="6" t="s">
        <v>10</v>
      </c>
    </row>
    <row r="5" spans="1:8" x14ac:dyDescent="0.2">
      <c r="A5" t="s">
        <v>111</v>
      </c>
      <c r="C5" s="39">
        <f>C3*12</f>
        <v>156000</v>
      </c>
      <c r="D5" s="39">
        <f t="shared" ref="D5:F5" si="0">D3*12</f>
        <v>168000</v>
      </c>
      <c r="E5" s="39">
        <f t="shared" si="0"/>
        <v>180000</v>
      </c>
      <c r="F5" s="39">
        <f t="shared" si="0"/>
        <v>156000</v>
      </c>
      <c r="G5" s="71" t="s">
        <v>8</v>
      </c>
      <c r="H5" s="70" t="s">
        <v>113</v>
      </c>
    </row>
    <row r="6" spans="1:8" x14ac:dyDescent="0.2">
      <c r="A6" s="3" t="s">
        <v>23</v>
      </c>
      <c r="B6" s="4"/>
      <c r="C6" s="13">
        <f>C3*0.2</f>
        <v>2600</v>
      </c>
      <c r="D6" s="13">
        <f>D3*0.1</f>
        <v>1400</v>
      </c>
      <c r="E6" s="13">
        <f>E3</f>
        <v>15000</v>
      </c>
      <c r="F6" s="13">
        <f>F3</f>
        <v>13000</v>
      </c>
      <c r="G6" s="5" t="s">
        <v>8</v>
      </c>
      <c r="H6" s="6" t="s">
        <v>123</v>
      </c>
    </row>
    <row r="7" spans="1:8" x14ac:dyDescent="0.2">
      <c r="A7" s="69" t="s">
        <v>134</v>
      </c>
      <c r="B7" s="73">
        <f>SUM(C6:F6)*12</f>
        <v>384000</v>
      </c>
    </row>
    <row r="8" spans="1:8" x14ac:dyDescent="0.2">
      <c r="A8" s="3" t="s">
        <v>18</v>
      </c>
      <c r="B8" s="4"/>
      <c r="C8" s="12">
        <v>1</v>
      </c>
      <c r="D8" s="12">
        <v>0.5</v>
      </c>
      <c r="E8" s="12">
        <v>1</v>
      </c>
      <c r="F8" s="12">
        <v>1</v>
      </c>
      <c r="G8" s="5" t="s">
        <v>8</v>
      </c>
      <c r="H8" s="6" t="s">
        <v>19</v>
      </c>
    </row>
    <row r="9" spans="1:8" x14ac:dyDescent="0.2">
      <c r="A9" s="69" t="s">
        <v>116</v>
      </c>
      <c r="B9" s="72">
        <f>SUM(C5:F5)</f>
        <v>660000</v>
      </c>
      <c r="G9" s="71" t="s">
        <v>8</v>
      </c>
      <c r="H9" t="s">
        <v>114</v>
      </c>
    </row>
    <row r="10" spans="1:8" x14ac:dyDescent="0.2">
      <c r="A10" s="3" t="s">
        <v>26</v>
      </c>
      <c r="B10" s="7">
        <v>93634</v>
      </c>
      <c r="G10" s="5" t="s">
        <v>14</v>
      </c>
      <c r="H10" s="6" t="s">
        <v>27</v>
      </c>
    </row>
    <row r="11" spans="1:8" x14ac:dyDescent="0.2">
      <c r="A11" s="69" t="s">
        <v>28</v>
      </c>
      <c r="B11" s="39">
        <f>B10*6</f>
        <v>561804</v>
      </c>
      <c r="G11" s="71" t="s">
        <v>14</v>
      </c>
      <c r="H11" s="76" t="s">
        <v>126</v>
      </c>
    </row>
    <row r="12" spans="1:8" x14ac:dyDescent="0.2">
      <c r="A12" s="3" t="s">
        <v>115</v>
      </c>
      <c r="B12" s="9">
        <f>ROUND(B11/260,)</f>
        <v>2161</v>
      </c>
      <c r="G12" s="71" t="s">
        <v>14</v>
      </c>
      <c r="H12" s="76" t="s">
        <v>127</v>
      </c>
    </row>
    <row r="13" spans="1:8" x14ac:dyDescent="0.2">
      <c r="A13" s="69" t="s">
        <v>112</v>
      </c>
      <c r="B13" s="39">
        <f>ROUND(MIN(B9,B11)/260,)*260</f>
        <v>561860</v>
      </c>
      <c r="G13" s="71" t="s">
        <v>14</v>
      </c>
      <c r="H13" s="76" t="s">
        <v>128</v>
      </c>
    </row>
    <row r="14" spans="1:8" x14ac:dyDescent="0.2">
      <c r="A14" s="69" t="s">
        <v>115</v>
      </c>
      <c r="B14" s="68">
        <f>B13/260</f>
        <v>2161</v>
      </c>
      <c r="G14" s="71" t="s">
        <v>14</v>
      </c>
      <c r="H14" s="76" t="s">
        <v>129</v>
      </c>
    </row>
    <row r="16" spans="1:8" x14ac:dyDescent="0.2">
      <c r="A16" s="3" t="s">
        <v>11</v>
      </c>
      <c r="B16" s="4"/>
      <c r="C16" s="9">
        <f>C5/260</f>
        <v>600</v>
      </c>
      <c r="D16" s="9">
        <f>D5/260</f>
        <v>646.15384615384619</v>
      </c>
      <c r="E16" s="9">
        <f>E5/260</f>
        <v>692.30769230769226</v>
      </c>
      <c r="F16" s="9">
        <f>F5/260</f>
        <v>600</v>
      </c>
      <c r="G16" s="5" t="s">
        <v>8</v>
      </c>
      <c r="H16" s="6" t="s">
        <v>12</v>
      </c>
    </row>
    <row r="17" spans="1:8" x14ac:dyDescent="0.2">
      <c r="A17" s="3" t="s">
        <v>13</v>
      </c>
      <c r="B17" s="4"/>
      <c r="C17" s="10">
        <v>1</v>
      </c>
      <c r="D17" s="10">
        <v>1</v>
      </c>
      <c r="E17" s="10">
        <v>1</v>
      </c>
      <c r="F17" s="10">
        <v>1</v>
      </c>
      <c r="G17" s="5" t="s">
        <v>14</v>
      </c>
      <c r="H17" s="6" t="s">
        <v>15</v>
      </c>
    </row>
    <row r="18" spans="1:8" x14ac:dyDescent="0.2">
      <c r="A18" s="3" t="s">
        <v>16</v>
      </c>
      <c r="B18" s="4"/>
      <c r="C18" s="9">
        <f>C16*C17</f>
        <v>600</v>
      </c>
      <c r="D18" s="9">
        <f>D16*D17</f>
        <v>646.15384615384619</v>
      </c>
      <c r="E18" s="9">
        <f>E16*E17</f>
        <v>692.30769230769226</v>
      </c>
      <c r="F18" s="9">
        <f>F16*F17</f>
        <v>600</v>
      </c>
      <c r="G18" s="5" t="s">
        <v>8</v>
      </c>
      <c r="H18" s="6" t="s">
        <v>137</v>
      </c>
    </row>
    <row r="19" spans="1:8" x14ac:dyDescent="0.2">
      <c r="A19" s="74" t="s">
        <v>122</v>
      </c>
      <c r="C19" s="75">
        <f>C8*C4</f>
        <v>0.23636363636363636</v>
      </c>
      <c r="D19" s="75">
        <f>D8*D4</f>
        <v>0.12727272727272726</v>
      </c>
      <c r="E19" s="75">
        <f>E8*E4</f>
        <v>0.27272727272727271</v>
      </c>
      <c r="F19" s="75">
        <f>F8*F4</f>
        <v>0.23636363636363636</v>
      </c>
      <c r="G19" s="71" t="s">
        <v>8</v>
      </c>
      <c r="H19" s="76" t="s">
        <v>124</v>
      </c>
    </row>
    <row r="20" spans="1:8" x14ac:dyDescent="0.2">
      <c r="A20" s="3" t="s">
        <v>20</v>
      </c>
      <c r="B20" s="4"/>
      <c r="C20" s="9">
        <f>C18*C8</f>
        <v>600</v>
      </c>
      <c r="D20" s="9">
        <f>D18*D8</f>
        <v>323.07692307692309</v>
      </c>
      <c r="E20" s="9">
        <f>E18*E8</f>
        <v>692.30769230769226</v>
      </c>
      <c r="F20" s="9">
        <f>F18*F8</f>
        <v>600</v>
      </c>
      <c r="G20" s="5" t="s">
        <v>8</v>
      </c>
      <c r="H20" s="6" t="s">
        <v>21</v>
      </c>
    </row>
    <row r="21" spans="1:8" x14ac:dyDescent="0.2">
      <c r="A21" s="74" t="s">
        <v>139</v>
      </c>
      <c r="B21" s="68">
        <f>SUM(C20:F20)</f>
        <v>2215.3846153846152</v>
      </c>
      <c r="G21" s="71" t="s">
        <v>8</v>
      </c>
      <c r="H21" s="76" t="s">
        <v>138</v>
      </c>
    </row>
    <row r="22" spans="1:8" x14ac:dyDescent="0.2">
      <c r="A22" s="74" t="s">
        <v>134</v>
      </c>
      <c r="B22" s="73">
        <f>B21*260</f>
        <v>576000</v>
      </c>
      <c r="G22" s="71" t="s">
        <v>8</v>
      </c>
      <c r="H22" s="76" t="s">
        <v>140</v>
      </c>
    </row>
    <row r="23" spans="1:8" x14ac:dyDescent="0.2">
      <c r="A23" s="3" t="s">
        <v>23</v>
      </c>
      <c r="B23" s="4"/>
      <c r="C23" s="13">
        <f>MIN(C20,C6*C8*12/260)</f>
        <v>120</v>
      </c>
      <c r="D23" s="13">
        <f>MIN(D20,D6*D8*12/260)</f>
        <v>32.307692307692307</v>
      </c>
      <c r="E23" s="13">
        <f>MIN(E20,E6*E8*12/260)</f>
        <v>692.30769230769226</v>
      </c>
      <c r="F23" s="13">
        <f>MIN(F20,F6*F8*12/260)</f>
        <v>600</v>
      </c>
      <c r="G23" s="5" t="s">
        <v>8</v>
      </c>
      <c r="H23" s="6" t="s">
        <v>123</v>
      </c>
    </row>
    <row r="24" spans="1:8" x14ac:dyDescent="0.2">
      <c r="A24" s="74" t="s">
        <v>131</v>
      </c>
      <c r="B24" s="68">
        <f>SUM(C23:F23)</f>
        <v>1444.6153846153845</v>
      </c>
      <c r="G24" s="71" t="s">
        <v>8</v>
      </c>
      <c r="H24" s="76" t="s">
        <v>136</v>
      </c>
    </row>
    <row r="25" spans="1:8" x14ac:dyDescent="0.2">
      <c r="A25" s="74" t="s">
        <v>134</v>
      </c>
      <c r="B25" s="73">
        <f>B24*260</f>
        <v>375600</v>
      </c>
      <c r="G25" s="71" t="s">
        <v>8</v>
      </c>
      <c r="H25" s="76" t="s">
        <v>135</v>
      </c>
    </row>
    <row r="26" spans="1:8" x14ac:dyDescent="0.2">
      <c r="A26" s="74" t="s">
        <v>141</v>
      </c>
      <c r="B26" s="68">
        <f>B21-B24</f>
        <v>770.76923076923072</v>
      </c>
      <c r="G26" s="71" t="s">
        <v>8</v>
      </c>
      <c r="H26" s="76" t="s">
        <v>142</v>
      </c>
    </row>
    <row r="27" spans="1:8" x14ac:dyDescent="0.2">
      <c r="A27" s="74" t="s">
        <v>134</v>
      </c>
      <c r="B27" s="73">
        <f>B26*260</f>
        <v>200400</v>
      </c>
      <c r="C27" s="73"/>
      <c r="D27" s="79"/>
      <c r="G27" s="71" t="s">
        <v>8</v>
      </c>
      <c r="H27" s="76" t="s">
        <v>143</v>
      </c>
    </row>
    <row r="28" spans="1:8" x14ac:dyDescent="0.2">
      <c r="A28" s="3" t="s">
        <v>24</v>
      </c>
      <c r="B28" s="14">
        <f>SUM(C19:F19)</f>
        <v>0.87272727272727268</v>
      </c>
      <c r="C28" s="4"/>
      <c r="D28" s="4"/>
      <c r="E28" s="4"/>
      <c r="F28" s="4"/>
      <c r="G28" s="5" t="s">
        <v>8</v>
      </c>
      <c r="H28" s="6" t="s">
        <v>25</v>
      </c>
    </row>
    <row r="29" spans="1:8" x14ac:dyDescent="0.2">
      <c r="A29" s="74" t="s">
        <v>125</v>
      </c>
      <c r="B29" s="77">
        <f>ROUND(B13*B28/260,)*260</f>
        <v>490360</v>
      </c>
      <c r="C29" s="4"/>
      <c r="D29" s="4"/>
      <c r="E29" s="4"/>
      <c r="F29" s="4"/>
      <c r="G29" s="71" t="s">
        <v>14</v>
      </c>
      <c r="H29" s="76" t="s">
        <v>130</v>
      </c>
    </row>
    <row r="30" spans="1:8" x14ac:dyDescent="0.2">
      <c r="A30" s="74" t="s">
        <v>132</v>
      </c>
      <c r="B30">
        <f>MIN(1,B29/B25)</f>
        <v>1</v>
      </c>
      <c r="G30" s="71" t="s">
        <v>8</v>
      </c>
      <c r="H30" s="76" t="s">
        <v>133</v>
      </c>
    </row>
    <row r="32" spans="1:8" x14ac:dyDescent="0.2">
      <c r="A32" s="1" t="s">
        <v>20</v>
      </c>
      <c r="B32" s="15"/>
      <c r="C32" s="16">
        <f>C20</f>
        <v>600</v>
      </c>
      <c r="D32" s="16">
        <f>D20</f>
        <v>323.07692307692309</v>
      </c>
      <c r="E32" s="16">
        <f>E20</f>
        <v>692.30769230769226</v>
      </c>
      <c r="F32" s="16">
        <f>F20</f>
        <v>600</v>
      </c>
      <c r="G32" s="17" t="s">
        <v>8</v>
      </c>
      <c r="H32" s="24" t="s">
        <v>30</v>
      </c>
    </row>
    <row r="33" spans="1:8" x14ac:dyDescent="0.2">
      <c r="A33" s="1" t="s">
        <v>31</v>
      </c>
      <c r="B33" s="15"/>
      <c r="C33" s="16">
        <f>C23</f>
        <v>120</v>
      </c>
      <c r="D33" s="16">
        <f>D23</f>
        <v>32.307692307692307</v>
      </c>
      <c r="E33" s="16">
        <f>E23</f>
        <v>692.30769230769226</v>
      </c>
      <c r="F33" s="16">
        <f>F23</f>
        <v>600</v>
      </c>
      <c r="G33" s="17" t="s">
        <v>8</v>
      </c>
      <c r="H33" s="24" t="s">
        <v>32</v>
      </c>
    </row>
    <row r="34" spans="1:8" x14ac:dyDescent="0.2">
      <c r="A34" s="1" t="s">
        <v>33</v>
      </c>
      <c r="B34" s="15"/>
      <c r="C34" s="16">
        <f>C32-C33</f>
        <v>480</v>
      </c>
      <c r="D34" s="16">
        <f>D32-D33</f>
        <v>290.76923076923077</v>
      </c>
      <c r="E34" s="16">
        <f>E32-E33</f>
        <v>0</v>
      </c>
      <c r="F34" s="16">
        <f>F32-F33</f>
        <v>0</v>
      </c>
      <c r="G34" s="17" t="s">
        <v>8</v>
      </c>
      <c r="H34" s="24" t="s">
        <v>145</v>
      </c>
    </row>
    <row r="35" spans="1:8" x14ac:dyDescent="0.2">
      <c r="A35" s="1" t="s">
        <v>34</v>
      </c>
      <c r="B35" s="19" t="str">
        <f>IF(B27&lt;=B29,"Arbeidsgiver og person blir refundert hele beløpet",IF(B25&lt;=B29,"Arbeidsgivere blir refundert hele beløpet; Person blir delvis refundert", "Arbeidsgivere blir delvis refundert"))</f>
        <v>Arbeidsgiver og person blir refundert hele beløpet</v>
      </c>
      <c r="C35" s="19"/>
      <c r="D35" s="19"/>
      <c r="E35" s="19"/>
      <c r="F35" s="19"/>
      <c r="G35" s="17"/>
      <c r="H35" s="24"/>
    </row>
    <row r="36" spans="1:8" x14ac:dyDescent="0.2">
      <c r="A36" s="1"/>
      <c r="B36" s="20"/>
      <c r="C36" s="78"/>
      <c r="D36" s="21"/>
      <c r="E36" s="21"/>
      <c r="F36" s="22"/>
      <c r="G36" s="17"/>
      <c r="H36" s="24"/>
    </row>
    <row r="37" spans="1:8" x14ac:dyDescent="0.2">
      <c r="A37" s="1" t="s">
        <v>35</v>
      </c>
      <c r="B37" s="20"/>
      <c r="C37" s="23">
        <f>C33*$B$30</f>
        <v>120</v>
      </c>
      <c r="D37" s="23">
        <f>D33*$B$30</f>
        <v>32.307692307692307</v>
      </c>
      <c r="E37" s="23">
        <f>E33*$B$30</f>
        <v>692.30769230769226</v>
      </c>
      <c r="F37" s="23">
        <f>F33*$B$30</f>
        <v>600</v>
      </c>
      <c r="G37" s="17" t="s">
        <v>8</v>
      </c>
      <c r="H37" s="24" t="s">
        <v>35</v>
      </c>
    </row>
    <row r="38" spans="1:8" x14ac:dyDescent="0.2">
      <c r="A38" s="1" t="s">
        <v>36</v>
      </c>
      <c r="B38" s="15"/>
      <c r="C38" s="24">
        <f>FLOOR(C37,1)</f>
        <v>120</v>
      </c>
      <c r="D38" s="24">
        <f>FLOOR(D37,1)</f>
        <v>32</v>
      </c>
      <c r="E38" s="24">
        <f>FLOOR(E37,1)</f>
        <v>692</v>
      </c>
      <c r="F38" s="24">
        <f>FLOOR(F37,1)</f>
        <v>600</v>
      </c>
      <c r="G38" s="17" t="s">
        <v>14</v>
      </c>
      <c r="H38" s="24" t="s">
        <v>37</v>
      </c>
    </row>
    <row r="39" spans="1:8" x14ac:dyDescent="0.2">
      <c r="A39" s="1" t="s">
        <v>146</v>
      </c>
      <c r="B39" s="15">
        <f>SUM(C38:F38)</f>
        <v>1444</v>
      </c>
      <c r="C39" s="25"/>
      <c r="D39" s="24"/>
      <c r="E39" s="24"/>
      <c r="F39" s="24"/>
      <c r="G39" s="17" t="s">
        <v>14</v>
      </c>
      <c r="H39" s="24" t="s">
        <v>147</v>
      </c>
    </row>
    <row r="40" spans="1:8" x14ac:dyDescent="0.2">
      <c r="A40" s="1" t="s">
        <v>43</v>
      </c>
      <c r="B40" s="30">
        <f>ROUND(SUM(C37:F37)-B39,)</f>
        <v>1</v>
      </c>
      <c r="C40" s="24"/>
      <c r="D40" s="24"/>
      <c r="E40" s="24"/>
      <c r="F40" s="24"/>
      <c r="G40" s="17" t="s">
        <v>14</v>
      </c>
      <c r="H40" s="24" t="s">
        <v>44</v>
      </c>
    </row>
    <row r="41" spans="1:8" x14ac:dyDescent="0.2">
      <c r="A41" s="1" t="s">
        <v>45</v>
      </c>
      <c r="B41" s="15">
        <f>B39+B40</f>
        <v>1445</v>
      </c>
      <c r="C41" s="25"/>
      <c r="D41" s="24"/>
      <c r="E41" s="24"/>
      <c r="F41" s="24"/>
      <c r="G41" s="17" t="s">
        <v>14</v>
      </c>
      <c r="H41" s="24" t="s">
        <v>148</v>
      </c>
    </row>
    <row r="42" spans="1:8" x14ac:dyDescent="0.2">
      <c r="A42" s="1" t="s">
        <v>134</v>
      </c>
      <c r="B42" s="15">
        <f>B41*260</f>
        <v>375700</v>
      </c>
      <c r="C42" s="25"/>
      <c r="D42" s="24"/>
      <c r="E42" s="24"/>
      <c r="F42" s="24"/>
      <c r="G42" s="17" t="s">
        <v>14</v>
      </c>
      <c r="H42" s="24" t="s">
        <v>149</v>
      </c>
    </row>
    <row r="43" spans="1:8" x14ac:dyDescent="0.2">
      <c r="A43" s="1" t="s">
        <v>38</v>
      </c>
      <c r="B43" s="15"/>
      <c r="C43" s="23">
        <f>C37-TRUNC(C37)</f>
        <v>0</v>
      </c>
      <c r="D43" s="23">
        <f>D37-TRUNC(D37)</f>
        <v>0.3076923076923066</v>
      </c>
      <c r="E43" s="23">
        <f>E37-TRUNC(E37)</f>
        <v>0.30769230769226397</v>
      </c>
      <c r="F43" s="23">
        <f>F37-TRUNC(F37)</f>
        <v>0</v>
      </c>
      <c r="G43" s="17" t="s">
        <v>8</v>
      </c>
      <c r="H43" s="24" t="s">
        <v>39</v>
      </c>
    </row>
    <row r="44" spans="1:8" x14ac:dyDescent="0.2">
      <c r="A44" s="1" t="s">
        <v>40</v>
      </c>
      <c r="B44" s="15"/>
      <c r="C44" s="25">
        <f>IF($B$40&gt;0,IF(LARGE($C$43:$F$43,$B$40)&lt;=C$43,1,0), 0)</f>
        <v>0</v>
      </c>
      <c r="D44" s="25">
        <f>IF($B$40&gt;0,IF(LARGE($C$43:$F$43,$B$40)&lt;=D$43,1,0), 0)</f>
        <v>1</v>
      </c>
      <c r="E44" s="25">
        <f>IF($B$40&gt;0,IF(LARGE($C$43:$F$43,$B$40)&lt;=E$43,1,0), 0)</f>
        <v>0</v>
      </c>
      <c r="F44" s="25">
        <f>IF($B$40&gt;0,IF(LARGE($C$43:$F$43,$B$40)&lt;=F$43,1,0), 0)</f>
        <v>0</v>
      </c>
      <c r="G44" s="17" t="s">
        <v>14</v>
      </c>
      <c r="H44" s="24" t="s">
        <v>41</v>
      </c>
    </row>
    <row r="45" spans="1:8" x14ac:dyDescent="0.2">
      <c r="A45" s="26" t="s">
        <v>42</v>
      </c>
      <c r="B45" s="27"/>
      <c r="C45" s="28">
        <f>C38+C44</f>
        <v>120</v>
      </c>
      <c r="D45" s="28">
        <f>D38+D44</f>
        <v>33</v>
      </c>
      <c r="E45" s="28">
        <f>E38+E44</f>
        <v>692</v>
      </c>
      <c r="F45" s="28">
        <f>F38+F44</f>
        <v>600</v>
      </c>
      <c r="G45" s="29" t="s">
        <v>14</v>
      </c>
      <c r="H45" s="26" t="s">
        <v>144</v>
      </c>
    </row>
    <row r="46" spans="1:8" x14ac:dyDescent="0.2">
      <c r="A46" s="1"/>
      <c r="B46" s="15"/>
      <c r="C46" s="23"/>
      <c r="D46" s="23"/>
      <c r="E46" s="23"/>
      <c r="F46" s="23"/>
      <c r="G46" s="17"/>
      <c r="H46" s="24"/>
    </row>
    <row r="47" spans="1:8" x14ac:dyDescent="0.2">
      <c r="A47" s="1" t="s">
        <v>54</v>
      </c>
      <c r="B47" s="33">
        <f>ROUND(MIN(B29-B42, B22-B42)/260,)</f>
        <v>441</v>
      </c>
      <c r="C47" s="15">
        <f>IF($B$22&lt;=$B$29,1,IF($B$25&lt;=$B$29,2,0))</f>
        <v>2</v>
      </c>
      <c r="D47" s="15">
        <f t="shared" ref="D47:F47" si="1">IF($B$22&lt;=$B$29,1,IF($B$25&lt;=$B$29,2,0))</f>
        <v>2</v>
      </c>
      <c r="E47" s="15">
        <f t="shared" si="1"/>
        <v>2</v>
      </c>
      <c r="F47" s="15">
        <f t="shared" si="1"/>
        <v>2</v>
      </c>
      <c r="G47" s="17" t="s">
        <v>14</v>
      </c>
      <c r="H47" s="24" t="s">
        <v>55</v>
      </c>
    </row>
    <row r="48" spans="1:8" x14ac:dyDescent="0.2">
      <c r="A48" s="80" t="s">
        <v>150</v>
      </c>
      <c r="B48" s="82">
        <f>IF($B$22&lt;=$B$29,1,B47/B26)</f>
        <v>0.57215568862275457</v>
      </c>
      <c r="C48" s="81"/>
      <c r="D48" s="81"/>
      <c r="E48" s="81"/>
      <c r="F48" s="81"/>
      <c r="G48" s="83" t="s">
        <v>8</v>
      </c>
      <c r="H48" s="81"/>
    </row>
    <row r="49" spans="1:8" x14ac:dyDescent="0.2">
      <c r="A49" s="1" t="s">
        <v>46</v>
      </c>
      <c r="B49" s="31"/>
      <c r="C49" s="16">
        <f>C34*$B$48</f>
        <v>274.63473053892221</v>
      </c>
      <c r="D49" s="16">
        <f t="shared" ref="D49:F49" si="2">D34*$B$48</f>
        <v>166.36526946107787</v>
      </c>
      <c r="E49" s="16">
        <f t="shared" si="2"/>
        <v>0</v>
      </c>
      <c r="F49" s="16">
        <f t="shared" si="2"/>
        <v>0</v>
      </c>
      <c r="G49" s="17" t="s">
        <v>8</v>
      </c>
      <c r="H49" s="24" t="s">
        <v>47</v>
      </c>
    </row>
    <row r="50" spans="1:8" x14ac:dyDescent="0.2">
      <c r="A50" s="1" t="s">
        <v>48</v>
      </c>
      <c r="B50" s="24"/>
      <c r="C50" s="32">
        <f>FLOOR(C49, 1)</f>
        <v>274</v>
      </c>
      <c r="D50" s="32">
        <f>FLOOR(D49, 1)</f>
        <v>166</v>
      </c>
      <c r="E50" s="32">
        <f>FLOOR(E49, 1)</f>
        <v>0</v>
      </c>
      <c r="F50" s="32">
        <f>FLOOR(F49, 1)</f>
        <v>0</v>
      </c>
      <c r="G50" s="17" t="s">
        <v>14</v>
      </c>
      <c r="H50" s="24"/>
    </row>
    <row r="51" spans="1:8" x14ac:dyDescent="0.2">
      <c r="A51" s="1" t="s">
        <v>52</v>
      </c>
      <c r="B51" s="36">
        <f>B47-SUM(C50:F50)</f>
        <v>1</v>
      </c>
      <c r="C51" s="24"/>
      <c r="D51" s="24"/>
      <c r="E51" s="24"/>
      <c r="F51" s="24"/>
      <c r="G51" s="17" t="s">
        <v>14</v>
      </c>
      <c r="H51" s="24" t="s">
        <v>53</v>
      </c>
    </row>
    <row r="52" spans="1:8" x14ac:dyDescent="0.2">
      <c r="A52" s="1" t="s">
        <v>38</v>
      </c>
      <c r="B52" s="33"/>
      <c r="C52" s="23">
        <f>C49-TRUNC(C50)</f>
        <v>0.63473053892221287</v>
      </c>
      <c r="D52" s="23">
        <f>D49-TRUNC(D50)</f>
        <v>0.36526946107787239</v>
      </c>
      <c r="E52" s="23">
        <f>E49-TRUNC(E50)</f>
        <v>0</v>
      </c>
      <c r="F52" s="23">
        <f>F49-TRUNC(F50)</f>
        <v>0</v>
      </c>
      <c r="G52" s="17" t="s">
        <v>8</v>
      </c>
      <c r="H52" s="24" t="s">
        <v>49</v>
      </c>
    </row>
    <row r="53" spans="1:8" x14ac:dyDescent="0.2">
      <c r="A53" s="1" t="s">
        <v>50</v>
      </c>
      <c r="B53" s="33"/>
      <c r="C53" s="25">
        <f>IF($B$51&gt;0, IF(LARGE($C$52:$F$52,$B$51)&lt;=C$52,1,0), 0)</f>
        <v>1</v>
      </c>
      <c r="D53" s="25">
        <f>IF($B$51&gt;0, IF(LARGE($C$52:$F$52,$B$51)&lt;=D$52,1,0), 0)</f>
        <v>0</v>
      </c>
      <c r="E53" s="25">
        <f>IF($B$51&gt;0, IF(LARGE($C$52:$F$52,$B$51)&lt;=E$52,1,0), 0)</f>
        <v>0</v>
      </c>
      <c r="F53" s="25">
        <f>IF($B$51&gt;0, IF(LARGE($C$52:$F$52,$B$51)&lt;=F$52,1,0), 0)</f>
        <v>0</v>
      </c>
      <c r="G53" s="17" t="s">
        <v>14</v>
      </c>
      <c r="H53" s="24"/>
    </row>
    <row r="54" spans="1:8" x14ac:dyDescent="0.2">
      <c r="A54" s="26" t="s">
        <v>51</v>
      </c>
      <c r="B54" s="34"/>
      <c r="C54" s="28">
        <f>C50+C53</f>
        <v>275</v>
      </c>
      <c r="D54" s="28">
        <f>D50+D53</f>
        <v>166</v>
      </c>
      <c r="E54" s="28">
        <f>E50+E53</f>
        <v>0</v>
      </c>
      <c r="F54" s="28">
        <f>F50+F53</f>
        <v>0</v>
      </c>
      <c r="G54" s="29" t="s">
        <v>14</v>
      </c>
      <c r="H54" s="35"/>
    </row>
    <row r="55" spans="1:8" x14ac:dyDescent="0.2">
      <c r="A55" s="1"/>
      <c r="B55" s="33"/>
      <c r="C55" s="25"/>
      <c r="D55" s="25"/>
      <c r="E55" s="25"/>
      <c r="F55" s="25"/>
      <c r="G55" s="17"/>
      <c r="H55" s="24"/>
    </row>
    <row r="56" spans="1:8" x14ac:dyDescent="0.2">
      <c r="A56" s="1"/>
      <c r="B56" s="33"/>
      <c r="C56" s="24"/>
      <c r="D56" s="24"/>
      <c r="E56" s="24"/>
      <c r="F56" s="24"/>
      <c r="G56" s="17"/>
      <c r="H56" s="24"/>
    </row>
    <row r="57" spans="1:8" x14ac:dyDescent="0.2">
      <c r="A57" s="26" t="s">
        <v>56</v>
      </c>
      <c r="B57" s="37">
        <f>B41+B47</f>
        <v>1886</v>
      </c>
      <c r="C57" s="35"/>
      <c r="D57" s="35"/>
      <c r="E57" s="35"/>
      <c r="F57" s="35"/>
      <c r="G57" s="38"/>
      <c r="H57" s="35"/>
    </row>
    <row r="59" spans="1:8" x14ac:dyDescent="0.2">
      <c r="A59" s="40"/>
      <c r="B59" s="68"/>
    </row>
    <row r="60" spans="1:8" x14ac:dyDescent="0.2">
      <c r="A60" s="44"/>
      <c r="B60" t="s">
        <v>117</v>
      </c>
      <c r="C60">
        <v>1895</v>
      </c>
      <c r="H60" t="s">
        <v>57</v>
      </c>
    </row>
    <row r="61" spans="1:8" x14ac:dyDescent="0.2">
      <c r="B61" t="s">
        <v>118</v>
      </c>
      <c r="C61">
        <v>298</v>
      </c>
      <c r="H61" t="s">
        <v>58</v>
      </c>
    </row>
    <row r="62" spans="1:8" x14ac:dyDescent="0.2">
      <c r="B62" t="s">
        <v>119</v>
      </c>
      <c r="C62">
        <v>307</v>
      </c>
      <c r="H62" s="4"/>
    </row>
    <row r="63" spans="1:8" x14ac:dyDescent="0.2">
      <c r="B63" t="s">
        <v>120</v>
      </c>
      <c r="C63">
        <v>635</v>
      </c>
    </row>
    <row r="64" spans="1:8" x14ac:dyDescent="0.2">
      <c r="B64" t="s">
        <v>121</v>
      </c>
      <c r="C64">
        <v>655</v>
      </c>
    </row>
  </sheetData>
  <pageMargins left="0.7" right="0.7" top="0.75" bottom="0.75" header="0.51180555555555496" footer="0.51180555555555496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44"/>
  <sheetViews>
    <sheetView zoomScale="140" zoomScaleNormal="140" workbookViewId="0">
      <pane ySplit="1" topLeftCell="A2" activePane="bottomLeft" state="frozen"/>
      <selection pane="bottomLeft" activeCell="E9" sqref="E9"/>
    </sheetView>
  </sheetViews>
  <sheetFormatPr baseColWidth="10" defaultColWidth="8.83203125" defaultRowHeight="15" x14ac:dyDescent="0.2"/>
  <cols>
    <col min="1" max="1" width="27" customWidth="1"/>
    <col min="2" max="2" width="34.33203125" customWidth="1"/>
    <col min="3" max="3" width="17.33203125" customWidth="1"/>
    <col min="4" max="4" width="18.33203125" customWidth="1"/>
    <col min="5" max="5" width="16.33203125" customWidth="1"/>
    <col min="6" max="6" width="17.33203125" customWidth="1"/>
    <col min="7" max="7" width="15.6640625" customWidth="1"/>
    <col min="8" max="8" width="8.6640625" style="41" customWidth="1"/>
    <col min="9" max="9" width="13.5" customWidth="1"/>
  </cols>
  <sheetData>
    <row r="1" spans="1:9" s="44" customFormat="1" ht="16" x14ac:dyDescent="0.2">
      <c r="A1" s="42" t="s">
        <v>59</v>
      </c>
      <c r="B1" s="42" t="s">
        <v>60</v>
      </c>
      <c r="C1" s="42" t="s">
        <v>61</v>
      </c>
      <c r="D1" s="43" t="s">
        <v>62</v>
      </c>
      <c r="E1" s="43" t="s">
        <v>63</v>
      </c>
      <c r="F1" s="43" t="s">
        <v>64</v>
      </c>
      <c r="G1" s="43" t="s">
        <v>65</v>
      </c>
      <c r="H1" s="43" t="s">
        <v>66</v>
      </c>
    </row>
    <row r="2" spans="1:9" x14ac:dyDescent="0.2">
      <c r="A2" s="44"/>
    </row>
    <row r="3" spans="1:9" x14ac:dyDescent="0.2">
      <c r="A3" s="44" t="s">
        <v>7</v>
      </c>
      <c r="B3" t="s">
        <v>67</v>
      </c>
      <c r="D3" s="7">
        <v>21000</v>
      </c>
      <c r="E3" s="7">
        <v>10000</v>
      </c>
      <c r="F3" s="7">
        <v>31000</v>
      </c>
      <c r="G3" s="7">
        <v>0</v>
      </c>
      <c r="H3" s="41" t="s">
        <v>68</v>
      </c>
    </row>
    <row r="4" spans="1:9" x14ac:dyDescent="0.2">
      <c r="A4" s="44"/>
      <c r="B4" t="s">
        <v>69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68</v>
      </c>
    </row>
    <row r="5" spans="1:9" x14ac:dyDescent="0.2">
      <c r="A5" s="44" t="s">
        <v>11</v>
      </c>
      <c r="B5" t="s">
        <v>70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68</v>
      </c>
      <c r="I5" s="46" t="s">
        <v>71</v>
      </c>
    </row>
    <row r="6" spans="1:9" x14ac:dyDescent="0.2">
      <c r="A6" s="44" t="s">
        <v>13</v>
      </c>
      <c r="B6" t="s">
        <v>72</v>
      </c>
      <c r="D6" s="10">
        <v>1</v>
      </c>
      <c r="E6" s="10">
        <v>1</v>
      </c>
      <c r="F6" s="10">
        <v>1</v>
      </c>
      <c r="G6" s="10">
        <v>1</v>
      </c>
      <c r="H6" s="41" t="s">
        <v>73</v>
      </c>
    </row>
    <row r="7" spans="1:9" x14ac:dyDescent="0.2">
      <c r="A7" s="44" t="s">
        <v>16</v>
      </c>
      <c r="B7" t="s">
        <v>74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68</v>
      </c>
      <c r="I7" s="47" t="s">
        <v>75</v>
      </c>
    </row>
    <row r="8" spans="1:9" x14ac:dyDescent="0.2">
      <c r="A8" s="44" t="s">
        <v>17</v>
      </c>
      <c r="B8" t="s">
        <v>76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73</v>
      </c>
      <c r="I8" s="46" t="s">
        <v>71</v>
      </c>
    </row>
    <row r="9" spans="1:9" x14ac:dyDescent="0.2">
      <c r="A9" s="44" t="s">
        <v>18</v>
      </c>
      <c r="B9" t="s">
        <v>77</v>
      </c>
      <c r="D9" s="12">
        <v>0.5</v>
      </c>
      <c r="E9" s="12">
        <v>0.8</v>
      </c>
      <c r="F9" s="12">
        <v>0.2</v>
      </c>
      <c r="G9" s="12">
        <v>1</v>
      </c>
      <c r="H9" s="41" t="s">
        <v>68</v>
      </c>
    </row>
    <row r="10" spans="1:9" x14ac:dyDescent="0.2">
      <c r="A10" s="44" t="s">
        <v>20</v>
      </c>
      <c r="B10" t="s">
        <v>78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68</v>
      </c>
    </row>
    <row r="11" spans="1:9" x14ac:dyDescent="0.2">
      <c r="A11" s="44" t="s">
        <v>22</v>
      </c>
      <c r="B11" t="s">
        <v>79</v>
      </c>
      <c r="D11" s="10">
        <v>1</v>
      </c>
      <c r="E11" s="10">
        <v>0.9</v>
      </c>
      <c r="F11" s="10">
        <v>0.25</v>
      </c>
      <c r="G11" s="10">
        <v>1</v>
      </c>
      <c r="H11" s="41" t="s">
        <v>68</v>
      </c>
    </row>
    <row r="12" spans="1:9" x14ac:dyDescent="0.2">
      <c r="A12" s="44" t="s">
        <v>23</v>
      </c>
      <c r="B12" t="s">
        <v>80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68</v>
      </c>
    </row>
    <row r="13" spans="1:9" x14ac:dyDescent="0.2">
      <c r="A13" s="44" t="s">
        <v>24</v>
      </c>
      <c r="B13" t="s">
        <v>81</v>
      </c>
      <c r="C13" s="49">
        <f>ROUND(SUM(D10:G10)/SUM(D7:G7),2)</f>
        <v>0.4</v>
      </c>
      <c r="H13" s="41" t="s">
        <v>73</v>
      </c>
    </row>
    <row r="14" spans="1:9" x14ac:dyDescent="0.2">
      <c r="A14" s="44" t="s">
        <v>26</v>
      </c>
      <c r="B14" t="s">
        <v>82</v>
      </c>
      <c r="C14" s="7">
        <v>93634</v>
      </c>
      <c r="H14" s="41" t="s">
        <v>73</v>
      </c>
    </row>
    <row r="15" spans="1:9" x14ac:dyDescent="0.2">
      <c r="A15" s="44" t="s">
        <v>28</v>
      </c>
      <c r="B15" t="s">
        <v>83</v>
      </c>
      <c r="C15" s="11">
        <f>ROUND(6*C14/260, 0)</f>
        <v>2161</v>
      </c>
      <c r="H15" s="41" t="s">
        <v>73</v>
      </c>
      <c r="I15" s="46" t="s">
        <v>71</v>
      </c>
    </row>
    <row r="16" spans="1:9" x14ac:dyDescent="0.2">
      <c r="A16" s="44" t="s">
        <v>29</v>
      </c>
      <c r="B16" t="s">
        <v>84</v>
      </c>
      <c r="C16" s="11">
        <f>ROUND(C13*C15,0)</f>
        <v>864</v>
      </c>
      <c r="H16" s="41" t="s">
        <v>73</v>
      </c>
    </row>
    <row r="17" spans="1:9" hidden="1" x14ac:dyDescent="0.2">
      <c r="A17" s="50" t="s">
        <v>85</v>
      </c>
      <c r="B17" s="51" t="s">
        <v>86</v>
      </c>
      <c r="C17" s="52">
        <f>MIN(1, C16/SUM(D10:G10))</f>
        <v>0.75789473684210529</v>
      </c>
      <c r="D17" s="53"/>
      <c r="E17" s="53"/>
      <c r="F17" s="53"/>
      <c r="G17" s="53"/>
      <c r="H17" s="54" t="s">
        <v>68</v>
      </c>
    </row>
    <row r="18" spans="1:9" hidden="1" x14ac:dyDescent="0.2">
      <c r="A18" s="50" t="s">
        <v>87</v>
      </c>
      <c r="B18" s="51" t="s">
        <v>88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68</v>
      </c>
    </row>
    <row r="19" spans="1:9" hidden="1" x14ac:dyDescent="0.2">
      <c r="A19" s="50" t="s">
        <v>89</v>
      </c>
      <c r="B19" s="51" t="s">
        <v>90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68</v>
      </c>
    </row>
    <row r="20" spans="1:9" hidden="1" x14ac:dyDescent="0.2">
      <c r="A20" s="50"/>
      <c r="B20" s="51" t="s">
        <v>91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68</v>
      </c>
    </row>
    <row r="21" spans="1:9" hidden="1" x14ac:dyDescent="0.2">
      <c r="A21" s="50"/>
      <c r="B21" s="51" t="s">
        <v>92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68</v>
      </c>
    </row>
    <row r="22" spans="1:9" hidden="1" x14ac:dyDescent="0.2">
      <c r="A22" s="50" t="s">
        <v>93</v>
      </c>
      <c r="B22" s="51" t="s">
        <v>94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68</v>
      </c>
    </row>
    <row r="23" spans="1:9" hidden="1" x14ac:dyDescent="0.2">
      <c r="A23" s="50"/>
      <c r="B23" s="51" t="s">
        <v>95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68</v>
      </c>
    </row>
    <row r="24" spans="1:9" hidden="1" x14ac:dyDescent="0.2">
      <c r="A24" s="50" t="s">
        <v>96</v>
      </c>
      <c r="B24" s="51" t="s">
        <v>97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68</v>
      </c>
    </row>
    <row r="25" spans="1:9" hidden="1" x14ac:dyDescent="0.2">
      <c r="A25" s="50"/>
      <c r="B25" s="51" t="s">
        <v>98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68</v>
      </c>
    </row>
    <row r="26" spans="1:9" hidden="1" x14ac:dyDescent="0.2">
      <c r="A26" s="50"/>
      <c r="B26" s="51" t="s">
        <v>99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68</v>
      </c>
    </row>
    <row r="27" spans="1:9" hidden="1" x14ac:dyDescent="0.2">
      <c r="A27" s="50" t="s">
        <v>36</v>
      </c>
      <c r="B27" s="51" t="s">
        <v>100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73</v>
      </c>
    </row>
    <row r="28" spans="1:9" hidden="1" x14ac:dyDescent="0.2">
      <c r="A28" s="50" t="s">
        <v>54</v>
      </c>
      <c r="B28" s="51" t="s">
        <v>101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73</v>
      </c>
    </row>
    <row r="29" spans="1:9" hidden="1" x14ac:dyDescent="0.2">
      <c r="A29" s="50"/>
      <c r="B29" s="51" t="s">
        <v>102</v>
      </c>
      <c r="C29" s="56">
        <f>C16-SUM(D27:G28)</f>
        <v>-1</v>
      </c>
      <c r="D29" s="51"/>
      <c r="E29" s="51"/>
      <c r="F29" s="51"/>
      <c r="G29" s="51"/>
      <c r="H29" s="54" t="s">
        <v>73</v>
      </c>
    </row>
    <row r="30" spans="1:9" x14ac:dyDescent="0.2">
      <c r="A30" s="44"/>
      <c r="C30" s="39"/>
    </row>
    <row r="31" spans="1:9" x14ac:dyDescent="0.2">
      <c r="A31" s="1" t="s">
        <v>20</v>
      </c>
      <c r="B31" s="18" t="s">
        <v>78</v>
      </c>
      <c r="C31" s="15"/>
      <c r="D31" s="30">
        <f>ROUND(D10,0)</f>
        <v>485</v>
      </c>
      <c r="E31" s="30">
        <f>ROUND(E10,0)</f>
        <v>369</v>
      </c>
      <c r="F31" s="30">
        <f>ROUND(F10,0)</f>
        <v>286</v>
      </c>
      <c r="G31" s="30">
        <f>ROUND(G10,0)</f>
        <v>0</v>
      </c>
      <c r="H31" s="17" t="s">
        <v>73</v>
      </c>
      <c r="I31" s="47" t="s">
        <v>75</v>
      </c>
    </row>
    <row r="32" spans="1:9" x14ac:dyDescent="0.2">
      <c r="A32" s="1" t="s">
        <v>31</v>
      </c>
      <c r="B32" s="18" t="s">
        <v>103</v>
      </c>
      <c r="C32" s="15"/>
      <c r="D32" s="30">
        <f>ROUND(D12,0)</f>
        <v>485</v>
      </c>
      <c r="E32" s="30">
        <f>ROUND(E12,0)</f>
        <v>332</v>
      </c>
      <c r="F32" s="30">
        <f>ROUND(F12,0)</f>
        <v>72</v>
      </c>
      <c r="G32" s="30">
        <f>ROUND(G12,0)</f>
        <v>0</v>
      </c>
      <c r="H32" s="17" t="s">
        <v>73</v>
      </c>
    </row>
    <row r="33" spans="1:8" x14ac:dyDescent="0.2">
      <c r="A33" s="1" t="s">
        <v>33</v>
      </c>
      <c r="B33" s="18" t="s">
        <v>104</v>
      </c>
      <c r="C33" s="15"/>
      <c r="D33" s="30">
        <f>D31-D32</f>
        <v>0</v>
      </c>
      <c r="E33" s="30">
        <f>E31-E32</f>
        <v>37</v>
      </c>
      <c r="F33" s="30">
        <f>F31-F32</f>
        <v>214</v>
      </c>
      <c r="G33" s="30">
        <f>G31-G32</f>
        <v>0</v>
      </c>
      <c r="H33" s="17" t="s">
        <v>73</v>
      </c>
    </row>
    <row r="34" spans="1:8" x14ac:dyDescent="0.2">
      <c r="A34" s="1"/>
      <c r="B34" s="57" t="s">
        <v>105</v>
      </c>
      <c r="C34" s="84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84"/>
      <c r="E34" s="84"/>
      <c r="F34" s="84"/>
      <c r="G34" s="84"/>
      <c r="H34" s="17"/>
    </row>
    <row r="35" spans="1:8" x14ac:dyDescent="0.2">
      <c r="A35" s="1" t="s">
        <v>36</v>
      </c>
      <c r="B35" s="18" t="s">
        <v>100</v>
      </c>
      <c r="C35" s="15"/>
      <c r="D35" s="18">
        <f>IF(SUM($D$32:$G$33)&lt;=MAKSBELOP,D32,IF(SUM($D$32:$G$32)&lt;=MAKSBELOP,D32,ROUND(D32*MAKSBELOP/SUM($D$32:$G$32),0)))</f>
        <v>471</v>
      </c>
      <c r="E35" s="18">
        <f>IF(SUM($D$32:$G$33)&lt;=MAKSBELOP,E32,IF(SUM($D$32:$G$32)&lt;=MAKSBELOP,E32,ROUND(E32*MAKSBELOP/SUM($D$32:$G$32),0)))</f>
        <v>323</v>
      </c>
      <c r="F35" s="18">
        <f>IF(SUM($D$32:$G$33)&lt;=MAKSBELOP,F32,IF(SUM($D$32:$G$32)&lt;=MAKSBELOP,F32,ROUND(F32*MAKSBELOP/SUM($D$32:$G$32),0)))</f>
        <v>70</v>
      </c>
      <c r="G35" s="18">
        <f>IF(SUM($D$32:$G$33)&lt;=MAKSBELOP,G32,IF(SUM($D$32:$G$32)&lt;=MAKSBELOP,G32,ROUND(G32*MAKSBELOP/SUM($D$32:$G$32),0)))</f>
        <v>0</v>
      </c>
      <c r="H35" s="17" t="s">
        <v>73</v>
      </c>
    </row>
    <row r="36" spans="1:8" hidden="1" x14ac:dyDescent="0.2">
      <c r="A36" s="1"/>
      <c r="B36" s="18" t="s">
        <v>106</v>
      </c>
      <c r="C36" s="15">
        <f>MAKSBELOP-SUM(D35:G35)</f>
        <v>0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101</v>
      </c>
      <c r="C37" s="18"/>
      <c r="D37" s="18">
        <f>IF(SUM($D$32:$G$33)&lt;=MAKSBELOP,D33,IF(SUM($D$32:$G$32)&lt;=MAKSBELOP,ROUND(PersonRemainder*D33/SUM($D$33:$G$33),0),0))</f>
        <v>0</v>
      </c>
      <c r="E37" s="18">
        <f>IF(SUM($D$32:$G$33)&lt;=MAKSBELOP,E33,IF(SUM($D$32:$G$32)&lt;=MAKSBELOP,ROUND(PersonRemainder*E33/SUM($D$33:$G$33),0),0))</f>
        <v>0</v>
      </c>
      <c r="F37" s="18">
        <f>IF(SUM($D$32:$G$33)&lt;=MAKSBELOP,F33,IF(SUM($D$32:$G$32)&lt;=MAKSBELOP,ROUND(PersonRemainder*F33/SUM($D$33:$G$33),0),0))</f>
        <v>0</v>
      </c>
      <c r="G37" s="18">
        <f>IF(SUM($D$32:$G$33)&lt;=MAKSBELOP,G33,IF(SUM($D$32:$G$32)&lt;=MAKSBELOP,ROUND(PersonRemainder*G33/SUM($D$33:$G$33),0),0))</f>
        <v>0</v>
      </c>
      <c r="H37" s="17" t="s">
        <v>73</v>
      </c>
    </row>
    <row r="38" spans="1:8" x14ac:dyDescent="0.2">
      <c r="A38" s="1"/>
      <c r="B38" s="18" t="s">
        <v>102</v>
      </c>
      <c r="C38" s="15">
        <f>MAKSBELOP-SUM(D35:G37)</f>
        <v>0</v>
      </c>
      <c r="D38" s="18"/>
      <c r="E38" s="18"/>
      <c r="F38" s="18"/>
      <c r="G38" s="18"/>
      <c r="H38" s="17" t="s">
        <v>73</v>
      </c>
    </row>
    <row r="40" spans="1:8" x14ac:dyDescent="0.2">
      <c r="A40" s="58" t="s">
        <v>107</v>
      </c>
      <c r="B40" s="59"/>
      <c r="C40" s="60"/>
      <c r="D40" s="61"/>
    </row>
    <row r="41" spans="1:8" x14ac:dyDescent="0.2">
      <c r="A41" s="85" t="s">
        <v>108</v>
      </c>
      <c r="B41" s="85"/>
      <c r="C41" s="85"/>
      <c r="D41" s="85"/>
    </row>
    <row r="43" spans="1:8" x14ac:dyDescent="0.2">
      <c r="A43" s="62" t="s">
        <v>109</v>
      </c>
      <c r="B43" s="63">
        <v>1430.76</v>
      </c>
    </row>
    <row r="44" spans="1:8" x14ac:dyDescent="0.2">
      <c r="A44" s="62" t="s">
        <v>110</v>
      </c>
      <c r="B44" s="63">
        <f>ROUND(B43*260/12,0)</f>
        <v>31000</v>
      </c>
    </row>
  </sheetData>
  <mergeCells count="2">
    <mergeCell ref="C34:G34"/>
    <mergeCell ref="A41:D41"/>
  </mergeCells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38"/>
  <sheetViews>
    <sheetView zoomScale="228" zoomScaleNormal="228" workbookViewId="0">
      <selection activeCell="C16" sqref="C16"/>
    </sheetView>
  </sheetViews>
  <sheetFormatPr baseColWidth="10" defaultColWidth="10.6640625" defaultRowHeight="15" x14ac:dyDescent="0.2"/>
  <cols>
    <col min="1" max="1" width="35.6640625" customWidth="1"/>
    <col min="2" max="2" width="42.1640625" customWidth="1"/>
    <col min="3" max="3" width="21.1640625" customWidth="1"/>
    <col min="4" max="4" width="16.33203125" customWidth="1"/>
    <col min="5" max="5" width="15.6640625" customWidth="1"/>
    <col min="6" max="6" width="17.1640625" customWidth="1"/>
    <col min="7" max="7" width="12.6640625" customWidth="1"/>
    <col min="8" max="8" width="8.33203125" customWidth="1"/>
  </cols>
  <sheetData>
    <row r="1" spans="1:8" ht="16" x14ac:dyDescent="0.2">
      <c r="A1" s="42" t="s">
        <v>59</v>
      </c>
      <c r="B1" s="42" t="s">
        <v>60</v>
      </c>
      <c r="C1" s="42" t="s">
        <v>61</v>
      </c>
      <c r="D1" s="43" t="s">
        <v>62</v>
      </c>
      <c r="E1" s="43" t="s">
        <v>63</v>
      </c>
      <c r="F1" s="43" t="s">
        <v>64</v>
      </c>
      <c r="G1" s="43" t="s">
        <v>65</v>
      </c>
      <c r="H1" s="43" t="s">
        <v>66</v>
      </c>
    </row>
    <row r="2" spans="1:8" x14ac:dyDescent="0.2">
      <c r="A2" s="44"/>
      <c r="H2" s="41"/>
    </row>
    <row r="3" spans="1:8" x14ac:dyDescent="0.2">
      <c r="A3" s="44" t="s">
        <v>7</v>
      </c>
      <c r="B3" t="s">
        <v>67</v>
      </c>
      <c r="D3" s="7">
        <v>21000</v>
      </c>
      <c r="E3" s="7">
        <v>10000</v>
      </c>
      <c r="F3" s="7">
        <v>31000</v>
      </c>
      <c r="G3" s="7">
        <v>0</v>
      </c>
      <c r="H3" s="41" t="s">
        <v>68</v>
      </c>
    </row>
    <row r="4" spans="1:8" x14ac:dyDescent="0.2">
      <c r="A4" s="44"/>
      <c r="B4" t="s">
        <v>69</v>
      </c>
      <c r="D4" s="8">
        <f>D3/SUM($D$3:$G$3)</f>
        <v>0.33870967741935482</v>
      </c>
      <c r="E4" s="8">
        <f>E3/SUM($D$3:$G$3)</f>
        <v>0.16129032258064516</v>
      </c>
      <c r="F4" s="8">
        <f>F3/SUM($D$3:$G$3)</f>
        <v>0.5</v>
      </c>
      <c r="G4" s="8">
        <f>G3/SUM($D$3:$G$3)</f>
        <v>0</v>
      </c>
      <c r="H4" s="41" t="s">
        <v>68</v>
      </c>
    </row>
    <row r="5" spans="1:8" x14ac:dyDescent="0.2">
      <c r="A5" s="44" t="s">
        <v>11</v>
      </c>
      <c r="B5" t="s">
        <v>70</v>
      </c>
      <c r="D5" s="45">
        <f>D3*12/260</f>
        <v>969.23076923076928</v>
      </c>
      <c r="E5" s="45">
        <f>E3*12/260</f>
        <v>461.53846153846155</v>
      </c>
      <c r="F5" s="45">
        <f>F3*12/260</f>
        <v>1430.7692307692307</v>
      </c>
      <c r="G5" s="45">
        <f>G3*12/260</f>
        <v>0</v>
      </c>
      <c r="H5" s="41" t="s">
        <v>68</v>
      </c>
    </row>
    <row r="6" spans="1:8" x14ac:dyDescent="0.2">
      <c r="A6" s="44" t="s">
        <v>13</v>
      </c>
      <c r="B6" t="s">
        <v>72</v>
      </c>
      <c r="D6" s="10">
        <v>1</v>
      </c>
      <c r="E6" s="10">
        <v>1</v>
      </c>
      <c r="F6" s="10">
        <v>1</v>
      </c>
      <c r="G6" s="10">
        <v>1</v>
      </c>
      <c r="H6" s="41" t="s">
        <v>73</v>
      </c>
    </row>
    <row r="7" spans="1:8" x14ac:dyDescent="0.2">
      <c r="A7" s="44" t="s">
        <v>16</v>
      </c>
      <c r="B7" t="s">
        <v>74</v>
      </c>
      <c r="D7" s="45">
        <f>D5*D6</f>
        <v>969.23076923076928</v>
      </c>
      <c r="E7" s="45">
        <f>E5*E6</f>
        <v>461.53846153846155</v>
      </c>
      <c r="F7" s="45">
        <f>F5*F6</f>
        <v>1430.7692307692307</v>
      </c>
      <c r="G7" s="45">
        <f>G5*G6</f>
        <v>0</v>
      </c>
      <c r="H7" s="41" t="s">
        <v>68</v>
      </c>
    </row>
    <row r="8" spans="1:8" x14ac:dyDescent="0.2">
      <c r="A8" s="44" t="s">
        <v>17</v>
      </c>
      <c r="B8" t="s">
        <v>76</v>
      </c>
      <c r="D8" s="11">
        <f>MIN(D7,$C$15)</f>
        <v>969.23076923076928</v>
      </c>
      <c r="E8" s="11">
        <f>MIN(E7,$C$15)</f>
        <v>461.53846153846155</v>
      </c>
      <c r="F8" s="11">
        <f>MIN(F7,$C$15)</f>
        <v>1430.7692307692307</v>
      </c>
      <c r="G8" s="11">
        <f>MIN(G7,$C$15)</f>
        <v>0</v>
      </c>
      <c r="H8" s="41" t="s">
        <v>73</v>
      </c>
    </row>
    <row r="9" spans="1:8" x14ac:dyDescent="0.2">
      <c r="A9" s="44" t="s">
        <v>18</v>
      </c>
      <c r="B9" t="s">
        <v>77</v>
      </c>
      <c r="D9" s="12">
        <v>0.5</v>
      </c>
      <c r="E9" s="12">
        <v>0.8</v>
      </c>
      <c r="F9" s="12">
        <v>0.2</v>
      </c>
      <c r="G9" s="12">
        <v>1</v>
      </c>
      <c r="H9" s="41" t="s">
        <v>68</v>
      </c>
    </row>
    <row r="10" spans="1:8" x14ac:dyDescent="0.2">
      <c r="A10" s="44" t="s">
        <v>20</v>
      </c>
      <c r="B10" t="s">
        <v>78</v>
      </c>
      <c r="D10" s="45">
        <f>D7*D9</f>
        <v>484.61538461538464</v>
      </c>
      <c r="E10" s="45">
        <f>E7*E9</f>
        <v>369.23076923076928</v>
      </c>
      <c r="F10" s="45">
        <f>F7*F9</f>
        <v>286.15384615384613</v>
      </c>
      <c r="G10" s="45">
        <f>G7*G9</f>
        <v>0</v>
      </c>
      <c r="H10" s="41" t="s">
        <v>68</v>
      </c>
    </row>
    <row r="11" spans="1:8" x14ac:dyDescent="0.2">
      <c r="A11" s="44" t="s">
        <v>22</v>
      </c>
      <c r="B11" t="s">
        <v>79</v>
      </c>
      <c r="D11" s="10">
        <v>1</v>
      </c>
      <c r="E11" s="10">
        <v>0.9</v>
      </c>
      <c r="F11" s="10">
        <v>0.25</v>
      </c>
      <c r="G11" s="10">
        <v>1</v>
      </c>
      <c r="H11" s="41" t="s">
        <v>68</v>
      </c>
    </row>
    <row r="12" spans="1:8" x14ac:dyDescent="0.2">
      <c r="A12" s="44" t="s">
        <v>23</v>
      </c>
      <c r="B12" t="s">
        <v>80</v>
      </c>
      <c r="D12" s="48">
        <f>D10*D11</f>
        <v>484.61538461538464</v>
      </c>
      <c r="E12" s="48">
        <f>E10*E11</f>
        <v>332.30769230769238</v>
      </c>
      <c r="F12" s="48">
        <f>F10*F11</f>
        <v>71.538461538461533</v>
      </c>
      <c r="G12" s="48">
        <f>G10*G11</f>
        <v>0</v>
      </c>
      <c r="H12" s="41" t="s">
        <v>68</v>
      </c>
    </row>
    <row r="13" spans="1:8" x14ac:dyDescent="0.2">
      <c r="A13" s="44" t="s">
        <v>24</v>
      </c>
      <c r="B13" t="s">
        <v>81</v>
      </c>
      <c r="C13" s="64">
        <f>SUM(D10:G10)/SUM(D7:G7)</f>
        <v>0.39838709677419348</v>
      </c>
      <c r="H13" s="41" t="s">
        <v>73</v>
      </c>
    </row>
    <row r="14" spans="1:8" x14ac:dyDescent="0.2">
      <c r="A14" s="44" t="s">
        <v>26</v>
      </c>
      <c r="B14" t="s">
        <v>82</v>
      </c>
      <c r="C14" s="7">
        <v>101351</v>
      </c>
      <c r="H14" s="41" t="s">
        <v>73</v>
      </c>
    </row>
    <row r="15" spans="1:8" x14ac:dyDescent="0.2">
      <c r="A15" s="44" t="s">
        <v>28</v>
      </c>
      <c r="B15" t="s">
        <v>83</v>
      </c>
      <c r="C15" s="65">
        <f>6*C14/260</f>
        <v>2338.8692307692309</v>
      </c>
      <c r="H15" s="41" t="s">
        <v>73</v>
      </c>
    </row>
    <row r="16" spans="1:8" x14ac:dyDescent="0.2">
      <c r="A16" s="44" t="s">
        <v>29</v>
      </c>
      <c r="B16" t="s">
        <v>84</v>
      </c>
      <c r="C16" s="65">
        <f>C13*C15</f>
        <v>931.77532258064502</v>
      </c>
      <c r="H16" s="41" t="s">
        <v>73</v>
      </c>
    </row>
    <row r="17" spans="1:8" hidden="1" x14ac:dyDescent="0.2">
      <c r="A17" s="50" t="s">
        <v>85</v>
      </c>
      <c r="B17" s="51" t="s">
        <v>86</v>
      </c>
      <c r="C17" s="52">
        <f>MIN(1, C16/SUM(D10:G10))</f>
        <v>0.81734677419354829</v>
      </c>
      <c r="D17" s="53"/>
      <c r="E17" s="53"/>
      <c r="F17" s="53"/>
      <c r="G17" s="53"/>
      <c r="H17" s="54" t="s">
        <v>68</v>
      </c>
    </row>
    <row r="18" spans="1:8" hidden="1" x14ac:dyDescent="0.2">
      <c r="A18" s="50" t="s">
        <v>87</v>
      </c>
      <c r="B18" s="51" t="s">
        <v>88</v>
      </c>
      <c r="C18" s="51"/>
      <c r="D18" s="53">
        <f>D10*ScalingFactor</f>
        <v>367.28744939271257</v>
      </c>
      <c r="E18" s="53">
        <f>E10*ScalingFactor</f>
        <v>279.83805668016197</v>
      </c>
      <c r="F18" s="53">
        <f>F10*ScalingFactor</f>
        <v>216.87449392712549</v>
      </c>
      <c r="G18" s="53">
        <f>G10*ScalingFactor</f>
        <v>0</v>
      </c>
      <c r="H18" s="54" t="s">
        <v>68</v>
      </c>
    </row>
    <row r="19" spans="1:8" hidden="1" x14ac:dyDescent="0.2">
      <c r="A19" s="50" t="s">
        <v>89</v>
      </c>
      <c r="B19" s="51" t="s">
        <v>90</v>
      </c>
      <c r="C19" s="51"/>
      <c r="D19" s="53">
        <f>MIN(D18,D12)</f>
        <v>367.28744939271257</v>
      </c>
      <c r="E19" s="53">
        <f>MIN(E18,E12)</f>
        <v>279.83805668016197</v>
      </c>
      <c r="F19" s="53">
        <f>MIN(F18,F12)</f>
        <v>71.538461538461533</v>
      </c>
      <c r="G19" s="53">
        <f>MIN(G18,G12)</f>
        <v>0</v>
      </c>
      <c r="H19" s="54" t="s">
        <v>68</v>
      </c>
    </row>
    <row r="20" spans="1:8" hidden="1" x14ac:dyDescent="0.2">
      <c r="A20" s="50"/>
      <c r="B20" s="51" t="s">
        <v>91</v>
      </c>
      <c r="C20" s="51"/>
      <c r="D20" s="53">
        <f>D19-D12</f>
        <v>-117.32793522267207</v>
      </c>
      <c r="E20" s="53">
        <f>E19-E12</f>
        <v>-52.469635627530408</v>
      </c>
      <c r="F20" s="53">
        <f>F19-F12</f>
        <v>0</v>
      </c>
      <c r="G20" s="53">
        <f>G19-G12</f>
        <v>0</v>
      </c>
      <c r="H20" s="54" t="s">
        <v>68</v>
      </c>
    </row>
    <row r="21" spans="1:8" hidden="1" x14ac:dyDescent="0.2">
      <c r="A21" s="50"/>
      <c r="B21" s="51" t="s">
        <v>92</v>
      </c>
      <c r="C21" s="51"/>
      <c r="D21" s="52">
        <f>IF(D20 &lt; 0, D4, 0)</f>
        <v>0.33870967741935482</v>
      </c>
      <c r="E21" s="52">
        <f>IF(E20 &lt; 0, E4, 0)</f>
        <v>0.16129032258064516</v>
      </c>
      <c r="F21" s="52">
        <f>IF(F20 &lt; 0, F4, 0)</f>
        <v>0</v>
      </c>
      <c r="G21" s="53"/>
      <c r="H21" s="54" t="s">
        <v>68</v>
      </c>
    </row>
    <row r="22" spans="1:8" hidden="1" x14ac:dyDescent="0.2">
      <c r="A22" s="50" t="s">
        <v>93</v>
      </c>
      <c r="B22" s="51" t="s">
        <v>94</v>
      </c>
      <c r="C22" s="51"/>
      <c r="D22" s="52">
        <f>IF(SUM(ShortfallIncomeRatioArb)=0,0,D21/SUM(ShortfallIncomeRatioArb))</f>
        <v>0.67741935483870963</v>
      </c>
      <c r="E22" s="52">
        <f>IF(SUM(ShortfallIncomeRatioArb)=0,0,E21/SUM(ShortfallIncomeRatioArb))</f>
        <v>0.32258064516129031</v>
      </c>
      <c r="F22" s="52">
        <f>IF(SUM(ShortfallIncomeRatioArb)=0,0,F21/SUM(ShortfallIncomeRatioArb))</f>
        <v>0</v>
      </c>
      <c r="G22" s="52">
        <f>IF(SUM(ShortfallIncomeRatioArb)=0,0,G21/SUM(ShortfallIncomeRatioArb))</f>
        <v>0</v>
      </c>
      <c r="H22" s="54" t="s">
        <v>68</v>
      </c>
    </row>
    <row r="23" spans="1:8" hidden="1" x14ac:dyDescent="0.2">
      <c r="A23" s="50"/>
      <c r="B23" s="51" t="s">
        <v>95</v>
      </c>
      <c r="C23" s="51"/>
      <c r="D23" s="53">
        <f>D18-D19</f>
        <v>0</v>
      </c>
      <c r="E23" s="53">
        <f>E18-E19</f>
        <v>0</v>
      </c>
      <c r="F23" s="53">
        <f>F18-F19</f>
        <v>145.33603238866397</v>
      </c>
      <c r="G23" s="53">
        <f>G18-G19</f>
        <v>0</v>
      </c>
      <c r="H23" s="54" t="s">
        <v>68</v>
      </c>
    </row>
    <row r="24" spans="1:8" hidden="1" x14ac:dyDescent="0.2">
      <c r="A24" s="50" t="s">
        <v>96</v>
      </c>
      <c r="B24" s="51" t="s">
        <v>97</v>
      </c>
      <c r="C24" s="51"/>
      <c r="D24" s="53">
        <f>MIN(-D20,IF(SUM($D$20:$G$20)&gt;=0, 0, SUM($D$23:$G$23)*D22))</f>
        <v>98.453441295546554</v>
      </c>
      <c r="E24" s="53">
        <f>MIN(-E20,IF(SUM($D$20:$G$20)&gt;=0, 0, SUM($D$23:$G$23)*E22))</f>
        <v>46.882591093117405</v>
      </c>
      <c r="F24" s="53">
        <f>MIN(-F20,IF(SUM($D$20:$G$20)&gt;=0, 0, SUM($D$23:$G$23)*F22))</f>
        <v>0</v>
      </c>
      <c r="G24" s="53">
        <f>MIN(-G20,IF(SUM($D$20:$G$20)&gt;=0, 0, SUM($D$23:$G$23)*G22))</f>
        <v>0</v>
      </c>
      <c r="H24" s="54" t="s">
        <v>68</v>
      </c>
    </row>
    <row r="25" spans="1:8" hidden="1" x14ac:dyDescent="0.2">
      <c r="A25" s="50"/>
      <c r="B25" s="51" t="s">
        <v>98</v>
      </c>
      <c r="C25" s="51"/>
      <c r="D25" s="52">
        <f>IF(D23 = 0, 0, D4)</f>
        <v>0</v>
      </c>
      <c r="E25" s="52">
        <f>IF(E23 = 0, 0, E4)</f>
        <v>0</v>
      </c>
      <c r="F25" s="52">
        <f>IF(F23 = 0, 0, F4)</f>
        <v>0.5</v>
      </c>
      <c r="G25" s="52">
        <f>IF(G23 = 0, 0, G4)</f>
        <v>0</v>
      </c>
      <c r="H25" s="54" t="s">
        <v>68</v>
      </c>
    </row>
    <row r="26" spans="1:8" hidden="1" x14ac:dyDescent="0.2">
      <c r="A26" s="50"/>
      <c r="B26" s="51" t="s">
        <v>99</v>
      </c>
      <c r="C26" s="51"/>
      <c r="D26" s="52">
        <f>IF(SUM(ShortfallIncomeRatioPerson)= 0, 0, D25/SUM(ShortfallIncomeRatioPerson))</f>
        <v>0</v>
      </c>
      <c r="E26" s="52">
        <f>IF(SUM(ShortfallIncomeRatioPerson)= 0, 0, E25/SUM(ShortfallIncomeRatioPerson))</f>
        <v>0</v>
      </c>
      <c r="F26" s="52">
        <f>IF(SUM(ShortfallIncomeRatioPerson)= 0, 0, F25/SUM(ShortfallIncomeRatioPerson))</f>
        <v>1</v>
      </c>
      <c r="G26" s="52">
        <f>IF(SUM(ShortfallIncomeRatioPerson)= 0, 0, G25/SUM(ShortfallIncomeRatioPerson))</f>
        <v>0</v>
      </c>
      <c r="H26" s="54" t="s">
        <v>68</v>
      </c>
    </row>
    <row r="27" spans="1:8" hidden="1" x14ac:dyDescent="0.2">
      <c r="A27" s="50" t="s">
        <v>36</v>
      </c>
      <c r="B27" s="51" t="s">
        <v>100</v>
      </c>
      <c r="C27" s="51"/>
      <c r="D27" s="55">
        <f>ROUND(D19+D24,0)</f>
        <v>466</v>
      </c>
      <c r="E27" s="55">
        <f>ROUND(E19+E24,0)</f>
        <v>327</v>
      </c>
      <c r="F27" s="55">
        <f>ROUND(F19+F24,0)</f>
        <v>72</v>
      </c>
      <c r="G27" s="53">
        <f>ROUND(G19+G24,0)</f>
        <v>0</v>
      </c>
      <c r="H27" s="54" t="s">
        <v>73</v>
      </c>
    </row>
    <row r="28" spans="1:8" hidden="1" x14ac:dyDescent="0.2">
      <c r="A28" s="50" t="s">
        <v>54</v>
      </c>
      <c r="B28" s="51" t="s">
        <v>101</v>
      </c>
      <c r="C28" s="51"/>
      <c r="D28" s="51">
        <f>ROUND(D23-SUM(AdjustmentArb)*D26,0)</f>
        <v>0</v>
      </c>
      <c r="E28" s="51">
        <f>ROUND(E23-SUM(AdjustmentArb)*E26,0)</f>
        <v>0</v>
      </c>
      <c r="F28" s="51">
        <f>ROUND(F23-SUM(AdjustmentArb)*F26,0)</f>
        <v>0</v>
      </c>
      <c r="G28" s="51">
        <f>ROUND(G23-SUM(AdjustmentArb)*G26,0)</f>
        <v>0</v>
      </c>
      <c r="H28" s="54" t="s">
        <v>73</v>
      </c>
    </row>
    <row r="29" spans="1:8" hidden="1" x14ac:dyDescent="0.2">
      <c r="A29" s="50"/>
      <c r="B29" s="51" t="s">
        <v>102</v>
      </c>
      <c r="C29" s="56">
        <f>C16-SUM(D27:G28)</f>
        <v>66.775322580645025</v>
      </c>
      <c r="D29" s="51"/>
      <c r="E29" s="51"/>
      <c r="F29" s="51"/>
      <c r="G29" s="51"/>
      <c r="H29" s="54" t="s">
        <v>73</v>
      </c>
    </row>
    <row r="30" spans="1:8" x14ac:dyDescent="0.2">
      <c r="A30" s="44"/>
      <c r="C30" s="39"/>
      <c r="H30" s="41"/>
    </row>
    <row r="31" spans="1:8" x14ac:dyDescent="0.2">
      <c r="A31" s="1" t="s">
        <v>20</v>
      </c>
      <c r="B31" s="18" t="s">
        <v>78</v>
      </c>
      <c r="C31" s="15"/>
      <c r="D31" s="66">
        <f>D10</f>
        <v>484.61538461538464</v>
      </c>
      <c r="E31" s="66">
        <f>E10</f>
        <v>369.23076923076928</v>
      </c>
      <c r="F31" s="66">
        <f>F10</f>
        <v>286.15384615384613</v>
      </c>
      <c r="G31" s="30">
        <f>ROUND(G10,0)</f>
        <v>0</v>
      </c>
      <c r="H31" s="17" t="s">
        <v>73</v>
      </c>
    </row>
    <row r="32" spans="1:8" x14ac:dyDescent="0.2">
      <c r="A32" s="1" t="s">
        <v>31</v>
      </c>
      <c r="B32" s="18" t="s">
        <v>103</v>
      </c>
      <c r="C32" s="15"/>
      <c r="D32" s="66">
        <f>D12</f>
        <v>484.61538461538464</v>
      </c>
      <c r="E32" s="66">
        <f>E12</f>
        <v>332.30769230769238</v>
      </c>
      <c r="F32" s="66">
        <f>F12</f>
        <v>71.538461538461533</v>
      </c>
      <c r="G32" s="30">
        <f>ROUND(G12,0)</f>
        <v>0</v>
      </c>
      <c r="H32" s="17" t="s">
        <v>73</v>
      </c>
    </row>
    <row r="33" spans="1:8" x14ac:dyDescent="0.2">
      <c r="A33" s="1" t="s">
        <v>33</v>
      </c>
      <c r="B33" s="18" t="s">
        <v>104</v>
      </c>
      <c r="C33" s="15"/>
      <c r="D33" s="66">
        <f>D31-D32</f>
        <v>0</v>
      </c>
      <c r="E33" s="66">
        <f>E31-E32</f>
        <v>36.923076923076906</v>
      </c>
      <c r="F33" s="66">
        <f>F31-F32</f>
        <v>214.61538461538458</v>
      </c>
      <c r="G33" s="30">
        <f>G31-G32</f>
        <v>0</v>
      </c>
      <c r="H33" s="17" t="s">
        <v>73</v>
      </c>
    </row>
    <row r="34" spans="1:8" x14ac:dyDescent="0.2">
      <c r="A34" s="1"/>
      <c r="B34" s="57" t="s">
        <v>105</v>
      </c>
      <c r="C34" s="84" t="str">
        <f>IF(SUM(D32:G33)&lt;=MAKSBELOP,"Everyone paid",IF(SUM(D32:G32)&lt;=MAKSBELOP,"Arbeidsgivere fully paid; Person partially paid by Person request", "Arbeidsgivere partial payment ratio by Arbeidsgiver request"))</f>
        <v>Arbeidsgivere partial payment ratio by Arbeidsgiver request</v>
      </c>
      <c r="D34" s="84"/>
      <c r="E34" s="84"/>
      <c r="F34" s="84"/>
      <c r="G34" s="84"/>
      <c r="H34" s="17"/>
    </row>
    <row r="35" spans="1:8" x14ac:dyDescent="0.2">
      <c r="A35" s="1" t="s">
        <v>36</v>
      </c>
      <c r="B35" s="18" t="s">
        <v>100</v>
      </c>
      <c r="C35" s="15"/>
      <c r="D35" s="18">
        <f>IF(SUM($D$32:$G$33)&lt;=MAKSBELOP2,ROUND(D32,0),IF(SUM($D$32:$G$32)&lt;=MAKSBELOP2,ROUND(D32,0),ROUND(D32*MAKSBELOP2/SUM($D$32:$G$32),0)))</f>
        <v>485</v>
      </c>
      <c r="E35" s="18">
        <f>IF(SUM($D$32:$G$33)&lt;=MAKSBELOP2,ROUND(E32,0),IF(SUM($D$32:$G$32)&lt;=MAKSBELOP2,ROUND(E32,0),ROUND(E32*MAKSBELOP2/SUM($D$32:$G$32),0)))</f>
        <v>332</v>
      </c>
      <c r="F35" s="18">
        <f>IF(SUM($D$32:$G$33)&lt;=MAKSBELOP2,ROUND(F32,0),IF(SUM($D$32:$G$32)&lt;=MAKSBELOP2,ROUND(F32,0),ROUND(F32*MAKSBELOP2/SUM($D$32:$G$32),0)))</f>
        <v>72</v>
      </c>
      <c r="G35" s="18">
        <f>IF(SUM($D$32:$G$33)&lt;=MAKSBELOP,G32,IF(SUM($D$32:$G$32)&lt;=MAKSBELOP,G32,ROUND(G32*MAKSBELOP/SUM($D$32:$G$32),0)))</f>
        <v>0</v>
      </c>
      <c r="H35" s="17" t="s">
        <v>73</v>
      </c>
    </row>
    <row r="36" spans="1:8" x14ac:dyDescent="0.2">
      <c r="A36" s="1"/>
      <c r="B36" s="18" t="s">
        <v>106</v>
      </c>
      <c r="C36" s="67">
        <f>MAKSBELOP2-SUM(D35:G35)</f>
        <v>42.775322580645025</v>
      </c>
      <c r="D36" s="18"/>
      <c r="E36" s="18"/>
      <c r="F36" s="18"/>
      <c r="G36" s="18"/>
      <c r="H36" s="17"/>
    </row>
    <row r="37" spans="1:8" x14ac:dyDescent="0.2">
      <c r="A37" s="1" t="s">
        <v>54</v>
      </c>
      <c r="B37" s="18" t="s">
        <v>101</v>
      </c>
      <c r="C37" s="18"/>
      <c r="D37" s="25">
        <f>IF(SUM($D$32:$G$33)&lt;=MAKSBELOP2,ROUND(D33,0),IF(SUM($D$32:$G$32)&lt;=MAKSBELOP2,ROUND(PersonRemainder2*D33/SUM($D$33:$G$33),0),0))</f>
        <v>0</v>
      </c>
      <c r="E37" s="25">
        <f>IF(SUM($D$32:$G$33)&lt;=MAKSBELOP2,ROUND(E33,0),IF(SUM($D$32:$G$32)&lt;=MAKSBELOP2,ROUND(PersonRemainder2*E33/SUM($D$33:$G$33),0),0))</f>
        <v>6</v>
      </c>
      <c r="F37" s="25">
        <f>IF(SUM($D$32:$G$33)&lt;=MAKSBELOP2,ROUND(F33,0),IF(SUM($D$32:$G$32)&lt;=MAKSBELOP2,ROUND(PersonRemainder2*F33/SUM($D$33:$G$33),0),0))</f>
        <v>36</v>
      </c>
      <c r="G37" s="18">
        <f>IF(SUM($D$32:$G$33)&lt;=MAKSBELOP,G33,IF(SUM($D$32:$G$32)&lt;=MAKSBELOP,ROUND(PersonRemainder*G33/SUM($D$33:$G$33),0),0))</f>
        <v>0</v>
      </c>
      <c r="H37" s="17" t="s">
        <v>73</v>
      </c>
    </row>
    <row r="38" spans="1:8" x14ac:dyDescent="0.2">
      <c r="A38" s="1"/>
      <c r="B38" s="18" t="s">
        <v>102</v>
      </c>
      <c r="C38" s="67">
        <f>MAKSBELOP2-SUM(D35:G37)</f>
        <v>0.77532258064502457</v>
      </c>
      <c r="D38" s="18"/>
      <c r="E38" s="18"/>
      <c r="F38" s="18"/>
      <c r="G38" s="18"/>
      <c r="H38" s="17" t="s">
        <v>73</v>
      </c>
    </row>
  </sheetData>
  <mergeCells count="1">
    <mergeCell ref="C34:G34"/>
  </mergeCells>
  <pageMargins left="0.7" right="0.7" top="0.75" bottom="0.75" header="0.51180555555555496" footer="0.51180555555555496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8</vt:i4>
      </vt:variant>
    </vt:vector>
  </HeadingPairs>
  <TitlesOfParts>
    <vt:vector size="11" baseType="lpstr">
      <vt:lpstr>Flere arbeidsgivere, ny </vt:lpstr>
      <vt:lpstr>Flere arbeidsgivere, gammel</vt:lpstr>
      <vt:lpstr>Flere arbeidsgivere, eldre</vt:lpstr>
      <vt:lpstr>AdjustmentArb</vt:lpstr>
      <vt:lpstr>MAKSBELOP</vt:lpstr>
      <vt:lpstr>MAKSBELOP2</vt:lpstr>
      <vt:lpstr>PersonRemainder</vt:lpstr>
      <vt:lpstr>PersonRemainder2</vt:lpstr>
      <vt:lpstr>ScalingFactor</vt:lpstr>
      <vt:lpstr>ShortfallIncomeRatioArb</vt:lpstr>
      <vt:lpstr>ShortfallIncomeRatioPerson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Fred George</dc:creator>
  <dc:description/>
  <cp:lastModifiedBy>Microsoft Office User</cp:lastModifiedBy>
  <cp:revision>1</cp:revision>
  <dcterms:created xsi:type="dcterms:W3CDTF">2020-05-27T23:24:05Z</dcterms:created>
  <dcterms:modified xsi:type="dcterms:W3CDTF">2022-05-09T19:59:31Z</dcterms:modified>
  <dc:language>en-US</dc:language>
</cp:coreProperties>
</file>