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ere arbeidsgivere, ny " sheetId="1" state="visible" r:id="rId2"/>
    <sheet name="Flere arbeidsgivere, gammel" sheetId="2" state="visible" r:id="rId3"/>
    <sheet name="Flere arbeidsgivere, eldre" sheetId="3" state="visible" r:id="rId4"/>
  </sheets>
  <definedNames>
    <definedName function="false" hidden="false" name="AdjustmentArb" vbProcedure="false">'Flere arbeidsgivere, gammel'!$D$24:$G$24</definedName>
    <definedName function="false" hidden="false" name="MAKSBELOP" vbProcedure="false">'Flere arbeidsgivere, gammel'!$C$16</definedName>
    <definedName function="false" hidden="false" name="MAKSBELOP2" vbProcedure="false">'Flere arbeidsgivere, eldre'!$C$16</definedName>
    <definedName function="false" hidden="false" name="MAKSBELOP3" vbProcedure="false">'Flere arbeidsgivere, ny '!$B$16</definedName>
    <definedName function="false" hidden="false" name="PersonRemainder" vbProcedure="false">'Flere arbeidsgivere, gammel'!$C$36</definedName>
    <definedName function="false" hidden="false" name="PersonRemainder2" vbProcedure="false">'Flere arbeidsgivere, eldre'!$C$36</definedName>
    <definedName function="false" hidden="false" name="ScalingFactor" vbProcedure="false">'Flere arbeidsgivere, gammel'!$C$17</definedName>
    <definedName function="false" hidden="false" name="ShortfallIncomeRatioArb" vbProcedure="false">'Flere arbeidsgivere, gammel'!$D$21:$G$21</definedName>
    <definedName function="false" hidden="false" name="ShortfallIncomeRatioPerson" vbProcedure="false">'Flere arbeidsgivere, gammel'!$D$25:$G$25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<sst xmlns="http://schemas.openxmlformats.org/spreadsheetml/2006/main" count="310" uniqueCount="120">
  <si>
    <t xml:space="preserve">Begrep	</t>
  </si>
  <si>
    <t xml:space="preserve">Arbeidsgiver 1</t>
  </si>
  <si>
    <t xml:space="preserve">Arbeidsgiver 2</t>
  </si>
  <si>
    <t xml:space="preserve">Arbeidsgiver 3</t>
  </si>
  <si>
    <t xml:space="preserve">Arbeidsgiver 4</t>
  </si>
  <si>
    <t xml:space="preserve">Type</t>
  </si>
  <si>
    <t xml:space="preserve">Kommentar</t>
  </si>
  <si>
    <t xml:space="preserve">Aktuell månedsinntekt (§ 8-28.)</t>
  </si>
  <si>
    <t xml:space="preserve">Desimaltall</t>
  </si>
  <si>
    <t xml:space="preserve">Beregnet månedsinntekt etter § 8-28</t>
  </si>
  <si>
    <t xml:space="preserve">Arbeidsforholdets inntekts andel av den totale inntekten</t>
  </si>
  <si>
    <t xml:space="preserve">Aktuell dagsinntekt</t>
  </si>
  <si>
    <t xml:space="preserve">Dagsats beregnet kun ut ifra beregnet månedsinntekt (uten hensyn til andre arbeidsforhold,grad etc)</t>
  </si>
  <si>
    <t xml:space="preserve">Dekningsgrad</t>
  </si>
  <si>
    <t xml:space="preserve">Heltall</t>
  </si>
  <si>
    <t xml:space="preserve">For arbeidstaker er det 100%, for næringsdrivende 80%</t>
  </si>
  <si>
    <t xml:space="preserve">Dekningsgrunnlag</t>
  </si>
  <si>
    <t xml:space="preserve">Maks dagsats før reduksjon til 6G og reduksjon for sykmeldingsgrad</t>
  </si>
  <si>
    <t xml:space="preserve">Dagsats</t>
  </si>
  <si>
    <t xml:space="preserve">Maks dagsats ved en arbeidsgiver og 100% syk</t>
  </si>
  <si>
    <t xml:space="preserve">Grad</t>
  </si>
  <si>
    <t xml:space="preserve">Arbeidsuførhetsgrad</t>
  </si>
  <si>
    <t xml:space="preserve">Gradert dekningsgrunnlag</t>
  </si>
  <si>
    <t xml:space="preserve">Maks dagsats redusert for arbeidsuførhetsgrad</t>
  </si>
  <si>
    <t xml:space="preserve">Refusjonsgrad</t>
  </si>
  <si>
    <t xml:space="preserve">Hvor mange prosent arbeidsgiver krever i refusjon</t>
  </si>
  <si>
    <t xml:space="preserve">Forventet refusjon</t>
  </si>
  <si>
    <t xml:space="preserve">Det beløpet arbeidsgiver skal ha refundert/forventer å få ut ifra refusjonsgrad</t>
  </si>
  <si>
    <t xml:space="preserve">Sykdomsgrad</t>
  </si>
  <si>
    <t xml:space="preserve">Den totale graden av arbeidsuførhet på tvers av alle arbeidsforholdene</t>
  </si>
  <si>
    <t xml:space="preserve">Grunnbeløp</t>
  </si>
  <si>
    <t xml:space="preserve">Grunnbeløpet pr år</t>
  </si>
  <si>
    <t xml:space="preserve">6G</t>
  </si>
  <si>
    <t xml:space="preserve">Maks dagsats etter reduksjon for 6G</t>
  </si>
  <si>
    <t xml:space="preserve">Maksbeløp</t>
  </si>
  <si>
    <t xml:space="preserve">Maks dagsats bruker kan få ut ifra den totale graden av arbeidsuførhet på tvers av alle arbeidsforholdene, redusert for 6G</t>
  </si>
  <si>
    <t xml:space="preserve">Maks dagsats redusert for grad av arbeidsuførhet</t>
  </si>
  <si>
    <t xml:space="preserve">Arbeidsgiverbeløp før 6g</t>
  </si>
  <si>
    <t xml:space="preserve">Det beløpet arbeidsgiver krever refundert/forventer å få ut ifra refusjonsgrad</t>
  </si>
  <si>
    <t xml:space="preserve">Personbeløp før 6g</t>
  </si>
  <si>
    <t xml:space="preserve">Det beløpet arbeidstakeren kan få utbetalt før reduskjon for 6G</t>
  </si>
  <si>
    <t xml:space="preserve">Situasjon </t>
  </si>
  <si>
    <t xml:space="preserve">Arbeidsgiverbeløp før avrunding </t>
  </si>
  <si>
    <t xml:space="preserve">Arbeidsgiverbeløp</t>
  </si>
  <si>
    <t xml:space="preserve">Avrundet arbeidsgiverbeløp</t>
  </si>
  <si>
    <t xml:space="preserve">Avrundingsdifferanse </t>
  </si>
  <si>
    <t xml:space="preserve">Brukes til å fordele restbeløp i B29 på alle arbeidsgiverne  </t>
  </si>
  <si>
    <t xml:space="preserve">Avrundingsbeløp fordelt</t>
  </si>
  <si>
    <t xml:space="preserve">Fordelt restbeløp</t>
  </si>
  <si>
    <t xml:space="preserve">Arbeidsgiverbeløp, inkl. avrunding</t>
  </si>
  <si>
    <t xml:space="preserve">Utbetaling til arbeidsfivere med avrunding og fordelt restbeløp </t>
  </si>
  <si>
    <t xml:space="preserve"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</si>
  <si>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</si>
  <si>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</si>
  <si>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Total utbetaling til arbeidsgivere (inkludert restbeløpet i raden over)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</si>
  <si>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</si>
  <si>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</si>
  <si>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</si>
  <si>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</si>
  <si>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</si>
  <si>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</si>
  <si>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</si>
  <si>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 xml:space="preserve">Utebetales til arbeidstakere fordelt etter differansen i rad 34 (høyest tall får penger først)</t>
  </si>
  <si>
    <t xml:space="preserve"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</si>
  <si>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</si>
  <si>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</si>
  <si>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</si>
  <si>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 xml:space="preserve">Eksempel: 969 x 2150/2629 = 792</t>
  </si>
  <si>
    <t xml:space="preserve">Term</t>
  </si>
  <si>
    <t xml:space="preserve">Meaning</t>
  </si>
  <si>
    <t xml:space="preserve">Person</t>
  </si>
  <si>
    <t xml:space="preserve">Emp 1</t>
  </si>
  <si>
    <t xml:space="preserve">Emp 2</t>
  </si>
  <si>
    <t xml:space="preserve">Emp 3</t>
  </si>
  <si>
    <t xml:space="preserve">Emp 4</t>
  </si>
  <si>
    <t xml:space="preserve">Precision</t>
  </si>
  <si>
    <t xml:space="preserve">Monthly income</t>
  </si>
  <si>
    <t xml:space="preserve">Double</t>
  </si>
  <si>
    <t xml:space="preserve">Income ratio</t>
  </si>
  <si>
    <t xml:space="preserve">Daily income</t>
  </si>
  <si>
    <t xml:space="preserve">New: Fred 18-06</t>
  </si>
  <si>
    <t xml:space="preserve">Rebate percentage</t>
  </si>
  <si>
    <t xml:space="preserve">Integer</t>
  </si>
  <si>
    <t xml:space="preserve">Maximum paid before 6G &amp; Grad</t>
  </si>
  <si>
    <t xml:space="preserve">New: Fred 26-06</t>
  </si>
  <si>
    <t xml:space="preserve">Maximum assuming 100% sick, only employer</t>
  </si>
  <si>
    <t xml:space="preserve">Percentage sick</t>
  </si>
  <si>
    <t xml:space="preserve">Maximum with Grad</t>
  </si>
  <si>
    <t xml:space="preserve">Employer percentage</t>
  </si>
  <si>
    <t xml:space="preserve">Employer desires</t>
  </si>
  <si>
    <t xml:space="preserve">Weighted percentage sick</t>
  </si>
  <si>
    <t xml:space="preserve">Annual limitation</t>
  </si>
  <si>
    <t xml:space="preserve">Daily limitation</t>
  </si>
  <si>
    <t xml:space="preserve">Grad scaled limitation</t>
  </si>
  <si>
    <t xml:space="preserve">Dekningsfaktor</t>
  </si>
  <si>
    <t xml:space="preserve">Scaling factor</t>
  </si>
  <si>
    <t xml:space="preserve">Beløp</t>
  </si>
  <si>
    <t xml:space="preserve">After 6G limitation</t>
  </si>
  <si>
    <t xml:space="preserve">Beløp til arbeidsgiver før fordeling</t>
  </si>
  <si>
    <t xml:space="preserve">Initial amount to employer</t>
  </si>
  <si>
    <t xml:space="preserve">Employer shortfall</t>
  </si>
  <si>
    <t xml:space="preserve">Shortfall income ratio - arbeidsgiver</t>
  </si>
  <si>
    <t xml:space="preserve">Fordelingsgrad </t>
  </si>
  <si>
    <t xml:space="preserve">Shortfall ratio - arbeidsgiver</t>
  </si>
  <si>
    <t xml:space="preserve">Initial amount to employee</t>
  </si>
  <si>
    <t xml:space="preserve">Ekstra fordeling</t>
  </si>
  <si>
    <t xml:space="preserve">Adjustment for employers</t>
  </si>
  <si>
    <t xml:space="preserve">Shortfall income ratio - person</t>
  </si>
  <si>
    <t xml:space="preserve">Shortfall ratio - person</t>
  </si>
  <si>
    <t xml:space="preserve">Amount to employer</t>
  </si>
  <si>
    <t xml:space="preserve">Amount to employee</t>
  </si>
  <si>
    <t xml:space="preserve">Daily rounding error</t>
  </si>
  <si>
    <t xml:space="preserve">Ideal arbeidsgiver w/o 6G</t>
  </si>
  <si>
    <t xml:space="preserve">Ideal person w/o 6G</t>
  </si>
  <si>
    <t xml:space="preserve">Situation</t>
  </si>
  <si>
    <t xml:space="preserve">Remainder for employees</t>
  </si>
  <si>
    <t xml:space="preserve">*Definitions</t>
  </si>
  <si>
    <r>
      <rPr>
        <b val="true"/>
        <sz val="11"/>
        <color rgb="FF000000"/>
        <rFont val="Calibri"/>
        <family val="2"/>
        <charset val="1"/>
      </rPr>
      <t xml:space="preserve"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</si>
  <si>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 xml:space="preserve">Daily</t>
  </si>
  <si>
    <t xml:space="preserve">Annual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</si>
</sst>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_(* #,##0_);_(* \(#,##0\);_(* \-??_);_(@_)"/>
    <numFmt numFmtId="167" formatCode="0%"/>
    <numFmt numFmtId="168" formatCode="0.00%"/>
    <numFmt numFmtId="169" formatCode="0.0000000000"/>
    <numFmt numFmtId="170" formatCode="General"/>
    <numFmt numFmtId="171" formatCode="0"/>
    <numFmt numFmtId="172" formatCode="#,##0"/>
    <numFmt numFmtId="173" formatCode="_(* #,##0.0000000000_);_(* \(#,##0.0000000000\);_(* \-??_);_(@_)"/>
    <numFmt numFmtId="174" formatCode="_(* #,##0.0000000000_);_(* \(#,##0.0000000000\);_(* \-??????????_);_(@_)"/>
    <numFmt numFmtId="175" formatCode="0.0000000000%"/>
    <numFmt numFmtId="176" formatCode="#,##0.0000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39" activeCellId="0" sqref="B3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6"/>
    <col collapsed="false" customWidth="true" hidden="false" outlineLevel="0" max="4" min="3" style="0" width="15.66"/>
    <col collapsed="false" customWidth="true" hidden="false" outlineLevel="0" max="5" min="5" style="0" width="17.16"/>
    <col collapsed="false" customWidth="true" hidden="false" outlineLevel="0" max="6" min="6" style="0" width="15.66"/>
    <col collapsed="false" customWidth="true" hidden="false" outlineLevel="0" max="8" min="8" style="0" width="107.66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5"/>
      <c r="H2" s="6"/>
    </row>
    <row r="3" customFormat="false" ht="15" hidden="false" customHeight="false" outlineLevel="0" collapsed="false">
      <c r="A3" s="3" t="s">
        <v>7</v>
      </c>
      <c r="B3" s="4"/>
      <c r="C3" s="7" t="n">
        <f aca="false">499*260/12</f>
        <v>10811.6666666667</v>
      </c>
      <c r="D3" s="7" t="n">
        <v>0</v>
      </c>
      <c r="E3" s="7" t="n">
        <v>0</v>
      </c>
      <c r="F3" s="7"/>
      <c r="G3" s="5" t="s">
        <v>8</v>
      </c>
      <c r="H3" s="6" t="s">
        <v>9</v>
      </c>
    </row>
    <row r="4" customFormat="false" ht="15" hidden="false" customHeight="false" outlineLevel="0" collapsed="false">
      <c r="A4" s="3"/>
      <c r="B4" s="4"/>
      <c r="C4" s="8" t="n">
        <f aca="false">C3/SUM($C$3:$F$3)</f>
        <v>1</v>
      </c>
      <c r="D4" s="8" t="n">
        <f aca="false">D3/SUM($C$3:$F$3)</f>
        <v>0</v>
      </c>
      <c r="E4" s="8" t="n">
        <f aca="false">E3/SUM($C$3:$F$3)</f>
        <v>0</v>
      </c>
      <c r="F4" s="8" t="n">
        <f aca="false">F3/SUM($C$3:$F$3)</f>
        <v>0</v>
      </c>
      <c r="G4" s="5" t="s">
        <v>8</v>
      </c>
      <c r="H4" s="6" t="s">
        <v>10</v>
      </c>
    </row>
    <row r="5" customFormat="false" ht="15" hidden="false" customHeight="false" outlineLevel="0" collapsed="false">
      <c r="A5" s="3" t="s">
        <v>11</v>
      </c>
      <c r="B5" s="4"/>
      <c r="C5" s="9" t="n">
        <f aca="false">C3*12/260</f>
        <v>499</v>
      </c>
      <c r="D5" s="9" t="n">
        <f aca="false">D3*12/260</f>
        <v>0</v>
      </c>
      <c r="E5" s="9" t="n">
        <f aca="false">E3*12/260</f>
        <v>0</v>
      </c>
      <c r="F5" s="9" t="n">
        <f aca="false">F3*12/260</f>
        <v>0</v>
      </c>
      <c r="G5" s="5" t="s">
        <v>8</v>
      </c>
      <c r="H5" s="6" t="s">
        <v>12</v>
      </c>
    </row>
    <row r="6" customFormat="false" ht="15" hidden="false" customHeight="false" outlineLevel="0" collapsed="false">
      <c r="A6" s="3" t="s">
        <v>13</v>
      </c>
      <c r="B6" s="4"/>
      <c r="C6" s="10" t="n">
        <v>1</v>
      </c>
      <c r="D6" s="10" t="n">
        <v>1</v>
      </c>
      <c r="E6" s="10" t="n">
        <v>1</v>
      </c>
      <c r="F6" s="10" t="n">
        <v>1</v>
      </c>
      <c r="G6" s="5" t="s">
        <v>14</v>
      </c>
      <c r="H6" s="6" t="s">
        <v>15</v>
      </c>
    </row>
    <row r="7" customFormat="false" ht="15" hidden="false" customHeight="false" outlineLevel="0" collapsed="false">
      <c r="A7" s="3" t="s">
        <v>16</v>
      </c>
      <c r="B7" s="4"/>
      <c r="C7" s="9" t="n">
        <f aca="false">C5*C6</f>
        <v>499</v>
      </c>
      <c r="D7" s="9" t="n">
        <f aca="false">D5*D6</f>
        <v>0</v>
      </c>
      <c r="E7" s="9" t="n">
        <f aca="false">E5*E6</f>
        <v>0</v>
      </c>
      <c r="F7" s="9" t="n">
        <f aca="false">F5*F6</f>
        <v>0</v>
      </c>
      <c r="G7" s="5" t="s">
        <v>8</v>
      </c>
      <c r="H7" s="6" t="s">
        <v>17</v>
      </c>
    </row>
    <row r="8" customFormat="false" ht="15" hidden="false" customHeight="false" outlineLevel="0" collapsed="false">
      <c r="A8" s="3" t="s">
        <v>18</v>
      </c>
      <c r="B8" s="4"/>
      <c r="C8" s="11" t="n">
        <f aca="false">MIN(C7,$B$16)</f>
        <v>499</v>
      </c>
      <c r="D8" s="11" t="n">
        <f aca="false">MIN(D7,$B$16)</f>
        <v>0</v>
      </c>
      <c r="E8" s="11" t="n">
        <f aca="false">MIN(E7,$B$16)</f>
        <v>0</v>
      </c>
      <c r="F8" s="11" t="n">
        <f aca="false">MIN(F7,$B$16)</f>
        <v>0</v>
      </c>
      <c r="G8" s="5" t="s">
        <v>14</v>
      </c>
      <c r="H8" s="6" t="s">
        <v>19</v>
      </c>
    </row>
    <row r="9" customFormat="false" ht="15" hidden="false" customHeight="false" outlineLevel="0" collapsed="false">
      <c r="A9" s="3" t="s">
        <v>20</v>
      </c>
      <c r="B9" s="4"/>
      <c r="C9" s="12" t="n">
        <v>1</v>
      </c>
      <c r="D9" s="12" t="n">
        <v>0.5</v>
      </c>
      <c r="E9" s="12" t="n">
        <v>1</v>
      </c>
      <c r="F9" s="12" t="n">
        <v>1</v>
      </c>
      <c r="G9" s="5" t="s">
        <v>8</v>
      </c>
      <c r="H9" s="6" t="s">
        <v>21</v>
      </c>
    </row>
    <row r="10" customFormat="false" ht="15" hidden="false" customHeight="false" outlineLevel="0" collapsed="false">
      <c r="A10" s="3" t="s">
        <v>22</v>
      </c>
      <c r="B10" s="4"/>
      <c r="C10" s="9" t="n">
        <f aca="false">C7*C9</f>
        <v>499</v>
      </c>
      <c r="D10" s="9" t="n">
        <f aca="false">D7*D9</f>
        <v>0</v>
      </c>
      <c r="E10" s="9" t="n">
        <f aca="false">E7*E9</f>
        <v>0</v>
      </c>
      <c r="F10" s="9" t="n">
        <f aca="false">F7*F9</f>
        <v>0</v>
      </c>
      <c r="G10" s="5" t="s">
        <v>8</v>
      </c>
      <c r="H10" s="6" t="s">
        <v>23</v>
      </c>
    </row>
    <row r="11" customFormat="false" ht="15" hidden="false" customHeight="false" outlineLevel="0" collapsed="false">
      <c r="A11" s="3" t="s">
        <v>24</v>
      </c>
      <c r="B11" s="4"/>
      <c r="C11" s="10" t="n">
        <v>0.5</v>
      </c>
      <c r="D11" s="10" t="n">
        <v>1</v>
      </c>
      <c r="E11" s="10" t="n">
        <v>1</v>
      </c>
      <c r="F11" s="10" t="n">
        <v>1</v>
      </c>
      <c r="G11" s="5" t="s">
        <v>8</v>
      </c>
      <c r="H11" s="6" t="s">
        <v>25</v>
      </c>
    </row>
    <row r="12" customFormat="false" ht="15" hidden="false" customHeight="false" outlineLevel="0" collapsed="false">
      <c r="A12" s="3" t="s">
        <v>26</v>
      </c>
      <c r="B12" s="4"/>
      <c r="C12" s="13" t="n">
        <f aca="false">C10*C11</f>
        <v>249.5</v>
      </c>
      <c r="D12" s="13" t="n">
        <f aca="false">D10*D11</f>
        <v>0</v>
      </c>
      <c r="E12" s="13" t="n">
        <f aca="false">E10*E11</f>
        <v>0</v>
      </c>
      <c r="F12" s="13" t="n">
        <f aca="false">F10*F11</f>
        <v>0</v>
      </c>
      <c r="G12" s="5" t="s">
        <v>8</v>
      </c>
      <c r="H12" s="6" t="s">
        <v>27</v>
      </c>
    </row>
    <row r="13" customFormat="false" ht="15" hidden="false" customHeight="false" outlineLevel="0" collapsed="false">
      <c r="A13" s="3" t="s">
        <v>28</v>
      </c>
      <c r="B13" s="14" t="n">
        <f aca="false">SUM(C10:F10)/SUM(C7:F7)</f>
        <v>1</v>
      </c>
      <c r="C13" s="4"/>
      <c r="D13" s="4"/>
      <c r="E13" s="4"/>
      <c r="F13" s="4"/>
      <c r="G13" s="5" t="s">
        <v>8</v>
      </c>
      <c r="H13" s="6" t="s">
        <v>29</v>
      </c>
    </row>
    <row r="14" customFormat="false" ht="15" hidden="false" customHeight="false" outlineLevel="0" collapsed="false">
      <c r="A14" s="3" t="s">
        <v>30</v>
      </c>
      <c r="B14" s="7" t="n">
        <v>93634</v>
      </c>
      <c r="C14" s="4"/>
      <c r="D14" s="4"/>
      <c r="E14" s="4"/>
      <c r="F14" s="4"/>
      <c r="G14" s="5" t="s">
        <v>14</v>
      </c>
      <c r="H14" s="6" t="s">
        <v>31</v>
      </c>
    </row>
    <row r="15" customFormat="false" ht="15" hidden="false" customHeight="false" outlineLevel="0" collapsed="false">
      <c r="A15" s="3" t="s">
        <v>32</v>
      </c>
      <c r="B15" s="9" t="n">
        <f aca="false">6*B14/260</f>
        <v>2160.78461538462</v>
      </c>
      <c r="C15" s="4"/>
      <c r="D15" s="4"/>
      <c r="E15" s="4"/>
      <c r="F15" s="4"/>
      <c r="G15" s="5" t="s">
        <v>8</v>
      </c>
      <c r="H15" s="6" t="s">
        <v>33</v>
      </c>
    </row>
    <row r="16" customFormat="false" ht="15" hidden="false" customHeight="false" outlineLevel="0" collapsed="false">
      <c r="A16" s="3" t="s">
        <v>34</v>
      </c>
      <c r="B16" s="9" t="n">
        <f aca="false">ROUND(B13*B15, 0)</f>
        <v>2161</v>
      </c>
      <c r="C16" s="4"/>
      <c r="D16" s="4"/>
      <c r="E16" s="4"/>
      <c r="F16" s="4"/>
      <c r="G16" s="5" t="s">
        <v>8</v>
      </c>
      <c r="H16" s="6" t="s">
        <v>35</v>
      </c>
    </row>
    <row r="17" customFormat="false" ht="15" hidden="false" customHeight="false" outlineLevel="0" collapsed="false">
      <c r="A17" s="3"/>
      <c r="B17" s="15"/>
      <c r="C17" s="4"/>
      <c r="D17" s="4"/>
      <c r="E17" s="4"/>
      <c r="F17" s="4"/>
      <c r="G17" s="5"/>
      <c r="H17" s="6"/>
    </row>
    <row r="18" customFormat="false" ht="15" hidden="false" customHeight="false" outlineLevel="0" collapsed="false">
      <c r="A18" s="1" t="s">
        <v>22</v>
      </c>
      <c r="B18" s="16"/>
      <c r="C18" s="17" t="n">
        <f aca="false">C10</f>
        <v>499</v>
      </c>
      <c r="D18" s="17" t="n">
        <f aca="false">D10</f>
        <v>0</v>
      </c>
      <c r="E18" s="17" t="n">
        <f aca="false">E10</f>
        <v>0</v>
      </c>
      <c r="F18" s="17" t="n">
        <f aca="false">F10</f>
        <v>0</v>
      </c>
      <c r="G18" s="18" t="s">
        <v>8</v>
      </c>
      <c r="H18" s="19" t="s">
        <v>36</v>
      </c>
    </row>
    <row r="19" customFormat="false" ht="15" hidden="false" customHeight="false" outlineLevel="0" collapsed="false">
      <c r="A19" s="1" t="s">
        <v>37</v>
      </c>
      <c r="B19" s="16"/>
      <c r="C19" s="17" t="n">
        <f aca="false">C12</f>
        <v>249.5</v>
      </c>
      <c r="D19" s="17" t="n">
        <f aca="false">D12</f>
        <v>0</v>
      </c>
      <c r="E19" s="17" t="n">
        <f aca="false">E12</f>
        <v>0</v>
      </c>
      <c r="F19" s="17" t="n">
        <f aca="false">F12</f>
        <v>0</v>
      </c>
      <c r="G19" s="18" t="s">
        <v>8</v>
      </c>
      <c r="H19" s="19" t="s">
        <v>38</v>
      </c>
    </row>
    <row r="20" customFormat="false" ht="15" hidden="false" customHeight="false" outlineLevel="0" collapsed="false">
      <c r="A20" s="1" t="s">
        <v>39</v>
      </c>
      <c r="B20" s="16"/>
      <c r="C20" s="17" t="n">
        <f aca="false">C18-C19</f>
        <v>249.5</v>
      </c>
      <c r="D20" s="17" t="n">
        <f aca="false">D18-D19</f>
        <v>0</v>
      </c>
      <c r="E20" s="17" t="n">
        <f aca="false">E18-E19</f>
        <v>0</v>
      </c>
      <c r="F20" s="17" t="n">
        <f aca="false">F18-F19</f>
        <v>0</v>
      </c>
      <c r="G20" s="18" t="s">
        <v>8</v>
      </c>
      <c r="H20" s="19" t="s">
        <v>40</v>
      </c>
    </row>
    <row r="21" customFormat="false" ht="15" hidden="false" customHeight="false" outlineLevel="0" collapsed="false">
      <c r="A21" s="1" t="s">
        <v>41</v>
      </c>
      <c r="B21" s="20" t="str">
        <f aca="false">IF(SUM(C19:F20)&lt;=MAKSBELOP3,"Arbeidsgiver og person blir refundert hele beløpet",IF(SUM(C19:F19)&lt;=MAKSBELOP3,"Arbeidsgivere blir refundert hele beløpet; Person blir delvis refundert", "Arbeidsgivere blir delvis refundert"))</f>
        <v>Arbeidsgiver og person blir refundert hele beløpet</v>
      </c>
      <c r="C21" s="20"/>
      <c r="D21" s="20"/>
      <c r="E21" s="20"/>
      <c r="F21" s="20"/>
      <c r="G21" s="18"/>
      <c r="H21" s="19"/>
    </row>
    <row r="22" customFormat="false" ht="15" hidden="false" customHeight="false" outlineLevel="0" collapsed="false">
      <c r="A22" s="1"/>
      <c r="B22" s="21"/>
      <c r="C22" s="22"/>
      <c r="D22" s="22"/>
      <c r="E22" s="22"/>
      <c r="F22" s="23"/>
      <c r="G22" s="18"/>
      <c r="H22" s="19"/>
    </row>
    <row r="23" customFormat="false" ht="15" hidden="false" customHeight="false" outlineLevel="0" collapsed="false">
      <c r="A23" s="1" t="s">
        <v>42</v>
      </c>
      <c r="B23" s="21"/>
      <c r="C23" s="24" t="n">
        <f aca="false">IF(SUM($C$19:$F$20)&lt;=MAKSBELOP3,C19,IF(SUM($C$19:$F$19)&lt;=MAKSBELOP3,C19, C19*MAKSBELOP3/SUM($C$19:$F$19)))</f>
        <v>249.5</v>
      </c>
      <c r="D23" s="24" t="n">
        <f aca="false">IF(SUM($C$19:$F$20)&lt;=MAKSBELOP3,D19,IF(SUM($C$19:$F$19)&lt;=MAKSBELOP3,D19, D19*MAKSBELOP3/SUM($C$19:$F$19)))</f>
        <v>0</v>
      </c>
      <c r="E23" s="24" t="n">
        <f aca="false">IF(SUM($C$19:$F$20)&lt;=MAKSBELOP3,E19,IF(SUM($C$19:$F$19)&lt;=MAKSBELOP3,E19, E19*MAKSBELOP3/SUM($C$19:$F$19)))</f>
        <v>0</v>
      </c>
      <c r="F23" s="24" t="n">
        <f aca="false">IF(SUM($C$19:$F$20)&lt;=MAKSBELOP3,F19,IF(SUM($C$19:$F$19)&lt;=MAKSBELOP3,F19, F19*MAKSBELOP3/SUM($C$19:$F$19)))</f>
        <v>0</v>
      </c>
      <c r="G23" s="18" t="s">
        <v>8</v>
      </c>
      <c r="H23" s="19" t="s">
        <v>42</v>
      </c>
    </row>
    <row r="24" customFormat="false" ht="15" hidden="false" customHeight="false" outlineLevel="0" collapsed="false">
      <c r="A24" s="1" t="s">
        <v>43</v>
      </c>
      <c r="B24" s="16"/>
      <c r="C24" s="25" t="n">
        <f aca="false">FLOOR(C23,1)</f>
        <v>249</v>
      </c>
      <c r="D24" s="25" t="n">
        <f aca="false">FLOOR(D23,1)</f>
        <v>0</v>
      </c>
      <c r="E24" s="25" t="n">
        <f aca="false">FLOOR(E23,1)</f>
        <v>0</v>
      </c>
      <c r="F24" s="25" t="n">
        <f aca="false">FLOOR(F23,1)</f>
        <v>0</v>
      </c>
      <c r="G24" s="18" t="s">
        <v>14</v>
      </c>
      <c r="H24" s="19" t="s">
        <v>44</v>
      </c>
    </row>
    <row r="25" customFormat="false" ht="15" hidden="false" customHeight="false" outlineLevel="0" collapsed="false">
      <c r="A25" s="1" t="s">
        <v>45</v>
      </c>
      <c r="B25" s="16"/>
      <c r="C25" s="24" t="n">
        <f aca="false">C23-C24-COLUMN(C25)/10000000</f>
        <v>0.4999997</v>
      </c>
      <c r="D25" s="24" t="n">
        <f aca="false">D23-D24-COLUMN(D25)/10000000</f>
        <v>-4E-007</v>
      </c>
      <c r="E25" s="24" t="n">
        <f aca="false">E23-E24-COLUMN(E25)/10000000</f>
        <v>-5E-007</v>
      </c>
      <c r="F25" s="24" t="n">
        <f aca="false">F23-F24-COLUMN(F25)/10000000</f>
        <v>-6E-007</v>
      </c>
      <c r="G25" s="18" t="s">
        <v>8</v>
      </c>
      <c r="H25" s="19" t="s">
        <v>46</v>
      </c>
    </row>
    <row r="26" customFormat="false" ht="15" hidden="false" customHeight="false" outlineLevel="0" collapsed="false">
      <c r="A26" s="1" t="s">
        <v>47</v>
      </c>
      <c r="B26" s="16"/>
      <c r="C26" s="26" t="n">
        <f aca="false">IF($B$29&gt;0,IF(LARGE($C$25:$F$25,$B$29)&lt;=C$25,1,0), 0)</f>
        <v>1</v>
      </c>
      <c r="D26" s="26" t="n">
        <f aca="false">IF($B$29&gt;0,IF(LARGE($C$25:$F$25,$B$29)&lt;=D$25,1,0), 0)</f>
        <v>0</v>
      </c>
      <c r="E26" s="26" t="n">
        <f aca="false">IF($B$29&gt;0,IF(LARGE($C$25:$F$25,$B$29)&lt;=E$25,1,0), 0)</f>
        <v>0</v>
      </c>
      <c r="F26" s="26" t="n">
        <f aca="false">IF($B$29&gt;0,IF(LARGE($C$25:$F$25,$B$29)&lt;=F$25,1,0), 0)</f>
        <v>0</v>
      </c>
      <c r="G26" s="18" t="s">
        <v>14</v>
      </c>
      <c r="H26" s="19" t="s">
        <v>48</v>
      </c>
    </row>
    <row r="27" customFormat="false" ht="15" hidden="false" customHeight="false" outlineLevel="0" collapsed="false">
      <c r="A27" s="27" t="s">
        <v>49</v>
      </c>
      <c r="B27" s="28"/>
      <c r="C27" s="29" t="n">
        <f aca="false">C24+C26</f>
        <v>250</v>
      </c>
      <c r="D27" s="29" t="n">
        <f aca="false">D24+D26</f>
        <v>0</v>
      </c>
      <c r="E27" s="29" t="n">
        <f aca="false">E24+E26</f>
        <v>0</v>
      </c>
      <c r="F27" s="29" t="n">
        <f aca="false">F24+F26</f>
        <v>0</v>
      </c>
      <c r="G27" s="30" t="s">
        <v>14</v>
      </c>
      <c r="H27" s="27" t="s">
        <v>50</v>
      </c>
    </row>
    <row r="28" customFormat="false" ht="15" hidden="false" customHeight="false" outlineLevel="0" collapsed="false">
      <c r="A28" s="1"/>
      <c r="B28" s="16"/>
      <c r="C28" s="24"/>
      <c r="D28" s="24"/>
      <c r="E28" s="24"/>
      <c r="F28" s="24"/>
      <c r="G28" s="18"/>
      <c r="H28" s="19"/>
    </row>
    <row r="29" customFormat="false" ht="15" hidden="false" customHeight="false" outlineLevel="0" collapsed="false">
      <c r="A29" s="1" t="s">
        <v>51</v>
      </c>
      <c r="B29" s="31" t="n">
        <f aca="false">B30-SUM(C24:F24)</f>
        <v>1</v>
      </c>
      <c r="C29" s="19"/>
      <c r="D29" s="19"/>
      <c r="E29" s="19"/>
      <c r="F29" s="19"/>
      <c r="G29" s="18" t="s">
        <v>14</v>
      </c>
      <c r="H29" s="19" t="s">
        <v>52</v>
      </c>
    </row>
    <row r="30" customFormat="false" ht="15" hidden="false" customHeight="false" outlineLevel="0" collapsed="false">
      <c r="A30" s="1" t="s">
        <v>53</v>
      </c>
      <c r="B30" s="16" t="n">
        <f aca="false">ROUND(SUM(C23:F23), 0)</f>
        <v>250</v>
      </c>
      <c r="C30" s="26"/>
      <c r="D30" s="19"/>
      <c r="E30" s="19"/>
      <c r="F30" s="19"/>
      <c r="G30" s="18"/>
      <c r="H30" s="19" t="s">
        <v>54</v>
      </c>
    </row>
    <row r="31" customFormat="false" ht="15" hidden="false" customHeight="false" outlineLevel="0" collapsed="false">
      <c r="A31" s="1"/>
      <c r="B31" s="32"/>
      <c r="C31" s="19"/>
      <c r="D31" s="19"/>
      <c r="E31" s="19"/>
      <c r="F31" s="19"/>
      <c r="G31" s="18"/>
      <c r="H31" s="19"/>
    </row>
    <row r="32" customFormat="false" ht="15" hidden="false" customHeight="false" outlineLevel="0" collapsed="false">
      <c r="A32" s="1" t="s">
        <v>55</v>
      </c>
      <c r="B32" s="32"/>
      <c r="C32" s="17" t="n">
        <f aca="false">IF(SUM($C$19:$F$20)&lt;=MAKSBELOP3,C$20,IF(SUM($C$19:$F$19)&lt;=MAKSBELOP3,$B$39*C$20/SUM($C$20:$F$20),0))</f>
        <v>249.5</v>
      </c>
      <c r="D32" s="17" t="n">
        <f aca="false">IF(SUM($C$19:$F$20)&lt;=MAKSBELOP3,D$20,IF(SUM($C$19:$F$19)&lt;=MAKSBELOP3,$B$39*D$20/SUM($C$20:$F$20),0))</f>
        <v>0</v>
      </c>
      <c r="E32" s="17" t="n">
        <f aca="false">IF(SUM($C$19:$F$20)&lt;=MAKSBELOP3,E$20,IF(SUM($C$19:$F$19)&lt;=MAKSBELOP3,$B$39*E$20/SUM($C$20:$F$20),0))</f>
        <v>0</v>
      </c>
      <c r="F32" s="17" t="n">
        <f aca="false">IF(SUM($C$19:$F$20)&lt;=MAKSBELOP3,F$20,IF(SUM($C$19:$F$19)&lt;=MAKSBELOP3,$B$39*F$20/SUM($C$20:$F$20),0))</f>
        <v>0</v>
      </c>
      <c r="G32" s="18" t="s">
        <v>8</v>
      </c>
      <c r="H32" s="19" t="s">
        <v>56</v>
      </c>
    </row>
    <row r="33" customFormat="false" ht="15" hidden="false" customHeight="false" outlineLevel="0" collapsed="false">
      <c r="A33" s="1" t="s">
        <v>57</v>
      </c>
      <c r="B33" s="19"/>
      <c r="C33" s="33" t="n">
        <f aca="false">FLOOR(C32, 1)</f>
        <v>249</v>
      </c>
      <c r="D33" s="33" t="n">
        <f aca="false">FLOOR(D32, 1)</f>
        <v>0</v>
      </c>
      <c r="E33" s="33" t="n">
        <f aca="false">FLOOR(E32, 1)</f>
        <v>0</v>
      </c>
      <c r="F33" s="33" t="n">
        <f aca="false">FLOOR(F32, 1)</f>
        <v>0</v>
      </c>
      <c r="G33" s="18" t="s">
        <v>14</v>
      </c>
      <c r="H33" s="19"/>
    </row>
    <row r="34" customFormat="false" ht="15" hidden="false" customHeight="false" outlineLevel="0" collapsed="false">
      <c r="A34" s="1" t="s">
        <v>45</v>
      </c>
      <c r="B34" s="34"/>
      <c r="C34" s="24" t="n">
        <f aca="false">IF(C20=0,0,C$32-C$33-$B$38/10000000)</f>
        <v>0.5</v>
      </c>
      <c r="D34" s="24" t="n">
        <f aca="false">IF(D20=0,0,D$32-D$33-$B$38/10000000)</f>
        <v>0</v>
      </c>
      <c r="E34" s="24" t="n">
        <f aca="false">IF(E20=0,0,E$32-E$33-$B$38/10000000)</f>
        <v>0</v>
      </c>
      <c r="F34" s="24" t="n">
        <f aca="false">IF(F20=0,0,F$32-F$33-$B$38/10000000)</f>
        <v>0</v>
      </c>
      <c r="G34" s="18" t="s">
        <v>8</v>
      </c>
      <c r="H34" s="19" t="s">
        <v>58</v>
      </c>
    </row>
    <row r="35" customFormat="false" ht="15" hidden="false" customHeight="false" outlineLevel="0" collapsed="false">
      <c r="A35" s="1" t="s">
        <v>59</v>
      </c>
      <c r="B35" s="34"/>
      <c r="C35" s="26" t="n">
        <f aca="false">IF($B$38&gt;0, IF(LARGE($C$34:$F$34,$B$38)&lt;=C$34,1,0), 0)</f>
        <v>0</v>
      </c>
      <c r="D35" s="26" t="n">
        <f aca="false">IF($B$38&gt;0, IF(LARGE($C$34:$F$34,$B$38)&lt;=D$34,1,0), 0)</f>
        <v>0</v>
      </c>
      <c r="E35" s="26" t="n">
        <f aca="false">IF($B$38&gt;0, IF(LARGE($C$34:$F$34,$B$38)&lt;=E$34,1,0), 0)</f>
        <v>0</v>
      </c>
      <c r="F35" s="26" t="n">
        <f aca="false">IF($B$38&gt;0, IF(LARGE($C$34:$F$34,$B$38)&lt;=F$34,1,0), 0)</f>
        <v>0</v>
      </c>
      <c r="G35" s="18" t="s">
        <v>14</v>
      </c>
      <c r="H35" s="19"/>
    </row>
    <row r="36" customFormat="false" ht="15" hidden="false" customHeight="false" outlineLevel="0" collapsed="false">
      <c r="A36" s="27" t="s">
        <v>60</v>
      </c>
      <c r="B36" s="35"/>
      <c r="C36" s="29" t="n">
        <f aca="false">C33+C35</f>
        <v>249</v>
      </c>
      <c r="D36" s="29" t="n">
        <f aca="false">D33+D35</f>
        <v>0</v>
      </c>
      <c r="E36" s="29" t="n">
        <f aca="false">E33+E35</f>
        <v>0</v>
      </c>
      <c r="F36" s="29" t="n">
        <f aca="false">F33+F35</f>
        <v>0</v>
      </c>
      <c r="G36" s="30" t="s">
        <v>14</v>
      </c>
      <c r="H36" s="36"/>
    </row>
    <row r="37" customFormat="false" ht="15" hidden="false" customHeight="false" outlineLevel="0" collapsed="false">
      <c r="A37" s="1"/>
      <c r="B37" s="34"/>
      <c r="C37" s="26"/>
      <c r="D37" s="26"/>
      <c r="E37" s="26"/>
      <c r="F37" s="26"/>
      <c r="G37" s="18"/>
      <c r="H37" s="19"/>
    </row>
    <row r="38" customFormat="false" ht="15" hidden="false" customHeight="false" outlineLevel="0" collapsed="false">
      <c r="A38" s="1" t="s">
        <v>61</v>
      </c>
      <c r="B38" s="37" t="n">
        <f aca="false">B39-SUM(C33:F33)</f>
        <v>0</v>
      </c>
      <c r="C38" s="19"/>
      <c r="D38" s="19"/>
      <c r="E38" s="19"/>
      <c r="F38" s="19"/>
      <c r="G38" s="18" t="s">
        <v>14</v>
      </c>
      <c r="H38" s="19" t="s">
        <v>62</v>
      </c>
    </row>
    <row r="39" customFormat="false" ht="15" hidden="false" customHeight="false" outlineLevel="0" collapsed="false">
      <c r="A39" s="1" t="s">
        <v>63</v>
      </c>
      <c r="B39" s="34" t="n">
        <f aca="false">MIN(ROUND(MAKSBELOP3-B30,0), ROUND(SUM(C18:F18)-B30,0))</f>
        <v>249</v>
      </c>
      <c r="C39" s="16"/>
      <c r="D39" s="19"/>
      <c r="E39" s="19"/>
      <c r="F39" s="19"/>
      <c r="G39" s="18" t="s">
        <v>14</v>
      </c>
      <c r="H39" s="19" t="s">
        <v>64</v>
      </c>
    </row>
    <row r="40" customFormat="false" ht="15" hidden="false" customHeight="false" outlineLevel="0" collapsed="false">
      <c r="A40" s="1"/>
      <c r="B40" s="34"/>
      <c r="C40" s="19"/>
      <c r="D40" s="19"/>
      <c r="E40" s="19"/>
      <c r="F40" s="19"/>
      <c r="G40" s="18"/>
      <c r="H40" s="19"/>
    </row>
    <row r="41" customFormat="false" ht="15" hidden="false" customHeight="false" outlineLevel="0" collapsed="false">
      <c r="A41" s="27" t="s">
        <v>65</v>
      </c>
      <c r="B41" s="38" t="n">
        <f aca="false">B30+B39</f>
        <v>499</v>
      </c>
      <c r="C41" s="36"/>
      <c r="D41" s="36"/>
      <c r="E41" s="36"/>
      <c r="F41" s="36"/>
      <c r="G41" s="39"/>
      <c r="H41" s="36"/>
    </row>
    <row r="43" customFormat="false" ht="15" hidden="false" customHeight="false" outlineLevel="0" collapsed="false">
      <c r="B43" s="40"/>
    </row>
    <row r="44" customFormat="false" ht="15" hidden="false" customHeight="false" outlineLevel="0" collapsed="false">
      <c r="A44" s="41"/>
    </row>
    <row r="45" customFormat="false" ht="15" hidden="false" customHeight="false" outlineLevel="0" collapsed="false">
      <c r="A45" s="42"/>
      <c r="H45" s="0" t="s">
        <v>66</v>
      </c>
    </row>
    <row r="46" customFormat="false" ht="15" hidden="false" customHeight="false" outlineLevel="0" collapsed="false">
      <c r="H46" s="0" t="s">
        <v>67</v>
      </c>
    </row>
    <row r="47" customFormat="false" ht="15" hidden="false" customHeight="false" outlineLevel="0" collapsed="false">
      <c r="B47" s="40"/>
    </row>
    <row r="51" customFormat="false" ht="15" hidden="false" customHeight="false" outlineLevel="0" collapsed="false">
      <c r="H51" s="4"/>
    </row>
  </sheetData>
  <mergeCells count="1">
    <mergeCell ref="B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E9" activeCellId="0" sqref="E9"/>
    </sheetView>
  </sheetViews>
  <sheetFormatPr defaultColWidth="8.83984375"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34.33"/>
    <col collapsed="false" customWidth="true" hidden="false" outlineLevel="0" max="3" min="3" style="0" width="17.33"/>
    <col collapsed="false" customWidth="true" hidden="false" outlineLevel="0" max="4" min="4" style="0" width="18.33"/>
    <col collapsed="false" customWidth="true" hidden="false" outlineLevel="0" max="5" min="5" style="0" width="16.33"/>
    <col collapsed="false" customWidth="true" hidden="false" outlineLevel="0" max="6" min="6" style="0" width="17.33"/>
    <col collapsed="false" customWidth="true" hidden="false" outlineLevel="0" max="7" min="7" style="0" width="15.66"/>
    <col collapsed="false" customWidth="true" hidden="false" outlineLevel="0" max="8" min="8" style="43" width="8.67"/>
    <col collapsed="false" customWidth="true" hidden="false" outlineLevel="0" max="9" min="9" style="0" width="13.5"/>
  </cols>
  <sheetData>
    <row r="1" s="46" customFormat="true" ht="16" hidden="false" customHeight="false" outlineLevel="0" collapsed="false">
      <c r="A1" s="44" t="s">
        <v>68</v>
      </c>
      <c r="B1" s="44" t="s">
        <v>69</v>
      </c>
      <c r="C1" s="44" t="s">
        <v>70</v>
      </c>
      <c r="D1" s="45" t="s">
        <v>71</v>
      </c>
      <c r="E1" s="45" t="s">
        <v>72</v>
      </c>
      <c r="F1" s="45" t="s">
        <v>73</v>
      </c>
      <c r="G1" s="45" t="s">
        <v>74</v>
      </c>
      <c r="H1" s="45" t="s">
        <v>75</v>
      </c>
    </row>
    <row r="2" customFormat="false" ht="15" hidden="false" customHeight="false" outlineLevel="0" collapsed="false">
      <c r="A2" s="46"/>
    </row>
    <row r="3" customFormat="false" ht="15" hidden="false" customHeight="false" outlineLevel="0" collapsed="false">
      <c r="A3" s="46" t="s">
        <v>7</v>
      </c>
      <c r="B3" s="0" t="s">
        <v>76</v>
      </c>
      <c r="D3" s="7" t="n">
        <v>21000</v>
      </c>
      <c r="E3" s="7" t="n">
        <v>10000</v>
      </c>
      <c r="F3" s="7" t="n">
        <v>31000</v>
      </c>
      <c r="G3" s="7" t="n">
        <v>0</v>
      </c>
      <c r="H3" s="43" t="s">
        <v>77</v>
      </c>
    </row>
    <row r="4" customFormat="false" ht="15" hidden="false" customHeight="false" outlineLevel="0" collapsed="false">
      <c r="A4" s="46"/>
      <c r="B4" s="0" t="s">
        <v>78</v>
      </c>
      <c r="D4" s="8" t="n">
        <f aca="false">D3/SUM($D$3:$G$3)</f>
        <v>0.338709677419355</v>
      </c>
      <c r="E4" s="8" t="n">
        <f aca="false">E3/SUM($D$3:$G$3)</f>
        <v>0.161290322580645</v>
      </c>
      <c r="F4" s="8" t="n">
        <f aca="false">F3/SUM($D$3:$G$3)</f>
        <v>0.5</v>
      </c>
      <c r="G4" s="8" t="n">
        <f aca="false">G3/SUM($D$3:$G$3)</f>
        <v>0</v>
      </c>
      <c r="H4" s="43" t="s">
        <v>77</v>
      </c>
    </row>
    <row r="5" customFormat="false" ht="15" hidden="false" customHeight="false" outlineLevel="0" collapsed="false">
      <c r="A5" s="46" t="s">
        <v>11</v>
      </c>
      <c r="B5" s="0" t="s">
        <v>79</v>
      </c>
      <c r="D5" s="47" t="n">
        <f aca="false">D3*12/260</f>
        <v>969.230769230769</v>
      </c>
      <c r="E5" s="47" t="n">
        <f aca="false">E3*12/260</f>
        <v>461.538461538462</v>
      </c>
      <c r="F5" s="47" t="n">
        <f aca="false">F3*12/260</f>
        <v>1430.76923076923</v>
      </c>
      <c r="G5" s="47" t="n">
        <f aca="false">G3*12/260</f>
        <v>0</v>
      </c>
      <c r="H5" s="43" t="s">
        <v>77</v>
      </c>
      <c r="I5" s="48" t="s">
        <v>80</v>
      </c>
    </row>
    <row r="6" customFormat="false" ht="15" hidden="false" customHeight="false" outlineLevel="0" collapsed="false">
      <c r="A6" s="46" t="s">
        <v>13</v>
      </c>
      <c r="B6" s="0" t="s">
        <v>81</v>
      </c>
      <c r="D6" s="10" t="n">
        <v>1</v>
      </c>
      <c r="E6" s="10" t="n">
        <v>1</v>
      </c>
      <c r="F6" s="10" t="n">
        <v>1</v>
      </c>
      <c r="G6" s="10" t="n">
        <v>1</v>
      </c>
      <c r="H6" s="43" t="s">
        <v>82</v>
      </c>
    </row>
    <row r="7" customFormat="false" ht="15" hidden="false" customHeight="false" outlineLevel="0" collapsed="false">
      <c r="A7" s="46" t="s">
        <v>16</v>
      </c>
      <c r="B7" s="0" t="s">
        <v>83</v>
      </c>
      <c r="D7" s="47" t="n">
        <f aca="false">D5*D6</f>
        <v>969.230769230769</v>
      </c>
      <c r="E7" s="47" t="n">
        <f aca="false">E5*E6</f>
        <v>461.538461538462</v>
      </c>
      <c r="F7" s="47" t="n">
        <f aca="false">F5*F6</f>
        <v>1430.76923076923</v>
      </c>
      <c r="G7" s="47" t="n">
        <f aca="false">G5*G6</f>
        <v>0</v>
      </c>
      <c r="H7" s="43" t="s">
        <v>77</v>
      </c>
      <c r="I7" s="49" t="s">
        <v>84</v>
      </c>
    </row>
    <row r="8" customFormat="false" ht="15" hidden="false" customHeight="false" outlineLevel="0" collapsed="false">
      <c r="A8" s="46" t="s">
        <v>18</v>
      </c>
      <c r="B8" s="0" t="s">
        <v>85</v>
      </c>
      <c r="D8" s="11" t="n">
        <f aca="false">MIN(D7,$C$15)</f>
        <v>969.230769230769</v>
      </c>
      <c r="E8" s="11" t="n">
        <f aca="false">MIN(E7,$C$15)</f>
        <v>461.538461538462</v>
      </c>
      <c r="F8" s="11" t="n">
        <f aca="false">MIN(F7,$C$15)</f>
        <v>1430.76923076923</v>
      </c>
      <c r="G8" s="11" t="n">
        <f aca="false">MIN(G7,$C$15)</f>
        <v>0</v>
      </c>
      <c r="H8" s="43" t="s">
        <v>82</v>
      </c>
      <c r="I8" s="48" t="s">
        <v>80</v>
      </c>
    </row>
    <row r="9" customFormat="false" ht="15" hidden="false" customHeight="false" outlineLevel="0" collapsed="false">
      <c r="A9" s="46" t="s">
        <v>20</v>
      </c>
      <c r="B9" s="0" t="s">
        <v>86</v>
      </c>
      <c r="D9" s="12" t="n">
        <v>0.5</v>
      </c>
      <c r="E9" s="12" t="n">
        <v>0.8</v>
      </c>
      <c r="F9" s="12" t="n">
        <v>0.2</v>
      </c>
      <c r="G9" s="12" t="n">
        <v>1</v>
      </c>
      <c r="H9" s="43" t="s">
        <v>77</v>
      </c>
    </row>
    <row r="10" customFormat="false" ht="15" hidden="false" customHeight="false" outlineLevel="0" collapsed="false">
      <c r="A10" s="46" t="s">
        <v>22</v>
      </c>
      <c r="B10" s="0" t="s">
        <v>87</v>
      </c>
      <c r="D10" s="47" t="n">
        <f aca="false">D7*D9</f>
        <v>484.615384615385</v>
      </c>
      <c r="E10" s="47" t="n">
        <f aca="false">E7*E9</f>
        <v>369.230769230769</v>
      </c>
      <c r="F10" s="47" t="n">
        <f aca="false">F7*F9</f>
        <v>286.153846153846</v>
      </c>
      <c r="G10" s="47" t="n">
        <f aca="false">G7*G9</f>
        <v>0</v>
      </c>
      <c r="H10" s="43" t="s">
        <v>77</v>
      </c>
    </row>
    <row r="11" customFormat="false" ht="15" hidden="false" customHeight="false" outlineLevel="0" collapsed="false">
      <c r="A11" s="46" t="s">
        <v>24</v>
      </c>
      <c r="B11" s="0" t="s">
        <v>88</v>
      </c>
      <c r="D11" s="10" t="n">
        <v>1</v>
      </c>
      <c r="E11" s="10" t="n">
        <v>0.9</v>
      </c>
      <c r="F11" s="10" t="n">
        <v>0.25</v>
      </c>
      <c r="G11" s="10" t="n">
        <v>1</v>
      </c>
      <c r="H11" s="43" t="s">
        <v>77</v>
      </c>
    </row>
    <row r="12" customFormat="false" ht="15" hidden="false" customHeight="false" outlineLevel="0" collapsed="false">
      <c r="A12" s="46" t="s">
        <v>26</v>
      </c>
      <c r="B12" s="0" t="s">
        <v>89</v>
      </c>
      <c r="D12" s="50" t="n">
        <f aca="false">D10*D11</f>
        <v>484.615384615385</v>
      </c>
      <c r="E12" s="50" t="n">
        <f aca="false">E10*E11</f>
        <v>332.307692307692</v>
      </c>
      <c r="F12" s="50" t="n">
        <f aca="false">F10*F11</f>
        <v>71.5384615384615</v>
      </c>
      <c r="G12" s="50" t="n">
        <f aca="false">G10*G11</f>
        <v>0</v>
      </c>
      <c r="H12" s="43" t="s">
        <v>77</v>
      </c>
    </row>
    <row r="13" customFormat="false" ht="15" hidden="false" customHeight="false" outlineLevel="0" collapsed="false">
      <c r="A13" s="46" t="s">
        <v>28</v>
      </c>
      <c r="B13" s="0" t="s">
        <v>90</v>
      </c>
      <c r="C13" s="51" t="n">
        <f aca="false">ROUND(SUM(D10:G10)/SUM(D7:G7),2)</f>
        <v>0.4</v>
      </c>
      <c r="H13" s="43" t="s">
        <v>82</v>
      </c>
    </row>
    <row r="14" customFormat="false" ht="15" hidden="false" customHeight="false" outlineLevel="0" collapsed="false">
      <c r="A14" s="46" t="s">
        <v>30</v>
      </c>
      <c r="B14" s="0" t="s">
        <v>91</v>
      </c>
      <c r="C14" s="7" t="n">
        <v>93634</v>
      </c>
      <c r="H14" s="43" t="s">
        <v>82</v>
      </c>
    </row>
    <row r="15" customFormat="false" ht="15" hidden="false" customHeight="false" outlineLevel="0" collapsed="false">
      <c r="A15" s="46" t="s">
        <v>32</v>
      </c>
      <c r="B15" s="0" t="s">
        <v>92</v>
      </c>
      <c r="C15" s="11" t="n">
        <f aca="false">ROUND(6*C14/260, 0)</f>
        <v>2161</v>
      </c>
      <c r="H15" s="43" t="s">
        <v>82</v>
      </c>
      <c r="I15" s="48" t="s">
        <v>80</v>
      </c>
    </row>
    <row r="16" customFormat="false" ht="15" hidden="false" customHeight="false" outlineLevel="0" collapsed="false">
      <c r="A16" s="46" t="s">
        <v>34</v>
      </c>
      <c r="B16" s="0" t="s">
        <v>93</v>
      </c>
      <c r="C16" s="11" t="n">
        <f aca="false">ROUND(C13*C15,0)</f>
        <v>864</v>
      </c>
      <c r="H16" s="43" t="s">
        <v>82</v>
      </c>
    </row>
    <row r="17" customFormat="false" ht="15" hidden="true" customHeight="false" outlineLevel="0" collapsed="false">
      <c r="A17" s="52" t="s">
        <v>94</v>
      </c>
      <c r="B17" s="53" t="s">
        <v>95</v>
      </c>
      <c r="C17" s="54" t="n">
        <f aca="false">MIN(1, C16/SUM(D10:G10))</f>
        <v>0.757894736842105</v>
      </c>
      <c r="D17" s="55"/>
      <c r="E17" s="55"/>
      <c r="F17" s="55"/>
      <c r="G17" s="55"/>
      <c r="H17" s="56" t="s">
        <v>77</v>
      </c>
    </row>
    <row r="18" customFormat="false" ht="15" hidden="true" customHeight="false" outlineLevel="0" collapsed="false">
      <c r="A18" s="52" t="s">
        <v>96</v>
      </c>
      <c r="B18" s="53" t="s">
        <v>97</v>
      </c>
      <c r="C18" s="53"/>
      <c r="D18" s="55" t="n">
        <f aca="false">D10*ScalingFactor</f>
        <v>367.287449392713</v>
      </c>
      <c r="E18" s="55" t="n">
        <f aca="false">E10*ScalingFactor</f>
        <v>279.838056680162</v>
      </c>
      <c r="F18" s="55" t="n">
        <f aca="false">F10*ScalingFactor</f>
        <v>216.874493927125</v>
      </c>
      <c r="G18" s="55" t="n">
        <f aca="false">G10*ScalingFactor</f>
        <v>0</v>
      </c>
      <c r="H18" s="56" t="s">
        <v>77</v>
      </c>
    </row>
    <row r="19" customFormat="false" ht="15" hidden="true" customHeight="false" outlineLevel="0" collapsed="false">
      <c r="A19" s="52" t="s">
        <v>98</v>
      </c>
      <c r="B19" s="53" t="s">
        <v>99</v>
      </c>
      <c r="C19" s="53"/>
      <c r="D19" s="55" t="n">
        <f aca="false">MIN(D18,D12)</f>
        <v>367.287449392713</v>
      </c>
      <c r="E19" s="55" t="n">
        <f aca="false">MIN(E18,E12)</f>
        <v>279.838056680162</v>
      </c>
      <c r="F19" s="55" t="n">
        <f aca="false">MIN(F18,F12)</f>
        <v>71.5384615384615</v>
      </c>
      <c r="G19" s="55" t="n">
        <f aca="false">MIN(G18,G12)</f>
        <v>0</v>
      </c>
      <c r="H19" s="56" t="s">
        <v>77</v>
      </c>
    </row>
    <row r="20" customFormat="false" ht="15" hidden="true" customHeight="false" outlineLevel="0" collapsed="false">
      <c r="A20" s="52"/>
      <c r="B20" s="53" t="s">
        <v>100</v>
      </c>
      <c r="C20" s="53"/>
      <c r="D20" s="55" t="n">
        <f aca="false">D19-D12</f>
        <v>-117.327935222672</v>
      </c>
      <c r="E20" s="55" t="n">
        <f aca="false">E19-E12</f>
        <v>-52.4696356275304</v>
      </c>
      <c r="F20" s="55" t="n">
        <f aca="false">F19-F12</f>
        <v>0</v>
      </c>
      <c r="G20" s="55" t="n">
        <f aca="false">G19-G12</f>
        <v>0</v>
      </c>
      <c r="H20" s="56" t="s">
        <v>77</v>
      </c>
    </row>
    <row r="21" customFormat="false" ht="15" hidden="true" customHeight="false" outlineLevel="0" collapsed="false">
      <c r="A21" s="52"/>
      <c r="B21" s="53" t="s">
        <v>101</v>
      </c>
      <c r="C21" s="53"/>
      <c r="D21" s="54" t="n">
        <f aca="false">IF(D20 &lt; 0, D4, 0)</f>
        <v>0.338709677419355</v>
      </c>
      <c r="E21" s="54" t="n">
        <f aca="false">IF(E20 &lt; 0, E4, 0)</f>
        <v>0.161290322580645</v>
      </c>
      <c r="F21" s="54" t="n">
        <f aca="false">IF(F20 &lt; 0, F4, 0)</f>
        <v>0</v>
      </c>
      <c r="G21" s="55"/>
      <c r="H21" s="56" t="s">
        <v>77</v>
      </c>
    </row>
    <row r="22" customFormat="false" ht="15" hidden="true" customHeight="false" outlineLevel="0" collapsed="false">
      <c r="A22" s="52" t="s">
        <v>102</v>
      </c>
      <c r="B22" s="53" t="s">
        <v>103</v>
      </c>
      <c r="C22" s="53"/>
      <c r="D22" s="54" t="n">
        <f aca="false">IF(SUM(ShortfallIncomeRatioArb)=0,0,D21/SUM(ShortfallIncomeRatioArb))</f>
        <v>0.67741935483871</v>
      </c>
      <c r="E22" s="54" t="n">
        <f aca="false">IF(SUM(ShortfallIncomeRatioArb)=0,0,E21/SUM(ShortfallIncomeRatioArb))</f>
        <v>0.32258064516129</v>
      </c>
      <c r="F22" s="54" t="n">
        <f aca="false">IF(SUM(ShortfallIncomeRatioArb)=0,0,F21/SUM(ShortfallIncomeRatioArb))</f>
        <v>0</v>
      </c>
      <c r="G22" s="54" t="n">
        <f aca="false">IF(SUM(ShortfallIncomeRatioArb)=0,0,G21/SUM(ShortfallIncomeRatioArb))</f>
        <v>0</v>
      </c>
      <c r="H22" s="56" t="s">
        <v>77</v>
      </c>
    </row>
    <row r="23" customFormat="false" ht="15" hidden="true" customHeight="false" outlineLevel="0" collapsed="false">
      <c r="A23" s="52"/>
      <c r="B23" s="53" t="s">
        <v>104</v>
      </c>
      <c r="C23" s="53"/>
      <c r="D23" s="55" t="n">
        <f aca="false">D18-D19</f>
        <v>0</v>
      </c>
      <c r="E23" s="55" t="n">
        <f aca="false">E18-E19</f>
        <v>0</v>
      </c>
      <c r="F23" s="55" t="n">
        <f aca="false">F18-F19</f>
        <v>145.336032388664</v>
      </c>
      <c r="G23" s="55" t="n">
        <f aca="false">G18-G19</f>
        <v>0</v>
      </c>
      <c r="H23" s="56" t="s">
        <v>77</v>
      </c>
    </row>
    <row r="24" customFormat="false" ht="15" hidden="true" customHeight="false" outlineLevel="0" collapsed="false">
      <c r="A24" s="52" t="s">
        <v>105</v>
      </c>
      <c r="B24" s="53" t="s">
        <v>106</v>
      </c>
      <c r="C24" s="53"/>
      <c r="D24" s="55" t="n">
        <f aca="false">MIN(-D20,IF(SUM($D$20:$G$20)&gt;=0, 0, SUM($D$23:$G$23)*D22))</f>
        <v>98.4534412955466</v>
      </c>
      <c r="E24" s="55" t="n">
        <f aca="false">MIN(-E20,IF(SUM($D$20:$G$20)&gt;=0, 0, SUM($D$23:$G$23)*E22))</f>
        <v>46.8825910931174</v>
      </c>
      <c r="F24" s="55" t="n">
        <f aca="false">MIN(-F20,IF(SUM($D$20:$G$20)&gt;=0, 0, SUM($D$23:$G$23)*F22))</f>
        <v>0</v>
      </c>
      <c r="G24" s="55" t="n">
        <f aca="false">MIN(-G20,IF(SUM($D$20:$G$20)&gt;=0, 0, SUM($D$23:$G$23)*G22))</f>
        <v>0</v>
      </c>
      <c r="H24" s="56" t="s">
        <v>77</v>
      </c>
    </row>
    <row r="25" customFormat="false" ht="15" hidden="true" customHeight="false" outlineLevel="0" collapsed="false">
      <c r="A25" s="52"/>
      <c r="B25" s="53" t="s">
        <v>107</v>
      </c>
      <c r="C25" s="53"/>
      <c r="D25" s="54" t="n">
        <f aca="false">IF(D23 = 0, 0, D4)</f>
        <v>0</v>
      </c>
      <c r="E25" s="54" t="n">
        <f aca="false">IF(E23 = 0, 0, E4)</f>
        <v>0</v>
      </c>
      <c r="F25" s="54" t="n">
        <f aca="false">IF(F23 = 0, 0, F4)</f>
        <v>0.5</v>
      </c>
      <c r="G25" s="54" t="n">
        <f aca="false">IF(G23 = 0, 0, G4)</f>
        <v>0</v>
      </c>
      <c r="H25" s="56" t="s">
        <v>77</v>
      </c>
    </row>
    <row r="26" customFormat="false" ht="15" hidden="true" customHeight="false" outlineLevel="0" collapsed="false">
      <c r="A26" s="52"/>
      <c r="B26" s="53" t="s">
        <v>108</v>
      </c>
      <c r="C26" s="53"/>
      <c r="D26" s="54" t="n">
        <f aca="false">IF(SUM(ShortfallIncomeRatioPerson)= 0, 0, D25/SUM(ShortfallIncomeRatioPerson))</f>
        <v>0</v>
      </c>
      <c r="E26" s="54" t="n">
        <f aca="false">IF(SUM(ShortfallIncomeRatioPerson)= 0, 0, E25/SUM(ShortfallIncomeRatioPerson))</f>
        <v>0</v>
      </c>
      <c r="F26" s="54" t="n">
        <f aca="false">IF(SUM(ShortfallIncomeRatioPerson)= 0, 0, F25/SUM(ShortfallIncomeRatioPerson))</f>
        <v>1</v>
      </c>
      <c r="G26" s="54" t="n">
        <f aca="false">IF(SUM(ShortfallIncomeRatioPerson)= 0, 0, G25/SUM(ShortfallIncomeRatioPerson))</f>
        <v>0</v>
      </c>
      <c r="H26" s="56" t="s">
        <v>77</v>
      </c>
    </row>
    <row r="27" customFormat="false" ht="15" hidden="true" customHeight="false" outlineLevel="0" collapsed="false">
      <c r="A27" s="52" t="s">
        <v>43</v>
      </c>
      <c r="B27" s="53" t="s">
        <v>109</v>
      </c>
      <c r="C27" s="53"/>
      <c r="D27" s="57" t="n">
        <f aca="false">ROUND(D19+D24,0)</f>
        <v>466</v>
      </c>
      <c r="E27" s="57" t="n">
        <f aca="false">ROUND(E19+E24,0)</f>
        <v>327</v>
      </c>
      <c r="F27" s="57" t="n">
        <f aca="false">ROUND(F19+F24,0)</f>
        <v>72</v>
      </c>
      <c r="G27" s="55" t="n">
        <f aca="false">ROUND(G19+G24,0)</f>
        <v>0</v>
      </c>
      <c r="H27" s="56" t="s">
        <v>82</v>
      </c>
    </row>
    <row r="28" customFormat="false" ht="15" hidden="true" customHeight="false" outlineLevel="0" collapsed="false">
      <c r="A28" s="52" t="s">
        <v>63</v>
      </c>
      <c r="B28" s="53" t="s">
        <v>110</v>
      </c>
      <c r="C28" s="53"/>
      <c r="D28" s="53" t="n">
        <f aca="false">ROUND(D23-SUM(AdjustmentArb)*D26,0)</f>
        <v>0</v>
      </c>
      <c r="E28" s="53" t="n">
        <f aca="false">ROUND(E23-SUM(AdjustmentArb)*E26,0)</f>
        <v>0</v>
      </c>
      <c r="F28" s="53" t="n">
        <f aca="false">ROUND(F23-SUM(AdjustmentArb)*F26,0)</f>
        <v>0</v>
      </c>
      <c r="G28" s="53" t="n">
        <f aca="false">ROUND(G23-SUM(AdjustmentArb)*G26,0)</f>
        <v>0</v>
      </c>
      <c r="H28" s="56" t="s">
        <v>82</v>
      </c>
    </row>
    <row r="29" customFormat="false" ht="15" hidden="true" customHeight="false" outlineLevel="0" collapsed="false">
      <c r="A29" s="52"/>
      <c r="B29" s="53" t="s">
        <v>111</v>
      </c>
      <c r="C29" s="58" t="n">
        <f aca="false">C16-SUM(D27:G28)</f>
        <v>-1</v>
      </c>
      <c r="D29" s="53"/>
      <c r="E29" s="53"/>
      <c r="F29" s="53"/>
      <c r="G29" s="53"/>
      <c r="H29" s="56" t="s">
        <v>82</v>
      </c>
    </row>
    <row r="30" customFormat="false" ht="15" hidden="false" customHeight="false" outlineLevel="0" collapsed="false">
      <c r="A30" s="46"/>
      <c r="C30" s="40"/>
    </row>
    <row r="31" customFormat="false" ht="15" hidden="false" customHeight="false" outlineLevel="0" collapsed="false">
      <c r="A31" s="1" t="s">
        <v>22</v>
      </c>
      <c r="B31" s="19" t="s">
        <v>87</v>
      </c>
      <c r="C31" s="16"/>
      <c r="D31" s="31" t="n">
        <f aca="false">ROUND(D10,0)</f>
        <v>485</v>
      </c>
      <c r="E31" s="31" t="n">
        <f aca="false">ROUND(E10,0)</f>
        <v>369</v>
      </c>
      <c r="F31" s="31" t="n">
        <f aca="false">ROUND(F10,0)</f>
        <v>286</v>
      </c>
      <c r="G31" s="31" t="n">
        <f aca="false">ROUND(G10,0)</f>
        <v>0</v>
      </c>
      <c r="H31" s="18" t="s">
        <v>82</v>
      </c>
      <c r="I31" s="49" t="s">
        <v>84</v>
      </c>
    </row>
    <row r="32" customFormat="false" ht="15" hidden="false" customHeight="false" outlineLevel="0" collapsed="false">
      <c r="A32" s="1" t="s">
        <v>37</v>
      </c>
      <c r="B32" s="19" t="s">
        <v>112</v>
      </c>
      <c r="C32" s="16"/>
      <c r="D32" s="31" t="n">
        <f aca="false">ROUND(D12,0)</f>
        <v>485</v>
      </c>
      <c r="E32" s="31" t="n">
        <f aca="false">ROUND(E12,0)</f>
        <v>332</v>
      </c>
      <c r="F32" s="31" t="n">
        <f aca="false">ROUND(F12,0)</f>
        <v>72</v>
      </c>
      <c r="G32" s="31" t="n">
        <f aca="false">ROUND(G12,0)</f>
        <v>0</v>
      </c>
      <c r="H32" s="18" t="s">
        <v>82</v>
      </c>
    </row>
    <row r="33" customFormat="false" ht="15" hidden="false" customHeight="false" outlineLevel="0" collapsed="false">
      <c r="A33" s="1" t="s">
        <v>39</v>
      </c>
      <c r="B33" s="19" t="s">
        <v>113</v>
      </c>
      <c r="C33" s="16"/>
      <c r="D33" s="31" t="n">
        <f aca="false">D31-D32</f>
        <v>0</v>
      </c>
      <c r="E33" s="31" t="n">
        <f aca="false">E31-E32</f>
        <v>37</v>
      </c>
      <c r="F33" s="31" t="n">
        <f aca="false">F31-F32</f>
        <v>214</v>
      </c>
      <c r="G33" s="31" t="n">
        <f aca="false">G31-G32</f>
        <v>0</v>
      </c>
      <c r="H33" s="18" t="s">
        <v>82</v>
      </c>
    </row>
    <row r="34" customFormat="false" ht="15" hidden="false" customHeight="false" outlineLevel="0" collapsed="false">
      <c r="A34" s="1"/>
      <c r="B34" s="59" t="s">
        <v>114</v>
      </c>
      <c r="C34" s="20" t="str">
        <f aca="false"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20"/>
      <c r="E34" s="20"/>
      <c r="F34" s="20"/>
      <c r="G34" s="20"/>
      <c r="H34" s="18"/>
    </row>
    <row r="35" customFormat="false" ht="15" hidden="false" customHeight="false" outlineLevel="0" collapsed="false">
      <c r="A35" s="1" t="s">
        <v>43</v>
      </c>
      <c r="B35" s="19" t="s">
        <v>109</v>
      </c>
      <c r="C35" s="16"/>
      <c r="D35" s="19" t="n">
        <f aca="false">IF(SUM($D$32:$G$33)&lt;=MAKSBELOP,D32,IF(SUM($D$32:$G$32)&lt;=MAKSBELOP,D32,ROUND(D32*MAKSBELOP/SUM($D$32:$G$32),0)))</f>
        <v>471</v>
      </c>
      <c r="E35" s="19" t="n">
        <f aca="false">IF(SUM($D$32:$G$33)&lt;=MAKSBELOP,E32,IF(SUM($D$32:$G$32)&lt;=MAKSBELOP,E32,ROUND(E32*MAKSBELOP/SUM($D$32:$G$32),0)))</f>
        <v>323</v>
      </c>
      <c r="F35" s="19" t="n">
        <f aca="false">IF(SUM($D$32:$G$33)&lt;=MAKSBELOP,F32,IF(SUM($D$32:$G$32)&lt;=MAKSBELOP,F32,ROUND(F32*MAKSBELOP/SUM($D$32:$G$32),0)))</f>
        <v>70</v>
      </c>
      <c r="G35" s="19" t="n">
        <f aca="false">IF(SUM($D$32:$G$33)&lt;=MAKSBELOP,G32,IF(SUM($D$32:$G$32)&lt;=MAKSBELOP,G32,ROUND(G32*MAKSBELOP/SUM($D$32:$G$32),0)))</f>
        <v>0</v>
      </c>
      <c r="H35" s="18" t="s">
        <v>82</v>
      </c>
    </row>
    <row r="36" customFormat="false" ht="15" hidden="true" customHeight="false" outlineLevel="0" collapsed="false">
      <c r="A36" s="1"/>
      <c r="B36" s="19" t="s">
        <v>115</v>
      </c>
      <c r="C36" s="16" t="n">
        <f aca="false">MAKSBELOP-SUM(D35:G35)</f>
        <v>0</v>
      </c>
      <c r="D36" s="19"/>
      <c r="E36" s="19"/>
      <c r="F36" s="19"/>
      <c r="G36" s="19"/>
      <c r="H36" s="18"/>
    </row>
    <row r="37" customFormat="false" ht="15" hidden="false" customHeight="false" outlineLevel="0" collapsed="false">
      <c r="A37" s="1" t="s">
        <v>63</v>
      </c>
      <c r="B37" s="19" t="s">
        <v>110</v>
      </c>
      <c r="C37" s="19"/>
      <c r="D37" s="19" t="n">
        <f aca="false">IF(SUM($D$32:$G$33)&lt;=MAKSBELOP,D33,IF(SUM($D$32:$G$32)&lt;=MAKSBELOP,ROUND(PersonRemainder*D33/SUM($D$33:$G$33),0),0))</f>
        <v>0</v>
      </c>
      <c r="E37" s="19" t="n">
        <f aca="false">IF(SUM($D$32:$G$33)&lt;=MAKSBELOP,E33,IF(SUM($D$32:$G$32)&lt;=MAKSBELOP,ROUND(PersonRemainder*E33/SUM($D$33:$G$33),0),0))</f>
        <v>0</v>
      </c>
      <c r="F37" s="19" t="n">
        <f aca="false">IF(SUM($D$32:$G$33)&lt;=MAKSBELOP,F33,IF(SUM($D$32:$G$32)&lt;=MAKSBELOP,ROUND(PersonRemainder*F33/SUM($D$33:$G$33),0),0))</f>
        <v>0</v>
      </c>
      <c r="G37" s="19" t="n">
        <f aca="false">IF(SUM($D$32:$G$33)&lt;=MAKSBELOP,G33,IF(SUM($D$32:$G$32)&lt;=MAKSBELOP,ROUND(PersonRemainder*G33/SUM($D$33:$G$33),0),0))</f>
        <v>0</v>
      </c>
      <c r="H37" s="18" t="s">
        <v>82</v>
      </c>
    </row>
    <row r="38" customFormat="false" ht="15" hidden="false" customHeight="false" outlineLevel="0" collapsed="false">
      <c r="A38" s="1"/>
      <c r="B38" s="19" t="s">
        <v>111</v>
      </c>
      <c r="C38" s="16" t="n">
        <f aca="false">MAKSBELOP-SUM(D35:G37)</f>
        <v>0</v>
      </c>
      <c r="D38" s="19"/>
      <c r="E38" s="19"/>
      <c r="F38" s="19"/>
      <c r="G38" s="19"/>
      <c r="H38" s="18" t="s">
        <v>82</v>
      </c>
    </row>
    <row r="40" customFormat="false" ht="15" hidden="false" customHeight="false" outlineLevel="0" collapsed="false">
      <c r="A40" s="60" t="s">
        <v>116</v>
      </c>
      <c r="B40" s="61"/>
      <c r="C40" s="62"/>
      <c r="D40" s="63"/>
    </row>
    <row r="41" customFormat="false" ht="15" hidden="false" customHeight="false" outlineLevel="0" collapsed="false">
      <c r="A41" s="64" t="s">
        <v>117</v>
      </c>
      <c r="B41" s="64"/>
      <c r="C41" s="64"/>
      <c r="D41" s="64"/>
    </row>
    <row r="43" customFormat="false" ht="15" hidden="false" customHeight="false" outlineLevel="0" collapsed="false">
      <c r="A43" s="65" t="s">
        <v>118</v>
      </c>
      <c r="B43" s="66" t="n">
        <v>1430.76</v>
      </c>
    </row>
    <row r="44" customFormat="false" ht="15" hidden="false" customHeight="false" outlineLevel="0" collapsed="false">
      <c r="A44" s="65" t="s">
        <v>119</v>
      </c>
      <c r="B44" s="66" t="n">
        <f aca="false">ROUND(B43*260/12,0)</f>
        <v>31000</v>
      </c>
    </row>
  </sheetData>
  <mergeCells count="2">
    <mergeCell ref="C34:G34"/>
    <mergeCell ref="A41:D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228" zoomScaleNormal="228" zoomScalePageLayoutView="100" workbookViewId="0">
      <selection pane="topLeft" activeCell="C16" activeCellId="0" sqref="C16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42.16"/>
    <col collapsed="false" customWidth="true" hidden="false" outlineLevel="0" max="3" min="3" style="0" width="21.17"/>
    <col collapsed="false" customWidth="true" hidden="false" outlineLevel="0" max="4" min="4" style="0" width="16.33"/>
    <col collapsed="false" customWidth="true" hidden="false" outlineLevel="0" max="5" min="5" style="0" width="15.66"/>
    <col collapsed="false" customWidth="true" hidden="false" outlineLevel="0" max="6" min="6" style="0" width="17.16"/>
    <col collapsed="false" customWidth="true" hidden="false" outlineLevel="0" max="7" min="7" style="0" width="12.66"/>
    <col collapsed="false" customWidth="true" hidden="false" outlineLevel="0" max="8" min="8" style="0" width="8.33"/>
  </cols>
  <sheetData>
    <row r="1" customFormat="false" ht="16" hidden="false" customHeight="false" outlineLevel="0" collapsed="false">
      <c r="A1" s="44" t="s">
        <v>68</v>
      </c>
      <c r="B1" s="44" t="s">
        <v>69</v>
      </c>
      <c r="C1" s="44" t="s">
        <v>70</v>
      </c>
      <c r="D1" s="45" t="s">
        <v>71</v>
      </c>
      <c r="E1" s="45" t="s">
        <v>72</v>
      </c>
      <c r="F1" s="45" t="s">
        <v>73</v>
      </c>
      <c r="G1" s="45" t="s">
        <v>74</v>
      </c>
      <c r="H1" s="45" t="s">
        <v>75</v>
      </c>
    </row>
    <row r="2" customFormat="false" ht="15" hidden="false" customHeight="false" outlineLevel="0" collapsed="false">
      <c r="A2" s="46"/>
      <c r="H2" s="43"/>
    </row>
    <row r="3" customFormat="false" ht="15" hidden="false" customHeight="false" outlineLevel="0" collapsed="false">
      <c r="A3" s="46" t="s">
        <v>7</v>
      </c>
      <c r="B3" s="0" t="s">
        <v>76</v>
      </c>
      <c r="D3" s="7" t="n">
        <v>21000</v>
      </c>
      <c r="E3" s="7" t="n">
        <v>10000</v>
      </c>
      <c r="F3" s="7" t="n">
        <v>31000</v>
      </c>
      <c r="G3" s="7" t="n">
        <v>0</v>
      </c>
      <c r="H3" s="43" t="s">
        <v>77</v>
      </c>
    </row>
    <row r="4" customFormat="false" ht="15" hidden="false" customHeight="false" outlineLevel="0" collapsed="false">
      <c r="A4" s="46"/>
      <c r="B4" s="0" t="s">
        <v>78</v>
      </c>
      <c r="D4" s="8" t="n">
        <f aca="false">D3/SUM($D$3:$G$3)</f>
        <v>0.338709677419355</v>
      </c>
      <c r="E4" s="8" t="n">
        <f aca="false">E3/SUM($D$3:$G$3)</f>
        <v>0.161290322580645</v>
      </c>
      <c r="F4" s="8" t="n">
        <f aca="false">F3/SUM($D$3:$G$3)</f>
        <v>0.5</v>
      </c>
      <c r="G4" s="8" t="n">
        <f aca="false">G3/SUM($D$3:$G$3)</f>
        <v>0</v>
      </c>
      <c r="H4" s="43" t="s">
        <v>77</v>
      </c>
    </row>
    <row r="5" customFormat="false" ht="15" hidden="false" customHeight="false" outlineLevel="0" collapsed="false">
      <c r="A5" s="46" t="s">
        <v>11</v>
      </c>
      <c r="B5" s="0" t="s">
        <v>79</v>
      </c>
      <c r="D5" s="47" t="n">
        <f aca="false">D3*12/260</f>
        <v>969.230769230769</v>
      </c>
      <c r="E5" s="47" t="n">
        <f aca="false">E3*12/260</f>
        <v>461.538461538462</v>
      </c>
      <c r="F5" s="47" t="n">
        <f aca="false">F3*12/260</f>
        <v>1430.76923076923</v>
      </c>
      <c r="G5" s="47" t="n">
        <f aca="false">G3*12/260</f>
        <v>0</v>
      </c>
      <c r="H5" s="43" t="s">
        <v>77</v>
      </c>
    </row>
    <row r="6" customFormat="false" ht="15" hidden="false" customHeight="false" outlineLevel="0" collapsed="false">
      <c r="A6" s="46" t="s">
        <v>13</v>
      </c>
      <c r="B6" s="0" t="s">
        <v>81</v>
      </c>
      <c r="D6" s="10" t="n">
        <v>1</v>
      </c>
      <c r="E6" s="10" t="n">
        <v>1</v>
      </c>
      <c r="F6" s="10" t="n">
        <v>1</v>
      </c>
      <c r="G6" s="10" t="n">
        <v>1</v>
      </c>
      <c r="H6" s="43" t="s">
        <v>82</v>
      </c>
    </row>
    <row r="7" customFormat="false" ht="15" hidden="false" customHeight="false" outlineLevel="0" collapsed="false">
      <c r="A7" s="46" t="s">
        <v>16</v>
      </c>
      <c r="B7" s="0" t="s">
        <v>83</v>
      </c>
      <c r="D7" s="47" t="n">
        <f aca="false">D5*D6</f>
        <v>969.230769230769</v>
      </c>
      <c r="E7" s="47" t="n">
        <f aca="false">E5*E6</f>
        <v>461.538461538462</v>
      </c>
      <c r="F7" s="47" t="n">
        <f aca="false">F5*F6</f>
        <v>1430.76923076923</v>
      </c>
      <c r="G7" s="47" t="n">
        <f aca="false">G5*G6</f>
        <v>0</v>
      </c>
      <c r="H7" s="43" t="s">
        <v>77</v>
      </c>
    </row>
    <row r="8" customFormat="false" ht="15" hidden="false" customHeight="false" outlineLevel="0" collapsed="false">
      <c r="A8" s="46" t="s">
        <v>18</v>
      </c>
      <c r="B8" s="0" t="s">
        <v>85</v>
      </c>
      <c r="D8" s="11" t="n">
        <f aca="false">MIN(D7,$C$15)</f>
        <v>969.230769230769</v>
      </c>
      <c r="E8" s="11" t="n">
        <f aca="false">MIN(E7,$C$15)</f>
        <v>461.538461538462</v>
      </c>
      <c r="F8" s="11" t="n">
        <f aca="false">MIN(F7,$C$15)</f>
        <v>1430.76923076923</v>
      </c>
      <c r="G8" s="11" t="n">
        <f aca="false">MIN(G7,$C$15)</f>
        <v>0</v>
      </c>
      <c r="H8" s="43" t="s">
        <v>82</v>
      </c>
    </row>
    <row r="9" customFormat="false" ht="15" hidden="false" customHeight="false" outlineLevel="0" collapsed="false">
      <c r="A9" s="46" t="s">
        <v>20</v>
      </c>
      <c r="B9" s="0" t="s">
        <v>86</v>
      </c>
      <c r="D9" s="12" t="n">
        <v>0.5</v>
      </c>
      <c r="E9" s="12" t="n">
        <v>0.8</v>
      </c>
      <c r="F9" s="12" t="n">
        <v>0.2</v>
      </c>
      <c r="G9" s="12" t="n">
        <v>1</v>
      </c>
      <c r="H9" s="43" t="s">
        <v>77</v>
      </c>
    </row>
    <row r="10" customFormat="false" ht="15" hidden="false" customHeight="false" outlineLevel="0" collapsed="false">
      <c r="A10" s="46" t="s">
        <v>22</v>
      </c>
      <c r="B10" s="0" t="s">
        <v>87</v>
      </c>
      <c r="D10" s="47" t="n">
        <f aca="false">D7*D9</f>
        <v>484.615384615385</v>
      </c>
      <c r="E10" s="47" t="n">
        <f aca="false">E7*E9</f>
        <v>369.230769230769</v>
      </c>
      <c r="F10" s="47" t="n">
        <f aca="false">F7*F9</f>
        <v>286.153846153846</v>
      </c>
      <c r="G10" s="47" t="n">
        <f aca="false">G7*G9</f>
        <v>0</v>
      </c>
      <c r="H10" s="43" t="s">
        <v>77</v>
      </c>
    </row>
    <row r="11" customFormat="false" ht="15" hidden="false" customHeight="false" outlineLevel="0" collapsed="false">
      <c r="A11" s="46" t="s">
        <v>24</v>
      </c>
      <c r="B11" s="0" t="s">
        <v>88</v>
      </c>
      <c r="D11" s="10" t="n">
        <v>1</v>
      </c>
      <c r="E11" s="10" t="n">
        <v>0.9</v>
      </c>
      <c r="F11" s="10" t="n">
        <v>0.25</v>
      </c>
      <c r="G11" s="10" t="n">
        <v>1</v>
      </c>
      <c r="H11" s="43" t="s">
        <v>77</v>
      </c>
    </row>
    <row r="12" customFormat="false" ht="15" hidden="false" customHeight="false" outlineLevel="0" collapsed="false">
      <c r="A12" s="46" t="s">
        <v>26</v>
      </c>
      <c r="B12" s="0" t="s">
        <v>89</v>
      </c>
      <c r="D12" s="50" t="n">
        <f aca="false">D10*D11</f>
        <v>484.615384615385</v>
      </c>
      <c r="E12" s="50" t="n">
        <f aca="false">E10*E11</f>
        <v>332.307692307692</v>
      </c>
      <c r="F12" s="50" t="n">
        <f aca="false">F10*F11</f>
        <v>71.5384615384615</v>
      </c>
      <c r="G12" s="50" t="n">
        <f aca="false">G10*G11</f>
        <v>0</v>
      </c>
      <c r="H12" s="43" t="s">
        <v>77</v>
      </c>
    </row>
    <row r="13" customFormat="false" ht="15" hidden="false" customHeight="false" outlineLevel="0" collapsed="false">
      <c r="A13" s="46" t="s">
        <v>28</v>
      </c>
      <c r="B13" s="0" t="s">
        <v>90</v>
      </c>
      <c r="C13" s="67" t="n">
        <f aca="false">SUM(D10:G10)/SUM(D7:G7)</f>
        <v>0.398387096774193</v>
      </c>
      <c r="H13" s="43" t="s">
        <v>82</v>
      </c>
    </row>
    <row r="14" customFormat="false" ht="15" hidden="false" customHeight="false" outlineLevel="0" collapsed="false">
      <c r="A14" s="46" t="s">
        <v>30</v>
      </c>
      <c r="B14" s="0" t="s">
        <v>91</v>
      </c>
      <c r="C14" s="7" t="n">
        <v>101351</v>
      </c>
      <c r="H14" s="43" t="s">
        <v>82</v>
      </c>
    </row>
    <row r="15" customFormat="false" ht="15" hidden="false" customHeight="false" outlineLevel="0" collapsed="false">
      <c r="A15" s="46" t="s">
        <v>32</v>
      </c>
      <c r="B15" s="0" t="s">
        <v>92</v>
      </c>
      <c r="C15" s="68" t="n">
        <f aca="false">6*C14/260</f>
        <v>2338.86923076923</v>
      </c>
      <c r="H15" s="43" t="s">
        <v>82</v>
      </c>
    </row>
    <row r="16" customFormat="false" ht="15" hidden="false" customHeight="false" outlineLevel="0" collapsed="false">
      <c r="A16" s="46" t="s">
        <v>34</v>
      </c>
      <c r="B16" s="0" t="s">
        <v>93</v>
      </c>
      <c r="C16" s="68" t="n">
        <f aca="false">C13*C15</f>
        <v>931.775322580645</v>
      </c>
      <c r="H16" s="43" t="s">
        <v>82</v>
      </c>
    </row>
    <row r="17" customFormat="false" ht="15" hidden="true" customHeight="false" outlineLevel="0" collapsed="false">
      <c r="A17" s="52" t="s">
        <v>94</v>
      </c>
      <c r="B17" s="53" t="s">
        <v>95</v>
      </c>
      <c r="C17" s="54" t="n">
        <f aca="false">MIN(1, C16/SUM(D10:G10))</f>
        <v>0.817346774193548</v>
      </c>
      <c r="D17" s="55"/>
      <c r="E17" s="55"/>
      <c r="F17" s="55"/>
      <c r="G17" s="55"/>
      <c r="H17" s="56" t="s">
        <v>77</v>
      </c>
    </row>
    <row r="18" customFormat="false" ht="15" hidden="true" customHeight="false" outlineLevel="0" collapsed="false">
      <c r="A18" s="52" t="s">
        <v>96</v>
      </c>
      <c r="B18" s="53" t="s">
        <v>97</v>
      </c>
      <c r="C18" s="53"/>
      <c r="D18" s="55" t="n">
        <f aca="false">D10*ScalingFactor</f>
        <v>367.287449392713</v>
      </c>
      <c r="E18" s="55" t="n">
        <f aca="false">E10*ScalingFactor</f>
        <v>279.838056680162</v>
      </c>
      <c r="F18" s="55" t="n">
        <f aca="false">F10*ScalingFactor</f>
        <v>216.874493927125</v>
      </c>
      <c r="G18" s="55" t="n">
        <f aca="false">G10*ScalingFactor</f>
        <v>0</v>
      </c>
      <c r="H18" s="56" t="s">
        <v>77</v>
      </c>
    </row>
    <row r="19" customFormat="false" ht="15" hidden="true" customHeight="false" outlineLevel="0" collapsed="false">
      <c r="A19" s="52" t="s">
        <v>98</v>
      </c>
      <c r="B19" s="53" t="s">
        <v>99</v>
      </c>
      <c r="C19" s="53"/>
      <c r="D19" s="55" t="n">
        <f aca="false">MIN(D18,D12)</f>
        <v>367.287449392713</v>
      </c>
      <c r="E19" s="55" t="n">
        <f aca="false">MIN(E18,E12)</f>
        <v>279.838056680162</v>
      </c>
      <c r="F19" s="55" t="n">
        <f aca="false">MIN(F18,F12)</f>
        <v>71.5384615384615</v>
      </c>
      <c r="G19" s="55" t="n">
        <f aca="false">MIN(G18,G12)</f>
        <v>0</v>
      </c>
      <c r="H19" s="56" t="s">
        <v>77</v>
      </c>
    </row>
    <row r="20" customFormat="false" ht="15" hidden="true" customHeight="false" outlineLevel="0" collapsed="false">
      <c r="A20" s="52"/>
      <c r="B20" s="53" t="s">
        <v>100</v>
      </c>
      <c r="C20" s="53"/>
      <c r="D20" s="55" t="n">
        <f aca="false">D19-D12</f>
        <v>-117.327935222672</v>
      </c>
      <c r="E20" s="55" t="n">
        <f aca="false">E19-E12</f>
        <v>-52.4696356275304</v>
      </c>
      <c r="F20" s="55" t="n">
        <f aca="false">F19-F12</f>
        <v>0</v>
      </c>
      <c r="G20" s="55" t="n">
        <f aca="false">G19-G12</f>
        <v>0</v>
      </c>
      <c r="H20" s="56" t="s">
        <v>77</v>
      </c>
    </row>
    <row r="21" customFormat="false" ht="15" hidden="true" customHeight="false" outlineLevel="0" collapsed="false">
      <c r="A21" s="52"/>
      <c r="B21" s="53" t="s">
        <v>101</v>
      </c>
      <c r="C21" s="53"/>
      <c r="D21" s="54" t="n">
        <f aca="false">IF(D20 &lt; 0, D4, 0)</f>
        <v>0.338709677419355</v>
      </c>
      <c r="E21" s="54" t="n">
        <f aca="false">IF(E20 &lt; 0, E4, 0)</f>
        <v>0.161290322580645</v>
      </c>
      <c r="F21" s="54" t="n">
        <f aca="false">IF(F20 &lt; 0, F4, 0)</f>
        <v>0</v>
      </c>
      <c r="G21" s="55"/>
      <c r="H21" s="56" t="s">
        <v>77</v>
      </c>
    </row>
    <row r="22" customFormat="false" ht="15" hidden="true" customHeight="false" outlineLevel="0" collapsed="false">
      <c r="A22" s="52" t="s">
        <v>102</v>
      </c>
      <c r="B22" s="53" t="s">
        <v>103</v>
      </c>
      <c r="C22" s="53"/>
      <c r="D22" s="54" t="n">
        <f aca="false">IF(SUM(ShortfallIncomeRatioArb)=0,0,D21/SUM(ShortfallIncomeRatioArb))</f>
        <v>0.67741935483871</v>
      </c>
      <c r="E22" s="54" t="n">
        <f aca="false">IF(SUM(ShortfallIncomeRatioArb)=0,0,E21/SUM(ShortfallIncomeRatioArb))</f>
        <v>0.32258064516129</v>
      </c>
      <c r="F22" s="54" t="n">
        <f aca="false">IF(SUM(ShortfallIncomeRatioArb)=0,0,F21/SUM(ShortfallIncomeRatioArb))</f>
        <v>0</v>
      </c>
      <c r="G22" s="54" t="n">
        <f aca="false">IF(SUM(ShortfallIncomeRatioArb)=0,0,G21/SUM(ShortfallIncomeRatioArb))</f>
        <v>0</v>
      </c>
      <c r="H22" s="56" t="s">
        <v>77</v>
      </c>
    </row>
    <row r="23" customFormat="false" ht="15" hidden="true" customHeight="false" outlineLevel="0" collapsed="false">
      <c r="A23" s="52"/>
      <c r="B23" s="53" t="s">
        <v>104</v>
      </c>
      <c r="C23" s="53"/>
      <c r="D23" s="55" t="n">
        <f aca="false">D18-D19</f>
        <v>0</v>
      </c>
      <c r="E23" s="55" t="n">
        <f aca="false">E18-E19</f>
        <v>0</v>
      </c>
      <c r="F23" s="55" t="n">
        <f aca="false">F18-F19</f>
        <v>145.336032388664</v>
      </c>
      <c r="G23" s="55" t="n">
        <f aca="false">G18-G19</f>
        <v>0</v>
      </c>
      <c r="H23" s="56" t="s">
        <v>77</v>
      </c>
    </row>
    <row r="24" customFormat="false" ht="15" hidden="true" customHeight="false" outlineLevel="0" collapsed="false">
      <c r="A24" s="52" t="s">
        <v>105</v>
      </c>
      <c r="B24" s="53" t="s">
        <v>106</v>
      </c>
      <c r="C24" s="53"/>
      <c r="D24" s="55" t="n">
        <f aca="false">MIN(-D20,IF(SUM($D$20:$G$20)&gt;=0, 0, SUM($D$23:$G$23)*D22))</f>
        <v>98.4534412955466</v>
      </c>
      <c r="E24" s="55" t="n">
        <f aca="false">MIN(-E20,IF(SUM($D$20:$G$20)&gt;=0, 0, SUM($D$23:$G$23)*E22))</f>
        <v>46.8825910931174</v>
      </c>
      <c r="F24" s="55" t="n">
        <f aca="false">MIN(-F20,IF(SUM($D$20:$G$20)&gt;=0, 0, SUM($D$23:$G$23)*F22))</f>
        <v>0</v>
      </c>
      <c r="G24" s="55" t="n">
        <f aca="false">MIN(-G20,IF(SUM($D$20:$G$20)&gt;=0, 0, SUM($D$23:$G$23)*G22))</f>
        <v>0</v>
      </c>
      <c r="H24" s="56" t="s">
        <v>77</v>
      </c>
    </row>
    <row r="25" customFormat="false" ht="15" hidden="true" customHeight="false" outlineLevel="0" collapsed="false">
      <c r="A25" s="52"/>
      <c r="B25" s="53" t="s">
        <v>107</v>
      </c>
      <c r="C25" s="53"/>
      <c r="D25" s="54" t="n">
        <f aca="false">IF(D23 = 0, 0, D4)</f>
        <v>0</v>
      </c>
      <c r="E25" s="54" t="n">
        <f aca="false">IF(E23 = 0, 0, E4)</f>
        <v>0</v>
      </c>
      <c r="F25" s="54" t="n">
        <f aca="false">IF(F23 = 0, 0, F4)</f>
        <v>0.5</v>
      </c>
      <c r="G25" s="54" t="n">
        <f aca="false">IF(G23 = 0, 0, G4)</f>
        <v>0</v>
      </c>
      <c r="H25" s="56" t="s">
        <v>77</v>
      </c>
    </row>
    <row r="26" customFormat="false" ht="15" hidden="true" customHeight="false" outlineLevel="0" collapsed="false">
      <c r="A26" s="52"/>
      <c r="B26" s="53" t="s">
        <v>108</v>
      </c>
      <c r="C26" s="53"/>
      <c r="D26" s="54" t="n">
        <f aca="false">IF(SUM(ShortfallIncomeRatioPerson)= 0, 0, D25/SUM(ShortfallIncomeRatioPerson))</f>
        <v>0</v>
      </c>
      <c r="E26" s="54" t="n">
        <f aca="false">IF(SUM(ShortfallIncomeRatioPerson)= 0, 0, E25/SUM(ShortfallIncomeRatioPerson))</f>
        <v>0</v>
      </c>
      <c r="F26" s="54" t="n">
        <f aca="false">IF(SUM(ShortfallIncomeRatioPerson)= 0, 0, F25/SUM(ShortfallIncomeRatioPerson))</f>
        <v>1</v>
      </c>
      <c r="G26" s="54" t="n">
        <f aca="false">IF(SUM(ShortfallIncomeRatioPerson)= 0, 0, G25/SUM(ShortfallIncomeRatioPerson))</f>
        <v>0</v>
      </c>
      <c r="H26" s="56" t="s">
        <v>77</v>
      </c>
    </row>
    <row r="27" customFormat="false" ht="15" hidden="true" customHeight="false" outlineLevel="0" collapsed="false">
      <c r="A27" s="52" t="s">
        <v>43</v>
      </c>
      <c r="B27" s="53" t="s">
        <v>109</v>
      </c>
      <c r="C27" s="53"/>
      <c r="D27" s="57" t="n">
        <f aca="false">ROUND(D19+D24,0)</f>
        <v>466</v>
      </c>
      <c r="E27" s="57" t="n">
        <f aca="false">ROUND(E19+E24,0)</f>
        <v>327</v>
      </c>
      <c r="F27" s="57" t="n">
        <f aca="false">ROUND(F19+F24,0)</f>
        <v>72</v>
      </c>
      <c r="G27" s="55" t="n">
        <f aca="false">ROUND(G19+G24,0)</f>
        <v>0</v>
      </c>
      <c r="H27" s="56" t="s">
        <v>82</v>
      </c>
    </row>
    <row r="28" customFormat="false" ht="15" hidden="true" customHeight="false" outlineLevel="0" collapsed="false">
      <c r="A28" s="52" t="s">
        <v>63</v>
      </c>
      <c r="B28" s="53" t="s">
        <v>110</v>
      </c>
      <c r="C28" s="53"/>
      <c r="D28" s="53" t="n">
        <f aca="false">ROUND(D23-SUM(AdjustmentArb)*D26,0)</f>
        <v>0</v>
      </c>
      <c r="E28" s="53" t="n">
        <f aca="false">ROUND(E23-SUM(AdjustmentArb)*E26,0)</f>
        <v>0</v>
      </c>
      <c r="F28" s="53" t="n">
        <f aca="false">ROUND(F23-SUM(AdjustmentArb)*F26,0)</f>
        <v>0</v>
      </c>
      <c r="G28" s="53" t="n">
        <f aca="false">ROUND(G23-SUM(AdjustmentArb)*G26,0)</f>
        <v>0</v>
      </c>
      <c r="H28" s="56" t="s">
        <v>82</v>
      </c>
    </row>
    <row r="29" customFormat="false" ht="15" hidden="true" customHeight="false" outlineLevel="0" collapsed="false">
      <c r="A29" s="52"/>
      <c r="B29" s="53" t="s">
        <v>111</v>
      </c>
      <c r="C29" s="58" t="n">
        <f aca="false">C16-SUM(D27:G28)</f>
        <v>66.775322580645</v>
      </c>
      <c r="D29" s="53"/>
      <c r="E29" s="53"/>
      <c r="F29" s="53"/>
      <c r="G29" s="53"/>
      <c r="H29" s="56" t="s">
        <v>82</v>
      </c>
    </row>
    <row r="30" customFormat="false" ht="15" hidden="false" customHeight="false" outlineLevel="0" collapsed="false">
      <c r="A30" s="46"/>
      <c r="C30" s="40"/>
      <c r="H30" s="43"/>
    </row>
    <row r="31" customFormat="false" ht="15" hidden="false" customHeight="false" outlineLevel="0" collapsed="false">
      <c r="A31" s="1" t="s">
        <v>22</v>
      </c>
      <c r="B31" s="19" t="s">
        <v>87</v>
      </c>
      <c r="C31" s="16"/>
      <c r="D31" s="69" t="n">
        <f aca="false">D10</f>
        <v>484.615384615385</v>
      </c>
      <c r="E31" s="69" t="n">
        <f aca="false">E10</f>
        <v>369.230769230769</v>
      </c>
      <c r="F31" s="69" t="n">
        <f aca="false">F10</f>
        <v>286.153846153846</v>
      </c>
      <c r="G31" s="31" t="n">
        <f aca="false">ROUND(G10,0)</f>
        <v>0</v>
      </c>
      <c r="H31" s="18" t="s">
        <v>82</v>
      </c>
    </row>
    <row r="32" customFormat="false" ht="15" hidden="false" customHeight="false" outlineLevel="0" collapsed="false">
      <c r="A32" s="1" t="s">
        <v>37</v>
      </c>
      <c r="B32" s="19" t="s">
        <v>112</v>
      </c>
      <c r="C32" s="16"/>
      <c r="D32" s="69" t="n">
        <f aca="false">D12</f>
        <v>484.615384615385</v>
      </c>
      <c r="E32" s="69" t="n">
        <f aca="false">E12</f>
        <v>332.307692307692</v>
      </c>
      <c r="F32" s="69" t="n">
        <f aca="false">F12</f>
        <v>71.5384615384615</v>
      </c>
      <c r="G32" s="31" t="n">
        <f aca="false">ROUND(G12,0)</f>
        <v>0</v>
      </c>
      <c r="H32" s="18" t="s">
        <v>82</v>
      </c>
    </row>
    <row r="33" customFormat="false" ht="15" hidden="false" customHeight="false" outlineLevel="0" collapsed="false">
      <c r="A33" s="1" t="s">
        <v>39</v>
      </c>
      <c r="B33" s="19" t="s">
        <v>113</v>
      </c>
      <c r="C33" s="16"/>
      <c r="D33" s="69" t="n">
        <f aca="false">D31-D32</f>
        <v>0</v>
      </c>
      <c r="E33" s="69" t="n">
        <f aca="false">E31-E32</f>
        <v>36.9230769230769</v>
      </c>
      <c r="F33" s="69" t="n">
        <f aca="false">F31-F32</f>
        <v>214.615384615385</v>
      </c>
      <c r="G33" s="31" t="n">
        <f aca="false">G31-G32</f>
        <v>0</v>
      </c>
      <c r="H33" s="18" t="s">
        <v>82</v>
      </c>
    </row>
    <row r="34" customFormat="false" ht="15" hidden="false" customHeight="false" outlineLevel="0" collapsed="false">
      <c r="A34" s="1"/>
      <c r="B34" s="59" t="s">
        <v>114</v>
      </c>
      <c r="C34" s="20" t="str">
        <f aca="false"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20"/>
      <c r="E34" s="20"/>
      <c r="F34" s="20"/>
      <c r="G34" s="20"/>
      <c r="H34" s="18"/>
    </row>
    <row r="35" customFormat="false" ht="15" hidden="false" customHeight="false" outlineLevel="0" collapsed="false">
      <c r="A35" s="1" t="s">
        <v>43</v>
      </c>
      <c r="B35" s="19" t="s">
        <v>109</v>
      </c>
      <c r="C35" s="16"/>
      <c r="D35" s="19" t="n">
        <f aca="false">IF(SUM($D$32:$G$33)&lt;=MAKSBELOP2,ROUND(D32,0),IF(SUM($D$32:$G$32)&lt;=MAKSBELOP2,ROUND(D32,0),ROUND(D32*MAKSBELOP2/SUM($D$32:$G$32),0)))</f>
        <v>485</v>
      </c>
      <c r="E35" s="19" t="n">
        <f aca="false">IF(SUM($D$32:$G$33)&lt;=MAKSBELOP2,ROUND(E32,0),IF(SUM($D$32:$G$32)&lt;=MAKSBELOP2,ROUND(E32,0),ROUND(E32*MAKSBELOP2/SUM($D$32:$G$32),0)))</f>
        <v>332</v>
      </c>
      <c r="F35" s="19" t="n">
        <f aca="false">IF(SUM($D$32:$G$33)&lt;=MAKSBELOP2,ROUND(F32,0),IF(SUM($D$32:$G$32)&lt;=MAKSBELOP2,ROUND(F32,0),ROUND(F32*MAKSBELOP2/SUM($D$32:$G$32),0)))</f>
        <v>72</v>
      </c>
      <c r="G35" s="19" t="n">
        <f aca="false">IF(SUM($D$32:$G$33)&lt;=MAKSBELOP,G32,IF(SUM($D$32:$G$32)&lt;=MAKSBELOP,G32,ROUND(G32*MAKSBELOP/SUM($D$32:$G$32),0)))</f>
        <v>0</v>
      </c>
      <c r="H35" s="18" t="s">
        <v>82</v>
      </c>
    </row>
    <row r="36" customFormat="false" ht="15" hidden="false" customHeight="false" outlineLevel="0" collapsed="false">
      <c r="A36" s="1"/>
      <c r="B36" s="19" t="s">
        <v>115</v>
      </c>
      <c r="C36" s="70" t="n">
        <f aca="false">MAKSBELOP2-SUM(D35:G35)</f>
        <v>42.775322580645</v>
      </c>
      <c r="D36" s="19"/>
      <c r="E36" s="19"/>
      <c r="F36" s="19"/>
      <c r="G36" s="19"/>
      <c r="H36" s="18"/>
    </row>
    <row r="37" customFormat="false" ht="15" hidden="false" customHeight="false" outlineLevel="0" collapsed="false">
      <c r="A37" s="1" t="s">
        <v>63</v>
      </c>
      <c r="B37" s="19" t="s">
        <v>110</v>
      </c>
      <c r="C37" s="19"/>
      <c r="D37" s="26" t="n">
        <f aca="false">IF(SUM($D$32:$G$33)&lt;=MAKSBELOP2,ROUND(D33,0),IF(SUM($D$32:$G$32)&lt;=MAKSBELOP2,ROUND(PersonRemainder2*D33/SUM($D$33:$G$33),0),0))</f>
        <v>0</v>
      </c>
      <c r="E37" s="26" t="n">
        <f aca="false">IF(SUM($D$32:$G$33)&lt;=MAKSBELOP2,ROUND(E33,0),IF(SUM($D$32:$G$32)&lt;=MAKSBELOP2,ROUND(PersonRemainder2*E33/SUM($D$33:$G$33),0),0))</f>
        <v>6</v>
      </c>
      <c r="F37" s="26" t="n">
        <f aca="false">IF(SUM($D$32:$G$33)&lt;=MAKSBELOP2,ROUND(F33,0),IF(SUM($D$32:$G$32)&lt;=MAKSBELOP2,ROUND(PersonRemainder2*F33/SUM($D$33:$G$33),0),0))</f>
        <v>36</v>
      </c>
      <c r="G37" s="19" t="n">
        <f aca="false">IF(SUM($D$32:$G$33)&lt;=MAKSBELOP,G33,IF(SUM($D$32:$G$32)&lt;=MAKSBELOP,ROUND(PersonRemainder*G33/SUM($D$33:$G$33),0),0))</f>
        <v>0</v>
      </c>
      <c r="H37" s="18" t="s">
        <v>82</v>
      </c>
    </row>
    <row r="38" customFormat="false" ht="15" hidden="false" customHeight="false" outlineLevel="0" collapsed="false">
      <c r="A38" s="1"/>
      <c r="B38" s="19" t="s">
        <v>111</v>
      </c>
      <c r="C38" s="70" t="n">
        <f aca="false">MAKSBELOP2-SUM(D35:G37)</f>
        <v>0.775322580645025</v>
      </c>
      <c r="D38" s="19"/>
      <c r="E38" s="19"/>
      <c r="F38" s="19"/>
      <c r="G38" s="19"/>
      <c r="H38" s="18" t="s">
        <v>82</v>
      </c>
    </row>
  </sheetData>
  <mergeCells count="1">
    <mergeCell ref="C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2020-05-27T23:24:05Z</dcterms:created>
  <dc:creator>Fred George</dc:creator>
  <dc:description/>
  <dc:language>en-US</dc:language>
  <cp:lastModifiedBy/>
  <dcterms:modified xsi:type="dcterms:W3CDTF">2021-09-16T10:20:00Z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